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excel/"/>
    </mc:Choice>
  </mc:AlternateContent>
  <xr:revisionPtr revIDLastSave="0" documentId="13_ncr:1_{611464F9-BBFA-8848-BAAD-66D175E5F347}" xr6:coauthVersionLast="47" xr6:coauthVersionMax="47" xr10:uidLastSave="{00000000-0000-0000-0000-000000000000}"/>
  <bookViews>
    <workbookView xWindow="-38400" yWindow="580" windowWidth="38400" windowHeight="19540" activeTab="12"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ExtEntry">#REF!</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18</definedName>
    <definedName name="SelRowNum">18</definedName>
    <definedName name="StockNow">ID!$E$19</definedName>
    <definedName name="SummerTimeShift">Timer!$D$3</definedName>
    <definedName name="TabRev">[1]DataRT!#REF!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xxxx">[1]DataRT!$A$1</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G22" i="27" l="1"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5" i="15" a="1"/>
  <c r="F655" i="15" s="1"/>
  <c r="G655" i="15" s="1"/>
  <c r="H655" i="15" a="1"/>
  <c r="H655" i="15" s="1"/>
  <c r="I655" i="15" a="1"/>
  <c r="I655" i="15" s="1"/>
  <c r="F656" i="15" a="1"/>
  <c r="F656" i="15" s="1"/>
  <c r="G656" i="15" s="1"/>
  <c r="H656" i="15" a="1"/>
  <c r="H656" i="15" s="1"/>
  <c r="I656" i="15" a="1"/>
  <c r="I656"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E29" i="7" l="1" a="1"/>
  <c r="E29" i="7" s="1"/>
  <c r="H25" i="7"/>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8" i="27"/>
  <c r="E48" i="27"/>
  <c r="F4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3" i="27" a="1"/>
  <c r="D53"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5" i="15" a="1"/>
  <c r="K655" i="15" s="1"/>
  <c r="L655" i="15" a="1"/>
  <c r="L655" i="15" s="1"/>
  <c r="M655" i="15" a="1"/>
  <c r="M655" i="15" s="1"/>
  <c r="N655" i="15" a="1"/>
  <c r="N655" i="15" s="1"/>
  <c r="K656" i="15" a="1"/>
  <c r="K656" i="15" s="1"/>
  <c r="L656" i="15" a="1"/>
  <c r="L656" i="15" s="1"/>
  <c r="M656" i="15" a="1"/>
  <c r="M656" i="15" s="1"/>
  <c r="N656" i="15" a="1"/>
  <c r="N656"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S14" i="70" a="1"/>
  <c r="S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S29" i="70" a="1"/>
  <c r="S29"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S15" i="70" a="1"/>
  <c r="S15"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S31" i="70" a="1"/>
  <c r="S31"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S35" i="70" a="1"/>
  <c r="S35"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S10" i="70" a="1"/>
  <c r="S10"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17" i="70" l="1"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1" i="13"/>
  <c r="Z179" i="13"/>
  <c r="Z184" i="13"/>
  <c r="Z187" i="13"/>
  <c r="Z193" i="13"/>
  <c r="Z195" i="13"/>
  <c r="Z121" i="13" l="1"/>
  <c r="Z118" i="13"/>
  <c r="Z194" i="13"/>
  <c r="Z169" i="13"/>
  <c r="Z165" i="13"/>
  <c r="Z105" i="13"/>
  <c r="Z176" i="13"/>
  <c r="Z164" i="13"/>
  <c r="Z140" i="13"/>
  <c r="Z116" i="13"/>
  <c r="Z181" i="13"/>
  <c r="Z191" i="13"/>
  <c r="Z154" i="13"/>
  <c r="Z189" i="13"/>
  <c r="Z117" i="13"/>
  <c r="Z175" i="13"/>
  <c r="Z163" i="13"/>
  <c r="Z151" i="13"/>
  <c r="Z139" i="13"/>
  <c r="Z127" i="13"/>
  <c r="Z115" i="13"/>
  <c r="Z141" i="13"/>
  <c r="Z188" i="13"/>
  <c r="Z152" i="13"/>
  <c r="Z128" i="13"/>
  <c r="Z198" i="13"/>
  <c r="Z186" i="13"/>
  <c r="Z174" i="13"/>
  <c r="Z162" i="13"/>
  <c r="Z150" i="13"/>
  <c r="Z138" i="13"/>
  <c r="Z126" i="13"/>
  <c r="Z114" i="13"/>
  <c r="Z109" i="13"/>
  <c r="Z166" i="13"/>
  <c r="Z130" i="13"/>
  <c r="Z177" i="13"/>
  <c r="Z153" i="13"/>
  <c r="Z197" i="13"/>
  <c r="Z185" i="13"/>
  <c r="Z173" i="13"/>
  <c r="Z161" i="13"/>
  <c r="Z149" i="13"/>
  <c r="Z137" i="13"/>
  <c r="Z125" i="13"/>
  <c r="Z113" i="13"/>
  <c r="Z178" i="13"/>
  <c r="Z129" i="13"/>
  <c r="Z196" i="13"/>
  <c r="Z172" i="13"/>
  <c r="Z160" i="13"/>
  <c r="Z148" i="13"/>
  <c r="Z136" i="13"/>
  <c r="Z124" i="13"/>
  <c r="Z112" i="13"/>
  <c r="Z133" i="13"/>
  <c r="Z190" i="13"/>
  <c r="Z142" i="13"/>
  <c r="Z183" i="13"/>
  <c r="Z159" i="13"/>
  <c r="Z147" i="13"/>
  <c r="Z135" i="13"/>
  <c r="Z123" i="13"/>
  <c r="Z111" i="13"/>
  <c r="Z182" i="13"/>
  <c r="Z170" i="13"/>
  <c r="Z158" i="13"/>
  <c r="Z146" i="13"/>
  <c r="Z134" i="13"/>
  <c r="Z122" i="13"/>
  <c r="Z110" i="13"/>
  <c r="Z145" i="13"/>
  <c r="Z157" i="13"/>
  <c r="Z192" i="13"/>
  <c r="Z180" i="13"/>
  <c r="Z168" i="13"/>
  <c r="Z156" i="13"/>
  <c r="Z144" i="13"/>
  <c r="Z132" i="13"/>
  <c r="Z120" i="13"/>
  <c r="Z108" i="13"/>
  <c r="Z167" i="13"/>
  <c r="Z155" i="13"/>
  <c r="Z143" i="13"/>
  <c r="Z131" i="13"/>
  <c r="Z119" i="13"/>
  <c r="Z106" i="13"/>
  <c r="Z1192" i="13" l="1"/>
  <c r="Z1095" i="13"/>
  <c r="Z11" i="13"/>
  <c r="Z211" i="13"/>
  <c r="Z611" i="13"/>
  <c r="Z710" i="13"/>
  <c r="Z909" i="13"/>
  <c r="Z1008" i="13"/>
  <c r="Z1107" i="13"/>
  <c r="Z1404" i="13" l="1"/>
  <c r="Z1206" i="13"/>
  <c r="H9" i="4"/>
  <c r="A11" i="13"/>
  <c r="A96" i="13"/>
  <c r="H94" i="4"/>
  <c r="Z512" i="13"/>
  <c r="Z511" i="13"/>
  <c r="CM9" i="4" a="1"/>
  <c r="CN9" i="4" a="1"/>
  <c r="CT94" i="4"/>
  <c r="BN9" i="4" a="1"/>
  <c r="CE9" i="4" a="1"/>
  <c r="CI94" i="4" a="1"/>
  <c r="CB9" i="4" a="1"/>
  <c r="CD9" i="4" a="1"/>
  <c r="CK9" i="4" a="1"/>
  <c r="CI9" i="4" a="1"/>
  <c r="BP9" i="4" a="1"/>
  <c r="CJ9" i="4" a="1"/>
  <c r="CF9" i="4" a="1"/>
  <c r="CC9" i="4" a="1"/>
  <c r="BN94" i="4" a="1"/>
  <c r="CE94" i="4" a="1"/>
  <c r="CK94" i="4" a="1"/>
  <c r="CB94" i="4" a="1"/>
  <c r="AK9" i="4" a="1"/>
  <c r="CC94" i="4" a="1"/>
  <c r="CE94" i="4" l="1"/>
  <c r="BN94" i="4"/>
  <c r="CC94" i="4"/>
  <c r="CK94" i="4"/>
  <c r="CB94" i="4"/>
  <c r="CI94" i="4"/>
  <c r="CC9" i="4"/>
  <c r="CE9" i="4"/>
  <c r="CD9" i="4"/>
  <c r="AK9" i="4"/>
  <c r="CM9" i="4"/>
  <c r="CN9" i="4"/>
  <c r="CJ9" i="4"/>
  <c r="CB9" i="4"/>
  <c r="CI9" i="4"/>
  <c r="CK9" i="4"/>
  <c r="CF9" i="4"/>
  <c r="BN9" i="4"/>
  <c r="BP9" i="4"/>
  <c r="BV94" i="4" a="1"/>
  <c r="BV94" i="4" s="1"/>
  <c r="D94" i="1"/>
  <c r="A96" i="9"/>
  <c r="A94" i="20"/>
  <c r="BU94" i="4" a="1"/>
  <c r="BU94" i="4" s="1"/>
  <c r="D94" i="4"/>
  <c r="C94" i="4"/>
  <c r="BC94" i="4" a="1"/>
  <c r="BC94" i="4" s="1"/>
  <c r="A1008" i="13"/>
  <c r="A710" i="13"/>
  <c r="AX710" i="13" s="1"/>
  <c r="AX611" i="13"/>
  <c r="A1107" i="13"/>
  <c r="AX511" i="13"/>
  <c r="A111" i="13"/>
  <c r="A411" i="13"/>
  <c r="A511" i="13"/>
  <c r="A909" i="13"/>
  <c r="AX909" i="13" s="1"/>
  <c r="AX1008" i="13"/>
  <c r="AX11" i="13"/>
  <c r="AX411" i="13"/>
  <c r="A1807" i="13"/>
  <c r="A611" i="13"/>
  <c r="A810" i="13"/>
  <c r="AX810" i="13" s="1"/>
  <c r="BC9" i="4" a="1"/>
  <c r="BC9" i="4" s="1"/>
  <c r="BU9" i="4" a="1"/>
  <c r="BU9" i="4" s="1"/>
  <c r="A11" i="9"/>
  <c r="C9" i="4"/>
  <c r="A9" i="20"/>
  <c r="D9" i="1"/>
  <c r="BV9" i="4" a="1"/>
  <c r="BV9" i="4" s="1"/>
  <c r="D9" i="4"/>
  <c r="AX96" i="13"/>
  <c r="AX696" i="13"/>
  <c r="A895" i="13"/>
  <c r="AX895" i="13" s="1"/>
  <c r="A795" i="13"/>
  <c r="AX795" i="13" s="1"/>
  <c r="AX596" i="13"/>
  <c r="AX496" i="13"/>
  <c r="A496" i="13"/>
  <c r="A1192" i="13"/>
  <c r="AX1093" i="13"/>
  <c r="A994" i="13"/>
  <c r="AX994" i="13" s="1"/>
  <c r="A1093" i="13"/>
  <c r="A196" i="13"/>
  <c r="A1892" i="13"/>
  <c r="A596" i="13"/>
  <c r="A696" i="13"/>
  <c r="Z12" i="13"/>
  <c r="Z212" i="13"/>
  <c r="Z513" i="13"/>
  <c r="Z612" i="13"/>
  <c r="Z711" i="13"/>
  <c r="Z810" i="13"/>
  <c r="Z910" i="13"/>
  <c r="Z1009" i="13"/>
  <c r="Z1108" i="13"/>
  <c r="CG94" i="4" a="1"/>
  <c r="CQ94" i="4"/>
  <c r="CL9" i="4" a="1"/>
  <c r="CN94" i="4" a="1"/>
  <c r="CL94" i="4" a="1"/>
  <c r="BP94" i="4" a="1"/>
  <c r="CF94" i="4" a="1"/>
  <c r="AE9" i="4" a="1"/>
  <c r="B94" i="1" a="1"/>
  <c r="CH94" i="4"/>
  <c r="AC94" i="4" a="1"/>
  <c r="CM94" i="4" a="1"/>
  <c r="AC9" i="4" a="1"/>
  <c r="AM9" i="4" a="1"/>
  <c r="AE94" i="4" a="1"/>
  <c r="CJ94" i="4" a="1"/>
  <c r="AM94" i="4" a="1"/>
  <c r="CH9" i="4"/>
  <c r="CT9" i="4"/>
  <c r="AK94" i="4" a="1"/>
  <c r="CG9" i="4" a="1"/>
  <c r="CS94" i="4" a="1"/>
  <c r="AJ9" i="4" a="1"/>
  <c r="CD94" i="4" a="1"/>
  <c r="B9" i="1" a="1"/>
  <c r="CQ9" i="4"/>
  <c r="CR94" i="4" a="1"/>
  <c r="CG9" i="4" l="1"/>
  <c r="AK94" i="4"/>
  <c r="AE94" i="4"/>
  <c r="AM9" i="4"/>
  <c r="AC9" i="4"/>
  <c r="AC94" i="4"/>
  <c r="CF94" i="4"/>
  <c r="CN94" i="4"/>
  <c r="CG94" i="4"/>
  <c r="CL9" i="4"/>
  <c r="BW9" i="4" s="1"/>
  <c r="AM94" i="4"/>
  <c r="CJ94" i="4"/>
  <c r="CM94" i="4"/>
  <c r="BP94" i="4"/>
  <c r="G94" i="4" s="1"/>
  <c r="AE9" i="4"/>
  <c r="CL94" i="4"/>
  <c r="BW94" i="4" s="1"/>
  <c r="CR94" i="4"/>
  <c r="CD94" i="4"/>
  <c r="CS94" i="4"/>
  <c r="B94" i="1"/>
  <c r="B9" i="1"/>
  <c r="AJ9" i="4"/>
  <c r="A12" i="13"/>
  <c r="H10" i="4"/>
  <c r="G9" i="4"/>
  <c r="BO9" i="4"/>
  <c r="Z1207" i="13"/>
  <c r="Z1405" i="13"/>
  <c r="A5" i="13"/>
  <c r="H3" i="4"/>
  <c r="AV211" i="13"/>
  <c r="DC9" i="4"/>
  <c r="DC11" i="4"/>
  <c r="AX196" i="13"/>
  <c r="A296" i="13"/>
  <c r="AX111" i="13"/>
  <c r="A211" i="13"/>
  <c r="BZ9" i="4" a="1"/>
  <c r="BZ9" i="4" s="1"/>
  <c r="BX9" i="4" s="1" a="1"/>
  <c r="BX9" i="4" s="1"/>
  <c r="BY9" i="4" a="1"/>
  <c r="BY9" i="4" s="1"/>
  <c r="A1206" i="13"/>
  <c r="AX1107" i="13"/>
  <c r="AX1192" i="13"/>
  <c r="A1291" i="13"/>
  <c r="BY94" i="4" a="1"/>
  <c r="BY94" i="4" s="1"/>
  <c r="BZ94" i="4" a="1"/>
  <c r="BZ94" i="4" s="1"/>
  <c r="BX94" i="4" s="1" a="1"/>
  <c r="BX94" i="4" s="1"/>
  <c r="BO94" i="4"/>
  <c r="CP9" i="4" a="1"/>
  <c r="CO94" i="4" a="1"/>
  <c r="CS9" i="4" a="1"/>
  <c r="AE3" i="4" a="1"/>
  <c r="AI9" i="4" a="1"/>
  <c r="AM3" i="4" a="1"/>
  <c r="CR9" i="4" a="1"/>
  <c r="AE10" i="4" a="1"/>
  <c r="CB10" i="4" a="1"/>
  <c r="BP10" i="4" a="1"/>
  <c r="AK10" i="4" a="1"/>
  <c r="CO9" i="4" a="1"/>
  <c r="CN3" i="4" a="1"/>
  <c r="CB3" i="4" a="1"/>
  <c r="CJ3" i="4" a="1"/>
  <c r="CP94" i="4" a="1"/>
  <c r="AM10" i="4" a="1"/>
  <c r="CM10" i="4" a="1"/>
  <c r="CT10" i="4"/>
  <c r="CK3" i="4" a="1"/>
  <c r="CI10" i="4" a="1"/>
  <c r="CO94" i="4" l="1"/>
  <c r="AI9" i="4"/>
  <c r="CO9" i="4"/>
  <c r="CP9" i="4"/>
  <c r="CS9" i="4"/>
  <c r="CP94" i="4"/>
  <c r="CR9" i="4"/>
  <c r="BP10" i="4"/>
  <c r="AE10" i="4"/>
  <c r="CI10" i="4"/>
  <c r="CB10" i="4"/>
  <c r="AK10" i="4"/>
  <c r="CM10" i="4"/>
  <c r="AM10" i="4"/>
  <c r="AM3" i="4"/>
  <c r="CK3" i="4"/>
  <c r="CB3" i="4"/>
  <c r="AE3" i="4"/>
  <c r="CJ3" i="4"/>
  <c r="CN3" i="4"/>
  <c r="Z1390" i="13"/>
  <c r="AV96" i="13"/>
  <c r="AY94" i="4"/>
  <c r="AW94" i="4"/>
  <c r="AX1206" i="13"/>
  <c r="A1305" i="13"/>
  <c r="X9" i="69"/>
  <c r="X9" i="72"/>
  <c r="AY9" i="4"/>
  <c r="AV11" i="13"/>
  <c r="AW9" i="4"/>
  <c r="Z1305" i="13"/>
  <c r="D10" i="4"/>
  <c r="BC10" i="4" a="1"/>
  <c r="BC10" i="4" s="1"/>
  <c r="A10" i="20"/>
  <c r="A12" i="9"/>
  <c r="D10" i="1"/>
  <c r="C10" i="4"/>
  <c r="BV10" i="4" a="1"/>
  <c r="BV10" i="4" s="1"/>
  <c r="BU10" i="4" a="1"/>
  <c r="BU10" i="4" s="1"/>
  <c r="A1009" i="13"/>
  <c r="A412" i="13"/>
  <c r="A612" i="13"/>
  <c r="AX412" i="13"/>
  <c r="A811" i="13"/>
  <c r="AX811" i="13" s="1"/>
  <c r="A512" i="13"/>
  <c r="A1108" i="13"/>
  <c r="AX1009" i="13"/>
  <c r="A711" i="13"/>
  <c r="AX711" i="13" s="1"/>
  <c r="A112" i="13"/>
  <c r="AX612" i="13"/>
  <c r="A910" i="13"/>
  <c r="AX910" i="13" s="1"/>
  <c r="A1808" i="13"/>
  <c r="AX512" i="13"/>
  <c r="AX12" i="13"/>
  <c r="AX1291" i="13"/>
  <c r="A1390" i="13"/>
  <c r="A311" i="13"/>
  <c r="AX311" i="13" s="1"/>
  <c r="AX211" i="13"/>
  <c r="AX296" i="13"/>
  <c r="A396" i="13"/>
  <c r="AX396" i="13" s="1"/>
  <c r="X94" i="69"/>
  <c r="X94" i="72"/>
  <c r="BU3" i="4" a="1"/>
  <c r="BU3" i="4" s="1"/>
  <c r="C3" i="4"/>
  <c r="BC3" i="4" a="1"/>
  <c r="BC3" i="4" s="1"/>
  <c r="K3" i="4"/>
  <c r="A5" i="9"/>
  <c r="D3" i="1"/>
  <c r="A3" i="20"/>
  <c r="D3" i="4"/>
  <c r="BV3" i="4" a="1"/>
  <c r="BV3" i="4" s="1"/>
  <c r="A105" i="13"/>
  <c r="A804" i="13"/>
  <c r="AX804" i="13" s="1"/>
  <c r="A903" i="13"/>
  <c r="AX903" i="13" s="1"/>
  <c r="A605" i="13"/>
  <c r="AX605" i="13"/>
  <c r="A505" i="13"/>
  <c r="AX5" i="13"/>
  <c r="A704" i="13"/>
  <c r="A1801" i="13"/>
  <c r="AX405" i="13"/>
  <c r="A1002" i="13"/>
  <c r="A1101" i="13"/>
  <c r="AX1002" i="13"/>
  <c r="A405" i="13"/>
  <c r="AX505" i="13"/>
  <c r="CJ10" i="4" a="1"/>
  <c r="CD10" i="4" a="1"/>
  <c r="AJ10" i="4" a="1"/>
  <c r="B10" i="1" a="1"/>
  <c r="CL3" i="4" a="1"/>
  <c r="CD3" i="4" a="1"/>
  <c r="B3" i="1" a="1"/>
  <c r="CE10" i="4" a="1"/>
  <c r="CF10" i="4" a="1"/>
  <c r="CC3" i="4" a="1"/>
  <c r="BP3" i="4" a="1"/>
  <c r="CH10" i="4"/>
  <c r="CK10" i="4" a="1"/>
  <c r="AN94" i="4" a="1"/>
  <c r="AN3" i="4" a="1"/>
  <c r="AC3" i="4" a="1"/>
  <c r="AG9" i="4" a="1"/>
  <c r="AG10" i="4" a="1"/>
  <c r="CI3" i="4" a="1"/>
  <c r="CC10" i="4" a="1"/>
  <c r="AG94" i="4" a="1"/>
  <c r="CQ3" i="4"/>
  <c r="AK3" i="4" a="1"/>
  <c r="CE3" i="4" a="1"/>
  <c r="CS10" i="4" a="1"/>
  <c r="AF9" i="4" a="1"/>
  <c r="CG3" i="4" a="1"/>
  <c r="AB94" i="4" a="1"/>
  <c r="AF94" i="4" a="1"/>
  <c r="AO94" i="4" a="1"/>
  <c r="CT3" i="4"/>
  <c r="CM3" i="4" a="1"/>
  <c r="AA94" i="4" a="1"/>
  <c r="AC10" i="4" a="1"/>
  <c r="AA9" i="4" a="1"/>
  <c r="CG10" i="4" a="1"/>
  <c r="AB9" i="4" a="1"/>
  <c r="BN10" i="4" a="1"/>
  <c r="AN10" i="4" a="1"/>
  <c r="AF10" i="4" a="1"/>
  <c r="AJ94" i="4" a="1"/>
  <c r="CH3" i="4"/>
  <c r="CQ10" i="4"/>
  <c r="CR10" i="4" a="1"/>
  <c r="BN3" i="4" a="1"/>
  <c r="AO10" i="4" a="1"/>
  <c r="CF3" i="4" a="1"/>
  <c r="AO3" i="4" a="1"/>
  <c r="AO9" i="4" a="1"/>
  <c r="AI94" i="4" a="1"/>
  <c r="AN9" i="4" a="1"/>
  <c r="CL10" i="4" a="1"/>
  <c r="CN10" i="4" a="1"/>
  <c r="AG3" i="4" a="1"/>
  <c r="AI10" i="4" a="1"/>
  <c r="AF3" i="4" a="1"/>
  <c r="CN10" i="4" l="1"/>
  <c r="CL10" i="4"/>
  <c r="AN9" i="4"/>
  <c r="AI94" i="4"/>
  <c r="AO9" i="4"/>
  <c r="AJ94" i="4"/>
  <c r="BN10" i="4"/>
  <c r="BO10" i="4" s="1"/>
  <c r="AB9" i="4"/>
  <c r="CG10" i="4"/>
  <c r="AA9" i="4"/>
  <c r="AC10" i="4"/>
  <c r="AA94" i="4"/>
  <c r="AF94" i="4"/>
  <c r="AB94" i="4"/>
  <c r="AG94" i="4"/>
  <c r="CC10" i="4"/>
  <c r="CK10" i="4"/>
  <c r="CF10" i="4"/>
  <c r="CE10" i="4"/>
  <c r="BW10" i="4" s="1"/>
  <c r="CD10" i="4"/>
  <c r="CJ10" i="4"/>
  <c r="BP3" i="4"/>
  <c r="CM3" i="4"/>
  <c r="CG3" i="4"/>
  <c r="CE3" i="4"/>
  <c r="CD3" i="4"/>
  <c r="BN3" i="4"/>
  <c r="BO3" i="4" s="1"/>
  <c r="AG9" i="4"/>
  <c r="AF9" i="4"/>
  <c r="AK3" i="4"/>
  <c r="CC3" i="4"/>
  <c r="CL3" i="4"/>
  <c r="CI3" i="4"/>
  <c r="CF3" i="4"/>
  <c r="CR10" i="4"/>
  <c r="AC3" i="4"/>
  <c r="AO94" i="4"/>
  <c r="CS10" i="4"/>
  <c r="AN94" i="4"/>
  <c r="B10" i="1"/>
  <c r="AJ10" i="4"/>
  <c r="AI10" i="4"/>
  <c r="AO3" i="4"/>
  <c r="AN3" i="4"/>
  <c r="B3" i="1"/>
  <c r="AF3" i="4"/>
  <c r="AG3" i="4"/>
  <c r="AN10" i="4"/>
  <c r="AO10" i="4"/>
  <c r="AF10" i="4"/>
  <c r="AG10" i="4"/>
  <c r="AX704" i="13"/>
  <c r="AX105" i="13"/>
  <c r="A205" i="13"/>
  <c r="AX1101" i="13"/>
  <c r="A1200" i="13"/>
  <c r="A212" i="13"/>
  <c r="AX112" i="13"/>
  <c r="AA9" i="72"/>
  <c r="BV9" i="72"/>
  <c r="A1207" i="13"/>
  <c r="AX1108" i="13"/>
  <c r="AA9" i="69"/>
  <c r="BP9" i="69"/>
  <c r="BY3" i="4" a="1"/>
  <c r="BY3" i="4" s="1"/>
  <c r="BZ3" i="4" a="1"/>
  <c r="BZ3" i="4" s="1"/>
  <c r="BX3" i="4" s="1" a="1"/>
  <c r="BX3" i="4" s="1"/>
  <c r="BV94" i="72"/>
  <c r="AA94" i="72"/>
  <c r="AX1390" i="13"/>
  <c r="A1489" i="13"/>
  <c r="AX1305" i="13"/>
  <c r="A1404" i="13"/>
  <c r="BP94" i="69"/>
  <c r="AA94" i="69"/>
  <c r="BZ10" i="4" a="1"/>
  <c r="BZ10" i="4" s="1"/>
  <c r="BX10" i="4" s="1" a="1"/>
  <c r="BX10" i="4" s="1"/>
  <c r="BY10" i="4" a="1"/>
  <c r="BY10" i="4" s="1"/>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P3" i="4" a="1"/>
  <c r="CO10" i="4" a="1"/>
  <c r="CS3" i="4" a="1"/>
  <c r="CO3" i="4" a="1"/>
  <c r="CP10" i="4" a="1"/>
  <c r="CR3" i="4" a="1"/>
  <c r="CP10" i="4" l="1"/>
  <c r="CO10" i="4"/>
  <c r="G10" i="4"/>
  <c r="AW10" i="4" s="1"/>
  <c r="BW3" i="4"/>
  <c r="CR3" i="4"/>
  <c r="CP3" i="4"/>
  <c r="CO3" i="4"/>
  <c r="CS3" i="4"/>
  <c r="G3" i="4"/>
  <c r="AV5" i="13" s="1"/>
  <c r="AX1404" i="13"/>
  <c r="A1503" i="13"/>
  <c r="AX1207" i="13"/>
  <c r="A1306" i="13"/>
  <c r="X3" i="69"/>
  <c r="X3" i="72"/>
  <c r="Z1293" i="13"/>
  <c r="Z1491" i="13"/>
  <c r="A97" i="13"/>
  <c r="H95" i="4"/>
  <c r="Z1489" i="13"/>
  <c r="Z1291" i="13"/>
  <c r="H96" i="4"/>
  <c r="A98" i="13"/>
  <c r="Z1490" i="13"/>
  <c r="Z1292" i="13"/>
  <c r="AX1489" i="13"/>
  <c r="A1588" i="13"/>
  <c r="AX212" i="13"/>
  <c r="A312" i="13"/>
  <c r="AX312" i="13" s="1"/>
  <c r="AV296" i="13"/>
  <c r="DC96" i="4"/>
  <c r="AX1200" i="13"/>
  <c r="A1299" i="13"/>
  <c r="Z1306" i="13"/>
  <c r="AY10" i="4"/>
  <c r="A305" i="13"/>
  <c r="AX305" i="13" s="1"/>
  <c r="AX205" i="13"/>
  <c r="X10" i="69"/>
  <c r="X10" i="72"/>
  <c r="AJ3" i="4" a="1"/>
  <c r="AB3" i="4" a="1"/>
  <c r="AI3" i="4" a="1"/>
  <c r="CH95" i="4"/>
  <c r="AB10" i="4" a="1"/>
  <c r="CD95" i="4" a="1"/>
  <c r="AC95" i="4" a="1"/>
  <c r="AK95" i="4" a="1"/>
  <c r="AA10" i="4" a="1"/>
  <c r="AA3" i="4" a="1"/>
  <c r="CM95" i="4" a="1"/>
  <c r="BN95" i="4" a="1"/>
  <c r="AE95" i="4" a="1"/>
  <c r="CB96" i="4" a="1"/>
  <c r="AA10" i="4" l="1"/>
  <c r="AB10" i="4"/>
  <c r="AV12" i="13"/>
  <c r="AW3" i="4"/>
  <c r="K3" i="69" s="1" a="1"/>
  <c r="K3" i="69" s="1"/>
  <c r="Z1299" i="13"/>
  <c r="AJ3" i="4"/>
  <c r="BC3" i="72" s="1"/>
  <c r="AI3" i="4"/>
  <c r="AB3" i="4"/>
  <c r="P3" i="69" s="1"/>
  <c r="AA3" i="4"/>
  <c r="AY3" i="4"/>
  <c r="CB96" i="4"/>
  <c r="AE95" i="4"/>
  <c r="CM95" i="4"/>
  <c r="AC95" i="4"/>
  <c r="CD95" i="4"/>
  <c r="BN95" i="4"/>
  <c r="AK95" i="4"/>
  <c r="AX597" i="13"/>
  <c r="A1094" i="13"/>
  <c r="A796" i="13"/>
  <c r="AX796" i="13" s="1"/>
  <c r="A1193" i="13"/>
  <c r="A995" i="13"/>
  <c r="AX995" i="13" s="1"/>
  <c r="AX97" i="13"/>
  <c r="A197" i="13"/>
  <c r="A896" i="13"/>
  <c r="AX896" i="13" s="1"/>
  <c r="AX497" i="13"/>
  <c r="AX697" i="13"/>
  <c r="AX1094" i="13"/>
  <c r="A1893" i="13"/>
  <c r="A597" i="13"/>
  <c r="A697" i="13"/>
  <c r="A497" i="13"/>
  <c r="A1687" i="13"/>
  <c r="AX1687" i="13" s="1"/>
  <c r="AX1588" i="13"/>
  <c r="AX1299" i="13"/>
  <c r="A1398" i="13"/>
  <c r="Q3" i="72"/>
  <c r="Y3" i="72"/>
  <c r="AB3" i="72" a="1"/>
  <c r="AB3" i="72" s="1"/>
  <c r="BD3" i="72"/>
  <c r="AC3" i="72"/>
  <c r="AT3" i="72"/>
  <c r="N3" i="72" a="1"/>
  <c r="N3" i="72" s="1"/>
  <c r="BV3" i="72"/>
  <c r="AD3" i="72"/>
  <c r="AA3" i="72"/>
  <c r="AA3" i="69"/>
  <c r="BP3" i="69"/>
  <c r="AX3" i="69"/>
  <c r="AN3" i="69"/>
  <c r="AC3" i="69"/>
  <c r="AB3" i="69" a="1"/>
  <c r="AB3" i="69" s="1"/>
  <c r="Y3" i="69"/>
  <c r="Q3" i="69"/>
  <c r="N3" i="69" a="1"/>
  <c r="N3" i="69" s="1"/>
  <c r="A198" i="13"/>
  <c r="AX698" i="13"/>
  <c r="A1095" i="13"/>
  <c r="A698" i="13"/>
  <c r="A498" i="13"/>
  <c r="AX498" i="13" s="1"/>
  <c r="AX98" i="13"/>
  <c r="A1194" i="13"/>
  <c r="A996" i="13"/>
  <c r="AX996" i="13" s="1"/>
  <c r="AX598" i="13"/>
  <c r="A598" i="13"/>
  <c r="A1894" i="13"/>
  <c r="A797" i="13"/>
  <c r="AX797" i="13" s="1"/>
  <c r="A897" i="13"/>
  <c r="AX897" i="13" s="1"/>
  <c r="AX1095" i="13"/>
  <c r="A1405" i="13"/>
  <c r="AX1306" i="13"/>
  <c r="D96" i="1"/>
  <c r="BV96" i="4" a="1"/>
  <c r="BV96" i="4" s="1"/>
  <c r="BU96" i="4" a="1"/>
  <c r="BU96" i="4" s="1"/>
  <c r="BC96" i="4" a="1"/>
  <c r="BC96" i="4" s="1"/>
  <c r="D96" i="4"/>
  <c r="C96" i="4"/>
  <c r="A98" i="9"/>
  <c r="AA10" i="69"/>
  <c r="BP10" i="69"/>
  <c r="A1602" i="13"/>
  <c r="AX1602" i="13" s="1"/>
  <c r="AX1503" i="13"/>
  <c r="BV10" i="72"/>
  <c r="AA10" i="72"/>
  <c r="D95" i="1"/>
  <c r="BU95" i="4" a="1"/>
  <c r="BU95" i="4" s="1"/>
  <c r="BC95" i="4" a="1"/>
  <c r="BC95" i="4" s="1"/>
  <c r="A95" i="20"/>
  <c r="D95" i="4"/>
  <c r="BV95" i="4" a="1"/>
  <c r="BV95" i="4" s="1"/>
  <c r="C95" i="4"/>
  <c r="A97" i="9"/>
  <c r="CI95" i="4" a="1"/>
  <c r="BN96" i="4" a="1"/>
  <c r="CJ96" i="4" a="1"/>
  <c r="AM95" i="4" a="1"/>
  <c r="B95" i="1" a="1"/>
  <c r="BP95" i="4" a="1"/>
  <c r="CM96" i="4" a="1"/>
  <c r="CB95" i="4" a="1"/>
  <c r="AE96" i="4" a="1"/>
  <c r="CK95" i="4" a="1"/>
  <c r="AF95" i="4" a="1"/>
  <c r="CQ96" i="4"/>
  <c r="CE95" i="4" a="1"/>
  <c r="CF96" i="4" a="1"/>
  <c r="AM96" i="4" a="1"/>
  <c r="CD96" i="4" a="1"/>
  <c r="CT96" i="4"/>
  <c r="CG95" i="4" a="1"/>
  <c r="BP96" i="4" a="1"/>
  <c r="CG96" i="4" a="1"/>
  <c r="AK96" i="4" a="1"/>
  <c r="CI96" i="4" a="1"/>
  <c r="CC95" i="4" a="1"/>
  <c r="CK96" i="4" a="1"/>
  <c r="CF95" i="4" a="1"/>
  <c r="CN95" i="4" a="1"/>
  <c r="CH96" i="4"/>
  <c r="AG95" i="4" a="1"/>
  <c r="AJ95" i="4" a="1"/>
  <c r="CT95" i="4"/>
  <c r="CC96" i="4" a="1"/>
  <c r="CJ95" i="4" a="1"/>
  <c r="CN96" i="4" a="1"/>
  <c r="B96" i="1" a="1"/>
  <c r="CL96" i="4" a="1"/>
  <c r="CQ95" i="4"/>
  <c r="AA95" i="4" a="1"/>
  <c r="AB95" i="4" a="1"/>
  <c r="CL95" i="4" a="1"/>
  <c r="CE96" i="4" a="1"/>
  <c r="AC96" i="4" a="1"/>
  <c r="AI95" i="4" a="1"/>
  <c r="AC96" i="4" l="1"/>
  <c r="CE96" i="4"/>
  <c r="CL96" i="4"/>
  <c r="BW96" i="4" s="1"/>
  <c r="CN95" i="4"/>
  <c r="CF95" i="4"/>
  <c r="CK96" i="4"/>
  <c r="CC95" i="4"/>
  <c r="AM96" i="4"/>
  <c r="CF96" i="4"/>
  <c r="CB95" i="4"/>
  <c r="CM96" i="4"/>
  <c r="CJ96" i="4"/>
  <c r="CI95" i="4"/>
  <c r="AW3" i="69"/>
  <c r="K3" i="72" a="1"/>
  <c r="K3" i="72" s="1"/>
  <c r="P3" i="72"/>
  <c r="AI3" i="72" s="1"/>
  <c r="CL95" i="4"/>
  <c r="CE95" i="4"/>
  <c r="CI96" i="4"/>
  <c r="BP96" i="4"/>
  <c r="BP95" i="4"/>
  <c r="G95" i="4" s="1"/>
  <c r="CN96" i="4"/>
  <c r="CJ95" i="4"/>
  <c r="AK96" i="4"/>
  <c r="CG95" i="4"/>
  <c r="CD96" i="4"/>
  <c r="CK95" i="4"/>
  <c r="BN96" i="4"/>
  <c r="CC96" i="4"/>
  <c r="CG96" i="4"/>
  <c r="AE96" i="4"/>
  <c r="AM95" i="4"/>
  <c r="AA95" i="4"/>
  <c r="AB95" i="4"/>
  <c r="B95" i="1"/>
  <c r="AI95" i="4"/>
  <c r="AJ95" i="4"/>
  <c r="AG95" i="4"/>
  <c r="AF95" i="4"/>
  <c r="B96" i="1"/>
  <c r="AX1193" i="13"/>
  <c r="A1292" i="13"/>
  <c r="AX1405" i="13"/>
  <c r="A1504" i="13"/>
  <c r="BY95" i="4" a="1"/>
  <c r="BY95" i="4" s="1"/>
  <c r="BZ95" i="4" a="1"/>
  <c r="BZ95" i="4" s="1"/>
  <c r="BX95" i="4" s="1" a="1"/>
  <c r="BX95" i="4" s="1"/>
  <c r="AX198" i="13"/>
  <c r="A298" i="13"/>
  <c r="AX1398" i="13"/>
  <c r="A1497" i="13"/>
  <c r="BZ96" i="4" a="1"/>
  <c r="BZ96" i="4" s="1"/>
  <c r="BX96" i="4" s="1" a="1"/>
  <c r="BX96" i="4" s="1"/>
  <c r="BY96" i="4" a="1"/>
  <c r="BY96" i="4" s="1"/>
  <c r="AX1194" i="13"/>
  <c r="A1293" i="13"/>
  <c r="A297" i="13"/>
  <c r="AX197" i="13"/>
  <c r="BO95" i="4"/>
  <c r="CR95" i="4" a="1"/>
  <c r="CO96" i="4" a="1"/>
  <c r="CR96" i="4" a="1"/>
  <c r="CS96" i="4" a="1"/>
  <c r="CS95" i="4" a="1"/>
  <c r="CP96" i="4" a="1"/>
  <c r="CO95" i="4" a="1"/>
  <c r="CP95" i="4" a="1"/>
  <c r="CS96" i="4" l="1"/>
  <c r="CR96" i="4"/>
  <c r="BW95" i="4"/>
  <c r="G96" i="4"/>
  <c r="AY96" i="4" s="1"/>
  <c r="BO96" i="4"/>
  <c r="CO95" i="4"/>
  <c r="CP96" i="4"/>
  <c r="CS95" i="4"/>
  <c r="CP95" i="4"/>
  <c r="CO96" i="4"/>
  <c r="CR95" i="4"/>
  <c r="X95" i="72"/>
  <c r="X95" i="69"/>
  <c r="A1596" i="13"/>
  <c r="AX1596" i="13" s="1"/>
  <c r="AX1497" i="13"/>
  <c r="AX1292" i="13"/>
  <c r="A1391" i="13"/>
  <c r="AV97" i="13"/>
  <c r="AY95" i="4"/>
  <c r="AW95" i="4"/>
  <c r="Z1391" i="13"/>
  <c r="AX298" i="13"/>
  <c r="A398" i="13"/>
  <c r="AX398" i="13" s="1"/>
  <c r="A397" i="13"/>
  <c r="AX397" i="13" s="1"/>
  <c r="AX297" i="13"/>
  <c r="X96" i="72"/>
  <c r="X96" i="69"/>
  <c r="AX1293" i="13"/>
  <c r="A1392" i="13"/>
  <c r="A1603" i="13"/>
  <c r="AX1603" i="13" s="1"/>
  <c r="AX1504" i="13"/>
  <c r="AI96" i="4" a="1"/>
  <c r="AN95" i="4" a="1"/>
  <c r="AO95" i="4" a="1"/>
  <c r="AO96" i="4" a="1"/>
  <c r="AJ96" i="4" a="1"/>
  <c r="AF96" i="4" a="1"/>
  <c r="AN96" i="4" a="1"/>
  <c r="AB96" i="4" a="1"/>
  <c r="AG96" i="4" a="1"/>
  <c r="AA96" i="4" a="1"/>
  <c r="AA96" i="4" l="1"/>
  <c r="AB96" i="4"/>
  <c r="AN96" i="4"/>
  <c r="AO96" i="4"/>
  <c r="AV98" i="13"/>
  <c r="AW96" i="4"/>
  <c r="Z1392" i="13"/>
  <c r="AO95" i="4"/>
  <c r="AN95" i="4"/>
  <c r="AI96" i="4"/>
  <c r="AG96" i="4"/>
  <c r="AF96" i="4"/>
  <c r="AJ96" i="4"/>
  <c r="AX1392" i="13"/>
  <c r="A1491" i="13"/>
  <c r="AA95" i="72"/>
  <c r="BV95" i="72"/>
  <c r="BP96" i="69"/>
  <c r="AA96" i="69"/>
  <c r="AX1391" i="13"/>
  <c r="A1490" i="13"/>
  <c r="BP95" i="69"/>
  <c r="AA95" i="69"/>
  <c r="BV96" i="72"/>
  <c r="AA96" i="72"/>
  <c r="A1590" i="13" l="1"/>
  <c r="AX1491" i="13"/>
  <c r="A1589" i="13"/>
  <c r="AX1490" i="13"/>
  <c r="A1688" i="13" l="1"/>
  <c r="AX1688" i="13" s="1"/>
  <c r="AX1589" i="13"/>
  <c r="A1689" i="13"/>
  <c r="AX1689" i="13" s="1"/>
  <c r="AX1590" i="13"/>
  <c r="Z3" i="72" l="1"/>
  <c r="Z3" i="69"/>
  <c r="A6" i="13" l="1"/>
  <c r="H4" i="4"/>
  <c r="Z747" i="13"/>
  <c r="Z505" i="13"/>
  <c r="CN4" i="4" a="1"/>
  <c r="CM4" i="4" a="1"/>
  <c r="CD4" i="4" a="1"/>
  <c r="CJ4" i="4" a="1"/>
  <c r="CF4" i="4" a="1"/>
  <c r="AE4" i="4" a="1"/>
  <c r="CQ4" i="4"/>
  <c r="CC4" i="4" a="1"/>
  <c r="AM4" i="4" a="1"/>
  <c r="CH4" i="4"/>
  <c r="CG4" i="4" a="1"/>
  <c r="CK4" i="4" a="1"/>
  <c r="CT4" i="4"/>
  <c r="CL4" i="4" a="1"/>
  <c r="AC4" i="4" a="1"/>
  <c r="CB4" i="4" a="1"/>
  <c r="BN4" i="4" a="1"/>
  <c r="BP4" i="4" a="1"/>
  <c r="CM4" i="4" l="1"/>
  <c r="BP4" i="4"/>
  <c r="CK4" i="4"/>
  <c r="AE4" i="4"/>
  <c r="CG4" i="4"/>
  <c r="CF4" i="4"/>
  <c r="CJ4" i="4"/>
  <c r="CB4" i="4"/>
  <c r="AM4" i="4"/>
  <c r="CN4" i="4"/>
  <c r="CL4" i="4"/>
  <c r="CC4" i="4"/>
  <c r="AC4" i="4"/>
  <c r="BN4" i="4"/>
  <c r="CD4" i="4"/>
  <c r="DC47" i="4"/>
  <c r="AV247" i="13"/>
  <c r="H58" i="4"/>
  <c r="A60" i="13"/>
  <c r="A4" i="20"/>
  <c r="BV4" i="4" a="1"/>
  <c r="BV4" i="4" s="1"/>
  <c r="D4" i="4"/>
  <c r="BU4" i="4" a="1"/>
  <c r="BU4" i="4" s="1"/>
  <c r="C4" i="4"/>
  <c r="K4" i="4"/>
  <c r="D4" i="1"/>
  <c r="BC4" i="4" a="1"/>
  <c r="BC4" i="4" s="1"/>
  <c r="A6" i="9"/>
  <c r="A1003" i="13"/>
  <c r="A1802" i="13"/>
  <c r="A904" i="13"/>
  <c r="AX904" i="13" s="1"/>
  <c r="AX506" i="13"/>
  <c r="AX1003" i="13"/>
  <c r="A805" i="13"/>
  <c r="AX805" i="13" s="1"/>
  <c r="A606" i="13"/>
  <c r="A705" i="13"/>
  <c r="A1102" i="13"/>
  <c r="AX406" i="13"/>
  <c r="AX6" i="13"/>
  <c r="A106" i="13"/>
  <c r="A406" i="13"/>
  <c r="A506" i="13"/>
  <c r="AX6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E58" i="4" a="1"/>
  <c r="AM58" i="4" a="1"/>
  <c r="CH58" i="4"/>
  <c r="CL58" i="4" a="1"/>
  <c r="CD58" i="4" a="1"/>
  <c r="CR4" i="4" a="1"/>
  <c r="CC58" i="4" a="1"/>
  <c r="AG4" i="4" a="1"/>
  <c r="AC58" i="4" a="1"/>
  <c r="CO4" i="4" a="1"/>
  <c r="CK58" i="4" a="1"/>
  <c r="AF4" i="4" a="1"/>
  <c r="CS4" i="4" a="1"/>
  <c r="CM58" i="4" a="1"/>
  <c r="AO4" i="4" a="1"/>
  <c r="CQ58" i="4"/>
  <c r="AK4" i="4" a="1"/>
  <c r="AE58" i="4" a="1"/>
  <c r="CI4" i="4" a="1"/>
  <c r="CJ58" i="4" a="1"/>
  <c r="B4" i="1" a="1"/>
  <c r="CT58" i="4"/>
  <c r="CB58" i="4" a="1"/>
  <c r="CE4" i="4" a="1"/>
  <c r="AK58" i="4" a="1"/>
  <c r="CN58" i="4" a="1"/>
  <c r="AB4" i="4" a="1"/>
  <c r="CI58" i="4" a="1"/>
  <c r="CF58" i="4" a="1"/>
  <c r="BP58" i="4" a="1"/>
  <c r="BN58" i="4" a="1"/>
  <c r="CG58" i="4" a="1"/>
  <c r="AN4" i="4" a="1"/>
  <c r="CP4" i="4" a="1"/>
  <c r="CE4" i="4" l="1"/>
  <c r="CI4" i="4"/>
  <c r="AK4" i="4"/>
  <c r="CO4" i="4"/>
  <c r="CP4" i="4"/>
  <c r="CS4" i="4"/>
  <c r="CR4" i="4"/>
  <c r="B4" i="1"/>
  <c r="AF4" i="4"/>
  <c r="AG4" i="4"/>
  <c r="AB4" i="4"/>
  <c r="AO4" i="4"/>
  <c r="AN4" i="4"/>
  <c r="AK58" i="4"/>
  <c r="CD58" i="4"/>
  <c r="BP58" i="4"/>
  <c r="CG58" i="4"/>
  <c r="CM58" i="4"/>
  <c r="CF58" i="4"/>
  <c r="CJ58" i="4"/>
  <c r="CI58" i="4"/>
  <c r="AE58" i="4"/>
  <c r="CK58" i="4"/>
  <c r="CB58" i="4"/>
  <c r="AM58" i="4"/>
  <c r="CL58" i="4"/>
  <c r="BN58" i="4"/>
  <c r="CN58" i="4"/>
  <c r="AC58" i="4"/>
  <c r="CE58" i="4"/>
  <c r="CC58" i="4"/>
  <c r="Z1407" i="13"/>
  <c r="Z1209" i="13"/>
  <c r="H18" i="4"/>
  <c r="A20" i="13"/>
  <c r="DC28" i="4"/>
  <c r="AV228" i="13"/>
  <c r="DC40" i="4"/>
  <c r="AV240" i="13"/>
  <c r="H42" i="4"/>
  <c r="A44" i="13"/>
  <c r="Z1437" i="13"/>
  <c r="Z1239" i="13"/>
  <c r="H49" i="4"/>
  <c r="A51" i="13"/>
  <c r="Z1246" i="13"/>
  <c r="Z1444" i="13"/>
  <c r="A38" i="13"/>
  <c r="H36" i="4"/>
  <c r="Z1431" i="13"/>
  <c r="Z1233" i="13"/>
  <c r="AV260" i="13"/>
  <c r="DC60" i="4"/>
  <c r="AV274" i="13"/>
  <c r="DC74" i="4"/>
  <c r="AV272" i="13"/>
  <c r="DC72" i="4"/>
  <c r="AV280" i="13"/>
  <c r="DC80" i="4"/>
  <c r="DC83" i="4"/>
  <c r="AV283" i="13"/>
  <c r="AV284" i="13"/>
  <c r="DC84" i="4"/>
  <c r="Z1283" i="13"/>
  <c r="Z1481" i="13"/>
  <c r="A88" i="13"/>
  <c r="H86" i="4"/>
  <c r="H16" i="4"/>
  <c r="A18" i="13"/>
  <c r="AV234" i="13"/>
  <c r="DC34" i="4"/>
  <c r="Z1200" i="13"/>
  <c r="Z1398" i="13"/>
  <c r="AV208" i="13"/>
  <c r="DC6" i="4"/>
  <c r="T6" i="4"/>
  <c r="DC16" i="4"/>
  <c r="AV216" i="13"/>
  <c r="AV222" i="13"/>
  <c r="DC22" i="4"/>
  <c r="H25" i="4"/>
  <c r="A27" i="13"/>
  <c r="Z1420" i="13"/>
  <c r="Z1222" i="13"/>
  <c r="A33" i="13"/>
  <c r="H31" i="4"/>
  <c r="Z1228" i="13"/>
  <c r="Z1426" i="13"/>
  <c r="A10" i="13"/>
  <c r="H8" i="4"/>
  <c r="Z1205" i="13"/>
  <c r="Z1403" i="13"/>
  <c r="DC46" i="4"/>
  <c r="AV246" i="13"/>
  <c r="AV254" i="13"/>
  <c r="DC54" i="4"/>
  <c r="H65" i="4"/>
  <c r="A67" i="13"/>
  <c r="Z1460" i="13"/>
  <c r="Z1262" i="13"/>
  <c r="A73" i="13"/>
  <c r="H71" i="4"/>
  <c r="Z1268" i="13"/>
  <c r="Z1466" i="13"/>
  <c r="H68" i="4"/>
  <c r="A70" i="13"/>
  <c r="Z1463" i="13"/>
  <c r="Z1265" i="13"/>
  <c r="A79" i="13"/>
  <c r="H77" i="4"/>
  <c r="Z1274" i="13"/>
  <c r="Z1472" i="13"/>
  <c r="H88" i="4"/>
  <c r="A90" i="13"/>
  <c r="Z1483" i="13"/>
  <c r="Z1285" i="13"/>
  <c r="A206" i="13"/>
  <c r="AX106" i="13"/>
  <c r="Z704" i="13"/>
  <c r="M3" i="4"/>
  <c r="H12" i="4"/>
  <c r="A14" i="13"/>
  <c r="Z1215" i="13"/>
  <c r="Z1413" i="13"/>
  <c r="Z1399" i="13"/>
  <c r="Z1201" i="13"/>
  <c r="A15" i="13"/>
  <c r="H13" i="4"/>
  <c r="Z1210" i="13"/>
  <c r="Z1408" i="13"/>
  <c r="H19" i="4"/>
  <c r="A21" i="13"/>
  <c r="Z1216" i="13"/>
  <c r="Z1414" i="13"/>
  <c r="AV229" i="13"/>
  <c r="DC29" i="4"/>
  <c r="AV235" i="13"/>
  <c r="DC35" i="4"/>
  <c r="DC41" i="4"/>
  <c r="AV241" i="13"/>
  <c r="A45" i="13"/>
  <c r="H43" i="4"/>
  <c r="Z1438" i="13"/>
  <c r="Z1240" i="13"/>
  <c r="E49" i="13"/>
  <c r="E51" i="13"/>
  <c r="A52" i="13"/>
  <c r="H50" i="4"/>
  <c r="Z1247" i="13"/>
  <c r="Z1445" i="13"/>
  <c r="A58" i="13"/>
  <c r="H56" i="4"/>
  <c r="Z1253" i="13"/>
  <c r="Z1451" i="13"/>
  <c r="DC61" i="4"/>
  <c r="AV261" i="13"/>
  <c r="DC71" i="4"/>
  <c r="AV271" i="13"/>
  <c r="DC82" i="4"/>
  <c r="AV282" i="13"/>
  <c r="DC78" i="4"/>
  <c r="AV278" i="13"/>
  <c r="DC85" i="4"/>
  <c r="AV285" i="13"/>
  <c r="DC94" i="4"/>
  <c r="AV294" i="13"/>
  <c r="Z1442" i="13"/>
  <c r="Z1244" i="13"/>
  <c r="A49" i="13"/>
  <c r="H47" i="4"/>
  <c r="DC5" i="4"/>
  <c r="AV207" i="13"/>
  <c r="T5" i="4"/>
  <c r="B106" i="13"/>
  <c r="A4" i="4"/>
  <c r="DC7" i="4"/>
  <c r="T7" i="4"/>
  <c r="AV209" i="13"/>
  <c r="AV223" i="13"/>
  <c r="DC23" i="4"/>
  <c r="H26" i="4"/>
  <c r="A28" i="13"/>
  <c r="Z1421" i="13"/>
  <c r="Z1223" i="13"/>
  <c r="H32" i="4"/>
  <c r="A34" i="13"/>
  <c r="Z1229" i="13"/>
  <c r="Z1427" i="13"/>
  <c r="A40" i="13"/>
  <c r="H38" i="4"/>
  <c r="Z1433" i="13"/>
  <c r="Z1235" i="13"/>
  <c r="DC64" i="4"/>
  <c r="AV264" i="13"/>
  <c r="AV255" i="13"/>
  <c r="DC55" i="4"/>
  <c r="A66" i="13"/>
  <c r="H64" i="4"/>
  <c r="Z1459" i="13"/>
  <c r="Z1261" i="13"/>
  <c r="H73" i="4"/>
  <c r="A75" i="13"/>
  <c r="Z1270" i="13"/>
  <c r="Z1468" i="13"/>
  <c r="H75" i="4"/>
  <c r="A77" i="13"/>
  <c r="Z1470" i="13"/>
  <c r="Z1272" i="13"/>
  <c r="A81" i="13"/>
  <c r="H79" i="4"/>
  <c r="Z1276" i="13"/>
  <c r="Z1474" i="13"/>
  <c r="H90" i="4"/>
  <c r="A92" i="13"/>
  <c r="Z1485" i="13"/>
  <c r="Z1287" i="13"/>
  <c r="A24" i="13"/>
  <c r="H22" i="4"/>
  <c r="AV217" i="13"/>
  <c r="DC17" i="4"/>
  <c r="Z1202" i="13"/>
  <c r="Z1400" i="13"/>
  <c r="H14" i="4"/>
  <c r="A16" i="13"/>
  <c r="Z1211" i="13"/>
  <c r="Z1409" i="13"/>
  <c r="A22" i="13"/>
  <c r="H20" i="4"/>
  <c r="Z1415" i="13"/>
  <c r="Z1217" i="13"/>
  <c r="AV230" i="13"/>
  <c r="DC30" i="4"/>
  <c r="DC36" i="4"/>
  <c r="AV236" i="13"/>
  <c r="AV242" i="13"/>
  <c r="DC42" i="4"/>
  <c r="A46" i="13"/>
  <c r="H44" i="4"/>
  <c r="Z1241" i="13"/>
  <c r="Z1439" i="13"/>
  <c r="E52" i="13"/>
  <c r="E50" i="13"/>
  <c r="H51" i="4"/>
  <c r="A53" i="13"/>
  <c r="Z1446" i="13"/>
  <c r="Z1248" i="13"/>
  <c r="H57" i="4"/>
  <c r="A59" i="13"/>
  <c r="Z1452" i="13"/>
  <c r="Z1254" i="13"/>
  <c r="DC65" i="4"/>
  <c r="AV265" i="13"/>
  <c r="DC69" i="4"/>
  <c r="AV269" i="13"/>
  <c r="AV291" i="13"/>
  <c r="DC91" i="4"/>
  <c r="DC76" i="4"/>
  <c r="AV276" i="13"/>
  <c r="AV286" i="13"/>
  <c r="DC86" i="4"/>
  <c r="DC95" i="4"/>
  <c r="AV295" i="13"/>
  <c r="Z1418" i="13"/>
  <c r="Z1220" i="13"/>
  <c r="Z1450" i="13"/>
  <c r="Z1252" i="13"/>
  <c r="AX1102" i="13"/>
  <c r="A1201" i="13"/>
  <c r="A9" i="13"/>
  <c r="H7" i="4"/>
  <c r="DC12" i="4"/>
  <c r="AV212" i="13"/>
  <c r="DC10" i="4"/>
  <c r="AV218" i="13"/>
  <c r="DC18" i="4"/>
  <c r="A29" i="13"/>
  <c r="H27" i="4"/>
  <c r="Z1422" i="13"/>
  <c r="Z1224" i="13"/>
  <c r="A35" i="13"/>
  <c r="H33" i="4"/>
  <c r="Z1230" i="13"/>
  <c r="Z1428" i="13"/>
  <c r="H39" i="4"/>
  <c r="A41" i="13"/>
  <c r="Z1434" i="13"/>
  <c r="Z1236" i="13"/>
  <c r="AV249" i="13"/>
  <c r="DC49" i="4"/>
  <c r="DC56" i="4"/>
  <c r="AV256" i="13"/>
  <c r="Z1453" i="13"/>
  <c r="Z1255" i="13"/>
  <c r="H72" i="4"/>
  <c r="A74" i="13"/>
  <c r="Z1467" i="13"/>
  <c r="Z1269" i="13"/>
  <c r="A72" i="13"/>
  <c r="H70" i="4"/>
  <c r="Z1465" i="13"/>
  <c r="Z1267" i="13"/>
  <c r="A80" i="13"/>
  <c r="H78" i="4"/>
  <c r="Z1275" i="13"/>
  <c r="Z1473" i="13"/>
  <c r="A83" i="13"/>
  <c r="H81" i="4"/>
  <c r="Z1278" i="13"/>
  <c r="Z1476" i="13"/>
  <c r="A84" i="13"/>
  <c r="H82" i="4"/>
  <c r="Z1477" i="13"/>
  <c r="Z1279" i="13"/>
  <c r="AV288" i="13"/>
  <c r="DC88" i="4"/>
  <c r="AX705" i="13"/>
  <c r="Z1411" i="13"/>
  <c r="Z1213" i="13"/>
  <c r="E6" i="13"/>
  <c r="BS4" i="4"/>
  <c r="Z206" i="13"/>
  <c r="I4" i="4"/>
  <c r="H6" i="9" s="1"/>
  <c r="H6" i="4"/>
  <c r="A8" i="13"/>
  <c r="Z1401" i="13"/>
  <c r="Z1203" i="13"/>
  <c r="H15" i="4"/>
  <c r="A17" i="13"/>
  <c r="Z1410" i="13"/>
  <c r="Z1212" i="13"/>
  <c r="A23" i="13"/>
  <c r="H21" i="4"/>
  <c r="Z1218" i="13"/>
  <c r="Z1416" i="13"/>
  <c r="DC25" i="4"/>
  <c r="AV225" i="13"/>
  <c r="DC31" i="4"/>
  <c r="AV231" i="13"/>
  <c r="AV238" i="13"/>
  <c r="DC38" i="4"/>
  <c r="A47" i="13"/>
  <c r="H45" i="4"/>
  <c r="Z1242" i="13"/>
  <c r="Z1440" i="13"/>
  <c r="H52" i="4"/>
  <c r="A54" i="13"/>
  <c r="Z1447" i="13"/>
  <c r="Z1249" i="13"/>
  <c r="DC63" i="4"/>
  <c r="AV263" i="13"/>
  <c r="AV268" i="13"/>
  <c r="DC68" i="4"/>
  <c r="DC87" i="4"/>
  <c r="AV287" i="13"/>
  <c r="DC93" i="4"/>
  <c r="AV293" i="13"/>
  <c r="AV289" i="13"/>
  <c r="DC89" i="4"/>
  <c r="B105" i="13"/>
  <c r="A3" i="4"/>
  <c r="C3" i="1"/>
  <c r="V3" i="72"/>
  <c r="V3" i="69"/>
  <c r="E5" i="13"/>
  <c r="D102" i="13" s="1"/>
  <c r="BS3" i="4"/>
  <c r="H5" i="4"/>
  <c r="A7" i="13"/>
  <c r="A10" i="4"/>
  <c r="V9" i="72"/>
  <c r="Z10" i="72"/>
  <c r="K10" i="4"/>
  <c r="I9" i="4"/>
  <c r="K9" i="4"/>
  <c r="BS10" i="4"/>
  <c r="V10" i="72"/>
  <c r="M9" i="4"/>
  <c r="I10" i="4"/>
  <c r="AZ10" i="4"/>
  <c r="M10" i="4"/>
  <c r="V10" i="69"/>
  <c r="Z10" i="69"/>
  <c r="C10" i="1"/>
  <c r="V9" i="69"/>
  <c r="Z9" i="69"/>
  <c r="AZ9" i="4"/>
  <c r="C9" i="1"/>
  <c r="BS9" i="4"/>
  <c r="Z9" i="72"/>
  <c r="A9" i="4"/>
  <c r="Z205" i="13"/>
  <c r="I3" i="4"/>
  <c r="DC13" i="4"/>
  <c r="AV213" i="13"/>
  <c r="AV219" i="13"/>
  <c r="DC19" i="4"/>
  <c r="H28" i="4"/>
  <c r="A30" i="13"/>
  <c r="Z1423" i="13"/>
  <c r="Z1225" i="13"/>
  <c r="H34" i="4"/>
  <c r="A36" i="13"/>
  <c r="Z1429" i="13"/>
  <c r="Z1231" i="13"/>
  <c r="H40" i="4"/>
  <c r="A42" i="13"/>
  <c r="Z1435" i="13"/>
  <c r="Z1237" i="13"/>
  <c r="DC43" i="4"/>
  <c r="AV243" i="13"/>
  <c r="AV251" i="13"/>
  <c r="DC51" i="4"/>
  <c r="AV237" i="13"/>
  <c r="DC37" i="4"/>
  <c r="A61" i="13"/>
  <c r="H59" i="4"/>
  <c r="Z1256" i="13"/>
  <c r="Z1454" i="13"/>
  <c r="H69" i="4"/>
  <c r="A71" i="13"/>
  <c r="Z1266" i="13"/>
  <c r="Z1464" i="13"/>
  <c r="H80" i="4"/>
  <c r="A82" i="13"/>
  <c r="Z1475" i="13"/>
  <c r="Z1277" i="13"/>
  <c r="H76" i="4"/>
  <c r="A78" i="13"/>
  <c r="Z1273" i="13"/>
  <c r="Z1471" i="13"/>
  <c r="H83" i="4"/>
  <c r="A85" i="13"/>
  <c r="Z1478" i="13"/>
  <c r="Z1280" i="13"/>
  <c r="H92" i="4"/>
  <c r="A94" i="13"/>
  <c r="Z1289" i="13"/>
  <c r="Z1487" i="13"/>
  <c r="AV248" i="13"/>
  <c r="DC48" i="4"/>
  <c r="DC8" i="4"/>
  <c r="AV210" i="13"/>
  <c r="H62" i="4"/>
  <c r="A64" i="13"/>
  <c r="Z1457" i="13"/>
  <c r="Z1259" i="13"/>
  <c r="A55" i="13"/>
  <c r="H53" i="4"/>
  <c r="Z1250" i="13"/>
  <c r="Z1448" i="13"/>
  <c r="DC67" i="4"/>
  <c r="AV267" i="13"/>
  <c r="AV273" i="13"/>
  <c r="DC73" i="4"/>
  <c r="DC70" i="4"/>
  <c r="AV270" i="13"/>
  <c r="DC79" i="4"/>
  <c r="AV279" i="13"/>
  <c r="AV290" i="13"/>
  <c r="DC90" i="4"/>
  <c r="Z1219" i="13"/>
  <c r="Z1417" i="13"/>
  <c r="AV226" i="13"/>
  <c r="DC26" i="4"/>
  <c r="AV232" i="13"/>
  <c r="DC32" i="4"/>
  <c r="Z705" i="13"/>
  <c r="M4" i="4"/>
  <c r="DC14" i="4"/>
  <c r="AV214" i="13"/>
  <c r="DC20" i="4"/>
  <c r="AV220" i="13"/>
  <c r="H29" i="4"/>
  <c r="A31" i="13"/>
  <c r="Z1226" i="13"/>
  <c r="Z1424" i="13"/>
  <c r="H35" i="4"/>
  <c r="A37" i="13"/>
  <c r="Z1232" i="13"/>
  <c r="Z1430" i="13"/>
  <c r="H41" i="4"/>
  <c r="A43" i="13"/>
  <c r="Z1436" i="13"/>
  <c r="Z1238" i="13"/>
  <c r="DC44" i="4"/>
  <c r="AV244" i="13"/>
  <c r="DC52" i="4"/>
  <c r="AV252" i="13"/>
  <c r="AV258" i="13"/>
  <c r="DC58" i="4"/>
  <c r="H63" i="4"/>
  <c r="A65" i="13"/>
  <c r="Z1458" i="13"/>
  <c r="Z1260" i="13"/>
  <c r="H67" i="4"/>
  <c r="A69" i="13"/>
  <c r="Z1462" i="13"/>
  <c r="Z1264" i="13"/>
  <c r="A91" i="13"/>
  <c r="H89" i="4"/>
  <c r="Z1286" i="13"/>
  <c r="Z1484" i="13"/>
  <c r="A76" i="13"/>
  <c r="H74" i="4"/>
  <c r="Z1469" i="13"/>
  <c r="Z1271" i="13"/>
  <c r="A86" i="13"/>
  <c r="H84" i="4"/>
  <c r="Z1281" i="13"/>
  <c r="Z1479" i="13"/>
  <c r="H93" i="4"/>
  <c r="A95" i="13"/>
  <c r="Z1290" i="13"/>
  <c r="Z1488" i="13"/>
  <c r="DC24" i="4"/>
  <c r="AV224" i="13"/>
  <c r="AV257" i="13"/>
  <c r="DC57" i="4"/>
  <c r="Z1204" i="13"/>
  <c r="Z1402" i="13"/>
  <c r="H11" i="4"/>
  <c r="A13" i="13"/>
  <c r="Z1406" i="13"/>
  <c r="Z1208" i="13"/>
  <c r="H17" i="4"/>
  <c r="A19" i="13"/>
  <c r="Z1412" i="13"/>
  <c r="Z1214" i="13"/>
  <c r="E22" i="13"/>
  <c r="D7" i="5"/>
  <c r="D8" i="5" s="1"/>
  <c r="DC27" i="4"/>
  <c r="AV227" i="13"/>
  <c r="AV233" i="13"/>
  <c r="DC33" i="4"/>
  <c r="DC39" i="4"/>
  <c r="AV239" i="13"/>
  <c r="Z1441" i="13"/>
  <c r="Z1243" i="13"/>
  <c r="A50" i="13"/>
  <c r="H48" i="4"/>
  <c r="Z1245" i="13"/>
  <c r="Z1443" i="13"/>
  <c r="H54" i="4"/>
  <c r="A56" i="13"/>
  <c r="Z1251" i="13"/>
  <c r="Z1449" i="13"/>
  <c r="AV266" i="13"/>
  <c r="DC66" i="4"/>
  <c r="DC75" i="4"/>
  <c r="AV275" i="13"/>
  <c r="DC77" i="4"/>
  <c r="AV277" i="13"/>
  <c r="DC81" i="4"/>
  <c r="AV281" i="13"/>
  <c r="DC92" i="4"/>
  <c r="AV292" i="13"/>
  <c r="DC15" i="4"/>
  <c r="AV215" i="13"/>
  <c r="DC21" i="4"/>
  <c r="AV221" i="13"/>
  <c r="A26" i="13"/>
  <c r="H24" i="4"/>
  <c r="Z1419" i="13"/>
  <c r="Z1221" i="13"/>
  <c r="H30" i="4"/>
  <c r="A32" i="13"/>
  <c r="Z1227" i="13"/>
  <c r="Z1425" i="13"/>
  <c r="A39" i="13"/>
  <c r="H37" i="4"/>
  <c r="Z1234" i="13"/>
  <c r="Z1432" i="13"/>
  <c r="A48" i="13"/>
  <c r="H46" i="4"/>
  <c r="DC45" i="4"/>
  <c r="AV245" i="13"/>
  <c r="DC53" i="4"/>
  <c r="AV253" i="13"/>
  <c r="AV259" i="13"/>
  <c r="DC59" i="4"/>
  <c r="A63" i="13"/>
  <c r="H61" i="4"/>
  <c r="Z1258" i="13"/>
  <c r="Z1456" i="13"/>
  <c r="A68" i="13"/>
  <c r="H66" i="4"/>
  <c r="Z1263" i="13"/>
  <c r="Z1461" i="13"/>
  <c r="A87" i="13"/>
  <c r="H85" i="4"/>
  <c r="Z1282" i="13"/>
  <c r="Z1480" i="13"/>
  <c r="H91" i="4"/>
  <c r="A93" i="13"/>
  <c r="Z1486" i="13"/>
  <c r="Z1288" i="13"/>
  <c r="H87" i="4"/>
  <c r="A89" i="13"/>
  <c r="Z1284" i="13"/>
  <c r="Z1482" i="13"/>
  <c r="AV115" i="72"/>
  <c r="AO115" i="69"/>
  <c r="C4" i="1"/>
  <c r="BO4" i="4"/>
  <c r="G4" i="4"/>
  <c r="BY4" i="4" a="1"/>
  <c r="BY4" i="4" s="1"/>
  <c r="BZ4" i="4" a="1"/>
  <c r="BZ4" i="4" s="1"/>
  <c r="BX4" i="4" s="1" a="1"/>
  <c r="BX4" i="4" s="1"/>
  <c r="A1057" i="13"/>
  <c r="AX60" i="13"/>
  <c r="A560" i="13"/>
  <c r="AX560" i="13"/>
  <c r="A1156" i="13"/>
  <c r="A160" i="13"/>
  <c r="AX660" i="13"/>
  <c r="AX460" i="13"/>
  <c r="A460" i="13"/>
  <c r="A660" i="13"/>
  <c r="A958" i="13"/>
  <c r="AX958" i="13" s="1"/>
  <c r="AX1057" i="13"/>
  <c r="A1856" i="13"/>
  <c r="A859" i="13"/>
  <c r="AX859" i="13" s="1"/>
  <c r="A759" i="13"/>
  <c r="AX759" i="13" s="1"/>
  <c r="C58" i="4"/>
  <c r="D58" i="1"/>
  <c r="S90" i="22"/>
  <c r="D58" i="4"/>
  <c r="BC58" i="4" a="1"/>
  <c r="BC58" i="4" s="1"/>
  <c r="BU58" i="4" a="1"/>
  <c r="BU58" i="4" s="1"/>
  <c r="A60" i="9"/>
  <c r="BV58" i="4" a="1"/>
  <c r="BV58" i="4" s="1"/>
  <c r="A58" i="20"/>
  <c r="BW4" i="4"/>
  <c r="AZ4" i="4"/>
  <c r="AZ3" i="4"/>
  <c r="Z761" i="13"/>
  <c r="B162" i="13"/>
  <c r="Z662" i="13"/>
  <c r="E62" i="13"/>
  <c r="Z860" i="13"/>
  <c r="Z62" i="13"/>
  <c r="Z960" i="13"/>
  <c r="Z1059" i="13"/>
  <c r="Z262" i="13"/>
  <c r="Z1158" i="13"/>
  <c r="Z562" i="13"/>
  <c r="CS58" i="4" a="1"/>
  <c r="BN75" i="4" a="1"/>
  <c r="BN22" i="4" a="1"/>
  <c r="CK80" i="4" a="1"/>
  <c r="CH8" i="4"/>
  <c r="CN14" i="4" a="1"/>
  <c r="AC26" i="4" a="1"/>
  <c r="CJ47" i="4" a="1"/>
  <c r="CM50" i="4" a="1"/>
  <c r="BN72" i="4" a="1"/>
  <c r="CB13" i="4" a="1"/>
  <c r="CD25" i="4" a="1"/>
  <c r="CE65" i="4" a="1"/>
  <c r="CQ77" i="4"/>
  <c r="AE45" i="4" a="1"/>
  <c r="AB58" i="4" a="1"/>
  <c r="CL50" i="4" a="1"/>
  <c r="CL49" i="4" a="1"/>
  <c r="CD61" i="4" a="1"/>
  <c r="CT43" i="4"/>
  <c r="CD80" i="4" a="1"/>
  <c r="CF56" i="4" a="1"/>
  <c r="CI92" i="4" a="1"/>
  <c r="AM8" i="4" a="1"/>
  <c r="CT13" i="4"/>
  <c r="CG27" i="4" a="1"/>
  <c r="CI50" i="4" a="1"/>
  <c r="AK65" i="4" a="1"/>
  <c r="CB77" i="4" a="1"/>
  <c r="CF45" i="4" a="1"/>
  <c r="BN85" i="4" a="1"/>
  <c r="AK64" i="4" a="1"/>
  <c r="CQ57" i="4"/>
  <c r="AC6" i="4" a="1"/>
  <c r="BN27" i="4" a="1"/>
  <c r="CM74" i="4" a="1"/>
  <c r="CI42" i="4" a="1"/>
  <c r="BN21" i="4" a="1"/>
  <c r="CD12" i="4" a="1"/>
  <c r="AC42" i="4" a="1"/>
  <c r="BP34" i="4" a="1"/>
  <c r="CQ76" i="4"/>
  <c r="AK43" i="4" a="1"/>
  <c r="AC19" i="4" a="1"/>
  <c r="CG28" i="4" a="1"/>
  <c r="CG73" i="4" a="1"/>
  <c r="CC75" i="4" a="1"/>
  <c r="CI80" i="4" a="1"/>
  <c r="CJ37" i="4" a="1"/>
  <c r="BP38" i="4" a="1"/>
  <c r="BN70" i="4" a="1"/>
  <c r="BP69" i="4" a="1"/>
  <c r="AE77" i="4" a="1"/>
  <c r="CD57" i="4" a="1"/>
  <c r="CI25" i="4" a="1"/>
  <c r="AC85" i="4" a="1"/>
  <c r="AE86" i="4" a="1"/>
  <c r="CG61" i="4" a="1"/>
  <c r="CQ44" i="4"/>
  <c r="CL70" i="4" a="1"/>
  <c r="CH83" i="4"/>
  <c r="CE45" i="4" a="1"/>
  <c r="BN79" i="4" a="1"/>
  <c r="CI13" i="4" a="1"/>
  <c r="CC46" i="4" a="1"/>
  <c r="CK20" i="4" a="1"/>
  <c r="CM77" i="4" a="1"/>
  <c r="CD81" i="4" a="1"/>
  <c r="CJ68" i="4" a="1"/>
  <c r="AC36" i="4" a="1"/>
  <c r="BP65" i="4" a="1"/>
  <c r="AM31" i="4" a="1"/>
  <c r="CM42" i="4" a="1"/>
  <c r="CN86" i="4" a="1"/>
  <c r="CD56" i="4" a="1"/>
  <c r="BP73" i="4" a="1"/>
  <c r="CE75" i="4" a="1"/>
  <c r="CT22" i="4"/>
  <c r="CE92" i="4" a="1"/>
  <c r="BP71" i="4" a="1"/>
  <c r="CN57" i="4" a="1"/>
  <c r="AK76" i="4" a="1"/>
  <c r="CL41" i="4" a="1"/>
  <c r="CI78" i="4" a="1"/>
  <c r="CM85" i="4" a="1"/>
  <c r="CF51" i="4" a="1"/>
  <c r="CB92" i="4" a="1"/>
  <c r="CC71" i="4" a="1"/>
  <c r="AM14" i="4" a="1"/>
  <c r="CL39" i="4" a="1"/>
  <c r="CD59" i="4" a="1"/>
  <c r="CD75" i="4" a="1"/>
  <c r="AE74" i="4" a="1"/>
  <c r="CB50" i="4" a="1"/>
  <c r="CQ67" i="4"/>
  <c r="BN86" i="4" a="1"/>
  <c r="BP6" i="4" a="1"/>
  <c r="CN18" i="4" a="1"/>
  <c r="CK46" i="4" a="1"/>
  <c r="CI26" i="4" a="1"/>
  <c r="AE22" i="4" a="1"/>
  <c r="CH30" i="4"/>
  <c r="CL21" i="4" a="1"/>
  <c r="CT52" i="4"/>
  <c r="BP16" i="4" a="1"/>
  <c r="CD27" i="4" a="1"/>
  <c r="CC48" i="4" a="1"/>
  <c r="CB80" i="4" a="1"/>
  <c r="CL8" i="4" a="1"/>
  <c r="CQ84" i="4"/>
  <c r="AK13" i="4" a="1"/>
  <c r="CT27" i="4"/>
  <c r="CJ48" i="4" a="1"/>
  <c r="AM80" i="4" a="1"/>
  <c r="CK54" i="4" a="1"/>
  <c r="CF86" i="4" a="1"/>
  <c r="CC39" i="4" a="1"/>
  <c r="CB93" i="4" a="1"/>
  <c r="CN28" i="4" a="1"/>
  <c r="AC63" i="4" a="1"/>
  <c r="AE78" i="4" a="1"/>
  <c r="CH85" i="4"/>
  <c r="AM64" i="4" a="1"/>
  <c r="CG86" i="4" a="1"/>
  <c r="CL56" i="4" a="1"/>
  <c r="CM78" i="4" a="1"/>
  <c r="CJ7" i="4" a="1"/>
  <c r="AK6" i="4" a="1"/>
  <c r="CL38" i="4" a="1"/>
  <c r="CQ70" i="4"/>
  <c r="CB83" i="4" a="1"/>
  <c r="AK5" i="4" a="1"/>
  <c r="CI72" i="4" a="1"/>
  <c r="AC76" i="4" a="1"/>
  <c r="CF38" i="4" a="1"/>
  <c r="AC70" i="4" a="1"/>
  <c r="CL69" i="4" a="1"/>
  <c r="CC30" i="4" a="1"/>
  <c r="AC34" i="4" a="1"/>
  <c r="CJ61" i="4" a="1"/>
  <c r="AC44" i="4" a="1"/>
  <c r="CK83" i="4" a="1"/>
  <c r="CM45" i="4" a="1"/>
  <c r="CE7" i="4" a="1"/>
  <c r="CD6" i="4" a="1"/>
  <c r="BP43" i="4" a="1"/>
  <c r="CN70" i="4" a="1"/>
  <c r="AM12" i="4" a="1"/>
  <c r="CK92" i="4" a="1"/>
  <c r="CK14" i="4" a="1"/>
  <c r="CB68" i="4" a="1"/>
  <c r="CD62" i="4" a="1"/>
  <c r="AC32" i="4" a="1"/>
  <c r="AK81" i="4" a="1"/>
  <c r="BP68" i="4" a="1"/>
  <c r="AM24" i="4" a="1"/>
  <c r="B58" i="1" a="1"/>
  <c r="CB67" i="4" a="1"/>
  <c r="CI90" i="4" a="1"/>
  <c r="CC24" i="4" a="1"/>
  <c r="BP62" i="4" a="1"/>
  <c r="CT88" i="4"/>
  <c r="CK41" i="4" a="1"/>
  <c r="CM48" i="4" a="1"/>
  <c r="CM71" i="4" a="1"/>
  <c r="CC31" i="4" a="1"/>
  <c r="BP32" i="4" a="1"/>
  <c r="CT57" i="4"/>
  <c r="BN25" i="4" a="1"/>
  <c r="BN82" i="4" a="1"/>
  <c r="BN59" i="4" a="1"/>
  <c r="CB46" i="4" a="1"/>
  <c r="AC20" i="4" a="1"/>
  <c r="CQ68" i="4"/>
  <c r="CJ83" i="4" a="1"/>
  <c r="CM49" i="4" a="1"/>
  <c r="CH43" i="4"/>
  <c r="CT30" i="4"/>
  <c r="CE6" i="4" a="1"/>
  <c r="CL83" i="4" a="1"/>
  <c r="AC22" i="4" a="1"/>
  <c r="CL89" i="4" a="1"/>
  <c r="CM56" i="4" a="1"/>
  <c r="CL6" i="4" a="1"/>
  <c r="AE15" i="4" a="1"/>
  <c r="CN20" i="4" a="1"/>
  <c r="CM81" i="4" a="1"/>
  <c r="CN12" i="4" a="1"/>
  <c r="CG90" i="4" a="1"/>
  <c r="CD51" i="4" a="1"/>
  <c r="CT92" i="4"/>
  <c r="CI64" i="4" a="1"/>
  <c r="CT81" i="4"/>
  <c r="CB37" i="4" a="1"/>
  <c r="CT31" i="4"/>
  <c r="CG45" i="4" a="1"/>
  <c r="CG88" i="4" a="1"/>
  <c r="CE63" i="4" a="1"/>
  <c r="CJ78" i="4" a="1"/>
  <c r="CG85" i="4" a="1"/>
  <c r="CQ64" i="4"/>
  <c r="CI57" i="4" a="1"/>
  <c r="CH6" i="4"/>
  <c r="CQ59" i="4"/>
  <c r="BP27" i="4" a="1"/>
  <c r="CB74" i="4" a="1"/>
  <c r="CK50" i="4" a="1"/>
  <c r="CC14" i="4" a="1"/>
  <c r="BN6" i="4" a="1"/>
  <c r="CD18" i="4" a="1"/>
  <c r="AM66" i="4" a="1"/>
  <c r="CD26" i="4" a="1"/>
  <c r="CK28" i="4" a="1"/>
  <c r="BN42" i="4" a="1"/>
  <c r="CN67" i="4" a="1"/>
  <c r="AK34" i="4" a="1"/>
  <c r="AM16" i="4" a="1"/>
  <c r="CQ54" i="4"/>
  <c r="CF77" i="4" a="1"/>
  <c r="CJ42" i="4" a="1"/>
  <c r="CN54" i="4" a="1"/>
  <c r="CT14" i="4"/>
  <c r="AC39" i="4" a="1"/>
  <c r="CE27" i="4" a="1"/>
  <c r="AM30" i="4" a="1"/>
  <c r="BN51" i="4" a="1"/>
  <c r="BN78" i="4" a="1"/>
  <c r="AM15" i="4" a="1"/>
  <c r="BP53" i="4" a="1"/>
  <c r="BN34" i="4" a="1"/>
  <c r="AM11" i="4" a="1"/>
  <c r="CB26" i="4" a="1"/>
  <c r="BP47" i="4" a="1"/>
  <c r="CC80" i="4" a="1"/>
  <c r="CJ93" i="4" a="1"/>
  <c r="CM75" i="4" a="1"/>
  <c r="AC51" i="4" a="1"/>
  <c r="BN92" i="4" a="1"/>
  <c r="CC64" i="4" a="1"/>
  <c r="CI81" i="4" a="1"/>
  <c r="CI37" i="4" a="1"/>
  <c r="AO58" i="4" a="1"/>
  <c r="AE63" i="4" a="1"/>
  <c r="CL45" i="4" a="1"/>
  <c r="CF32" i="4" a="1"/>
  <c r="CQ7" i="4"/>
  <c r="CJ13" i="4" a="1"/>
  <c r="CE68" i="4" a="1"/>
  <c r="AE12" i="4" a="1"/>
  <c r="CN22" i="4" a="1"/>
  <c r="AK30" i="4" a="1"/>
  <c r="CD65" i="4" a="1"/>
  <c r="CL47" i="4" a="1"/>
  <c r="BP41" i="4" a="1"/>
  <c r="CL33" i="4" a="1"/>
  <c r="BP7" i="4" a="1"/>
  <c r="AM59" i="4" a="1"/>
  <c r="CF27" i="4" a="1"/>
  <c r="AM51" i="4" a="1"/>
  <c r="CB88" i="4" a="1"/>
  <c r="CI79" i="4" a="1"/>
  <c r="AC49" i="4" a="1"/>
  <c r="CM37" i="4" a="1"/>
  <c r="CQ36" i="4"/>
  <c r="AM63" i="4" a="1"/>
  <c r="AE5" i="4" a="1"/>
  <c r="AC21" i="4" a="1"/>
  <c r="AC7" i="4" a="1"/>
  <c r="CJ56" i="4" a="1"/>
  <c r="CG68" i="4" a="1"/>
  <c r="CF26" i="4" a="1"/>
  <c r="CI28" i="4" a="1"/>
  <c r="CD42" i="4" a="1"/>
  <c r="CI12" i="4" a="1"/>
  <c r="AC47" i="4" a="1"/>
  <c r="CC41" i="4" a="1"/>
  <c r="CE33" i="4" a="1"/>
  <c r="AM72" i="4" a="1"/>
  <c r="AK11" i="4" a="1"/>
  <c r="AC25" i="4" a="1"/>
  <c r="CK36" i="4" a="1"/>
  <c r="CJ77" i="4" a="1"/>
  <c r="BP45" i="4" a="1"/>
  <c r="CM88" i="4" a="1"/>
  <c r="CG79" i="4" a="1"/>
  <c r="CB49" i="4" a="1"/>
  <c r="AE25" i="4" a="1"/>
  <c r="BN44" i="4" a="1"/>
  <c r="CQ82" i="4"/>
  <c r="CK63" i="4" a="1"/>
  <c r="CK78" i="4" a="1"/>
  <c r="AE85" i="4" a="1"/>
  <c r="BN64" i="4" a="1"/>
  <c r="AM57" i="4" a="1"/>
  <c r="CI65" i="4" a="1"/>
  <c r="CE77" i="4" a="1"/>
  <c r="CC5" i="4" a="1"/>
  <c r="CH32" i="4"/>
  <c r="CL7" i="4" a="1"/>
  <c r="CE39" i="4" a="1"/>
  <c r="CE73" i="4" a="1"/>
  <c r="CE90" i="4" a="1"/>
  <c r="CN62" i="4" a="1"/>
  <c r="CH48" i="4"/>
  <c r="CP58" i="4" a="1"/>
  <c r="CQ63" i="4"/>
  <c r="CT45" i="4"/>
  <c r="CN21" i="4" a="1"/>
  <c r="CQ72" i="4"/>
  <c r="AM13" i="4" a="1"/>
  <c r="CL68" i="4" a="1"/>
  <c r="CH12" i="4"/>
  <c r="BN47" i="4" a="1"/>
  <c r="AK80" i="4" a="1"/>
  <c r="BN8" i="4" a="1"/>
  <c r="AE14" i="4" a="1"/>
  <c r="AM6" i="4" a="1"/>
  <c r="CG59" i="4" a="1"/>
  <c r="CT62" i="4"/>
  <c r="BP51" i="4" a="1"/>
  <c r="CN80" i="4" a="1"/>
  <c r="AC75" i="4" a="1"/>
  <c r="CF74" i="4" a="1"/>
  <c r="CG80" i="4" a="1"/>
  <c r="CN8" i="4" a="1"/>
  <c r="CK86" i="4" a="1"/>
  <c r="AK56" i="4" a="1"/>
  <c r="AE73" i="4" a="1"/>
  <c r="BP12" i="4" a="1"/>
  <c r="CQ22" i="4"/>
  <c r="CK30" i="4" a="1"/>
  <c r="AE21" i="4" a="1"/>
  <c r="BP52" i="4" a="1"/>
  <c r="AE56" i="4" a="1"/>
  <c r="CK90" i="4" a="1"/>
  <c r="CB24" i="4" a="1"/>
  <c r="CG65" i="4" a="1"/>
  <c r="AM47" i="4" a="1"/>
  <c r="CF41" i="4" a="1"/>
  <c r="CD33" i="4" a="1"/>
  <c r="BP72" i="4" a="1"/>
  <c r="CE11" i="4" a="1"/>
  <c r="CH26" i="4"/>
  <c r="AC28" i="4" a="1"/>
  <c r="AK42" i="4" a="1"/>
  <c r="AC54" i="4" a="1"/>
  <c r="CL53" i="4" a="1"/>
  <c r="CM16" i="4" a="1"/>
  <c r="CQ75" i="4"/>
  <c r="CL28" i="4" a="1"/>
  <c r="CG42" i="4" a="1"/>
  <c r="CI67" i="4" a="1"/>
  <c r="CD34" i="4" a="1"/>
  <c r="CQ56" i="4"/>
  <c r="AC90" i="4" a="1"/>
  <c r="AM62" i="4" a="1"/>
  <c r="CQ48" i="4"/>
  <c r="BP80" i="4" a="1"/>
  <c r="CF8" i="4" a="1"/>
  <c r="CH84" i="4"/>
  <c r="BP13" i="4" a="1"/>
  <c r="AM74" i="4" a="1"/>
  <c r="BN71" i="4" a="1"/>
  <c r="CD13" i="4" a="1"/>
  <c r="AF58" i="4" a="1"/>
  <c r="CG66" i="4" a="1"/>
  <c r="CJ69" i="4" a="1"/>
  <c r="CL51" i="4" a="1"/>
  <c r="CJ79" i="4" a="1"/>
  <c r="CH56" i="4"/>
  <c r="CK18" i="4" a="1"/>
  <c r="AE19" i="4" a="1"/>
  <c r="CG83" i="4" a="1"/>
  <c r="CI45" i="4" a="1"/>
  <c r="CM7" i="4" a="1"/>
  <c r="CQ6" i="4"/>
  <c r="CK43" i="4" a="1"/>
  <c r="CD70" i="4" a="1"/>
  <c r="BN83" i="4" a="1"/>
  <c r="CF48" i="4" a="1"/>
  <c r="CN71" i="4" a="1"/>
  <c r="BN13" i="4" a="1"/>
  <c r="CT18" i="4"/>
  <c r="CD19" i="4" a="1"/>
  <c r="CT11" i="4"/>
  <c r="BN30" i="4" a="1"/>
  <c r="CQ34" i="4"/>
  <c r="CH37" i="4"/>
  <c r="CD44" i="4" a="1"/>
  <c r="AE26" i="4" a="1"/>
  <c r="CN92" i="4" a="1"/>
  <c r="CM86" i="4" a="1"/>
  <c r="CL25" i="4" a="1"/>
  <c r="CB75" i="4" a="1"/>
  <c r="CK85" i="4" a="1"/>
  <c r="CB14" i="4" a="1"/>
  <c r="CI73" i="4" a="1"/>
  <c r="CG89" i="4" a="1"/>
  <c r="CK26" i="4" a="1"/>
  <c r="CD50" i="4" a="1"/>
  <c r="CN34" i="4" a="1"/>
  <c r="AM78" i="4" a="1"/>
  <c r="CM22" i="4" a="1"/>
  <c r="CJ67" i="4" a="1"/>
  <c r="CL27" i="4" a="1"/>
  <c r="AC92" i="4" a="1"/>
  <c r="CB84" i="4" a="1"/>
  <c r="BP37" i="4" a="1"/>
  <c r="CT38" i="4"/>
  <c r="CC70" i="4" a="1"/>
  <c r="AC37" i="4" a="1"/>
  <c r="CT69" i="4"/>
  <c r="AK57" i="4" a="1"/>
  <c r="CG6" i="4" a="1"/>
  <c r="CG20" i="4" a="1"/>
  <c r="AG58" i="4" a="1"/>
  <c r="CF73" i="4" a="1"/>
  <c r="BP93" i="4" a="1"/>
  <c r="CT29" i="4"/>
  <c r="CJ18" i="4" a="1"/>
  <c r="CN43" i="4" a="1"/>
  <c r="CD36" i="4" a="1"/>
  <c r="CB62" i="4" a="1"/>
  <c r="BN32" i="4" a="1"/>
  <c r="AE57" i="4" a="1"/>
  <c r="CT68" i="4"/>
  <c r="CL31" i="4" a="1"/>
  <c r="CI32" i="4" a="1"/>
  <c r="CG49" i="4" a="1"/>
  <c r="CC90" i="4" a="1"/>
  <c r="CD74" i="4" a="1"/>
  <c r="AE36" i="4" a="1"/>
  <c r="CG51" i="4" a="1"/>
  <c r="CD67" i="4" a="1"/>
  <c r="CJ29" i="4" a="1"/>
  <c r="CD73" i="4" a="1"/>
  <c r="CL63" i="4" a="1"/>
  <c r="CM41" i="4" a="1"/>
  <c r="AE71" i="4" a="1"/>
  <c r="CN16" i="4" a="1"/>
  <c r="CL43" i="4" a="1"/>
  <c r="CI36" i="4" a="1"/>
  <c r="CG74" i="4" a="1"/>
  <c r="CJ88" i="4" a="1"/>
  <c r="CD86" i="4" a="1"/>
  <c r="CG12" i="4" a="1"/>
  <c r="CB51" i="4" a="1"/>
  <c r="AE88" i="4" a="1"/>
  <c r="AE72" i="4" a="1"/>
  <c r="CK16" i="4" a="1"/>
  <c r="CG62" i="4" a="1"/>
  <c r="CD45" i="4" a="1"/>
  <c r="CD32" i="4" a="1"/>
  <c r="CD52" i="4" a="1"/>
  <c r="CH39" i="4"/>
  <c r="CB18" i="4" a="1"/>
  <c r="CB65" i="4" a="1"/>
  <c r="AM22" i="4" a="1"/>
  <c r="CG50" i="4" a="1"/>
  <c r="CF71" i="4" a="1"/>
  <c r="CJ57" i="4" a="1"/>
  <c r="CC26" i="4" a="1"/>
  <c r="BN33" i="4" a="1"/>
  <c r="CH91" i="4"/>
  <c r="AK18" i="4" a="1"/>
  <c r="CK75" i="4" a="1"/>
  <c r="CT33" i="4"/>
  <c r="CB16" i="4" a="1"/>
  <c r="CC43" i="4" a="1"/>
  <c r="CN63" i="4" a="1"/>
  <c r="CH54" i="4"/>
  <c r="CK13" i="4" a="1"/>
  <c r="CM44" i="4" a="1"/>
  <c r="CM12" i="4" a="1"/>
  <c r="CB32" i="4" a="1"/>
  <c r="CF49" i="4" a="1"/>
  <c r="CG18" i="4" a="1"/>
  <c r="CL82" i="4" a="1"/>
  <c r="CI47" i="4" a="1"/>
  <c r="CQ71" i="4"/>
  <c r="CT6" i="4"/>
  <c r="AK28" i="4" a="1"/>
  <c r="CG7" i="4" a="1"/>
  <c r="CF37" i="4" a="1"/>
  <c r="CT89" i="4"/>
  <c r="AE20" i="4" a="1"/>
  <c r="CG78" i="4" a="1"/>
  <c r="CE52" i="4" a="1"/>
  <c r="BP61" i="4" a="1"/>
  <c r="CE24" i="4" a="1"/>
  <c r="AK20" i="4" a="1"/>
  <c r="CJ28" i="4" a="1"/>
  <c r="AC64" i="4" a="1"/>
  <c r="CC74" i="4" a="1"/>
  <c r="CT74" i="4"/>
  <c r="AC79" i="4" a="1"/>
  <c r="CK48" i="4" a="1"/>
  <c r="CH7" i="4"/>
  <c r="CC6" i="4" a="1"/>
  <c r="CI44" i="4" a="1"/>
  <c r="BN24" i="4" a="1"/>
  <c r="AM81" i="4" a="1"/>
  <c r="AK69" i="4" a="1"/>
  <c r="CK31" i="4" a="1"/>
  <c r="CN15" i="4" a="1"/>
  <c r="CM47" i="4" a="1"/>
  <c r="BP19" i="4" a="1"/>
  <c r="AK15" i="4" a="1"/>
  <c r="CT19" i="4"/>
  <c r="AE43" i="4" a="1"/>
  <c r="CQ15" i="4"/>
  <c r="CC56" i="4" a="1"/>
  <c r="BP15" i="4" a="1"/>
  <c r="AK26" i="4" a="1"/>
  <c r="CF24" i="4" a="1"/>
  <c r="CT39" i="4"/>
  <c r="CJ27" i="4" a="1"/>
  <c r="AE52" i="4" a="1"/>
  <c r="CK44" i="4" a="1"/>
  <c r="AC88" i="4" a="1"/>
  <c r="CE88" i="4" a="1"/>
  <c r="BP82" i="4" a="1"/>
  <c r="CG32" i="4" a="1"/>
  <c r="AM37" i="4" a="1"/>
  <c r="CG44" i="4" a="1"/>
  <c r="CT25" i="4"/>
  <c r="CK69" i="4" a="1"/>
  <c r="CT80" i="4"/>
  <c r="CB66" i="4" a="1"/>
  <c r="CG64" i="4" a="1"/>
  <c r="CM64" i="4" a="1"/>
  <c r="CQ89" i="4"/>
  <c r="CK25" i="4" a="1"/>
  <c r="CT8" i="4"/>
  <c r="CJ51" i="4" a="1"/>
  <c r="CK42" i="4" a="1"/>
  <c r="BN69" i="4" a="1"/>
  <c r="CH41" i="4"/>
  <c r="CC68" i="4" a="1"/>
  <c r="AC86" i="4" a="1"/>
  <c r="CH57" i="4"/>
  <c r="CE91" i="4" a="1"/>
  <c r="CT53" i="4"/>
  <c r="CB69" i="4" a="1"/>
  <c r="CT42" i="4"/>
  <c r="CT86" i="4"/>
  <c r="CL84" i="4" a="1"/>
  <c r="CH18" i="4"/>
  <c r="CG16" i="4" a="1"/>
  <c r="AK32" i="4" a="1"/>
  <c r="CG93" i="4" a="1"/>
  <c r="CL20" i="4" a="1"/>
  <c r="CJ81" i="4" a="1"/>
  <c r="CI38" i="4" a="1"/>
  <c r="CK5" i="4" a="1"/>
  <c r="CG69" i="4" a="1"/>
  <c r="CE34" i="4" a="1"/>
  <c r="CJ15" i="4" a="1"/>
  <c r="CM6" i="4" a="1"/>
  <c r="CM91" i="4" a="1"/>
  <c r="BN62" i="4" a="1"/>
  <c r="CT32" i="4"/>
  <c r="CL81" i="4" a="1"/>
  <c r="CD90" i="4" a="1"/>
  <c r="CT77" i="4"/>
  <c r="CF67" i="4" a="1"/>
  <c r="BN16" i="4" a="1"/>
  <c r="AK59" i="4" a="1"/>
  <c r="AC74" i="4" a="1"/>
  <c r="CM36" i="4" a="1"/>
  <c r="AK45" i="4" a="1"/>
  <c r="AE54" i="4" a="1"/>
  <c r="CI11" i="4" a="1"/>
  <c r="CF90" i="4" a="1"/>
  <c r="BP31" i="4" a="1"/>
  <c r="CH42" i="4"/>
  <c r="CE64" i="4" a="1"/>
  <c r="CL13" i="4" a="1"/>
  <c r="CG38" i="4" a="1"/>
  <c r="CQ65" i="4"/>
  <c r="CG48" i="4" a="1"/>
  <c r="CL32" i="4" a="1"/>
  <c r="CQ14" i="4"/>
  <c r="CE26" i="4" a="1"/>
  <c r="AK78" i="4" a="1"/>
  <c r="CF88" i="4" a="1"/>
  <c r="CI34" i="4" a="1"/>
  <c r="CK56" i="4" a="1"/>
  <c r="CH63" i="4"/>
  <c r="CH5" i="4"/>
  <c r="CN33" i="4" a="1"/>
  <c r="CC52" i="4" a="1"/>
  <c r="BN76" i="4" a="1"/>
  <c r="CE43" i="4" a="1"/>
  <c r="CL12" i="4" a="1"/>
  <c r="CB28" i="4" a="1"/>
  <c r="AE80" i="4" a="1"/>
  <c r="CJ64" i="4" a="1"/>
  <c r="CH81" i="4"/>
  <c r="CM27" i="4" a="1"/>
  <c r="BP21" i="4" a="1"/>
  <c r="AC16" i="4" a="1"/>
  <c r="CD38" i="4" a="1"/>
  <c r="CB27" i="4" a="1"/>
  <c r="AM21" i="4" a="1"/>
  <c r="CH13" i="4"/>
  <c r="CL44" i="4" a="1"/>
  <c r="CL77" i="4" a="1"/>
  <c r="CB8" i="4" a="1"/>
  <c r="CB39" i="4" a="1"/>
  <c r="CT75" i="4"/>
  <c r="CK21" i="4" a="1"/>
  <c r="CH16" i="4"/>
  <c r="BN38" i="4" a="1"/>
  <c r="CQ28" i="4"/>
  <c r="CQ79" i="4"/>
  <c r="CB76" i="4" a="1"/>
  <c r="CK89" i="4" a="1"/>
  <c r="CE20" i="4" a="1"/>
  <c r="CN48" i="4" a="1"/>
  <c r="CB52" i="4" a="1"/>
  <c r="CN61" i="4" a="1"/>
  <c r="CM24" i="4" a="1"/>
  <c r="BN15" i="4" a="1"/>
  <c r="CQ45" i="4"/>
  <c r="CF34" i="4" a="1"/>
  <c r="CJ25" i="4" a="1"/>
  <c r="CE46" i="4" a="1"/>
  <c r="AM20" i="4" a="1"/>
  <c r="CT48" i="4"/>
  <c r="CB79" i="4" a="1"/>
  <c r="CD48" i="4" a="1"/>
  <c r="BP78" i="4" a="1"/>
  <c r="CF72" i="4" a="1"/>
  <c r="CC78" i="4" a="1"/>
  <c r="CL72" i="4" a="1"/>
  <c r="CE76" i="4" a="1"/>
  <c r="CE66" i="4" a="1"/>
  <c r="BN49" i="4" a="1"/>
  <c r="CQ78" i="4"/>
  <c r="CC82" i="4" a="1"/>
  <c r="CL76" i="4" a="1"/>
  <c r="BP70" i="4" a="1"/>
  <c r="CN56" i="4" a="1"/>
  <c r="CJ70" i="4" a="1"/>
  <c r="AC52" i="4" a="1"/>
  <c r="CM73" i="4" a="1"/>
  <c r="AM69" i="4" a="1"/>
  <c r="CN59" i="4" a="1"/>
  <c r="CC45" i="4" a="1"/>
  <c r="CK53" i="4" a="1"/>
  <c r="CQ53" i="4"/>
  <c r="AC71" i="4" a="1"/>
  <c r="AC69" i="4" a="1"/>
  <c r="BP86" i="4" a="1"/>
  <c r="CJ74" i="4" a="1"/>
  <c r="CJ90" i="4" a="1"/>
  <c r="CG41" i="4" a="1"/>
  <c r="CC50" i="4" a="1"/>
  <c r="CC42" i="4" a="1"/>
  <c r="CH24" i="4"/>
  <c r="CM38" i="4" a="1"/>
  <c r="AE29" i="4" a="1"/>
  <c r="CH29" i="4"/>
  <c r="BN19" i="4" a="1"/>
  <c r="AK49" i="4" a="1"/>
  <c r="CG46" i="4" a="1"/>
  <c r="CQ42" i="4"/>
  <c r="CE16" i="4" a="1"/>
  <c r="CG13" i="4" a="1"/>
  <c r="CM82" i="4" a="1"/>
  <c r="CM39" i="4" a="1"/>
  <c r="CT20" i="4"/>
  <c r="CM83" i="4" a="1"/>
  <c r="BN63" i="4" a="1"/>
  <c r="CE21" i="4" a="1"/>
  <c r="CQ49" i="4"/>
  <c r="CL59" i="4" a="1"/>
  <c r="CL22" i="4" a="1"/>
  <c r="CC54" i="4" a="1"/>
  <c r="CD16" i="4" a="1"/>
  <c r="CL36" i="4" a="1"/>
  <c r="BN48" i="4" a="1"/>
  <c r="CF12" i="4" a="1"/>
  <c r="AC45" i="4" a="1"/>
  <c r="BP8" i="4" a="1"/>
  <c r="CD49" i="4" a="1"/>
  <c r="CC93" i="4" a="1"/>
  <c r="CH77" i="4"/>
  <c r="CQ92" i="4"/>
  <c r="BP64" i="4" a="1"/>
  <c r="AK39" i="4" a="1"/>
  <c r="AM44" i="4" a="1"/>
  <c r="CT12" i="4"/>
  <c r="CT51" i="4"/>
  <c r="CH33" i="4"/>
  <c r="CG57" i="4" a="1"/>
  <c r="AK75" i="4" a="1"/>
  <c r="CF78" i="4" a="1"/>
  <c r="AC33" i="4" a="1"/>
  <c r="CF53" i="4" a="1"/>
  <c r="BN39" i="4" a="1"/>
  <c r="CG31" i="4" a="1"/>
  <c r="CQ41" i="4"/>
  <c r="CG21" i="4" a="1"/>
  <c r="CH86" i="4"/>
  <c r="CM76" i="4" a="1"/>
  <c r="CQ43" i="4"/>
  <c r="CK12" i="4" a="1"/>
  <c r="CH28" i="4"/>
  <c r="CC92" i="4" a="1"/>
  <c r="AK79" i="4" a="1"/>
  <c r="CC81" i="4" a="1"/>
  <c r="CM63" i="4" a="1"/>
  <c r="AC67" i="4" a="1"/>
  <c r="BN56" i="4" a="1"/>
  <c r="CE44" i="4" a="1"/>
  <c r="CF63" i="4" a="1"/>
  <c r="CG8" i="4" a="1"/>
  <c r="CB6" i="4" a="1"/>
  <c r="CB44" i="4" a="1"/>
  <c r="CK47" i="4" a="1"/>
  <c r="AM71" i="4" a="1"/>
  <c r="CC76" i="4" a="1"/>
  <c r="AM89" i="4" a="1"/>
  <c r="AC27" i="4" a="1"/>
  <c r="CF54" i="4" a="1"/>
  <c r="AE39" i="4" a="1"/>
  <c r="CF44" i="4" a="1"/>
  <c r="CE48" i="4" a="1"/>
  <c r="AE7" i="4" a="1"/>
  <c r="CM25" i="4" a="1"/>
  <c r="CJ24" i="4" a="1"/>
  <c r="BN20" i="4" a="1"/>
  <c r="CC51" i="4" a="1"/>
  <c r="AM34" i="4" a="1"/>
  <c r="AE68" i="4" a="1"/>
  <c r="CI46" i="4" a="1"/>
  <c r="CD69" i="4" a="1"/>
  <c r="AE41" i="4" a="1"/>
  <c r="CJ84" i="4" a="1"/>
  <c r="CM90" i="4" a="1"/>
  <c r="AE46" i="4" a="1"/>
  <c r="CH15" i="4"/>
  <c r="CD78" i="4" a="1"/>
  <c r="AC72" i="4" a="1"/>
  <c r="CN5" i="4" a="1"/>
  <c r="AC5" i="4" a="1"/>
  <c r="AM52" i="4" a="1"/>
  <c r="BN5" i="4" a="1"/>
  <c r="CN52" i="4" a="1"/>
  <c r="CI61" i="4" a="1"/>
  <c r="AE89" i="4" a="1"/>
  <c r="CD92" i="4" a="1"/>
  <c r="CG70" i="4" a="1"/>
  <c r="CC38" i="4" a="1"/>
  <c r="AE37" i="4" a="1"/>
  <c r="AM25" i="4" a="1"/>
  <c r="CT79" i="4"/>
  <c r="AE70" i="4" a="1"/>
  <c r="CN46" i="4" a="1"/>
  <c r="CC15" i="4" a="1"/>
  <c r="AE84" i="4" a="1"/>
  <c r="CT66" i="4"/>
  <c r="CB86" i="4" a="1"/>
  <c r="CI66" i="4" a="1"/>
  <c r="CH52" i="4"/>
  <c r="AE30" i="4" a="1"/>
  <c r="AK24" i="4" a="1"/>
  <c r="CC59" i="4" a="1"/>
  <c r="CQ90" i="4"/>
  <c r="CL86" i="4" a="1"/>
  <c r="CF46" i="4" a="1"/>
  <c r="CQ19" i="4"/>
  <c r="CN19" i="4" a="1"/>
  <c r="CM84" i="4" a="1"/>
  <c r="CT73" i="4"/>
  <c r="CC91" i="4" a="1"/>
  <c r="CD66" i="4" a="1"/>
  <c r="CB15" i="4" a="1"/>
  <c r="CH66" i="4"/>
  <c r="CE57" i="4" a="1"/>
  <c r="CN90" i="4" a="1"/>
  <c r="CN82" i="4" a="1"/>
  <c r="CF61" i="4" a="1"/>
  <c r="CC69" i="4" a="1"/>
  <c r="CC7" i="4" a="1"/>
  <c r="CB82" i="4" a="1"/>
  <c r="CM67" i="4" a="1"/>
  <c r="CF6" i="4" a="1"/>
  <c r="CJ91" i="4" a="1"/>
  <c r="CN31" i="4" a="1"/>
  <c r="BP67" i="4" a="1"/>
  <c r="CC16" i="4" a="1"/>
  <c r="AA4" i="4" a="1"/>
  <c r="CQ51" i="4"/>
  <c r="CL54" i="4" a="1"/>
  <c r="AM56" i="4" a="1"/>
  <c r="AK36" i="4" a="1"/>
  <c r="AE51" i="4" a="1"/>
  <c r="CG26" i="4" a="1"/>
  <c r="CJ5" i="4" a="1"/>
  <c r="CL64" i="4" a="1"/>
  <c r="CQ16" i="4"/>
  <c r="CI18" i="4" a="1"/>
  <c r="CG47" i="4" a="1"/>
  <c r="CJ92" i="4" a="1"/>
  <c r="CI7" i="4" a="1"/>
  <c r="AM76" i="4" a="1"/>
  <c r="CL75" i="4" a="1"/>
  <c r="AM45" i="4" a="1"/>
  <c r="AK67" i="4" a="1"/>
  <c r="CQ81" i="4"/>
  <c r="AK62" i="4" a="1"/>
  <c r="CN45" i="4" a="1"/>
  <c r="CH21" i="4"/>
  <c r="AK86" i="4" a="1"/>
  <c r="CI39" i="4" a="1"/>
  <c r="CH31" i="4"/>
  <c r="AM41" i="4" a="1"/>
  <c r="CT21" i="4"/>
  <c r="CE14" i="4" a="1"/>
  <c r="CE37" i="4" a="1"/>
  <c r="CQ38" i="4"/>
  <c r="CQ26" i="4"/>
  <c r="CB48" i="4" a="1"/>
  <c r="CF85" i="4" a="1"/>
  <c r="CN7" i="4" a="1"/>
  <c r="CH11" i="4"/>
  <c r="AK31" i="4" a="1"/>
  <c r="CK8" i="4" a="1"/>
  <c r="CD76" i="4" a="1"/>
  <c r="CI31" i="4" a="1"/>
  <c r="CJ71" i="4" a="1"/>
  <c r="CC37" i="4" a="1"/>
  <c r="CD20" i="4" a="1"/>
  <c r="CM28" i="4" a="1"/>
  <c r="AE79" i="4" a="1"/>
  <c r="AC61" i="4" a="1"/>
  <c r="CI89" i="4" a="1"/>
  <c r="BP20" i="4" a="1"/>
  <c r="CG63" i="4" a="1"/>
  <c r="CD8" i="4" a="1"/>
  <c r="CK76" i="4" a="1"/>
  <c r="BP44" i="4" a="1"/>
  <c r="CK68" i="4" a="1"/>
  <c r="CB41" i="4" a="1"/>
  <c r="CL42" i="4" a="1"/>
  <c r="BN77" i="4" a="1"/>
  <c r="CC8" i="4" a="1"/>
  <c r="CC13" i="4" a="1"/>
  <c r="CM65" i="4" a="1"/>
  <c r="CL78" i="4" a="1"/>
  <c r="CM8" i="4" a="1"/>
  <c r="BP39" i="4" a="1"/>
  <c r="AC12" i="4" a="1"/>
  <c r="CI5" i="4" a="1"/>
  <c r="CJ75" i="4" a="1"/>
  <c r="CI30" i="4" a="1"/>
  <c r="CM79" i="4" a="1"/>
  <c r="AE13" i="4" a="1"/>
  <c r="CF18" i="4" a="1"/>
  <c r="CE22" i="4" a="1"/>
  <c r="CE85" i="4" a="1"/>
  <c r="CN72" i="4" a="1"/>
  <c r="CL37" i="4" a="1"/>
  <c r="AM27" i="4" a="1"/>
  <c r="CE5" i="4" a="1"/>
  <c r="AK54" i="4" a="1"/>
  <c r="CK29" i="4" a="1"/>
  <c r="CB63" i="4" a="1"/>
  <c r="CQ5" i="4"/>
  <c r="CD21" i="4" a="1"/>
  <c r="AM86" i="4" a="1"/>
  <c r="AN58" i="4" a="1"/>
  <c r="AE47" i="4" a="1"/>
  <c r="CM30" i="4" a="1"/>
  <c r="CM54" i="4" a="1"/>
  <c r="AC81" i="4" a="1"/>
  <c r="CL61" i="4" a="1"/>
  <c r="CH38" i="4"/>
  <c r="BP75" i="4" a="1"/>
  <c r="CN51" i="4" a="1"/>
  <c r="BP88" i="4" a="1"/>
  <c r="AM7" i="4" a="1"/>
  <c r="BP11" i="4" a="1"/>
  <c r="CE47" i="4" a="1"/>
  <c r="CK64" i="4" a="1"/>
  <c r="AK37" i="4" a="1"/>
  <c r="AC89" i="4" a="1"/>
  <c r="CB47" i="4" a="1"/>
  <c r="CT7" i="4"/>
  <c r="CQ61" i="4"/>
  <c r="CJ89" i="4" a="1"/>
  <c r="CB20" i="4" a="1"/>
  <c r="CL74" i="4" a="1"/>
  <c r="CK72" i="4" a="1"/>
  <c r="CH25" i="4"/>
  <c r="CL24" i="4" a="1"/>
  <c r="CH20" i="4"/>
  <c r="CQ47" i="4"/>
  <c r="CD79" i="4" a="1"/>
  <c r="CK37" i="4" a="1"/>
  <c r="CH89" i="4"/>
  <c r="CH45" i="4"/>
  <c r="CI53" i="4" a="1"/>
  <c r="CN73" i="4" a="1"/>
  <c r="CQ46" i="4"/>
  <c r="CN69" i="4" a="1"/>
  <c r="AC30" i="4" a="1"/>
  <c r="CM14" i="4" a="1"/>
  <c r="CB90" i="4" a="1"/>
  <c r="CL19" i="4" a="1"/>
  <c r="AM83" i="4" a="1"/>
  <c r="CJ50" i="4" a="1"/>
  <c r="CL29" i="4" a="1"/>
  <c r="CD93" i="4" a="1"/>
  <c r="CT84" i="4"/>
  <c r="CN24" i="4" a="1"/>
  <c r="CB22" i="4" a="1"/>
  <c r="CI71" i="4" a="1"/>
  <c r="AC56" i="4" a="1"/>
  <c r="CL65" i="4" a="1"/>
  <c r="CN78" i="4" a="1"/>
  <c r="CH64" i="4"/>
  <c r="AE6" i="4" a="1"/>
  <c r="CH75" i="4"/>
  <c r="CT41" i="4"/>
  <c r="CK27" i="4" a="1"/>
  <c r="CF42" i="4" a="1"/>
  <c r="BN7" i="4" a="1"/>
  <c r="CE56" i="4" a="1"/>
  <c r="CB43" i="4" a="1"/>
  <c r="CD28" i="4" a="1"/>
  <c r="AK88" i="4" a="1"/>
  <c r="CJ72" i="4" a="1"/>
  <c r="CN37" i="4" a="1"/>
  <c r="CM89" i="4" a="1"/>
  <c r="CH27" i="4"/>
  <c r="CG5" i="4" a="1"/>
  <c r="CG71" i="4" a="1"/>
  <c r="BP29" i="4" a="1"/>
  <c r="AJ58" i="4" a="1"/>
  <c r="BN41" i="4" a="1"/>
  <c r="CJ54" i="4" a="1"/>
  <c r="CH14" i="4"/>
  <c r="CT36" i="4"/>
  <c r="CC47" i="4" a="1"/>
  <c r="CE42" i="4" a="1"/>
  <c r="AC8" i="4" a="1"/>
  <c r="CK81" i="4" a="1"/>
  <c r="CB25" i="4" a="1"/>
  <c r="AE44" i="4" a="1"/>
  <c r="CF75" i="4" a="1"/>
  <c r="CJ45" i="4" a="1"/>
  <c r="CN32" i="4" a="1"/>
  <c r="CD72" i="4" a="1"/>
  <c r="CI49" i="4" a="1"/>
  <c r="CD22" i="4" a="1"/>
  <c r="CH72" i="4"/>
  <c r="CT61" i="4"/>
  <c r="BN89" i="4" a="1"/>
  <c r="CC20" i="4" a="1"/>
  <c r="BP74" i="4" a="1"/>
  <c r="CM34" i="4" a="1"/>
  <c r="AK61" i="4" a="1"/>
  <c r="CT24" i="4"/>
  <c r="AC15" i="4" a="1"/>
  <c r="CK51" i="4" a="1"/>
  <c r="CI86" i="4" a="1"/>
  <c r="CN68" i="4" a="1"/>
  <c r="AC46" i="4" a="1"/>
  <c r="CT15" i="4"/>
  <c r="BN28" i="4" a="1"/>
  <c r="CJ52" i="4" a="1"/>
  <c r="AE61" i="4" a="1"/>
  <c r="CE89" i="4" a="1"/>
  <c r="CF20" i="4" a="1"/>
  <c r="BP5" i="4" a="1"/>
  <c r="BP57" i="4" a="1"/>
  <c r="CT90" i="4"/>
  <c r="CQ66" i="4"/>
  <c r="CH69" i="4"/>
  <c r="AC50" i="4" a="1"/>
  <c r="CD29" i="4" a="1"/>
  <c r="CE59" i="4" a="1"/>
  <c r="CJ19" i="4" a="1"/>
  <c r="CQ83" i="4"/>
  <c r="CG92" i="4" a="1"/>
  <c r="CC49" i="4" a="1"/>
  <c r="CE18" i="4" a="1"/>
  <c r="AK19" i="4" a="1"/>
  <c r="CI83" i="4" a="1"/>
  <c r="CN42" i="4" a="1"/>
  <c r="CT65" i="4"/>
  <c r="AM36" i="4" a="1"/>
  <c r="CH80" i="4"/>
  <c r="CC36" i="4" a="1"/>
  <c r="CF80" i="4" a="1"/>
  <c r="CF81" i="4" a="1"/>
  <c r="CJ20" i="4" a="1"/>
  <c r="CN89" i="4" a="1"/>
  <c r="AC78" i="4" a="1"/>
  <c r="CH71" i="4"/>
  <c r="CN6" i="4" a="1"/>
  <c r="CJ12" i="4" a="1"/>
  <c r="CF5" i="4" a="1"/>
  <c r="CN79" i="4" a="1"/>
  <c r="CJ76" i="4" a="1"/>
  <c r="AE75" i="4" a="1"/>
  <c r="AK41" i="4" a="1"/>
  <c r="AE31" i="4" a="1"/>
  <c r="AE42" i="4" a="1"/>
  <c r="CM52" i="4" a="1"/>
  <c r="CK6" i="4" a="1"/>
  <c r="CJ36" i="4" a="1"/>
  <c r="AK48" i="4" a="1"/>
  <c r="AE32" i="4" a="1"/>
  <c r="CH34" i="4"/>
  <c r="CC61" i="4" a="1"/>
  <c r="BP46" i="4" a="1"/>
  <c r="AE62" i="4" a="1"/>
  <c r="CQ30" i="4"/>
  <c r="AK71" i="4" a="1"/>
  <c r="CE49" i="4" a="1"/>
  <c r="CM31" i="4" a="1"/>
  <c r="CL30" i="4" a="1"/>
  <c r="CD71" i="4" a="1"/>
  <c r="CC57" i="4" a="1"/>
  <c r="BP36" i="4" a="1"/>
  <c r="CI22" i="4" a="1"/>
  <c r="BP50" i="4" a="1"/>
  <c r="CL71" i="4" a="1"/>
  <c r="AC29" i="4" a="1"/>
  <c r="CQ25" i="4"/>
  <c r="CL62" i="4" a="1"/>
  <c r="CK45" i="4" a="1"/>
  <c r="CQ32" i="4"/>
  <c r="CL52" i="4" a="1"/>
  <c r="AM49" i="4" a="1"/>
  <c r="CH51" i="4"/>
  <c r="CB53" i="4" a="1"/>
  <c r="AK25" i="4" a="1"/>
  <c r="CQ24" i="4"/>
  <c r="CQ20" i="4"/>
  <c r="CT78" i="4"/>
  <c r="CD53" i="4" a="1"/>
  <c r="CE25" i="4" a="1"/>
  <c r="AK46" i="4" a="1"/>
  <c r="CI15" i="4" a="1"/>
  <c r="CB5" i="4" a="1"/>
  <c r="AK14" i="4" a="1"/>
  <c r="CL73" i="4" a="1"/>
  <c r="CJ46" i="4" a="1"/>
  <c r="CL15" i="4" a="1"/>
  <c r="AK51" i="4" a="1"/>
  <c r="CC34" i="4" a="1"/>
  <c r="BN61" i="4" a="1"/>
  <c r="CD24" i="4" a="1"/>
  <c r="CM20" i="4" a="1"/>
  <c r="CN50" i="4" a="1"/>
  <c r="CG29" i="4" a="1"/>
  <c r="CT59" i="4"/>
  <c r="CI19" i="4" a="1"/>
  <c r="CT83" i="4"/>
  <c r="AM85" i="4" a="1"/>
  <c r="CB11" i="4" a="1"/>
  <c r="BN18" i="4" a="1"/>
  <c r="CK70" i="4" a="1"/>
  <c r="BN65" i="4" a="1"/>
  <c r="CK32" i="4" a="1"/>
  <c r="AK16" i="4" a="1"/>
  <c r="CJ43" i="4" a="1"/>
  <c r="AK70" i="4" a="1"/>
  <c r="CN83" i="4" a="1"/>
  <c r="BP92" i="4" a="1"/>
  <c r="CL26" i="4" a="1"/>
  <c r="AM65" i="4" a="1"/>
  <c r="CL92" i="4" a="1"/>
  <c r="AE65" i="4" a="1"/>
  <c r="BN88" i="4" a="1"/>
  <c r="CC29" i="4" a="1"/>
  <c r="CH59" i="4"/>
  <c r="CN66" i="4" a="1"/>
  <c r="CK49" i="4" a="1"/>
  <c r="CF83" i="4" a="1"/>
  <c r="CH90" i="4"/>
  <c r="CC40" i="4" a="1"/>
  <c r="AM26" i="4" a="1"/>
  <c r="CH92" i="4"/>
  <c r="AC57" i="4" a="1"/>
  <c r="CC25" i="4" a="1"/>
  <c r="CB31" i="4" a="1"/>
  <c r="CD88" i="4" a="1"/>
  <c r="BN57" i="4" a="1"/>
  <c r="AK73" i="4" a="1"/>
  <c r="AK47" i="4" a="1"/>
  <c r="CL85" i="4" a="1"/>
  <c r="CI74" i="4" a="1"/>
  <c r="AK21" i="4" a="1"/>
  <c r="CB81" i="4" a="1"/>
  <c r="AK68" i="4" a="1"/>
  <c r="CE62" i="4" a="1"/>
  <c r="CN41" i="4" a="1"/>
  <c r="AK8" i="4" a="1"/>
  <c r="CJ16" i="4" a="1"/>
  <c r="CG43" i="4" a="1"/>
  <c r="AC82" i="4" a="1"/>
  <c r="CE74" i="4" a="1"/>
  <c r="AM88" i="4" a="1"/>
  <c r="AE34" i="4" a="1"/>
  <c r="CK65" i="4" a="1"/>
  <c r="CQ74" i="4"/>
  <c r="CB85" i="4" a="1"/>
  <c r="CB72" i="4" a="1"/>
  <c r="AE49" i="4" a="1"/>
  <c r="CH62" i="4"/>
  <c r="CB78" i="4" a="1"/>
  <c r="CM32" i="4" a="1"/>
  <c r="CT72" i="4"/>
  <c r="CF13" i="4" a="1"/>
  <c r="CQ18" i="4"/>
  <c r="CF36" i="4" a="1"/>
  <c r="CF47" i="4" a="1"/>
  <c r="BP42" i="4" a="1"/>
  <c r="AE8" i="4" a="1"/>
  <c r="CI14" i="4" a="1"/>
  <c r="CE36" i="4" a="1"/>
  <c r="CQ88" i="4"/>
  <c r="CN11" i="4" a="1"/>
  <c r="CF93" i="4" a="1"/>
  <c r="CH82" i="4"/>
  <c r="CC12" i="4" a="1"/>
  <c r="CL88" i="4" a="1"/>
  <c r="CI91" i="4" a="1"/>
  <c r="AC18" i="4" a="1"/>
  <c r="CG82" i="4" a="1"/>
  <c r="AK27" i="4" a="1"/>
  <c r="CM21" i="4" a="1"/>
  <c r="CL16" i="4" a="1"/>
  <c r="CC18" i="4" a="1"/>
  <c r="CN65" i="4" a="1"/>
  <c r="CT85" i="4"/>
  <c r="CC11" i="4" a="1"/>
  <c r="CQ93" i="4"/>
  <c r="CH70" i="4"/>
  <c r="AM77" i="4" a="1"/>
  <c r="CI8" i="4" a="1"/>
  <c r="CF39" i="4" a="1"/>
  <c r="CK38" i="4" a="1"/>
  <c r="BP22" i="4" a="1"/>
  <c r="CD64" i="4" a="1"/>
  <c r="CH76" i="4"/>
  <c r="CH44" i="4"/>
  <c r="CI48" i="4" a="1"/>
  <c r="AK72" i="4" a="1"/>
  <c r="CT37" i="4"/>
  <c r="CK40" i="4" a="1"/>
  <c r="CG22" i="4" a="1"/>
  <c r="CB71" i="4" a="1"/>
  <c r="AK22" i="4" a="1"/>
  <c r="CN77" i="4" a="1"/>
  <c r="CF64" i="4" a="1"/>
  <c r="CN74" i="4" a="1"/>
  <c r="CT64" i="4"/>
  <c r="CK39" i="4" a="1"/>
  <c r="AM38" i="4" a="1"/>
  <c r="CD40" i="4" a="1"/>
  <c r="CT76" i="4"/>
  <c r="CI84" i="4" a="1"/>
  <c r="CK24" i="4" a="1"/>
  <c r="CJ82" i="4" a="1"/>
  <c r="CJ66" i="4" a="1"/>
  <c r="CL46" i="4" a="1"/>
  <c r="CG54" i="4" a="1"/>
  <c r="CD46" i="4" a="1"/>
  <c r="AE67" i="4" a="1"/>
  <c r="CT93" i="4"/>
  <c r="AK38" i="4" a="1"/>
  <c r="AC91" i="4" a="1"/>
  <c r="BN45" i="4" a="1"/>
  <c r="AE27" i="4" a="1"/>
  <c r="CH61" i="4"/>
  <c r="CC77" i="4" a="1"/>
  <c r="CQ37" i="4"/>
  <c r="CC33" i="4" a="1"/>
  <c r="CG19" i="4" a="1"/>
  <c r="CC79" i="4" a="1"/>
  <c r="AK50" i="4" a="1"/>
  <c r="CB12" i="4" a="1"/>
  <c r="CL79" i="4" a="1"/>
  <c r="CI24" i="4" a="1"/>
  <c r="CB21" i="4" a="1"/>
  <c r="CB30" i="4" a="1"/>
  <c r="AM46" i="4" a="1"/>
  <c r="CD14" i="4" a="1"/>
  <c r="AC83" i="4" a="1"/>
  <c r="AE59" i="4" a="1"/>
  <c r="BP30" i="4" a="1"/>
  <c r="CT46" i="4"/>
  <c r="CH49" i="4"/>
  <c r="CI75" i="4" a="1"/>
  <c r="AC43" i="4" a="1"/>
  <c r="CJ8" i="4" a="1"/>
  <c r="CE82" i="4" a="1"/>
  <c r="CJ62" i="4" a="1"/>
  <c r="CF62" i="4" a="1"/>
  <c r="CE93" i="4" a="1"/>
  <c r="CQ69" i="4"/>
  <c r="CF15" i="4" a="1"/>
  <c r="CK59" i="4" a="1"/>
  <c r="CC21" i="4" a="1"/>
  <c r="CG72" i="4" a="1"/>
  <c r="BP56" i="4" a="1"/>
  <c r="AK83" i="4" a="1"/>
  <c r="BP79" i="4" a="1"/>
  <c r="AM42" i="4" a="1"/>
  <c r="CJ34" i="4" a="1"/>
  <c r="CE51" i="4" a="1"/>
  <c r="CG25" i="4" a="1"/>
  <c r="CH50" i="4"/>
  <c r="CL57" i="4" a="1"/>
  <c r="CL80" i="4" a="1"/>
  <c r="CL5" i="4" a="1"/>
  <c r="CF16" i="4" a="1"/>
  <c r="CF30" i="4" a="1"/>
  <c r="AE83" i="4" a="1"/>
  <c r="CH19" i="4"/>
  <c r="CF43" i="4" a="1"/>
  <c r="CG39" i="4" a="1"/>
  <c r="BN90" i="4" a="1"/>
  <c r="CG24" i="4" a="1"/>
  <c r="CG76" i="4" a="1"/>
  <c r="CD5" i="4" a="1"/>
  <c r="AC62" i="4" a="1"/>
  <c r="CF25" i="4" a="1"/>
  <c r="CF22" i="4" a="1"/>
  <c r="CG37" i="4" a="1"/>
  <c r="BN67" i="4" a="1"/>
  <c r="CE19" i="4" a="1"/>
  <c r="CD7" i="4" a="1"/>
  <c r="AE92" i="4" a="1"/>
  <c r="CJ26" i="4" a="1"/>
  <c r="CF7" i="4" a="1"/>
  <c r="CH74" i="4"/>
  <c r="CG67" i="4" a="1"/>
  <c r="AC80" i="4" a="1"/>
  <c r="BN66" i="4" a="1"/>
  <c r="CM57" i="4" a="1"/>
  <c r="CN36" i="4" a="1"/>
  <c r="AE93" i="4" a="1"/>
  <c r="CE50" i="4" a="1"/>
  <c r="CM66" i="4" a="1"/>
  <c r="CI16" i="4" a="1"/>
  <c r="CT63" i="4"/>
  <c r="CJ38" i="4" a="1"/>
  <c r="AE64" i="4" a="1"/>
  <c r="CG35" i="4" a="1"/>
  <c r="CJ31" i="4" a="1"/>
  <c r="CN47" i="4" a="1"/>
  <c r="CL18" i="4" a="1"/>
  <c r="CE83" i="4" a="1"/>
  <c r="CK52" i="4" a="1"/>
  <c r="CM43" i="4" a="1"/>
  <c r="CI93" i="4" a="1"/>
  <c r="CN38" i="4" a="1"/>
  <c r="AC24" i="4" a="1"/>
  <c r="CM40" i="4" a="1"/>
  <c r="CJ21" i="4" a="1"/>
  <c r="CT50" i="4"/>
  <c r="CK62" i="4" a="1"/>
  <c r="BN73" i="4" a="1"/>
  <c r="CE28" i="4" a="1"/>
  <c r="BP25" i="4" a="1"/>
  <c r="CE8" i="4" a="1"/>
  <c r="CB70" i="4" a="1"/>
  <c r="CC72" i="4" a="1"/>
  <c r="CQ85" i="4"/>
  <c r="AM75" i="4" a="1"/>
  <c r="CB7" i="4" a="1"/>
  <c r="CH36" i="4"/>
  <c r="CI54" i="4" a="1"/>
  <c r="CC85" i="4" a="1"/>
  <c r="CF70" i="4" a="1"/>
  <c r="CM29" i="4" a="1"/>
  <c r="AK12" i="4" a="1"/>
  <c r="AE18" i="4" a="1"/>
  <c r="CJ80" i="4" a="1"/>
  <c r="CB19" i="4" a="1"/>
  <c r="AC13" i="4" a="1"/>
  <c r="CG77" i="4" a="1"/>
  <c r="CJ44" i="4" a="1"/>
  <c r="CF79" i="4" a="1"/>
  <c r="CI77" i="4" a="1"/>
  <c r="CC22" i="4" a="1"/>
  <c r="CD43" i="4" a="1"/>
  <c r="CE15" i="4" a="1"/>
  <c r="CE69" i="4" a="1"/>
  <c r="CC44" i="4" a="1"/>
  <c r="CI20" i="4" a="1"/>
  <c r="CI51" i="4" a="1"/>
  <c r="CD15" i="4" a="1"/>
  <c r="BP76" i="4" a="1"/>
  <c r="AK77" i="4" a="1"/>
  <c r="CI68" i="4" a="1"/>
  <c r="CM68" i="4" a="1"/>
  <c r="CB57" i="4" a="1"/>
  <c r="AM32" i="4" a="1"/>
  <c r="CN49" i="4" a="1"/>
  <c r="CE32" i="4" a="1"/>
  <c r="AE24" i="4" a="1"/>
  <c r="AM61" i="4" a="1"/>
  <c r="CL17" i="4" a="1"/>
  <c r="CM18" i="4" a="1"/>
  <c r="CC19" i="4" a="1"/>
  <c r="CE79" i="4" a="1"/>
  <c r="CB42" i="4" a="1"/>
  <c r="CC27" i="4" a="1"/>
  <c r="AK92" i="4" a="1"/>
  <c r="CF65" i="4" a="1"/>
  <c r="CG14" i="4" a="1"/>
  <c r="CE31" i="4" a="1"/>
  <c r="CI56" i="4" a="1"/>
  <c r="CT71" i="4"/>
  <c r="CF28" i="4" a="1"/>
  <c r="BP49" i="4" a="1"/>
  <c r="CD31" i="4" a="1"/>
  <c r="CG34" i="4" a="1"/>
  <c r="AM84" i="4" a="1"/>
  <c r="CK15" i="4" a="1"/>
  <c r="CD68" i="4" a="1"/>
  <c r="CQ50" i="4"/>
  <c r="CF66" i="4" a="1"/>
  <c r="CH53" i="4"/>
  <c r="BP83" i="4" a="1"/>
  <c r="AK93" i="4" a="1"/>
  <c r="CG33" i="4" a="1"/>
  <c r="AK82" i="4" a="1"/>
  <c r="CT56" i="4"/>
  <c r="CH65" i="4"/>
  <c r="CT26" i="4"/>
  <c r="CI21" i="4" a="1"/>
  <c r="CL66" i="4" a="1"/>
  <c r="CM61" i="4" a="1"/>
  <c r="CF89" i="4" a="1"/>
  <c r="BP66" i="4" a="1"/>
  <c r="CQ21" i="4"/>
  <c r="CG81" i="4" a="1"/>
  <c r="BN36" i="4" a="1"/>
  <c r="CR58" i="4" a="1"/>
  <c r="AC41" i="4" a="1"/>
  <c r="CK66" i="4" a="1"/>
  <c r="CM15" i="4" a="1"/>
  <c r="AM33" i="4" a="1"/>
  <c r="CQ62" i="4"/>
  <c r="CK33" i="4" a="1"/>
  <c r="CJ49" i="4" a="1"/>
  <c r="AC66" i="4" a="1"/>
  <c r="CQ73" i="4"/>
  <c r="BP59" i="4" a="1"/>
  <c r="CF29" i="4" a="1"/>
  <c r="CJ41" i="4" a="1"/>
  <c r="CM80" i="4" a="1"/>
  <c r="CL11" i="4" a="1"/>
  <c r="CF21" i="4" a="1"/>
  <c r="CJ22" i="4" a="1"/>
  <c r="CE70" i="4" a="1"/>
  <c r="AK7" i="4" a="1"/>
  <c r="CF50" i="4" a="1"/>
  <c r="CM62" i="4" a="1"/>
  <c r="AA58" i="4" a="1"/>
  <c r="BN12" i="4" a="1"/>
  <c r="CF57" i="4" a="1"/>
  <c r="CD77" i="4" a="1"/>
  <c r="CB56" i="4" a="1"/>
  <c r="CN64" i="4" a="1"/>
  <c r="AK74" i="4" a="1"/>
  <c r="CT49" i="4"/>
  <c r="BN31" i="4" a="1"/>
  <c r="BN53" i="4" a="1"/>
  <c r="AC14" i="4" a="1"/>
  <c r="CF69" i="4" a="1"/>
  <c r="AK90" i="4" a="1"/>
  <c r="CI85" i="4" a="1"/>
  <c r="AM19" i="4" a="1"/>
  <c r="CE86" i="4" a="1"/>
  <c r="AC65" i="4" a="1"/>
  <c r="AM18" i="4" a="1"/>
  <c r="CE67" i="4" a="1"/>
  <c r="CF82" i="4" a="1"/>
  <c r="CQ39" i="4"/>
  <c r="CG75" i="4" a="1"/>
  <c r="CI27" i="4" a="1"/>
  <c r="CT67" i="4"/>
  <c r="CK19" i="4" a="1"/>
  <c r="BP63" i="4" a="1"/>
  <c r="CM59" i="4" a="1"/>
  <c r="BP24" i="4" a="1"/>
  <c r="CL14" i="4" a="1"/>
  <c r="CE72" i="4" a="1"/>
  <c r="BP40" i="4" a="1"/>
  <c r="CN25" i="4" a="1"/>
  <c r="AK44" i="4" a="1"/>
  <c r="BP18" i="4" a="1"/>
  <c r="CK7" i="4" a="1"/>
  <c r="CQ80" i="4"/>
  <c r="CF31" i="4" a="1"/>
  <c r="CN88" i="4" a="1"/>
  <c r="BN26" i="4" a="1"/>
  <c r="CN81" i="4" a="1"/>
  <c r="AC77" i="4" a="1"/>
  <c r="CJ39" i="4" a="1"/>
  <c r="AM79" i="4" a="1"/>
  <c r="AM48" i="4" a="1"/>
  <c r="CT16" i="4"/>
  <c r="CK77" i="4" a="1"/>
  <c r="AK53" i="4" a="1"/>
  <c r="CK57" i="4" a="1"/>
  <c r="CG15" i="4" a="1"/>
  <c r="CI59" i="4" a="1"/>
  <c r="CH88" i="4"/>
  <c r="CM19" i="4" a="1"/>
  <c r="CJ14" i="4" a="1"/>
  <c r="CN75" i="4" a="1"/>
  <c r="BN43" i="4" a="1"/>
  <c r="AM54" i="4" a="1"/>
  <c r="BP35" i="4" a="1"/>
  <c r="CJ6" i="4" a="1"/>
  <c r="AI58" i="4" a="1"/>
  <c r="CI62" i="4" a="1"/>
  <c r="CE54" i="4" a="1"/>
  <c r="CI70" i="4" a="1"/>
  <c r="CN85" i="4" a="1"/>
  <c r="AK89" i="4" a="1"/>
  <c r="AE69" i="4" a="1"/>
  <c r="CF11" i="4" a="1"/>
  <c r="CF14" i="4" a="1"/>
  <c r="CC83" i="4" a="1"/>
  <c r="CD82" i="4" a="1"/>
  <c r="CH46" i="4"/>
  <c r="CK88" i="4" a="1"/>
  <c r="CC86" i="4" a="1"/>
  <c r="AE50" i="4" a="1"/>
  <c r="CN53" i="4" a="1"/>
  <c r="CH78" i="4"/>
  <c r="CF68" i="4" a="1"/>
  <c r="AM50" i="4" a="1"/>
  <c r="CH47" i="4"/>
  <c r="AE81" i="4" a="1"/>
  <c r="CM92" i="4" a="1"/>
  <c r="CB73" i="4" a="1"/>
  <c r="CN13" i="4" a="1"/>
  <c r="CK73" i="4" a="1"/>
  <c r="BN50" i="4" a="1"/>
  <c r="AM29" i="4" a="1"/>
  <c r="CC73" i="4" a="1"/>
  <c r="CT70" i="4"/>
  <c r="AE16" i="4" a="1"/>
  <c r="AC38" i="4" a="1"/>
  <c r="CC32" i="4" a="1"/>
  <c r="BN68" i="4" a="1"/>
  <c r="CB61" i="4" a="1"/>
  <c r="CC66" i="4" a="1"/>
  <c r="CK22" i="4" a="1"/>
  <c r="CD39" i="4" a="1"/>
  <c r="AK66" i="4" a="1"/>
  <c r="AE90" i="4" a="1"/>
  <c r="AE82" i="4" a="1"/>
  <c r="CE13" i="4" a="1"/>
  <c r="CB87" i="4" a="1"/>
  <c r="CM72" i="4" a="1"/>
  <c r="CC88" i="4" a="1"/>
  <c r="CT47" i="4"/>
  <c r="CJ32" i="4" a="1"/>
  <c r="CN27" i="4" a="1"/>
  <c r="BN81" i="4" a="1"/>
  <c r="CH22" i="4"/>
  <c r="CG36" i="4" a="1"/>
  <c r="CH79" i="4"/>
  <c r="CM51" i="4" a="1"/>
  <c r="CQ13" i="4"/>
  <c r="CD47" i="4" a="1"/>
  <c r="CJ86" i="4" a="1"/>
  <c r="CE81" i="4" a="1"/>
  <c r="CB36" i="4" a="1"/>
  <c r="AC93" i="4" a="1"/>
  <c r="CF33" i="4" a="1"/>
  <c r="CI82" i="4" a="1"/>
  <c r="CQ29" i="4"/>
  <c r="CI63" i="4" a="1"/>
  <c r="AM43" i="4" a="1"/>
  <c r="CQ8" i="4"/>
  <c r="CI76" i="4" a="1"/>
  <c r="BP77" i="4" a="1"/>
  <c r="CQ31" i="4"/>
  <c r="CK71" i="4" a="1"/>
  <c r="CK82" i="4" a="1"/>
  <c r="CE71" i="4" a="1"/>
  <c r="CF19" i="4" a="1"/>
  <c r="AE76" i="4" a="1"/>
  <c r="CM13" i="4" a="1"/>
  <c r="CE38" i="4" a="1"/>
  <c r="CD37" i="4" a="1"/>
  <c r="AM67" i="4" a="1"/>
  <c r="CT35" i="4"/>
  <c r="CN76" i="4" a="1"/>
  <c r="CO58" i="4" a="1"/>
  <c r="CE61" i="4" a="1"/>
  <c r="CQ86" i="4"/>
  <c r="BN80" i="4" a="1"/>
  <c r="BN14" i="4" a="1"/>
  <c r="CB45" i="4" a="1"/>
  <c r="AM73" i="4" a="1"/>
  <c r="CE80" i="4" a="1"/>
  <c r="CD85" i="4" a="1"/>
  <c r="CH73" i="4"/>
  <c r="CL90" i="4" a="1"/>
  <c r="AM53" i="4" a="1"/>
  <c r="CN39" i="4" a="1"/>
  <c r="CC65" i="4" a="1"/>
  <c r="CE12" i="4" a="1"/>
  <c r="CK61" i="4" a="1"/>
  <c r="BP14" i="4" a="1"/>
  <c r="AM92" i="4" a="1"/>
  <c r="BP81" i="4" a="1"/>
  <c r="AM5" i="4" a="1"/>
  <c r="CB59" i="4" a="1"/>
  <c r="CF92" i="4" a="1"/>
  <c r="CC28" i="4" a="1"/>
  <c r="BN11" i="4" a="1"/>
  <c r="CI88" i="4" a="1"/>
  <c r="CJ59" i="4" a="1"/>
  <c r="CN30" i="4" a="1"/>
  <c r="AM39" i="4" a="1"/>
  <c r="CF59" i="4" a="1"/>
  <c r="BP85" i="4" a="1"/>
  <c r="AM70" i="4" a="1"/>
  <c r="BN91" i="4" a="1"/>
  <c r="CD84" i="4" a="1"/>
  <c r="AC59" i="4" a="1"/>
  <c r="CT54" i="4"/>
  <c r="AM35" i="4" a="1"/>
  <c r="CI6" i="4" a="1"/>
  <c r="AE28" i="4" a="1"/>
  <c r="CT44" i="4"/>
  <c r="CD54" i="4" a="1"/>
  <c r="CB54" i="4" a="1"/>
  <c r="CG56" i="4" a="1"/>
  <c r="CB38" i="4" a="1"/>
  <c r="BN35" i="4" a="1"/>
  <c r="AM68" i="4" a="1"/>
  <c r="BN93" i="4" a="1"/>
  <c r="CI69" i="4" a="1"/>
  <c r="CT82" i="4"/>
  <c r="AE38" i="4" a="1"/>
  <c r="AC73" i="4" a="1"/>
  <c r="CE78" i="4" a="1"/>
  <c r="BP26" i="4" a="1"/>
  <c r="BN37" i="4" a="1"/>
  <c r="AC31" i="4" a="1"/>
  <c r="CF76" i="4" a="1"/>
  <c r="AE33" i="4" a="1"/>
  <c r="AE66" i="4" a="1"/>
  <c r="CK79" i="4" a="1"/>
  <c r="CJ30" i="4" a="1"/>
  <c r="CQ12" i="4"/>
  <c r="CB64" i="4" a="1"/>
  <c r="CH40" i="4"/>
  <c r="AK33" i="4" a="1"/>
  <c r="CT5" i="4"/>
  <c r="BN46" i="4" a="1"/>
  <c r="CC84" i="4" a="1"/>
  <c r="CM69" i="4" a="1"/>
  <c r="BP90" i="4" a="1"/>
  <c r="CM5" i="4" a="1"/>
  <c r="CM46" i="4" a="1"/>
  <c r="CQ11" i="4"/>
  <c r="CJ65" i="4" a="1"/>
  <c r="CI43" i="4" a="1"/>
  <c r="BP54" i="4" a="1"/>
  <c r="AM82" i="4" a="1"/>
  <c r="CQ27" i="4"/>
  <c r="CM26" i="4" a="1"/>
  <c r="AM93" i="4" a="1"/>
  <c r="BP17" i="4" a="1"/>
  <c r="AM90" i="4" a="1"/>
  <c r="CJ73" i="4" a="1"/>
  <c r="CN44" i="4" a="1"/>
  <c r="CD83" i="4" a="1"/>
  <c r="CT17" i="4"/>
  <c r="AC40" i="4" a="1"/>
  <c r="CH68" i="4"/>
  <c r="CN26" i="4" a="1"/>
  <c r="CT91" i="4"/>
  <c r="CM70" i="4" a="1"/>
  <c r="AC68" i="4" a="1"/>
  <c r="AA4" i="4" l="1"/>
  <c r="CP58" i="4"/>
  <c r="CO58" i="4"/>
  <c r="CR58" i="4"/>
  <c r="CS58" i="4"/>
  <c r="AS4" i="4"/>
  <c r="AV606" i="13" s="1"/>
  <c r="BW58" i="4"/>
  <c r="I12" i="27"/>
  <c r="CD83" i="4"/>
  <c r="CM83" i="4"/>
  <c r="CL83" i="4"/>
  <c r="CN83" i="4"/>
  <c r="CK83" i="4"/>
  <c r="BN83" i="4"/>
  <c r="AC83" i="4"/>
  <c r="CB83" i="4"/>
  <c r="CE83" i="4"/>
  <c r="CJ83" i="4"/>
  <c r="CF83" i="4"/>
  <c r="AK83" i="4"/>
  <c r="CC83" i="4"/>
  <c r="CI83" i="4"/>
  <c r="AM83" i="4"/>
  <c r="BP83" i="4"/>
  <c r="AE83" i="4"/>
  <c r="CG83" i="4"/>
  <c r="CF69" i="4"/>
  <c r="CE69" i="4"/>
  <c r="AE69" i="4"/>
  <c r="CC69" i="4"/>
  <c r="CK69" i="4"/>
  <c r="CI69" i="4"/>
  <c r="CB69" i="4"/>
  <c r="AM69" i="4"/>
  <c r="CL69" i="4"/>
  <c r="BP69" i="4"/>
  <c r="CM69" i="4"/>
  <c r="CJ69" i="4"/>
  <c r="CG69" i="4"/>
  <c r="AC69" i="4"/>
  <c r="AK69" i="4"/>
  <c r="BN69" i="4"/>
  <c r="CD69" i="4"/>
  <c r="CN69" i="4"/>
  <c r="CM15" i="4"/>
  <c r="CL15" i="4"/>
  <c r="CI15" i="4"/>
  <c r="AM15" i="4"/>
  <c r="CJ15" i="4"/>
  <c r="AK15" i="4"/>
  <c r="CD15" i="4"/>
  <c r="CF15" i="4"/>
  <c r="BN15" i="4"/>
  <c r="CC15" i="4"/>
  <c r="CG15" i="4"/>
  <c r="AC15" i="4"/>
  <c r="CK15" i="4"/>
  <c r="BP15" i="4"/>
  <c r="AE15" i="4"/>
  <c r="CB15" i="4"/>
  <c r="CE15" i="4"/>
  <c r="CN15" i="4"/>
  <c r="AM20" i="4"/>
  <c r="AE20" i="4"/>
  <c r="BN20" i="4"/>
  <c r="CM20" i="4"/>
  <c r="CB20" i="4"/>
  <c r="CG20" i="4"/>
  <c r="CJ20" i="4"/>
  <c r="CL20" i="4"/>
  <c r="CN20" i="4"/>
  <c r="AC20" i="4"/>
  <c r="AK20" i="4"/>
  <c r="CK20" i="4"/>
  <c r="CE20" i="4"/>
  <c r="CF20" i="4"/>
  <c r="BP20" i="4"/>
  <c r="CD20" i="4"/>
  <c r="CC20" i="4"/>
  <c r="CI20" i="4"/>
  <c r="CB87" i="4"/>
  <c r="CL17" i="4"/>
  <c r="BP17" i="4"/>
  <c r="AM35" i="4"/>
  <c r="BN35" i="4"/>
  <c r="CG35" i="4"/>
  <c r="BP35" i="4"/>
  <c r="CD82" i="4"/>
  <c r="BN82" i="4"/>
  <c r="CB82" i="4"/>
  <c r="CN82" i="4"/>
  <c r="CE82" i="4"/>
  <c r="CF82" i="4"/>
  <c r="AC82" i="4"/>
  <c r="AE82" i="4"/>
  <c r="CL82" i="4"/>
  <c r="CI82" i="4"/>
  <c r="CG82" i="4"/>
  <c r="CM82" i="4"/>
  <c r="CK82" i="4"/>
  <c r="CC82" i="4"/>
  <c r="BP82" i="4"/>
  <c r="CJ82" i="4"/>
  <c r="AM82" i="4"/>
  <c r="AK82" i="4"/>
  <c r="CL70" i="4"/>
  <c r="CD70" i="4"/>
  <c r="AC70" i="4"/>
  <c r="CE70" i="4"/>
  <c r="CC70" i="4"/>
  <c r="CG70" i="4"/>
  <c r="CJ70" i="4"/>
  <c r="BP70" i="4"/>
  <c r="CB70" i="4"/>
  <c r="AK70" i="4"/>
  <c r="CK70" i="4"/>
  <c r="CN70" i="4"/>
  <c r="BN70" i="4"/>
  <c r="AM70" i="4"/>
  <c r="CF70" i="4"/>
  <c r="CM70" i="4"/>
  <c r="CI70" i="4"/>
  <c r="AE70" i="4"/>
  <c r="CE19" i="4"/>
  <c r="CC19" i="4"/>
  <c r="AK19" i="4"/>
  <c r="CJ19" i="4"/>
  <c r="CB19" i="4"/>
  <c r="CM19" i="4"/>
  <c r="AE19" i="4"/>
  <c r="AC19" i="4"/>
  <c r="BN19" i="4"/>
  <c r="CK19" i="4"/>
  <c r="CG19" i="4"/>
  <c r="BP19" i="4"/>
  <c r="CF19" i="4"/>
  <c r="CN19" i="4"/>
  <c r="CL19" i="4"/>
  <c r="CI19" i="4"/>
  <c r="CD19" i="4"/>
  <c r="AM19" i="4"/>
  <c r="AK66" i="4"/>
  <c r="CG66" i="4"/>
  <c r="AC66" i="4"/>
  <c r="CL66" i="4"/>
  <c r="AE66" i="4"/>
  <c r="CE66" i="4"/>
  <c r="CB66" i="4"/>
  <c r="CJ66" i="4"/>
  <c r="CI66" i="4"/>
  <c r="CM66" i="4"/>
  <c r="CF66" i="4"/>
  <c r="CK66" i="4"/>
  <c r="BN66" i="4"/>
  <c r="AM66" i="4"/>
  <c r="CN66" i="4"/>
  <c r="BP66" i="4"/>
  <c r="CD66" i="4"/>
  <c r="CC66" i="4"/>
  <c r="AE46" i="4"/>
  <c r="CC46" i="4"/>
  <c r="CJ46" i="4"/>
  <c r="AM46" i="4"/>
  <c r="CK46" i="4"/>
  <c r="CF46" i="4"/>
  <c r="CG46" i="4"/>
  <c r="CD46" i="4"/>
  <c r="CL46" i="4"/>
  <c r="CB46" i="4"/>
  <c r="CE46" i="4"/>
  <c r="CI46" i="4"/>
  <c r="CN46" i="4"/>
  <c r="CM46" i="4"/>
  <c r="AC46" i="4"/>
  <c r="AK46" i="4"/>
  <c r="BP46" i="4"/>
  <c r="BN46" i="4"/>
  <c r="AE24" i="4"/>
  <c r="BN24" i="4"/>
  <c r="CF24" i="4"/>
  <c r="CK24" i="4"/>
  <c r="CC24" i="4"/>
  <c r="CM24" i="4"/>
  <c r="CJ24" i="4"/>
  <c r="CD24" i="4"/>
  <c r="CL24" i="4"/>
  <c r="CB24" i="4"/>
  <c r="AC24" i="4"/>
  <c r="CI24" i="4"/>
  <c r="AK24" i="4"/>
  <c r="BP24" i="4"/>
  <c r="CN24" i="4"/>
  <c r="CG24" i="4"/>
  <c r="CE24" i="4"/>
  <c r="AM24" i="4"/>
  <c r="CK89" i="4"/>
  <c r="CM89" i="4"/>
  <c r="CE89" i="4"/>
  <c r="CI89" i="4"/>
  <c r="BN89" i="4"/>
  <c r="AE89" i="4"/>
  <c r="CL89" i="4"/>
  <c r="CF89" i="4"/>
  <c r="AK89" i="4"/>
  <c r="CG89" i="4"/>
  <c r="CN89" i="4"/>
  <c r="AM89" i="4"/>
  <c r="CJ89" i="4"/>
  <c r="AC89" i="4"/>
  <c r="CC40" i="4"/>
  <c r="CD40" i="4"/>
  <c r="AC40" i="4"/>
  <c r="BP40" i="4"/>
  <c r="CK40" i="4"/>
  <c r="CM40" i="4"/>
  <c r="CD44" i="4"/>
  <c r="BP44" i="4"/>
  <c r="AC44" i="4"/>
  <c r="CB44" i="4"/>
  <c r="CE44" i="4"/>
  <c r="BN44" i="4"/>
  <c r="CG44" i="4"/>
  <c r="CI44" i="4"/>
  <c r="CN44" i="4"/>
  <c r="AE44" i="4"/>
  <c r="CC44" i="4"/>
  <c r="CK44" i="4"/>
  <c r="AK44" i="4"/>
  <c r="CJ44" i="4"/>
  <c r="CF44" i="4"/>
  <c r="CM44" i="4"/>
  <c r="AM44" i="4"/>
  <c r="CL44" i="4"/>
  <c r="CD38" i="4"/>
  <c r="CI38" i="4"/>
  <c r="CB38" i="4"/>
  <c r="AE38" i="4"/>
  <c r="CN38" i="4"/>
  <c r="AC38" i="4"/>
  <c r="CJ38" i="4"/>
  <c r="CK38" i="4"/>
  <c r="CG38" i="4"/>
  <c r="BN38" i="4"/>
  <c r="BP38" i="4"/>
  <c r="CF38" i="4"/>
  <c r="CL38" i="4"/>
  <c r="CM38" i="4"/>
  <c r="AM38" i="4"/>
  <c r="CC38" i="4"/>
  <c r="AK38" i="4"/>
  <c r="CE38" i="4"/>
  <c r="CF43" i="4"/>
  <c r="CL43" i="4"/>
  <c r="CB43" i="4"/>
  <c r="AC43" i="4"/>
  <c r="AM43" i="4"/>
  <c r="BP43" i="4"/>
  <c r="CK43" i="4"/>
  <c r="CC43" i="4"/>
  <c r="AK43" i="4"/>
  <c r="AE43" i="4"/>
  <c r="CD43" i="4"/>
  <c r="CN43" i="4"/>
  <c r="CG43" i="4"/>
  <c r="CM43" i="4"/>
  <c r="CE43" i="4"/>
  <c r="CJ43" i="4"/>
  <c r="CI43" i="4"/>
  <c r="BN43" i="4"/>
  <c r="CG18" i="4"/>
  <c r="CC18" i="4"/>
  <c r="CK18" i="4"/>
  <c r="AK18" i="4"/>
  <c r="CD18" i="4"/>
  <c r="CF18" i="4"/>
  <c r="CL18" i="4"/>
  <c r="CB18" i="4"/>
  <c r="CM18" i="4"/>
  <c r="BP18" i="4"/>
  <c r="CJ18" i="4"/>
  <c r="CE18" i="4"/>
  <c r="BN18" i="4"/>
  <c r="AM18" i="4"/>
  <c r="CN18" i="4"/>
  <c r="CI18" i="4"/>
  <c r="AE18" i="4"/>
  <c r="AC18" i="4"/>
  <c r="AF58" i="4"/>
  <c r="AG58" i="4"/>
  <c r="CE93" i="4"/>
  <c r="BP93" i="4"/>
  <c r="CI93" i="4"/>
  <c r="CG93" i="4"/>
  <c r="CD93" i="4"/>
  <c r="CC93" i="4"/>
  <c r="CJ93" i="4"/>
  <c r="AK93" i="4"/>
  <c r="CB93" i="4"/>
  <c r="AE93" i="4"/>
  <c r="AC93" i="4"/>
  <c r="CF93" i="4"/>
  <c r="AM93" i="4"/>
  <c r="BN93" i="4"/>
  <c r="CK59" i="4"/>
  <c r="CM59" i="4"/>
  <c r="AM59" i="4"/>
  <c r="CN59" i="4"/>
  <c r="CE59" i="4"/>
  <c r="AC59" i="4"/>
  <c r="AK59" i="4"/>
  <c r="AE59" i="4"/>
  <c r="CI59" i="4"/>
  <c r="CL59" i="4"/>
  <c r="CF59" i="4"/>
  <c r="CB59" i="4"/>
  <c r="CD59" i="4"/>
  <c r="CC59" i="4"/>
  <c r="CJ59" i="4"/>
  <c r="BN59" i="4"/>
  <c r="BP59" i="4"/>
  <c r="CG59" i="4"/>
  <c r="CI90" i="4"/>
  <c r="CD90" i="4"/>
  <c r="CB90" i="4"/>
  <c r="AE90" i="4"/>
  <c r="CK90" i="4"/>
  <c r="CF90" i="4"/>
  <c r="BP90" i="4"/>
  <c r="AK90" i="4"/>
  <c r="AC90" i="4"/>
  <c r="CC90" i="4"/>
  <c r="CL90" i="4"/>
  <c r="BN90" i="4"/>
  <c r="CG90" i="4"/>
  <c r="CN90" i="4"/>
  <c r="AM90" i="4"/>
  <c r="CJ90" i="4"/>
  <c r="CM90" i="4"/>
  <c r="CE90" i="4"/>
  <c r="AE73" i="4"/>
  <c r="CM73" i="4"/>
  <c r="AK73" i="4"/>
  <c r="CN73" i="4"/>
  <c r="BP73" i="4"/>
  <c r="CC73" i="4"/>
  <c r="CL73" i="4"/>
  <c r="CG73" i="4"/>
  <c r="CK73" i="4"/>
  <c r="AC73" i="4"/>
  <c r="AM73" i="4"/>
  <c r="BN73" i="4"/>
  <c r="CD73" i="4"/>
  <c r="CJ73" i="4"/>
  <c r="CE73" i="4"/>
  <c r="CF73" i="4"/>
  <c r="CB73" i="4"/>
  <c r="CI73" i="4"/>
  <c r="BP68" i="4"/>
  <c r="CK68" i="4"/>
  <c r="CN68" i="4"/>
  <c r="CD68" i="4"/>
  <c r="CG68" i="4"/>
  <c r="CM68" i="4"/>
  <c r="CF68" i="4"/>
  <c r="AK68" i="4"/>
  <c r="CC68" i="4"/>
  <c r="CI68" i="4"/>
  <c r="BN68" i="4"/>
  <c r="AC68" i="4"/>
  <c r="AM68" i="4"/>
  <c r="CJ68" i="4"/>
  <c r="CE68" i="4"/>
  <c r="AE68" i="4"/>
  <c r="CB68" i="4"/>
  <c r="CL68" i="4"/>
  <c r="CI25" i="4"/>
  <c r="CG25" i="4"/>
  <c r="BP25" i="4"/>
  <c r="CE25" i="4"/>
  <c r="AK25" i="4"/>
  <c r="CN25" i="4"/>
  <c r="CD25" i="4"/>
  <c r="BN25" i="4"/>
  <c r="CC25" i="4"/>
  <c r="AM25" i="4"/>
  <c r="CK25" i="4"/>
  <c r="CJ25" i="4"/>
  <c r="AE25" i="4"/>
  <c r="AC25" i="4"/>
  <c r="CL25" i="4"/>
  <c r="CM25" i="4"/>
  <c r="CB25" i="4"/>
  <c r="CF25" i="4"/>
  <c r="BN61" i="4"/>
  <c r="AC61" i="4"/>
  <c r="CK61" i="4"/>
  <c r="AK61" i="4"/>
  <c r="AM61" i="4"/>
  <c r="CI61" i="4"/>
  <c r="CB61" i="4"/>
  <c r="CC61" i="4"/>
  <c r="CD61" i="4"/>
  <c r="CF61" i="4"/>
  <c r="CM61" i="4"/>
  <c r="CL61" i="4"/>
  <c r="CE61" i="4"/>
  <c r="BP61" i="4"/>
  <c r="CN61" i="4"/>
  <c r="CG61" i="4"/>
  <c r="AE61" i="4"/>
  <c r="CJ61" i="4"/>
  <c r="AK37" i="4"/>
  <c r="CN37" i="4"/>
  <c r="BN37" i="4"/>
  <c r="CG37" i="4"/>
  <c r="AE37" i="4"/>
  <c r="CM37" i="4"/>
  <c r="BP37" i="4"/>
  <c r="CE37" i="4"/>
  <c r="AC37" i="4"/>
  <c r="CD37" i="4"/>
  <c r="AM37" i="4"/>
  <c r="CF37" i="4"/>
  <c r="CB37" i="4"/>
  <c r="CK37" i="4"/>
  <c r="CL37" i="4"/>
  <c r="CI37" i="4"/>
  <c r="CJ37" i="4"/>
  <c r="CC37" i="4"/>
  <c r="CM76" i="4"/>
  <c r="CD76" i="4"/>
  <c r="AE76" i="4"/>
  <c r="CE76" i="4"/>
  <c r="BP76" i="4"/>
  <c r="AK76" i="4"/>
  <c r="CL76" i="4"/>
  <c r="CG76" i="4"/>
  <c r="CI76" i="4"/>
  <c r="AM76" i="4"/>
  <c r="CF76" i="4"/>
  <c r="CB76" i="4"/>
  <c r="BN76" i="4"/>
  <c r="CK76" i="4"/>
  <c r="CC76" i="4"/>
  <c r="CJ76" i="4"/>
  <c r="AC76" i="4"/>
  <c r="CN76" i="4"/>
  <c r="CL6" i="4"/>
  <c r="CC6" i="4"/>
  <c r="CF6" i="4"/>
  <c r="BN6" i="4"/>
  <c r="CK6" i="4"/>
  <c r="CE6" i="4"/>
  <c r="CM6" i="4"/>
  <c r="AC6" i="4"/>
  <c r="AM6" i="4"/>
  <c r="CJ6" i="4"/>
  <c r="CI6" i="4"/>
  <c r="CN6" i="4"/>
  <c r="CD6" i="4"/>
  <c r="CB6" i="4"/>
  <c r="AK6" i="4"/>
  <c r="BP6" i="4"/>
  <c r="CG6" i="4"/>
  <c r="AE6" i="4"/>
  <c r="AM39" i="4"/>
  <c r="CC39" i="4"/>
  <c r="AC39" i="4"/>
  <c r="CK39" i="4"/>
  <c r="CG39" i="4"/>
  <c r="CI39" i="4"/>
  <c r="CM39" i="4"/>
  <c r="CJ39" i="4"/>
  <c r="AK39" i="4"/>
  <c r="BP39" i="4"/>
  <c r="CL39" i="4"/>
  <c r="CN39" i="4"/>
  <c r="CE39" i="4"/>
  <c r="CD39" i="4"/>
  <c r="CF39" i="4"/>
  <c r="AE39" i="4"/>
  <c r="BN39" i="4"/>
  <c r="CB39" i="4"/>
  <c r="CB56" i="4"/>
  <c r="AM56" i="4"/>
  <c r="BN56" i="4"/>
  <c r="CF56" i="4"/>
  <c r="CD56" i="4"/>
  <c r="CE56" i="4"/>
  <c r="BP56" i="4"/>
  <c r="CL56" i="4"/>
  <c r="CG56" i="4"/>
  <c r="CM56" i="4"/>
  <c r="CK56" i="4"/>
  <c r="CN56" i="4"/>
  <c r="CJ56" i="4"/>
  <c r="CI56" i="4"/>
  <c r="CC56" i="4"/>
  <c r="AC56" i="4"/>
  <c r="AE56" i="4"/>
  <c r="AK56" i="4"/>
  <c r="CI13" i="4"/>
  <c r="CN13" i="4"/>
  <c r="CF13" i="4"/>
  <c r="AC13" i="4"/>
  <c r="BN13" i="4"/>
  <c r="CB13" i="4"/>
  <c r="AK13" i="4"/>
  <c r="CK13" i="4"/>
  <c r="AM13" i="4"/>
  <c r="CD13" i="4"/>
  <c r="CL13" i="4"/>
  <c r="AE13" i="4"/>
  <c r="CM13" i="4"/>
  <c r="BP13" i="4"/>
  <c r="CJ13" i="4"/>
  <c r="CE13" i="4"/>
  <c r="CG13" i="4"/>
  <c r="CC13" i="4"/>
  <c r="CK16" i="4"/>
  <c r="CG16" i="4"/>
  <c r="AM16" i="4"/>
  <c r="CE16" i="4"/>
  <c r="AK16" i="4"/>
  <c r="CN16" i="4"/>
  <c r="AE16" i="4"/>
  <c r="CD16" i="4"/>
  <c r="CF16" i="4"/>
  <c r="CC16" i="4"/>
  <c r="CI16" i="4"/>
  <c r="CM16" i="4"/>
  <c r="CL16" i="4"/>
  <c r="BP16" i="4"/>
  <c r="CB16" i="4"/>
  <c r="AC16" i="4"/>
  <c r="CJ16" i="4"/>
  <c r="BN16" i="4"/>
  <c r="CD49" i="4"/>
  <c r="BN49" i="4"/>
  <c r="AM49" i="4"/>
  <c r="CJ49" i="4"/>
  <c r="CK49" i="4"/>
  <c r="AE49" i="4"/>
  <c r="AK49" i="4"/>
  <c r="CE49" i="4"/>
  <c r="CM49" i="4"/>
  <c r="CG49" i="4"/>
  <c r="CC49" i="4"/>
  <c r="CB49" i="4"/>
  <c r="AC49" i="4"/>
  <c r="CL49" i="4"/>
  <c r="CN49" i="4"/>
  <c r="CI49" i="4"/>
  <c r="BP49" i="4"/>
  <c r="CF49" i="4"/>
  <c r="BN91" i="4"/>
  <c r="CI91" i="4"/>
  <c r="CE91" i="4"/>
  <c r="CM91" i="4"/>
  <c r="CC91" i="4"/>
  <c r="AC91" i="4"/>
  <c r="CJ91" i="4"/>
  <c r="AK11" i="4"/>
  <c r="CB11" i="4"/>
  <c r="BP11" i="4"/>
  <c r="CC11" i="4"/>
  <c r="BN11" i="4"/>
  <c r="CL11" i="4"/>
  <c r="CE11" i="4"/>
  <c r="AM11" i="4"/>
  <c r="CN11" i="4"/>
  <c r="CI11" i="4"/>
  <c r="CF11" i="4"/>
  <c r="CC29" i="4"/>
  <c r="BP29" i="4"/>
  <c r="AE29" i="4"/>
  <c r="CL29" i="4"/>
  <c r="CJ29" i="4"/>
  <c r="CD29" i="4"/>
  <c r="AC29" i="4"/>
  <c r="CG29" i="4"/>
  <c r="CF29" i="4"/>
  <c r="AM29" i="4"/>
  <c r="CK29" i="4"/>
  <c r="CM29" i="4"/>
  <c r="CE81" i="4"/>
  <c r="BN81" i="4"/>
  <c r="CI81" i="4"/>
  <c r="CB81" i="4"/>
  <c r="AM81" i="4"/>
  <c r="CC81" i="4"/>
  <c r="CK81" i="4"/>
  <c r="CF81" i="4"/>
  <c r="CJ81" i="4"/>
  <c r="AE81" i="4"/>
  <c r="CM81" i="4"/>
  <c r="CG81" i="4"/>
  <c r="CL81" i="4"/>
  <c r="CD81" i="4"/>
  <c r="CN81" i="4"/>
  <c r="BP81" i="4"/>
  <c r="AK81" i="4"/>
  <c r="AC81" i="4"/>
  <c r="BP57" i="4"/>
  <c r="CD57" i="4"/>
  <c r="CN57" i="4"/>
  <c r="CL57" i="4"/>
  <c r="CB57" i="4"/>
  <c r="AE57" i="4"/>
  <c r="AM57" i="4"/>
  <c r="CM57" i="4"/>
  <c r="CK57" i="4"/>
  <c r="CF57" i="4"/>
  <c r="CI57" i="4"/>
  <c r="AK57" i="4"/>
  <c r="CJ57" i="4"/>
  <c r="BN57" i="4"/>
  <c r="CE57" i="4"/>
  <c r="AC57" i="4"/>
  <c r="CC57" i="4"/>
  <c r="CG57" i="4"/>
  <c r="CF14" i="4"/>
  <c r="CB14" i="4"/>
  <c r="CG14" i="4"/>
  <c r="AM14" i="4"/>
  <c r="CM14" i="4"/>
  <c r="AE14" i="4"/>
  <c r="CI14" i="4"/>
  <c r="CE14" i="4"/>
  <c r="CN14" i="4"/>
  <c r="CK14" i="4"/>
  <c r="CJ14" i="4"/>
  <c r="AK14" i="4"/>
  <c r="CD14" i="4"/>
  <c r="AC14" i="4"/>
  <c r="CC14" i="4"/>
  <c r="BP14" i="4"/>
  <c r="BN14" i="4"/>
  <c r="CL14" i="4"/>
  <c r="CG86" i="4"/>
  <c r="CF86" i="4"/>
  <c r="CL86" i="4"/>
  <c r="AM86" i="4"/>
  <c r="BP86" i="4"/>
  <c r="CD86" i="4"/>
  <c r="AC86" i="4"/>
  <c r="CB86" i="4"/>
  <c r="BN86" i="4"/>
  <c r="CN86" i="4"/>
  <c r="CK86" i="4"/>
  <c r="CM86" i="4"/>
  <c r="CJ86" i="4"/>
  <c r="AE86" i="4"/>
  <c r="CE86" i="4"/>
  <c r="BW86" i="4" s="1"/>
  <c r="AK86" i="4"/>
  <c r="CI86" i="4"/>
  <c r="CC86" i="4"/>
  <c r="CC84" i="4"/>
  <c r="AM84" i="4"/>
  <c r="CI84" i="4"/>
  <c r="CB84" i="4"/>
  <c r="CM84" i="4"/>
  <c r="CL84" i="4"/>
  <c r="CD84" i="4"/>
  <c r="CJ84" i="4"/>
  <c r="AE84" i="4"/>
  <c r="AK53" i="4"/>
  <c r="CI53" i="4"/>
  <c r="CF53" i="4"/>
  <c r="BP53" i="4"/>
  <c r="CD53" i="4"/>
  <c r="CB53" i="4"/>
  <c r="CN53" i="4"/>
  <c r="BN53" i="4"/>
  <c r="AM53" i="4"/>
  <c r="CK53" i="4"/>
  <c r="CL53" i="4"/>
  <c r="CE34" i="4"/>
  <c r="AE34" i="4"/>
  <c r="CN34" i="4"/>
  <c r="CF34" i="4"/>
  <c r="BN34" i="4"/>
  <c r="CJ34" i="4"/>
  <c r="AM34" i="4"/>
  <c r="CG34" i="4"/>
  <c r="CD34" i="4"/>
  <c r="CC34" i="4"/>
  <c r="CI34" i="4"/>
  <c r="AC34" i="4"/>
  <c r="AK34" i="4"/>
  <c r="CM34" i="4"/>
  <c r="BP34" i="4"/>
  <c r="CK52" i="4"/>
  <c r="CL52" i="4"/>
  <c r="CC52" i="4"/>
  <c r="CN52" i="4"/>
  <c r="AM52" i="4"/>
  <c r="AE52" i="4"/>
  <c r="CE52" i="4"/>
  <c r="BP52" i="4"/>
  <c r="CM52" i="4"/>
  <c r="CB52" i="4"/>
  <c r="CD52" i="4"/>
  <c r="AC52" i="4"/>
  <c r="CJ52" i="4"/>
  <c r="AE72" i="4"/>
  <c r="CK72" i="4"/>
  <c r="CM72" i="4"/>
  <c r="CC72" i="4"/>
  <c r="CI72" i="4"/>
  <c r="CJ72" i="4"/>
  <c r="AM72" i="4"/>
  <c r="CG72" i="4"/>
  <c r="CD72" i="4"/>
  <c r="BN72" i="4"/>
  <c r="CL72" i="4"/>
  <c r="CF72" i="4"/>
  <c r="CB72" i="4"/>
  <c r="CE72" i="4"/>
  <c r="BP72" i="4"/>
  <c r="AC72" i="4"/>
  <c r="AK72" i="4"/>
  <c r="CN72" i="4"/>
  <c r="BP7" i="4"/>
  <c r="CG7" i="4"/>
  <c r="AC7" i="4"/>
  <c r="AM7" i="4"/>
  <c r="CB7" i="4"/>
  <c r="CK7" i="4"/>
  <c r="AE7" i="4"/>
  <c r="CE7" i="4"/>
  <c r="CL7" i="4"/>
  <c r="CM7" i="4"/>
  <c r="CD7" i="4"/>
  <c r="CJ7" i="4"/>
  <c r="CI7" i="4"/>
  <c r="BN7" i="4"/>
  <c r="CC7" i="4"/>
  <c r="AK7" i="4"/>
  <c r="CN7" i="4"/>
  <c r="CF7" i="4"/>
  <c r="AC79" i="4"/>
  <c r="CC79" i="4"/>
  <c r="CB79" i="4"/>
  <c r="BP79" i="4"/>
  <c r="CF79" i="4"/>
  <c r="CG79" i="4"/>
  <c r="CE79" i="4"/>
  <c r="CM79" i="4"/>
  <c r="BN79" i="4"/>
  <c r="AK79" i="4"/>
  <c r="CL79" i="4"/>
  <c r="CD79" i="4"/>
  <c r="AM79" i="4"/>
  <c r="AE79" i="4"/>
  <c r="CN79" i="4"/>
  <c r="CK79" i="4"/>
  <c r="CJ79" i="4"/>
  <c r="CI79" i="4"/>
  <c r="CK64" i="4"/>
  <c r="BP64" i="4"/>
  <c r="CL64" i="4"/>
  <c r="CM64" i="4"/>
  <c r="CJ64" i="4"/>
  <c r="CB64" i="4"/>
  <c r="CF64" i="4"/>
  <c r="CN64" i="4"/>
  <c r="CG64" i="4"/>
  <c r="CC64" i="4"/>
  <c r="BN64" i="4"/>
  <c r="AC64" i="4"/>
  <c r="AE64" i="4"/>
  <c r="CE64" i="4"/>
  <c r="CD64" i="4"/>
  <c r="AM64" i="4"/>
  <c r="AK64" i="4"/>
  <c r="CI64" i="4"/>
  <c r="CN71" i="4"/>
  <c r="AM71" i="4"/>
  <c r="AK71" i="4"/>
  <c r="CJ71" i="4"/>
  <c r="BN71" i="4"/>
  <c r="AE71" i="4"/>
  <c r="CC71" i="4"/>
  <c r="CE71" i="4"/>
  <c r="BP71" i="4"/>
  <c r="CF71" i="4"/>
  <c r="CL71" i="4"/>
  <c r="CI71" i="4"/>
  <c r="CK71" i="4"/>
  <c r="CM71" i="4"/>
  <c r="CD71" i="4"/>
  <c r="AC71" i="4"/>
  <c r="CG71" i="4"/>
  <c r="CB71" i="4"/>
  <c r="CJ8" i="4"/>
  <c r="AK8" i="4"/>
  <c r="CM8" i="4"/>
  <c r="BP8" i="4"/>
  <c r="CF8" i="4"/>
  <c r="AC8" i="4"/>
  <c r="CI8" i="4"/>
  <c r="CD8" i="4"/>
  <c r="CL8" i="4"/>
  <c r="CB8" i="4"/>
  <c r="AM8" i="4"/>
  <c r="CG8" i="4"/>
  <c r="BN8" i="4"/>
  <c r="CK8" i="4"/>
  <c r="CE8" i="4"/>
  <c r="CC8" i="4"/>
  <c r="CN8" i="4"/>
  <c r="AE8" i="4"/>
  <c r="CK54" i="4"/>
  <c r="CE54" i="4"/>
  <c r="CB54" i="4"/>
  <c r="CJ54" i="4"/>
  <c r="CG54" i="4"/>
  <c r="CL54" i="4"/>
  <c r="AK54" i="4"/>
  <c r="CD54" i="4"/>
  <c r="CN54" i="4"/>
  <c r="BP54" i="4"/>
  <c r="AE54" i="4"/>
  <c r="AM54" i="4"/>
  <c r="CI54" i="4"/>
  <c r="CM54" i="4"/>
  <c r="CF54" i="4"/>
  <c r="CC54" i="4"/>
  <c r="AC54" i="4"/>
  <c r="AK67" i="4"/>
  <c r="AC67" i="4"/>
  <c r="AE67" i="4"/>
  <c r="CG67" i="4"/>
  <c r="CI67" i="4"/>
  <c r="CJ67" i="4"/>
  <c r="BP67" i="4"/>
  <c r="CM67" i="4"/>
  <c r="CN67" i="4"/>
  <c r="AM67" i="4"/>
  <c r="CB67" i="4"/>
  <c r="BN67" i="4"/>
  <c r="CD67" i="4"/>
  <c r="CE67" i="4"/>
  <c r="CF67" i="4"/>
  <c r="BN21" i="4"/>
  <c r="CN21" i="4"/>
  <c r="CF21" i="4"/>
  <c r="CK21" i="4"/>
  <c r="CD21" i="4"/>
  <c r="CM21" i="4"/>
  <c r="CL21" i="4"/>
  <c r="AM21" i="4"/>
  <c r="BP21" i="4"/>
  <c r="AE21" i="4"/>
  <c r="AC21" i="4"/>
  <c r="AK21" i="4"/>
  <c r="CC21" i="4"/>
  <c r="CE21" i="4"/>
  <c r="CB21" i="4"/>
  <c r="CG21" i="4"/>
  <c r="CI21" i="4"/>
  <c r="CJ21" i="4"/>
  <c r="CK33" i="4"/>
  <c r="CC33" i="4"/>
  <c r="CE33" i="4"/>
  <c r="CG33" i="4"/>
  <c r="AK33" i="4"/>
  <c r="CN33" i="4"/>
  <c r="AM33" i="4"/>
  <c r="AC33" i="4"/>
  <c r="CF33" i="4"/>
  <c r="CD33" i="4"/>
  <c r="BN33" i="4"/>
  <c r="AE33" i="4"/>
  <c r="CL33" i="4"/>
  <c r="AK32" i="4"/>
  <c r="CD32" i="4"/>
  <c r="BP32" i="4"/>
  <c r="CC32" i="4"/>
  <c r="CF32" i="4"/>
  <c r="CG32" i="4"/>
  <c r="CL32" i="4"/>
  <c r="CE32" i="4"/>
  <c r="CK32" i="4"/>
  <c r="AE32" i="4"/>
  <c r="CJ32" i="4"/>
  <c r="AC32" i="4"/>
  <c r="CN32" i="4"/>
  <c r="CM32" i="4"/>
  <c r="CI32" i="4"/>
  <c r="AM32" i="4"/>
  <c r="CB32" i="4"/>
  <c r="BN32" i="4"/>
  <c r="CF88" i="4"/>
  <c r="CJ88" i="4"/>
  <c r="CL88" i="4"/>
  <c r="CM88" i="4"/>
  <c r="CN88" i="4"/>
  <c r="CG88" i="4"/>
  <c r="CD88" i="4"/>
  <c r="BP88" i="4"/>
  <c r="CI88" i="4"/>
  <c r="CB88" i="4"/>
  <c r="CE88" i="4"/>
  <c r="BN88" i="4"/>
  <c r="AE88" i="4"/>
  <c r="CK88" i="4"/>
  <c r="AM88" i="4"/>
  <c r="AC88" i="4"/>
  <c r="AK88" i="4"/>
  <c r="CC88" i="4"/>
  <c r="AA58" i="4"/>
  <c r="AB58" i="4"/>
  <c r="CF85" i="4"/>
  <c r="BN85" i="4"/>
  <c r="CK85" i="4"/>
  <c r="AM85" i="4"/>
  <c r="CB85" i="4"/>
  <c r="AC85" i="4"/>
  <c r="AE85" i="4"/>
  <c r="CI85" i="4"/>
  <c r="CE85" i="4"/>
  <c r="CL85" i="4"/>
  <c r="CG85" i="4"/>
  <c r="CM85" i="4"/>
  <c r="CD85" i="4"/>
  <c r="BP85" i="4"/>
  <c r="CC85" i="4"/>
  <c r="CN85" i="4"/>
  <c r="CF92" i="4"/>
  <c r="AC92" i="4"/>
  <c r="BN92" i="4"/>
  <c r="CL92" i="4"/>
  <c r="CJ92" i="4"/>
  <c r="CB92" i="4"/>
  <c r="AM92" i="4"/>
  <c r="CC92" i="4"/>
  <c r="CM92" i="4"/>
  <c r="CD92" i="4"/>
  <c r="BP92" i="4"/>
  <c r="CE92" i="4"/>
  <c r="AE92" i="4"/>
  <c r="CG92" i="4"/>
  <c r="CI92" i="4"/>
  <c r="CN92" i="4"/>
  <c r="CK92" i="4"/>
  <c r="AK92" i="4"/>
  <c r="CN80" i="4"/>
  <c r="BP80" i="4"/>
  <c r="CL80" i="4"/>
  <c r="CJ80" i="4"/>
  <c r="CI80" i="4"/>
  <c r="CK80" i="4"/>
  <c r="CB80" i="4"/>
  <c r="CM80" i="4"/>
  <c r="CE80" i="4"/>
  <c r="AC80" i="4"/>
  <c r="CD80" i="4"/>
  <c r="CG80" i="4"/>
  <c r="BN80" i="4"/>
  <c r="AK80" i="4"/>
  <c r="AE80" i="4"/>
  <c r="AM80" i="4"/>
  <c r="CC80" i="4"/>
  <c r="CF80" i="4"/>
  <c r="AK50" i="4"/>
  <c r="CC50" i="4"/>
  <c r="AM50" i="4"/>
  <c r="CD50" i="4"/>
  <c r="CJ50" i="4"/>
  <c r="CK50" i="4"/>
  <c r="CF50" i="4"/>
  <c r="CL50" i="4"/>
  <c r="AE50" i="4"/>
  <c r="CG50" i="4"/>
  <c r="BP50" i="4"/>
  <c r="AC50" i="4"/>
  <c r="CN50" i="4"/>
  <c r="CI50" i="4"/>
  <c r="CE50" i="4"/>
  <c r="CM50" i="4"/>
  <c r="BN50" i="4"/>
  <c r="CB50" i="4"/>
  <c r="CJ42" i="4"/>
  <c r="AE42" i="4"/>
  <c r="AM42" i="4"/>
  <c r="CI42" i="4"/>
  <c r="CG42" i="4"/>
  <c r="AC42" i="4"/>
  <c r="AK42" i="4"/>
  <c r="CC42" i="4"/>
  <c r="CB42" i="4"/>
  <c r="BN42" i="4"/>
  <c r="CM42" i="4"/>
  <c r="CL42" i="4"/>
  <c r="CF42" i="4"/>
  <c r="CD42" i="4"/>
  <c r="BP42" i="4"/>
  <c r="CE42" i="4"/>
  <c r="CN42" i="4"/>
  <c r="CK42" i="4"/>
  <c r="CJ30" i="4"/>
  <c r="AC30" i="4"/>
  <c r="BN30" i="4"/>
  <c r="BP30" i="4"/>
  <c r="CK30" i="4"/>
  <c r="CI30" i="4"/>
  <c r="AK30" i="4"/>
  <c r="CN30" i="4"/>
  <c r="CM30" i="4"/>
  <c r="CC30" i="4"/>
  <c r="CF30" i="4"/>
  <c r="AM30" i="4"/>
  <c r="CL30" i="4"/>
  <c r="CB30" i="4"/>
  <c r="AE30" i="4"/>
  <c r="CM41" i="4"/>
  <c r="CC41" i="4"/>
  <c r="AK41" i="4"/>
  <c r="CJ41" i="4"/>
  <c r="AM41" i="4"/>
  <c r="CK41" i="4"/>
  <c r="BN41" i="4"/>
  <c r="CG41" i="4"/>
  <c r="CF41" i="4"/>
  <c r="AE41" i="4"/>
  <c r="CB41" i="4"/>
  <c r="CN41" i="4"/>
  <c r="BP41" i="4"/>
  <c r="CL41" i="4"/>
  <c r="AC41" i="4"/>
  <c r="BP5" i="4"/>
  <c r="CM5" i="4"/>
  <c r="CC5" i="4"/>
  <c r="CB5" i="4"/>
  <c r="CG5" i="4"/>
  <c r="AK5" i="4"/>
  <c r="CF5" i="4"/>
  <c r="AM5" i="4"/>
  <c r="CD5" i="4"/>
  <c r="CJ5" i="4"/>
  <c r="CI5" i="4"/>
  <c r="CL5" i="4"/>
  <c r="CK5" i="4"/>
  <c r="BN5" i="4"/>
  <c r="AC5" i="4"/>
  <c r="AE5" i="4"/>
  <c r="CE5" i="4"/>
  <c r="CN5" i="4"/>
  <c r="CC45" i="4"/>
  <c r="BP45" i="4"/>
  <c r="AC45" i="4"/>
  <c r="AE45" i="4"/>
  <c r="CK45" i="4"/>
  <c r="CF45" i="4"/>
  <c r="CE45" i="4"/>
  <c r="CL45" i="4"/>
  <c r="CN45" i="4"/>
  <c r="BN45" i="4"/>
  <c r="AM45" i="4"/>
  <c r="CM45" i="4"/>
  <c r="CI45" i="4"/>
  <c r="CB45" i="4"/>
  <c r="AK45" i="4"/>
  <c r="CG45" i="4"/>
  <c r="CJ45" i="4"/>
  <c r="CD45" i="4"/>
  <c r="CN78" i="4"/>
  <c r="CM78" i="4"/>
  <c r="CE78" i="4"/>
  <c r="CF78" i="4"/>
  <c r="CK78" i="4"/>
  <c r="CC78" i="4"/>
  <c r="BP78" i="4"/>
  <c r="CJ78" i="4"/>
  <c r="CI78" i="4"/>
  <c r="CL78" i="4"/>
  <c r="AE78" i="4"/>
  <c r="CB78" i="4"/>
  <c r="AC78" i="4"/>
  <c r="AM78" i="4"/>
  <c r="CD78" i="4"/>
  <c r="AK78" i="4"/>
  <c r="CG78" i="4"/>
  <c r="BN78" i="4"/>
  <c r="CC51" i="4"/>
  <c r="CJ51" i="4"/>
  <c r="CE51" i="4"/>
  <c r="CF51" i="4"/>
  <c r="AE51" i="4"/>
  <c r="AM51" i="4"/>
  <c r="CN51" i="4"/>
  <c r="CM51" i="4"/>
  <c r="AK51" i="4"/>
  <c r="CK51" i="4"/>
  <c r="CB51" i="4"/>
  <c r="CL51" i="4"/>
  <c r="CD51" i="4"/>
  <c r="CI51" i="4"/>
  <c r="BN51" i="4"/>
  <c r="AC51" i="4"/>
  <c r="CG51" i="4"/>
  <c r="BP51" i="4"/>
  <c r="AM48" i="4"/>
  <c r="CK48" i="4"/>
  <c r="CM48" i="4"/>
  <c r="CC48" i="4"/>
  <c r="CD48" i="4"/>
  <c r="CG48" i="4"/>
  <c r="CI48" i="4"/>
  <c r="AK48" i="4"/>
  <c r="BN48" i="4"/>
  <c r="CB48" i="4"/>
  <c r="CJ48" i="4"/>
  <c r="CN48" i="4"/>
  <c r="CE48" i="4"/>
  <c r="CF48" i="4"/>
  <c r="CG74" i="4"/>
  <c r="CL74" i="4"/>
  <c r="BP74" i="4"/>
  <c r="CB74" i="4"/>
  <c r="CF74" i="4"/>
  <c r="AC74" i="4"/>
  <c r="CM74" i="4"/>
  <c r="AK74" i="4"/>
  <c r="AM74" i="4"/>
  <c r="CJ74" i="4"/>
  <c r="CN74" i="4"/>
  <c r="CE74" i="4"/>
  <c r="CC74" i="4"/>
  <c r="AE74" i="4"/>
  <c r="CI74" i="4"/>
  <c r="CD74" i="4"/>
  <c r="CL28" i="4"/>
  <c r="CJ28" i="4"/>
  <c r="AE28" i="4"/>
  <c r="AC28" i="4"/>
  <c r="AK28" i="4"/>
  <c r="CK28" i="4"/>
  <c r="BN28" i="4"/>
  <c r="CD28" i="4"/>
  <c r="CE28" i="4"/>
  <c r="CI28" i="4"/>
  <c r="CN28" i="4"/>
  <c r="CB28" i="4"/>
  <c r="CF28" i="4"/>
  <c r="CM28" i="4"/>
  <c r="CG28" i="4"/>
  <c r="CC28" i="4"/>
  <c r="CD22" i="4"/>
  <c r="AE22" i="4"/>
  <c r="AC22" i="4"/>
  <c r="CC22" i="4"/>
  <c r="BN22" i="4"/>
  <c r="CF22" i="4"/>
  <c r="CN22" i="4"/>
  <c r="AM22" i="4"/>
  <c r="CI22" i="4"/>
  <c r="CM22" i="4"/>
  <c r="AK22" i="4"/>
  <c r="CK22" i="4"/>
  <c r="CG22" i="4"/>
  <c r="CL22" i="4"/>
  <c r="CJ22" i="4"/>
  <c r="CB22" i="4"/>
  <c r="BP22" i="4"/>
  <c r="CE22" i="4"/>
  <c r="AC47" i="4"/>
  <c r="AK47" i="4"/>
  <c r="CF47" i="4"/>
  <c r="CC47" i="4"/>
  <c r="CI47" i="4"/>
  <c r="BN47" i="4"/>
  <c r="CK47" i="4"/>
  <c r="BP47" i="4"/>
  <c r="AM47" i="4"/>
  <c r="CB47" i="4"/>
  <c r="CE47" i="4"/>
  <c r="CG47" i="4"/>
  <c r="CL47" i="4"/>
  <c r="CD47" i="4"/>
  <c r="AE47" i="4"/>
  <c r="CJ47" i="4"/>
  <c r="CM47" i="4"/>
  <c r="CN47" i="4"/>
  <c r="BN77" i="4"/>
  <c r="CE77" i="4"/>
  <c r="CN77" i="4"/>
  <c r="AC77" i="4"/>
  <c r="CI77" i="4"/>
  <c r="BP77" i="4"/>
  <c r="CC77" i="4"/>
  <c r="CK77" i="4"/>
  <c r="CB77" i="4"/>
  <c r="CF77" i="4"/>
  <c r="CM77" i="4"/>
  <c r="CG77" i="4"/>
  <c r="AK77" i="4"/>
  <c r="AM77" i="4"/>
  <c r="CD77" i="4"/>
  <c r="AE77" i="4"/>
  <c r="CL77" i="4"/>
  <c r="CJ77" i="4"/>
  <c r="CL31" i="4"/>
  <c r="AC31" i="4"/>
  <c r="CF31" i="4"/>
  <c r="AM31" i="4"/>
  <c r="BN31" i="4"/>
  <c r="CI31" i="4"/>
  <c r="AK31" i="4"/>
  <c r="CM31" i="4"/>
  <c r="CK31" i="4"/>
  <c r="CE31" i="4"/>
  <c r="CC31" i="4"/>
  <c r="CB31" i="4"/>
  <c r="BP31" i="4"/>
  <c r="CN31" i="4"/>
  <c r="AE31" i="4"/>
  <c r="CD31" i="4"/>
  <c r="CG31" i="4"/>
  <c r="CJ31" i="4"/>
  <c r="AI58" i="4"/>
  <c r="AJ58" i="4"/>
  <c r="B58" i="1"/>
  <c r="AM63" i="4"/>
  <c r="CI63" i="4"/>
  <c r="CL63" i="4"/>
  <c r="CE63" i="4"/>
  <c r="AC63" i="4"/>
  <c r="CG63" i="4"/>
  <c r="CN63" i="4"/>
  <c r="AE63" i="4"/>
  <c r="CB63" i="4"/>
  <c r="CF63" i="4"/>
  <c r="BN63" i="4"/>
  <c r="CK63" i="4"/>
  <c r="CM63" i="4"/>
  <c r="BP63" i="4"/>
  <c r="CM62" i="4"/>
  <c r="CL62" i="4"/>
  <c r="CG62" i="4"/>
  <c r="CK62" i="4"/>
  <c r="CF62" i="4"/>
  <c r="CI62" i="4"/>
  <c r="BN62" i="4"/>
  <c r="AK62" i="4"/>
  <c r="CJ62" i="4"/>
  <c r="AE62" i="4"/>
  <c r="BP62" i="4"/>
  <c r="CE62" i="4"/>
  <c r="CN62" i="4"/>
  <c r="AC62" i="4"/>
  <c r="AM62" i="4"/>
  <c r="CB62" i="4"/>
  <c r="CD62" i="4"/>
  <c r="CG27" i="4"/>
  <c r="AC27" i="4"/>
  <c r="AK27" i="4"/>
  <c r="CB27" i="4"/>
  <c r="CN27" i="4"/>
  <c r="AE27" i="4"/>
  <c r="CK27" i="4"/>
  <c r="CC27" i="4"/>
  <c r="CF27" i="4"/>
  <c r="BN27" i="4"/>
  <c r="CM27" i="4"/>
  <c r="CJ27" i="4"/>
  <c r="CD27" i="4"/>
  <c r="CL27" i="4"/>
  <c r="AM27" i="4"/>
  <c r="CI27" i="4"/>
  <c r="CE27" i="4"/>
  <c r="BP27" i="4"/>
  <c r="BN75" i="4"/>
  <c r="AC75" i="4"/>
  <c r="AE75" i="4"/>
  <c r="CF75" i="4"/>
  <c r="AM75" i="4"/>
  <c r="CG75" i="4"/>
  <c r="CB75" i="4"/>
  <c r="AK75" i="4"/>
  <c r="CI75" i="4"/>
  <c r="CE75" i="4"/>
  <c r="CL75" i="4"/>
  <c r="CN75" i="4"/>
  <c r="CM75" i="4"/>
  <c r="CD75" i="4"/>
  <c r="CJ75" i="4"/>
  <c r="BP75" i="4"/>
  <c r="CC75" i="4"/>
  <c r="CK75" i="4"/>
  <c r="BP26" i="4"/>
  <c r="CC26" i="4"/>
  <c r="AM26" i="4"/>
  <c r="CD26" i="4"/>
  <c r="AK26" i="4"/>
  <c r="CM26" i="4"/>
  <c r="BN26" i="4"/>
  <c r="CG26" i="4"/>
  <c r="CF26" i="4"/>
  <c r="CJ26" i="4"/>
  <c r="AC26" i="4"/>
  <c r="CL26" i="4"/>
  <c r="CB26" i="4"/>
  <c r="CE26" i="4"/>
  <c r="CK26" i="4"/>
  <c r="CI26" i="4"/>
  <c r="CN26" i="4"/>
  <c r="AE26" i="4"/>
  <c r="BP12" i="4"/>
  <c r="CF12" i="4"/>
  <c r="AE12" i="4"/>
  <c r="CK12" i="4"/>
  <c r="CB12" i="4"/>
  <c r="CE12" i="4"/>
  <c r="AM12" i="4"/>
  <c r="CM12" i="4"/>
  <c r="CG12" i="4"/>
  <c r="AK12" i="4"/>
  <c r="CC12" i="4"/>
  <c r="CD12" i="4"/>
  <c r="BN12" i="4"/>
  <c r="CJ12" i="4"/>
  <c r="CI12" i="4"/>
  <c r="AC12" i="4"/>
  <c r="CN12" i="4"/>
  <c r="CL12" i="4"/>
  <c r="CC65" i="4"/>
  <c r="AE65" i="4"/>
  <c r="CK65" i="4"/>
  <c r="AM65" i="4"/>
  <c r="CG65" i="4"/>
  <c r="CL65" i="4"/>
  <c r="CF65" i="4"/>
  <c r="BP65" i="4"/>
  <c r="CD65" i="4"/>
  <c r="CE65" i="4"/>
  <c r="CB65" i="4"/>
  <c r="AK65" i="4"/>
  <c r="BN65" i="4"/>
  <c r="CJ65" i="4"/>
  <c r="CI65" i="4"/>
  <c r="AC65" i="4"/>
  <c r="CM65" i="4"/>
  <c r="CN65" i="4"/>
  <c r="CD36" i="4"/>
  <c r="CN36" i="4"/>
  <c r="CJ36" i="4"/>
  <c r="CM36" i="4"/>
  <c r="AK36" i="4"/>
  <c r="CF36" i="4"/>
  <c r="BP36" i="4"/>
  <c r="CB36" i="4"/>
  <c r="CE36" i="4"/>
  <c r="CG36" i="4"/>
  <c r="BN36" i="4"/>
  <c r="AC36" i="4"/>
  <c r="CI36" i="4"/>
  <c r="CC36" i="4"/>
  <c r="AM36" i="4"/>
  <c r="CK36" i="4"/>
  <c r="AE36" i="4"/>
  <c r="CL36" i="4"/>
  <c r="AO58" i="4"/>
  <c r="AN58" i="4"/>
  <c r="A1133" i="13"/>
  <c r="A836" i="13"/>
  <c r="AX836" i="13" s="1"/>
  <c r="A637" i="13"/>
  <c r="A1034" i="13"/>
  <c r="AX37" i="13"/>
  <c r="A537" i="13"/>
  <c r="A437" i="13"/>
  <c r="AX537" i="13"/>
  <c r="A736" i="13"/>
  <c r="AX736" i="13" s="1"/>
  <c r="AX437" i="13"/>
  <c r="AX1034" i="13"/>
  <c r="A137" i="13"/>
  <c r="AX637" i="13"/>
  <c r="A935" i="13"/>
  <c r="AX935" i="13" s="1"/>
  <c r="A1833" i="13"/>
  <c r="BV83" i="4" a="1"/>
  <c r="BV83" i="4" s="1"/>
  <c r="BC83" i="4" a="1"/>
  <c r="BC83" i="4" s="1"/>
  <c r="A83" i="20"/>
  <c r="D83" i="4"/>
  <c r="C83" i="4"/>
  <c r="BU83" i="4" a="1"/>
  <c r="BU83" i="4" s="1"/>
  <c r="A85" i="9"/>
  <c r="D83" i="1"/>
  <c r="BC69" i="4" a="1"/>
  <c r="BC69" i="4" s="1"/>
  <c r="BV69" i="4" a="1"/>
  <c r="BV69" i="4" s="1"/>
  <c r="D69" i="1"/>
  <c r="D69" i="4"/>
  <c r="BU69" i="4" a="1"/>
  <c r="BU69" i="4" s="1"/>
  <c r="A71" i="9"/>
  <c r="A69" i="20"/>
  <c r="C69" i="4"/>
  <c r="K15" i="27"/>
  <c r="CU9" i="4"/>
  <c r="CV9" i="4" s="1"/>
  <c r="DB9" i="4"/>
  <c r="AM9" i="69" s="1"/>
  <c r="AX9" i="4"/>
  <c r="A15" i="4"/>
  <c r="D15" i="4"/>
  <c r="C15" i="4"/>
  <c r="I15" i="4"/>
  <c r="AZ15" i="4"/>
  <c r="A15" i="20"/>
  <c r="BV15" i="4" a="1"/>
  <c r="BV15" i="4" s="1"/>
  <c r="D15" i="1"/>
  <c r="A17" i="9"/>
  <c r="M15" i="4"/>
  <c r="BS15" i="4"/>
  <c r="BU15" i="4" a="1"/>
  <c r="BU15" i="4" s="1"/>
  <c r="K15" i="4"/>
  <c r="BC15" i="4" a="1"/>
  <c r="BC15" i="4" s="1"/>
  <c r="AX629" i="13"/>
  <c r="A1825" i="13"/>
  <c r="A728" i="13"/>
  <c r="AX728" i="13" s="1"/>
  <c r="A1125" i="13"/>
  <c r="A828" i="13"/>
  <c r="AX828" i="13" s="1"/>
  <c r="A927" i="13"/>
  <c r="AX927" i="13" s="1"/>
  <c r="AX529" i="13"/>
  <c r="A529" i="13"/>
  <c r="A629" i="13"/>
  <c r="AX429" i="13"/>
  <c r="AX29" i="13"/>
  <c r="AX1026" i="13"/>
  <c r="A1026" i="13"/>
  <c r="A429" i="13"/>
  <c r="A129" i="13"/>
  <c r="I20" i="4"/>
  <c r="D20" i="4"/>
  <c r="BC20" i="4" a="1"/>
  <c r="BC20" i="4" s="1"/>
  <c r="A20" i="4"/>
  <c r="BS20" i="4"/>
  <c r="D20" i="1"/>
  <c r="AZ20" i="4"/>
  <c r="M20" i="4"/>
  <c r="C20" i="4"/>
  <c r="BU20" i="4" a="1"/>
  <c r="BU20" i="4" s="1"/>
  <c r="BV20" i="4" a="1"/>
  <c r="BV20" i="4" s="1"/>
  <c r="K20" i="4"/>
  <c r="A20" i="20"/>
  <c r="A22" i="9"/>
  <c r="A1817" i="13"/>
  <c r="A720" i="13"/>
  <c r="AX720" i="13" s="1"/>
  <c r="A421" i="13"/>
  <c r="A820" i="13"/>
  <c r="AX820" i="13" s="1"/>
  <c r="AX21" i="13"/>
  <c r="A121" i="13"/>
  <c r="A521" i="13"/>
  <c r="AX1018" i="13"/>
  <c r="A1018" i="13"/>
  <c r="A1117" i="13"/>
  <c r="AX421" i="13"/>
  <c r="AX621" i="13"/>
  <c r="A919" i="13"/>
  <c r="AX919" i="13" s="1"/>
  <c r="AX521" i="13"/>
  <c r="A621" i="13"/>
  <c r="A1035" i="13"/>
  <c r="A138" i="13"/>
  <c r="A837" i="13"/>
  <c r="AX837" i="13" s="1"/>
  <c r="A438" i="13"/>
  <c r="A638" i="13"/>
  <c r="A1134" i="13"/>
  <c r="AX38" i="13"/>
  <c r="AX538" i="13"/>
  <c r="AX638" i="13"/>
  <c r="AX438" i="13"/>
  <c r="AX1035" i="13"/>
  <c r="A737" i="13"/>
  <c r="AX737" i="13" s="1"/>
  <c r="A936" i="13"/>
  <c r="AX936" i="13" s="1"/>
  <c r="A538" i="13"/>
  <c r="A1834" i="13"/>
  <c r="D87" i="1"/>
  <c r="A89" i="9"/>
  <c r="A87" i="20"/>
  <c r="BU87" i="4" a="1"/>
  <c r="BU87" i="4" s="1"/>
  <c r="BV87" i="4" a="1"/>
  <c r="BV87" i="4" s="1"/>
  <c r="BC87" i="4" a="1"/>
  <c r="BC87" i="4" s="1"/>
  <c r="D87" i="4"/>
  <c r="C87" i="4"/>
  <c r="A1065" i="13"/>
  <c r="AX668" i="13"/>
  <c r="A867" i="13"/>
  <c r="AX867" i="13" s="1"/>
  <c r="AX68" i="13"/>
  <c r="A966" i="13"/>
  <c r="AX966" i="13" s="1"/>
  <c r="AX568" i="13"/>
  <c r="A168" i="13"/>
  <c r="A1864" i="13"/>
  <c r="A568" i="13"/>
  <c r="A767" i="13"/>
  <c r="AX767" i="13" s="1"/>
  <c r="A668" i="13"/>
  <c r="A468" i="13"/>
  <c r="AX468" i="13"/>
  <c r="A1164" i="13"/>
  <c r="AX1065" i="13"/>
  <c r="A747" i="13"/>
  <c r="AX747" i="13" s="1"/>
  <c r="A148" i="13"/>
  <c r="A847" i="13"/>
  <c r="AX847" i="13" s="1"/>
  <c r="A648" i="13"/>
  <c r="AX48" i="13"/>
  <c r="AX1045" i="13"/>
  <c r="AX648" i="13"/>
  <c r="AX448" i="13"/>
  <c r="A1045" i="13"/>
  <c r="A1144" i="13"/>
  <c r="AX548" i="13"/>
  <c r="A946" i="13"/>
  <c r="AX946" i="13" s="1"/>
  <c r="A548" i="13"/>
  <c r="A448" i="13"/>
  <c r="A1844" i="13"/>
  <c r="A126" i="13"/>
  <c r="A924" i="13"/>
  <c r="AX924" i="13" s="1"/>
  <c r="A1122" i="13"/>
  <c r="AX26" i="13"/>
  <c r="A1822" i="13"/>
  <c r="AX626" i="13"/>
  <c r="A825" i="13"/>
  <c r="AX825" i="13" s="1"/>
  <c r="AX526" i="13"/>
  <c r="A426" i="13"/>
  <c r="A1023" i="13"/>
  <c r="A725" i="13"/>
  <c r="AX725" i="13" s="1"/>
  <c r="AX426" i="13"/>
  <c r="A626" i="13"/>
  <c r="AX1023" i="13"/>
  <c r="A526" i="13"/>
  <c r="A19" i="9"/>
  <c r="I17" i="4"/>
  <c r="K17" i="4"/>
  <c r="M17" i="4"/>
  <c r="D17" i="4"/>
  <c r="C17" i="4"/>
  <c r="BU17" i="4" a="1"/>
  <c r="BU17" i="4" s="1"/>
  <c r="BC17" i="4" a="1"/>
  <c r="BC17" i="4" s="1"/>
  <c r="D17" i="1"/>
  <c r="AZ17" i="4"/>
  <c r="A17" i="20"/>
  <c r="BS17" i="4"/>
  <c r="BV17" i="4" a="1"/>
  <c r="BV17" i="4" s="1"/>
  <c r="A17" i="4"/>
  <c r="D35" i="1"/>
  <c r="I35" i="4"/>
  <c r="C35" i="4"/>
  <c r="M35" i="4"/>
  <c r="A37" i="9"/>
  <c r="BV35" i="4" a="1"/>
  <c r="BV35" i="4" s="1"/>
  <c r="AZ35" i="4"/>
  <c r="BS35" i="4"/>
  <c r="K35" i="4"/>
  <c r="BC35" i="4" a="1"/>
  <c r="BC35" i="4" s="1"/>
  <c r="BU35" i="4" a="1"/>
  <c r="BU35" i="4" s="1"/>
  <c r="A35" i="20"/>
  <c r="A35" i="4"/>
  <c r="D35" i="4"/>
  <c r="A542" i="13"/>
  <c r="A442" i="13"/>
  <c r="AX542" i="13"/>
  <c r="A741" i="13"/>
  <c r="AX741" i="13" s="1"/>
  <c r="A940" i="13"/>
  <c r="AX940" i="13" s="1"/>
  <c r="A1039" i="13"/>
  <c r="A642" i="13"/>
  <c r="A841" i="13"/>
  <c r="AX841" i="13" s="1"/>
  <c r="AX42" i="13"/>
  <c r="AX642" i="13"/>
  <c r="AX442" i="13"/>
  <c r="A1138" i="13"/>
  <c r="AX1039" i="13"/>
  <c r="A142" i="13"/>
  <c r="A1838" i="13"/>
  <c r="K5" i="27"/>
  <c r="B6" i="27"/>
  <c r="C82" i="4"/>
  <c r="A82" i="20"/>
  <c r="A84" i="9"/>
  <c r="BC82" i="4" a="1"/>
  <c r="BC82" i="4" s="1"/>
  <c r="BV82" i="4" a="1"/>
  <c r="BV82" i="4" s="1"/>
  <c r="D82" i="4"/>
  <c r="BU82" i="4" a="1"/>
  <c r="BU82" i="4" s="1"/>
  <c r="D82" i="1"/>
  <c r="BV70" i="4" a="1"/>
  <c r="BV70" i="4" s="1"/>
  <c r="C70" i="4"/>
  <c r="A70" i="20"/>
  <c r="A72" i="9"/>
  <c r="BU70" i="4" a="1"/>
  <c r="BU70" i="4" s="1"/>
  <c r="D70" i="4"/>
  <c r="D70" i="1"/>
  <c r="BC70" i="4" a="1"/>
  <c r="BC70" i="4" s="1"/>
  <c r="A920" i="13"/>
  <c r="AX920" i="13" s="1"/>
  <c r="AX22" i="13"/>
  <c r="A622" i="13"/>
  <c r="AX422" i="13"/>
  <c r="A422" i="13"/>
  <c r="AX1019" i="13"/>
  <c r="A522" i="13"/>
  <c r="AX522" i="13"/>
  <c r="A821" i="13"/>
  <c r="AX821" i="13" s="1"/>
  <c r="AX622" i="13"/>
  <c r="A1019" i="13"/>
  <c r="A721" i="13"/>
  <c r="AX721" i="13" s="1"/>
  <c r="A1818" i="13"/>
  <c r="A122" i="13"/>
  <c r="A1118" i="13"/>
  <c r="AZ19" i="4"/>
  <c r="K19" i="4"/>
  <c r="C19" i="4"/>
  <c r="A19" i="20"/>
  <c r="BV19" i="4" a="1"/>
  <c r="BV19" i="4" s="1"/>
  <c r="M19" i="4"/>
  <c r="A19" i="4"/>
  <c r="BU19" i="4" a="1"/>
  <c r="BU19" i="4" s="1"/>
  <c r="D19" i="4"/>
  <c r="BC19" i="4" a="1"/>
  <c r="BC19" i="4" s="1"/>
  <c r="A21" i="9"/>
  <c r="I19" i="4"/>
  <c r="BS19" i="4"/>
  <c r="D19" i="1"/>
  <c r="AX1695" i="13"/>
  <c r="AX1696" i="13" s="1"/>
  <c r="I1703" i="13"/>
  <c r="DC3" i="4"/>
  <c r="AV205" i="13"/>
  <c r="T3" i="4"/>
  <c r="A918" i="13"/>
  <c r="AX918" i="13" s="1"/>
  <c r="AX620" i="13"/>
  <c r="A1017" i="13"/>
  <c r="A120" i="13"/>
  <c r="AX520" i="13"/>
  <c r="A420" i="13"/>
  <c r="AX20" i="13"/>
  <c r="AX420" i="13"/>
  <c r="A520" i="13"/>
  <c r="A1116" i="13"/>
  <c r="A620" i="13"/>
  <c r="A719" i="13"/>
  <c r="AX719" i="13" s="1"/>
  <c r="A819" i="13"/>
  <c r="AX819" i="13" s="1"/>
  <c r="AX1017" i="13"/>
  <c r="A1816" i="13"/>
  <c r="A987" i="13"/>
  <c r="AX987" i="13" s="1"/>
  <c r="AX89" i="13"/>
  <c r="AX689" i="13"/>
  <c r="A189" i="13"/>
  <c r="AX589" i="13"/>
  <c r="A1885" i="13"/>
  <c r="A1185" i="13"/>
  <c r="A788" i="13"/>
  <c r="AX788" i="13" s="1"/>
  <c r="A489" i="13"/>
  <c r="A589" i="13"/>
  <c r="A689" i="13"/>
  <c r="AX1086" i="13"/>
  <c r="A888" i="13"/>
  <c r="AX888" i="13" s="1"/>
  <c r="AX489" i="13"/>
  <c r="A1086" i="13"/>
  <c r="A66" i="20"/>
  <c r="A68" i="9"/>
  <c r="D66" i="1"/>
  <c r="BU66" i="4" a="1"/>
  <c r="BU66" i="4" s="1"/>
  <c r="BV66" i="4" a="1"/>
  <c r="BV66" i="4" s="1"/>
  <c r="C66" i="4"/>
  <c r="BC66" i="4" a="1"/>
  <c r="BC66" i="4" s="1"/>
  <c r="D66" i="4"/>
  <c r="AZ46" i="4"/>
  <c r="A46" i="20"/>
  <c r="A48" i="9"/>
  <c r="D46" i="4"/>
  <c r="BU46" i="4" a="1"/>
  <c r="BU46" i="4" s="1"/>
  <c r="M46" i="4"/>
  <c r="BS46" i="4"/>
  <c r="C46" i="4"/>
  <c r="D46" i="1"/>
  <c r="I46" i="4"/>
  <c r="K46" i="4"/>
  <c r="BV46" i="4" a="1"/>
  <c r="BV46" i="4" s="1"/>
  <c r="BC46" i="4" a="1"/>
  <c r="BC46" i="4" s="1"/>
  <c r="A46" i="4"/>
  <c r="A24" i="20"/>
  <c r="BC24" i="4" a="1"/>
  <c r="BC24" i="4" s="1"/>
  <c r="C24" i="4"/>
  <c r="K24" i="4"/>
  <c r="A24" i="4"/>
  <c r="D24" i="4"/>
  <c r="A26" i="9"/>
  <c r="BV24" i="4" a="1"/>
  <c r="BV24" i="4" s="1"/>
  <c r="BS24" i="4"/>
  <c r="D24" i="1"/>
  <c r="AZ24" i="4"/>
  <c r="M24" i="4"/>
  <c r="I24" i="4"/>
  <c r="BU24" i="4" a="1"/>
  <c r="BU24" i="4" s="1"/>
  <c r="A519" i="13"/>
  <c r="A119" i="13"/>
  <c r="AX419" i="13"/>
  <c r="A1815" i="13"/>
  <c r="A917" i="13"/>
  <c r="AX917" i="13" s="1"/>
  <c r="AX1016" i="13"/>
  <c r="A1016" i="13"/>
  <c r="AX19" i="13"/>
  <c r="A1115" i="13"/>
  <c r="AX519" i="13"/>
  <c r="AX619" i="13"/>
  <c r="A619" i="13"/>
  <c r="A419" i="13"/>
  <c r="A818" i="13"/>
  <c r="AX818" i="13" s="1"/>
  <c r="A718" i="13"/>
  <c r="AX718" i="13" s="1"/>
  <c r="A195" i="13"/>
  <c r="AX695" i="13"/>
  <c r="AX595" i="13"/>
  <c r="AX495" i="13"/>
  <c r="AX1092" i="13"/>
  <c r="A695" i="13"/>
  <c r="A1191" i="13"/>
  <c r="A794" i="13"/>
  <c r="AX794" i="13" s="1"/>
  <c r="A495" i="13"/>
  <c r="A1891" i="13"/>
  <c r="AX95" i="13"/>
  <c r="A894" i="13"/>
  <c r="AX894" i="13" s="1"/>
  <c r="A1092" i="13"/>
  <c r="A993" i="13"/>
  <c r="AX993" i="13" s="1"/>
  <c r="A595" i="13"/>
  <c r="D89" i="1"/>
  <c r="BC89" i="4" a="1"/>
  <c r="BC89" i="4" s="1"/>
  <c r="BU89" i="4" a="1"/>
  <c r="BU89" i="4" s="1"/>
  <c r="BV89" i="4" a="1"/>
  <c r="BV89" i="4" s="1"/>
  <c r="C89" i="4"/>
  <c r="A91" i="9"/>
  <c r="D89" i="4"/>
  <c r="A89" i="20"/>
  <c r="M40" i="4"/>
  <c r="BS40" i="4"/>
  <c r="A42" i="9"/>
  <c r="BV40" i="4" a="1"/>
  <c r="BV40" i="4" s="1"/>
  <c r="C40" i="4"/>
  <c r="BC40" i="4" a="1"/>
  <c r="BC40" i="4" s="1"/>
  <c r="D40" i="1"/>
  <c r="A40" i="20"/>
  <c r="A40" i="4"/>
  <c r="K40" i="4"/>
  <c r="AZ40" i="4"/>
  <c r="BU40" i="4" a="1"/>
  <c r="BU40" i="4" s="1"/>
  <c r="I40" i="4"/>
  <c r="D40" i="4"/>
  <c r="AX10" i="4"/>
  <c r="DB10" i="4"/>
  <c r="AM10" i="69" s="1"/>
  <c r="CU10" i="4"/>
  <c r="CV10" i="4" s="1"/>
  <c r="AS10" i="4"/>
  <c r="AV612" i="13" s="1"/>
  <c r="AX484" i="13"/>
  <c r="AX84" i="13"/>
  <c r="A584" i="13"/>
  <c r="A184" i="13"/>
  <c r="A1180" i="13"/>
  <c r="A783" i="13"/>
  <c r="AX783" i="13" s="1"/>
  <c r="AX1081" i="13"/>
  <c r="A684" i="13"/>
  <c r="A1081" i="13"/>
  <c r="A484" i="13"/>
  <c r="A883" i="13"/>
  <c r="AX883" i="13" s="1"/>
  <c r="AX584" i="13"/>
  <c r="A982" i="13"/>
  <c r="AX982" i="13" s="1"/>
  <c r="A1880" i="13"/>
  <c r="AX684" i="13"/>
  <c r="AX472" i="13"/>
  <c r="AX572" i="13"/>
  <c r="A1069" i="13"/>
  <c r="A1868" i="13"/>
  <c r="A871" i="13"/>
  <c r="AX871" i="13" s="1"/>
  <c r="A1168" i="13"/>
  <c r="AX672" i="13"/>
  <c r="A172" i="13"/>
  <c r="AX72" i="13"/>
  <c r="A672" i="13"/>
  <c r="A771" i="13"/>
  <c r="AX771" i="13" s="1"/>
  <c r="AX1069" i="13"/>
  <c r="A572" i="13"/>
  <c r="A970" i="13"/>
  <c r="AX970" i="13" s="1"/>
  <c r="A472" i="13"/>
  <c r="A46" i="9"/>
  <c r="C44" i="4"/>
  <c r="K44" i="4"/>
  <c r="D44" i="1"/>
  <c r="BV44" i="4" a="1"/>
  <c r="BV44" i="4" s="1"/>
  <c r="BC44" i="4" a="1"/>
  <c r="BC44" i="4" s="1"/>
  <c r="A44" i="20"/>
  <c r="I44" i="4"/>
  <c r="BU44" i="4" a="1"/>
  <c r="BU44" i="4" s="1"/>
  <c r="AZ44" i="4"/>
  <c r="BS44" i="4"/>
  <c r="M44" i="4"/>
  <c r="D44" i="4"/>
  <c r="A44" i="4"/>
  <c r="AX692" i="13"/>
  <c r="AX492" i="13"/>
  <c r="A990" i="13"/>
  <c r="AX990" i="13" s="1"/>
  <c r="AX92" i="13"/>
  <c r="A791" i="13"/>
  <c r="AX791" i="13" s="1"/>
  <c r="A192" i="13"/>
  <c r="A891" i="13"/>
  <c r="AX891" i="13" s="1"/>
  <c r="A1089" i="13"/>
  <c r="A592" i="13"/>
  <c r="A1888" i="13"/>
  <c r="AX1089" i="13"/>
  <c r="A492" i="13"/>
  <c r="A692" i="13"/>
  <c r="AX592" i="13"/>
  <c r="A1188" i="13"/>
  <c r="AX575" i="13"/>
  <c r="A1171" i="13"/>
  <c r="A175" i="13"/>
  <c r="A575" i="13"/>
  <c r="A874" i="13"/>
  <c r="AX874" i="13" s="1"/>
  <c r="AX75" i="13"/>
  <c r="A1072" i="13"/>
  <c r="A1871" i="13"/>
  <c r="AX475" i="13"/>
  <c r="A675" i="13"/>
  <c r="A475" i="13"/>
  <c r="AX675" i="13"/>
  <c r="A973" i="13"/>
  <c r="AX973" i="13" s="1"/>
  <c r="AX1072" i="13"/>
  <c r="A774" i="13"/>
  <c r="AX774" i="13" s="1"/>
  <c r="BS38" i="4"/>
  <c r="BV38" i="4" a="1"/>
  <c r="BV38" i="4" s="1"/>
  <c r="K38" i="4"/>
  <c r="A40" i="9"/>
  <c r="A38" i="4"/>
  <c r="M38" i="4"/>
  <c r="BU38" i="4" a="1"/>
  <c r="BU38" i="4" s="1"/>
  <c r="AZ38" i="4"/>
  <c r="D38" i="1"/>
  <c r="A38" i="20"/>
  <c r="C38" i="4"/>
  <c r="BC38" i="4" a="1"/>
  <c r="BC38" i="4" s="1"/>
  <c r="I38" i="4"/>
  <c r="D38" i="4"/>
  <c r="AZ43" i="4"/>
  <c r="C43" i="4"/>
  <c r="K43" i="4"/>
  <c r="BU43" i="4" a="1"/>
  <c r="BU43" i="4" s="1"/>
  <c r="D43" i="4"/>
  <c r="A43" i="4"/>
  <c r="BV43" i="4" a="1"/>
  <c r="BV43" i="4" s="1"/>
  <c r="BS43" i="4"/>
  <c r="D43" i="1"/>
  <c r="A45" i="9"/>
  <c r="A43" i="20"/>
  <c r="M43" i="4"/>
  <c r="BC43" i="4" a="1"/>
  <c r="BC43" i="4" s="1"/>
  <c r="I43" i="4"/>
  <c r="A968" i="13"/>
  <c r="AX968" i="13" s="1"/>
  <c r="AX70" i="13"/>
  <c r="AX670" i="13"/>
  <c r="A570" i="13"/>
  <c r="A769" i="13"/>
  <c r="AX769" i="13" s="1"/>
  <c r="A670" i="13"/>
  <c r="A1166" i="13"/>
  <c r="A170" i="13"/>
  <c r="A1866" i="13"/>
  <c r="A470" i="13"/>
  <c r="AX470" i="13"/>
  <c r="A1067" i="13"/>
  <c r="AX570" i="13"/>
  <c r="A869" i="13"/>
  <c r="AX869" i="13" s="1"/>
  <c r="AX1067" i="13"/>
  <c r="A726" i="13"/>
  <c r="AX726" i="13" s="1"/>
  <c r="A1823" i="13"/>
  <c r="AX1024" i="13"/>
  <c r="A1123" i="13"/>
  <c r="AX627" i="13"/>
  <c r="AX27" i="13"/>
  <c r="A627" i="13"/>
  <c r="A826" i="13"/>
  <c r="AX826" i="13" s="1"/>
  <c r="A427" i="13"/>
  <c r="A127" i="13"/>
  <c r="A925" i="13"/>
  <c r="AX925" i="13" s="1"/>
  <c r="A527" i="13"/>
  <c r="AX427" i="13"/>
  <c r="A1024" i="13"/>
  <c r="AX527" i="13"/>
  <c r="D18" i="4"/>
  <c r="A18" i="20"/>
  <c r="BU18" i="4" a="1"/>
  <c r="BU18" i="4" s="1"/>
  <c r="D18" i="1"/>
  <c r="A18" i="4"/>
  <c r="BV18" i="4" a="1"/>
  <c r="BV18" i="4" s="1"/>
  <c r="I18" i="4"/>
  <c r="K18" i="4"/>
  <c r="BC18" i="4" a="1"/>
  <c r="BC18" i="4" s="1"/>
  <c r="M18" i="4"/>
  <c r="BS18" i="4"/>
  <c r="A20" i="9"/>
  <c r="C18" i="4"/>
  <c r="AZ18" i="4"/>
  <c r="A93" i="20"/>
  <c r="C93" i="4"/>
  <c r="BU93" i="4" a="1"/>
  <c r="BU93" i="4" s="1"/>
  <c r="BC93" i="4" a="1"/>
  <c r="BC93" i="4" s="1"/>
  <c r="D93" i="4"/>
  <c r="BV93" i="4" a="1"/>
  <c r="BV93" i="4" s="1"/>
  <c r="D93" i="1"/>
  <c r="A95" i="9"/>
  <c r="AX1088" i="13"/>
  <c r="A790" i="13"/>
  <c r="AX790" i="13" s="1"/>
  <c r="A1887" i="13"/>
  <c r="A1088" i="13"/>
  <c r="A491" i="13"/>
  <c r="AX691" i="13"/>
  <c r="A691" i="13"/>
  <c r="AX591" i="13"/>
  <c r="A890" i="13"/>
  <c r="AX890" i="13" s="1"/>
  <c r="A1187" i="13"/>
  <c r="A191" i="13"/>
  <c r="A591" i="13"/>
  <c r="AX491" i="13"/>
  <c r="AX91" i="13"/>
  <c r="A989" i="13"/>
  <c r="AX989" i="13" s="1"/>
  <c r="AX78" i="13"/>
  <c r="AX678" i="13"/>
  <c r="A1874" i="13"/>
  <c r="A678" i="13"/>
  <c r="A1174" i="13"/>
  <c r="A478" i="13"/>
  <c r="A976" i="13"/>
  <c r="AX976" i="13" s="1"/>
  <c r="AX1075" i="13"/>
  <c r="AX478" i="13"/>
  <c r="A178" i="13"/>
  <c r="A578" i="13"/>
  <c r="A777" i="13"/>
  <c r="AX777" i="13" s="1"/>
  <c r="AX578" i="13"/>
  <c r="A1075" i="13"/>
  <c r="A877" i="13"/>
  <c r="AX877" i="13" s="1"/>
  <c r="C59" i="4"/>
  <c r="S91" i="22"/>
  <c r="BV59" i="4" a="1"/>
  <c r="BV59" i="4" s="1"/>
  <c r="BU59" i="4" a="1"/>
  <c r="BU59" i="4" s="1"/>
  <c r="D59" i="1"/>
  <c r="BC59" i="4" a="1"/>
  <c r="BC59" i="4" s="1"/>
  <c r="D59" i="4"/>
  <c r="A61" i="9"/>
  <c r="A59" i="20"/>
  <c r="AX3" i="4"/>
  <c r="CU3" i="4"/>
  <c r="DB3" i="4"/>
  <c r="AS3" i="4"/>
  <c r="H5" i="9"/>
  <c r="W3" i="69"/>
  <c r="W3" i="72"/>
  <c r="K6" i="27"/>
  <c r="BA3" i="4" a="1"/>
  <c r="BA3" i="4" s="1"/>
  <c r="BB3" i="4" s="1"/>
  <c r="B3" i="4"/>
  <c r="AL3" i="4" s="1"/>
  <c r="A3" i="69"/>
  <c r="A3" i="72"/>
  <c r="A1804" i="13"/>
  <c r="A1005" i="13"/>
  <c r="AX8" i="13"/>
  <c r="A1104" i="13"/>
  <c r="A408" i="13"/>
  <c r="A108" i="13"/>
  <c r="A707" i="13"/>
  <c r="AX707" i="13" s="1"/>
  <c r="A608" i="13"/>
  <c r="AX1005" i="13"/>
  <c r="AX508" i="13"/>
  <c r="A508" i="13"/>
  <c r="A807" i="13"/>
  <c r="AX807" i="13" s="1"/>
  <c r="AX408" i="13"/>
  <c r="A906" i="13"/>
  <c r="AX906" i="13" s="1"/>
  <c r="AX608" i="13"/>
  <c r="A1038" i="13"/>
  <c r="AX541" i="13"/>
  <c r="A840" i="13"/>
  <c r="AX840" i="13" s="1"/>
  <c r="AX441" i="13"/>
  <c r="A441" i="13"/>
  <c r="A541" i="13"/>
  <c r="A1837" i="13"/>
  <c r="AX641" i="13"/>
  <c r="A740" i="13"/>
  <c r="AX740" i="13" s="1"/>
  <c r="AX41" i="13"/>
  <c r="A141" i="13"/>
  <c r="A939" i="13"/>
  <c r="AX939" i="13" s="1"/>
  <c r="A1137" i="13"/>
  <c r="A641" i="13"/>
  <c r="AX1038" i="13"/>
  <c r="AX646" i="13"/>
  <c r="A944" i="13"/>
  <c r="AX944" i="13" s="1"/>
  <c r="AX546" i="13"/>
  <c r="AX1043" i="13"/>
  <c r="AX46" i="13"/>
  <c r="A845" i="13"/>
  <c r="AX845" i="13" s="1"/>
  <c r="A745" i="13"/>
  <c r="AX745" i="13" s="1"/>
  <c r="A646" i="13"/>
  <c r="A446" i="13"/>
  <c r="A1142" i="13"/>
  <c r="A1043" i="13"/>
  <c r="AX446" i="13"/>
  <c r="A546" i="13"/>
  <c r="A146" i="13"/>
  <c r="A1842" i="13"/>
  <c r="A92" i="9"/>
  <c r="BV90" i="4" a="1"/>
  <c r="BV90" i="4" s="1"/>
  <c r="BU90" i="4" a="1"/>
  <c r="BU90" i="4" s="1"/>
  <c r="D90" i="4"/>
  <c r="C90" i="4"/>
  <c r="D90" i="1"/>
  <c r="BC90" i="4" a="1"/>
  <c r="BC90" i="4" s="1"/>
  <c r="A90" i="20"/>
  <c r="BC73" i="4" a="1"/>
  <c r="BC73" i="4" s="1"/>
  <c r="D73" i="1"/>
  <c r="A75" i="9"/>
  <c r="A73" i="20"/>
  <c r="D73" i="4"/>
  <c r="C73" i="4"/>
  <c r="BU73" i="4" a="1"/>
  <c r="BU73" i="4" s="1"/>
  <c r="BV73" i="4" a="1"/>
  <c r="BV73" i="4" s="1"/>
  <c r="A839" i="13"/>
  <c r="AX839" i="13" s="1"/>
  <c r="A938" i="13"/>
  <c r="AX938" i="13" s="1"/>
  <c r="A540" i="13"/>
  <c r="AX540" i="13"/>
  <c r="AX440" i="13"/>
  <c r="A140" i="13"/>
  <c r="A640" i="13"/>
  <c r="A1136" i="13"/>
  <c r="AX40" i="13"/>
  <c r="A1836" i="13"/>
  <c r="A739" i="13"/>
  <c r="AX739" i="13" s="1"/>
  <c r="A440" i="13"/>
  <c r="AX640" i="13"/>
  <c r="AX1037" i="13"/>
  <c r="A1037" i="13"/>
  <c r="A545" i="13"/>
  <c r="A744" i="13"/>
  <c r="AX744" i="13" s="1"/>
  <c r="A1042" i="13"/>
  <c r="A445" i="13"/>
  <c r="A645" i="13"/>
  <c r="AX645" i="13"/>
  <c r="A943" i="13"/>
  <c r="AX943" i="13" s="1"/>
  <c r="AX545" i="13"/>
  <c r="AX45" i="13"/>
  <c r="A1841" i="13"/>
  <c r="A844" i="13"/>
  <c r="AX844" i="13" s="1"/>
  <c r="A1141" i="13"/>
  <c r="A145" i="13"/>
  <c r="AX445" i="13"/>
  <c r="AX1042" i="13"/>
  <c r="A306" i="13"/>
  <c r="AX306" i="13" s="1"/>
  <c r="AX206" i="13"/>
  <c r="A70" i="9"/>
  <c r="C68" i="4"/>
  <c r="D68" i="4"/>
  <c r="A68" i="20"/>
  <c r="BU68" i="4" a="1"/>
  <c r="BU68" i="4" s="1"/>
  <c r="BV68" i="4" a="1"/>
  <c r="BV68" i="4" s="1"/>
  <c r="D68" i="1"/>
  <c r="BC68" i="4" a="1"/>
  <c r="BC68" i="4" s="1"/>
  <c r="M25" i="4"/>
  <c r="BV25" i="4" a="1"/>
  <c r="BV25" i="4" s="1"/>
  <c r="K25" i="4"/>
  <c r="AZ25" i="4"/>
  <c r="I25" i="4"/>
  <c r="A25" i="20"/>
  <c r="A25" i="4"/>
  <c r="C25" i="4"/>
  <c r="D25" i="1"/>
  <c r="BU25" i="4" a="1"/>
  <c r="BU25" i="4" s="1"/>
  <c r="BC25" i="4" a="1"/>
  <c r="BC25" i="4" s="1"/>
  <c r="D25" i="4"/>
  <c r="BS25" i="4"/>
  <c r="A27" i="9"/>
  <c r="A1114" i="13"/>
  <c r="A916" i="13"/>
  <c r="AX916" i="13" s="1"/>
  <c r="AX518" i="13"/>
  <c r="AX18" i="13"/>
  <c r="A1015" i="13"/>
  <c r="A118" i="13"/>
  <c r="AX418" i="13"/>
  <c r="A518" i="13"/>
  <c r="A717" i="13"/>
  <c r="AX717" i="13" s="1"/>
  <c r="A817" i="13"/>
  <c r="AX817" i="13" s="1"/>
  <c r="AX618" i="13"/>
  <c r="AX1015" i="13"/>
  <c r="A618" i="13"/>
  <c r="A1814" i="13"/>
  <c r="A418" i="13"/>
  <c r="A1048" i="13"/>
  <c r="AX1048" i="13"/>
  <c r="A1147" i="13"/>
  <c r="A850" i="13"/>
  <c r="AX850" i="13" s="1"/>
  <c r="AX51" i="13"/>
  <c r="AX651" i="13"/>
  <c r="AX551" i="13"/>
  <c r="A151" i="13"/>
  <c r="A949" i="13"/>
  <c r="AX949" i="13" s="1"/>
  <c r="A651" i="13"/>
  <c r="A551" i="13"/>
  <c r="AX451" i="13"/>
  <c r="A750" i="13"/>
  <c r="AX750" i="13" s="1"/>
  <c r="A451" i="13"/>
  <c r="A1847" i="13"/>
  <c r="A593" i="13"/>
  <c r="A991" i="13"/>
  <c r="AX991" i="13" s="1"/>
  <c r="A1189" i="13"/>
  <c r="AX493" i="13"/>
  <c r="A1090" i="13"/>
  <c r="AX593" i="13"/>
  <c r="A792" i="13"/>
  <c r="AX792" i="13" s="1"/>
  <c r="A892" i="13"/>
  <c r="AX892" i="13" s="1"/>
  <c r="AX93" i="13"/>
  <c r="A693" i="13"/>
  <c r="A1889" i="13"/>
  <c r="AX693" i="13"/>
  <c r="A193" i="13"/>
  <c r="A493" i="13"/>
  <c r="AX1090" i="13"/>
  <c r="BC61" i="4" a="1"/>
  <c r="BC61" i="4" s="1"/>
  <c r="D61" i="1"/>
  <c r="BV61" i="4" a="1"/>
  <c r="BV61" i="4" s="1"/>
  <c r="BU61" i="4" a="1"/>
  <c r="BU61" i="4" s="1"/>
  <c r="S93" i="22"/>
  <c r="A63" i="9"/>
  <c r="A61" i="20"/>
  <c r="D61" i="4"/>
  <c r="C61" i="4"/>
  <c r="BV37" i="4" a="1"/>
  <c r="BV37" i="4" s="1"/>
  <c r="A37" i="4"/>
  <c r="BC37" i="4" a="1"/>
  <c r="BC37" i="4" s="1"/>
  <c r="BU37" i="4" a="1"/>
  <c r="BU37" i="4" s="1"/>
  <c r="K37" i="4"/>
  <c r="D37" i="4"/>
  <c r="BS37" i="4"/>
  <c r="C37" i="4"/>
  <c r="AZ37" i="4"/>
  <c r="D37" i="1"/>
  <c r="A37" i="20"/>
  <c r="I37" i="4"/>
  <c r="A39" i="9"/>
  <c r="M37" i="4"/>
  <c r="AX613" i="13"/>
  <c r="AX413" i="13"/>
  <c r="A513" i="13"/>
  <c r="A1809" i="13"/>
  <c r="A413" i="13"/>
  <c r="AX13" i="13"/>
  <c r="AX513" i="13"/>
  <c r="A1109" i="13"/>
  <c r="A113" i="13"/>
  <c r="A613" i="13"/>
  <c r="A712" i="13"/>
  <c r="AX712" i="13" s="1"/>
  <c r="A911" i="13"/>
  <c r="AX911" i="13" s="1"/>
  <c r="AX1010" i="13"/>
  <c r="A1010" i="13"/>
  <c r="A812" i="13"/>
  <c r="AX812" i="13" s="1"/>
  <c r="A1127" i="13"/>
  <c r="AX531" i="13"/>
  <c r="A929" i="13"/>
  <c r="AX929" i="13" s="1"/>
  <c r="AX31" i="13"/>
  <c r="AX1028" i="13"/>
  <c r="AX631" i="13"/>
  <c r="A131" i="13"/>
  <c r="A1827" i="13"/>
  <c r="A631" i="13"/>
  <c r="A1028" i="13"/>
  <c r="A531" i="13"/>
  <c r="A730" i="13"/>
  <c r="AX730" i="13" s="1"/>
  <c r="AX431" i="13"/>
  <c r="A431" i="13"/>
  <c r="A830" i="13"/>
  <c r="AX830" i="13" s="1"/>
  <c r="BC76" i="4" a="1"/>
  <c r="BC76" i="4" s="1"/>
  <c r="D76" i="4"/>
  <c r="A78" i="9"/>
  <c r="BV76" i="4" a="1"/>
  <c r="BV76" i="4" s="1"/>
  <c r="A76" i="20"/>
  <c r="C76" i="4"/>
  <c r="BU76" i="4" a="1"/>
  <c r="BU76" i="4" s="1"/>
  <c r="D76" i="1"/>
  <c r="A461" i="13"/>
  <c r="A161" i="13"/>
  <c r="A1157" i="13"/>
  <c r="A661" i="13"/>
  <c r="A561" i="13"/>
  <c r="AX1058" i="13"/>
  <c r="A1058" i="13"/>
  <c r="AX561" i="13"/>
  <c r="AX661" i="13"/>
  <c r="A959" i="13"/>
  <c r="AX959" i="13" s="1"/>
  <c r="AX61" i="13"/>
  <c r="A860" i="13"/>
  <c r="AX860" i="13" s="1"/>
  <c r="A760" i="13"/>
  <c r="AX760" i="13" s="1"/>
  <c r="AX461" i="13"/>
  <c r="A1857" i="13"/>
  <c r="BV6" i="4" a="1"/>
  <c r="BV6" i="4" s="1"/>
  <c r="BC6" i="4" a="1"/>
  <c r="BC6" i="4" s="1"/>
  <c r="C6" i="4"/>
  <c r="A6" i="20"/>
  <c r="K6" i="4"/>
  <c r="A8" i="9"/>
  <c r="BS6" i="4"/>
  <c r="M6" i="4"/>
  <c r="D6" i="4"/>
  <c r="BU6" i="4" a="1"/>
  <c r="BU6" i="4" s="1"/>
  <c r="D6" i="1"/>
  <c r="I6" i="4"/>
  <c r="A6" i="4"/>
  <c r="AZ6" i="4"/>
  <c r="M39" i="4"/>
  <c r="BS39" i="4"/>
  <c r="A39" i="4"/>
  <c r="D39" i="1"/>
  <c r="AZ39" i="4"/>
  <c r="D39" i="4"/>
  <c r="C39" i="4"/>
  <c r="A41" i="9"/>
  <c r="K39" i="4"/>
  <c r="BU39" i="4" a="1"/>
  <c r="BU39" i="4" s="1"/>
  <c r="A39" i="20"/>
  <c r="BC39" i="4" a="1"/>
  <c r="BC39" i="4" s="1"/>
  <c r="BV39" i="4" a="1"/>
  <c r="BV39" i="4" s="1"/>
  <c r="I39" i="4"/>
  <c r="AX659" i="13"/>
  <c r="A1056" i="13"/>
  <c r="A559" i="13"/>
  <c r="A1855" i="13"/>
  <c r="A957" i="13"/>
  <c r="AX957" i="13" s="1"/>
  <c r="AX559" i="13"/>
  <c r="A1155" i="13"/>
  <c r="A758" i="13"/>
  <c r="AX758" i="13" s="1"/>
  <c r="AX59" i="13"/>
  <c r="AX459" i="13"/>
  <c r="A159" i="13"/>
  <c r="A858" i="13"/>
  <c r="AX858" i="13" s="1"/>
  <c r="A659" i="13"/>
  <c r="AX1056" i="13"/>
  <c r="A459" i="13"/>
  <c r="AX616" i="13"/>
  <c r="A516" i="13"/>
  <c r="A416" i="13"/>
  <c r="AX16" i="13"/>
  <c r="A715" i="13"/>
  <c r="AX715" i="13" s="1"/>
  <c r="AX1013" i="13"/>
  <c r="A1812" i="13"/>
  <c r="A116" i="13"/>
  <c r="AX516" i="13"/>
  <c r="A1013" i="13"/>
  <c r="A815" i="13"/>
  <c r="AX815" i="13" s="1"/>
  <c r="AX416" i="13"/>
  <c r="A616" i="13"/>
  <c r="A914" i="13"/>
  <c r="AX914" i="13" s="1"/>
  <c r="A1112" i="13"/>
  <c r="A56" i="20"/>
  <c r="A58" i="9"/>
  <c r="BV56" i="4" a="1"/>
  <c r="BV56" i="4" s="1"/>
  <c r="D56" i="1"/>
  <c r="BC56" i="4" a="1"/>
  <c r="BC56" i="4" s="1"/>
  <c r="S88" i="22"/>
  <c r="D56" i="4"/>
  <c r="C56" i="4"/>
  <c r="BU56" i="4" a="1"/>
  <c r="BU56" i="4" s="1"/>
  <c r="A13" i="4"/>
  <c r="A15" i="9"/>
  <c r="K13" i="4"/>
  <c r="BS13" i="4"/>
  <c r="M13" i="4"/>
  <c r="D13" i="1"/>
  <c r="D13" i="4"/>
  <c r="A13" i="20"/>
  <c r="BV13" i="4" a="1"/>
  <c r="BV13" i="4" s="1"/>
  <c r="I13" i="4"/>
  <c r="BU13" i="4" a="1"/>
  <c r="BU13" i="4" s="1"/>
  <c r="BC13" i="4" a="1"/>
  <c r="BC13" i="4" s="1"/>
  <c r="AZ13" i="4"/>
  <c r="C13" i="4"/>
  <c r="M16" i="4"/>
  <c r="A18" i="9"/>
  <c r="BS16" i="4"/>
  <c r="BC16" i="4" a="1"/>
  <c r="BC16" i="4" s="1"/>
  <c r="I16" i="4"/>
  <c r="K16" i="4"/>
  <c r="A16" i="4"/>
  <c r="D16" i="1"/>
  <c r="A16" i="20"/>
  <c r="BV16" i="4" a="1"/>
  <c r="BV16" i="4" s="1"/>
  <c r="BU16" i="4" a="1"/>
  <c r="BU16" i="4" s="1"/>
  <c r="C16" i="4"/>
  <c r="AZ16" i="4"/>
  <c r="D16" i="4"/>
  <c r="I49" i="4"/>
  <c r="A49" i="20"/>
  <c r="M49" i="4"/>
  <c r="K49" i="4"/>
  <c r="AZ49" i="4"/>
  <c r="BS49" i="4"/>
  <c r="BC49" i="4" a="1"/>
  <c r="BC49" i="4" s="1"/>
  <c r="C49" i="4"/>
  <c r="D49" i="1"/>
  <c r="A49" i="4"/>
  <c r="BV49" i="4" a="1"/>
  <c r="BV49" i="4" s="1"/>
  <c r="D49" i="4"/>
  <c r="A51" i="9"/>
  <c r="BU49" i="4" a="1"/>
  <c r="BU49" i="4" s="1"/>
  <c r="BC91" i="4" a="1"/>
  <c r="BC91" i="4" s="1"/>
  <c r="C91" i="4"/>
  <c r="BU91" i="4" a="1"/>
  <c r="BU91" i="4" s="1"/>
  <c r="BV91" i="4" a="1"/>
  <c r="BV91" i="4" s="1"/>
  <c r="A93" i="9"/>
  <c r="A91" i="20"/>
  <c r="D91" i="1"/>
  <c r="D91" i="4"/>
  <c r="AX663" i="13"/>
  <c r="A663" i="13"/>
  <c r="A563" i="13"/>
  <c r="AX1060" i="13"/>
  <c r="A163" i="13"/>
  <c r="AX63" i="13"/>
  <c r="A862" i="13"/>
  <c r="AX862" i="13" s="1"/>
  <c r="A961" i="13"/>
  <c r="AX961" i="13" s="1"/>
  <c r="A463" i="13"/>
  <c r="AX563" i="13"/>
  <c r="AX463" i="13"/>
  <c r="A1060" i="13"/>
  <c r="A762" i="13"/>
  <c r="AX762" i="13" s="1"/>
  <c r="A1159" i="13"/>
  <c r="A1859" i="13"/>
  <c r="A439" i="13"/>
  <c r="AX39" i="13"/>
  <c r="A838" i="13"/>
  <c r="AX838" i="13" s="1"/>
  <c r="AX1036" i="13"/>
  <c r="A639" i="13"/>
  <c r="AX439" i="13"/>
  <c r="A139" i="13"/>
  <c r="A738" i="13"/>
  <c r="AX738" i="13" s="1"/>
  <c r="A1835" i="13"/>
  <c r="A1036" i="13"/>
  <c r="A539" i="13"/>
  <c r="A937" i="13"/>
  <c r="AX937" i="13" s="1"/>
  <c r="AX639" i="13"/>
  <c r="AX539" i="13"/>
  <c r="A1135" i="13"/>
  <c r="A11" i="20"/>
  <c r="BC11" i="4" a="1"/>
  <c r="BC11" i="4" s="1"/>
  <c r="D11" i="1"/>
  <c r="BV11" i="4" a="1"/>
  <c r="BV11" i="4" s="1"/>
  <c r="AZ11" i="4"/>
  <c r="A13" i="9"/>
  <c r="I11" i="4"/>
  <c r="A11" i="4"/>
  <c r="BU11" i="4" a="1"/>
  <c r="BU11" i="4" s="1"/>
  <c r="BS11" i="4"/>
  <c r="M11" i="4"/>
  <c r="K11" i="4"/>
  <c r="C11" i="4"/>
  <c r="D11" i="4"/>
  <c r="A29" i="20"/>
  <c r="BC29" i="4" a="1"/>
  <c r="BC29" i="4" s="1"/>
  <c r="I29" i="4"/>
  <c r="A31" i="9"/>
  <c r="C29" i="4"/>
  <c r="BV29" i="4" a="1"/>
  <c r="BV29" i="4" s="1"/>
  <c r="AZ29" i="4"/>
  <c r="D29" i="4"/>
  <c r="K29" i="4"/>
  <c r="D29" i="1"/>
  <c r="BS29" i="4"/>
  <c r="M29" i="4"/>
  <c r="A29" i="4"/>
  <c r="BU29" i="4" a="1"/>
  <c r="BU29" i="4" s="1"/>
  <c r="A835" i="13"/>
  <c r="AX835" i="13" s="1"/>
  <c r="A1832" i="13"/>
  <c r="A1132" i="13"/>
  <c r="AX636" i="13"/>
  <c r="AX536" i="13"/>
  <c r="A735" i="13"/>
  <c r="AX735" i="13" s="1"/>
  <c r="A136" i="13"/>
  <c r="A636" i="13"/>
  <c r="A934" i="13"/>
  <c r="AX934" i="13" s="1"/>
  <c r="AX1033" i="13"/>
  <c r="A436" i="13"/>
  <c r="A536" i="13"/>
  <c r="AX436" i="13"/>
  <c r="A1033" i="13"/>
  <c r="AX36" i="13"/>
  <c r="A154" i="13"/>
  <c r="A853" i="13"/>
  <c r="AX853" i="13" s="1"/>
  <c r="A454" i="13"/>
  <c r="A1150" i="13"/>
  <c r="A1051" i="13"/>
  <c r="A753" i="13"/>
  <c r="AX753" i="13" s="1"/>
  <c r="AX54" i="13"/>
  <c r="A1850" i="13"/>
  <c r="A654" i="13"/>
  <c r="AX1051" i="13"/>
  <c r="A952" i="13"/>
  <c r="AX952" i="13" s="1"/>
  <c r="AX454" i="13"/>
  <c r="A554" i="13"/>
  <c r="AX554" i="13"/>
  <c r="AX654" i="13"/>
  <c r="AX4" i="4"/>
  <c r="CU4" i="4"/>
  <c r="CV4" i="4" s="1"/>
  <c r="DB4" i="4"/>
  <c r="A81" i="20"/>
  <c r="BC81" i="4" a="1"/>
  <c r="BC81" i="4" s="1"/>
  <c r="BV81" i="4" a="1"/>
  <c r="BV81" i="4" s="1"/>
  <c r="D81" i="1"/>
  <c r="D81" i="4"/>
  <c r="BU81" i="4" a="1"/>
  <c r="BU81" i="4" s="1"/>
  <c r="A83" i="9"/>
  <c r="C81" i="4"/>
  <c r="A972" i="13"/>
  <c r="AX972" i="13" s="1"/>
  <c r="AX674" i="13"/>
  <c r="A773" i="13"/>
  <c r="AX773" i="13" s="1"/>
  <c r="A474" i="13"/>
  <c r="AX574" i="13"/>
  <c r="A1071" i="13"/>
  <c r="A1870" i="13"/>
  <c r="A574" i="13"/>
  <c r="A174" i="13"/>
  <c r="AX1071" i="13"/>
  <c r="A873" i="13"/>
  <c r="AX873" i="13" s="1"/>
  <c r="A674" i="13"/>
  <c r="AX474" i="13"/>
  <c r="AX74" i="13"/>
  <c r="A1170" i="13"/>
  <c r="S89" i="22"/>
  <c r="BV57" i="4" a="1"/>
  <c r="BV57" i="4" s="1"/>
  <c r="D57" i="1"/>
  <c r="D57" i="4"/>
  <c r="A57" i="20"/>
  <c r="BC57" i="4" a="1"/>
  <c r="BC57" i="4" s="1"/>
  <c r="C57" i="4"/>
  <c r="A59" i="9"/>
  <c r="BU57" i="4" a="1"/>
  <c r="BU57" i="4" s="1"/>
  <c r="AZ14" i="4"/>
  <c r="BS14" i="4"/>
  <c r="A14" i="4"/>
  <c r="BC14" i="4" a="1"/>
  <c r="BC14" i="4" s="1"/>
  <c r="D14" i="4"/>
  <c r="D14" i="1"/>
  <c r="BU14" i="4" a="1"/>
  <c r="BU14" i="4" s="1"/>
  <c r="M14" i="4"/>
  <c r="A16" i="9"/>
  <c r="K14" i="4"/>
  <c r="C14" i="4"/>
  <c r="BV14" i="4" a="1"/>
  <c r="BV14" i="4" s="1"/>
  <c r="A14" i="20"/>
  <c r="I14" i="4"/>
  <c r="B4" i="4"/>
  <c r="BA4" i="4" a="1"/>
  <c r="BA4" i="4" s="1"/>
  <c r="BB4" i="4" s="1"/>
  <c r="AV106" i="13" s="1"/>
  <c r="AX1055" i="13"/>
  <c r="A558" i="13"/>
  <c r="A158" i="13"/>
  <c r="AX658" i="13"/>
  <c r="A1854" i="13"/>
  <c r="A1055" i="13"/>
  <c r="A757" i="13"/>
  <c r="AX757" i="13" s="1"/>
  <c r="A956" i="13"/>
  <c r="AX956" i="13" s="1"/>
  <c r="AX458" i="13"/>
  <c r="A1154" i="13"/>
  <c r="A458" i="13"/>
  <c r="A857" i="13"/>
  <c r="AX857" i="13" s="1"/>
  <c r="A658" i="13"/>
  <c r="AX558" i="13"/>
  <c r="AX58" i="13"/>
  <c r="AX415" i="13"/>
  <c r="AX1012" i="13"/>
  <c r="A515" i="13"/>
  <c r="A1811" i="13"/>
  <c r="A814" i="13"/>
  <c r="AX814" i="13" s="1"/>
  <c r="A115" i="13"/>
  <c r="A913" i="13"/>
  <c r="AX913" i="13" s="1"/>
  <c r="AX15" i="13"/>
  <c r="A415" i="13"/>
  <c r="A714" i="13"/>
  <c r="AX714" i="13" s="1"/>
  <c r="A615" i="13"/>
  <c r="A1111" i="13"/>
  <c r="A1012" i="13"/>
  <c r="AX615" i="13"/>
  <c r="AX515" i="13"/>
  <c r="BU86" i="4" a="1"/>
  <c r="BU86" i="4" s="1"/>
  <c r="D86" i="4"/>
  <c r="BV86" i="4" a="1"/>
  <c r="BV86" i="4" s="1"/>
  <c r="D86" i="1"/>
  <c r="A86" i="20"/>
  <c r="A88" i="9"/>
  <c r="C86" i="4"/>
  <c r="BC86" i="4" a="1"/>
  <c r="BC86" i="4" s="1"/>
  <c r="H60" i="4"/>
  <c r="A62" i="13"/>
  <c r="Z107" i="13"/>
  <c r="BY58" i="4" a="1"/>
  <c r="BY58" i="4" s="1"/>
  <c r="BZ58" i="4" a="1"/>
  <c r="BZ58" i="4" s="1"/>
  <c r="BX58" i="4" s="1" a="1"/>
  <c r="BX58" i="4" s="1"/>
  <c r="AX556" i="13"/>
  <c r="AX1053" i="13"/>
  <c r="A855" i="13"/>
  <c r="AX855" i="13" s="1"/>
  <c r="A954" i="13"/>
  <c r="AX954" i="13" s="1"/>
  <c r="A1852" i="13"/>
  <c r="A556" i="13"/>
  <c r="A156" i="13"/>
  <c r="A1152" i="13"/>
  <c r="AX456" i="13"/>
  <c r="A1053" i="13"/>
  <c r="A456" i="13"/>
  <c r="A755" i="13"/>
  <c r="AX755" i="13" s="1"/>
  <c r="A656" i="13"/>
  <c r="AX656" i="13"/>
  <c r="AX56" i="13"/>
  <c r="C84" i="4"/>
  <c r="A86" i="9"/>
  <c r="D84" i="1"/>
  <c r="A84" i="20"/>
  <c r="BU84" i="4" a="1"/>
  <c r="BU84" i="4" s="1"/>
  <c r="D84" i="4"/>
  <c r="BC84" i="4" a="1"/>
  <c r="BC84" i="4" s="1"/>
  <c r="BV84" i="4" a="1"/>
  <c r="BV84" i="4" s="1"/>
  <c r="A868" i="13"/>
  <c r="AX868" i="13" s="1"/>
  <c r="AX669" i="13"/>
  <c r="A569" i="13"/>
  <c r="A1865" i="13"/>
  <c r="A1165" i="13"/>
  <c r="A469" i="13"/>
  <c r="A768" i="13"/>
  <c r="AX768" i="13" s="1"/>
  <c r="AX1066" i="13"/>
  <c r="A169" i="13"/>
  <c r="AX569" i="13"/>
  <c r="A1066" i="13"/>
  <c r="AX69" i="13"/>
  <c r="AX469" i="13"/>
  <c r="A669" i="13"/>
  <c r="A967" i="13"/>
  <c r="AX967" i="13" s="1"/>
  <c r="AZ53" i="4"/>
  <c r="A55" i="9"/>
  <c r="D53" i="4"/>
  <c r="BC53" i="4" a="1"/>
  <c r="BC53" i="4" s="1"/>
  <c r="I53" i="4"/>
  <c r="A53" i="4"/>
  <c r="K53" i="4"/>
  <c r="BU53" i="4" a="1"/>
  <c r="BU53" i="4" s="1"/>
  <c r="C53" i="4"/>
  <c r="BS53" i="4"/>
  <c r="D53" i="1"/>
  <c r="M53" i="4"/>
  <c r="BV53" i="4" a="1"/>
  <c r="BV53" i="4" s="1"/>
  <c r="A53" i="20"/>
  <c r="A34" i="4"/>
  <c r="C34" i="4"/>
  <c r="M34" i="4"/>
  <c r="K34" i="4"/>
  <c r="BS34" i="4"/>
  <c r="BC34" i="4" a="1"/>
  <c r="BC34" i="4" s="1"/>
  <c r="BV34" i="4" a="1"/>
  <c r="BV34" i="4" s="1"/>
  <c r="BU34" i="4" a="1"/>
  <c r="BU34" i="4" s="1"/>
  <c r="A36" i="9"/>
  <c r="I34" i="4"/>
  <c r="D34" i="4"/>
  <c r="AZ34" i="4"/>
  <c r="D34" i="1"/>
  <c r="A34" i="20"/>
  <c r="B9" i="4"/>
  <c r="BA9" i="4" a="1"/>
  <c r="BA9" i="4" s="1"/>
  <c r="BB9" i="4" s="1"/>
  <c r="AV111" i="13" s="1"/>
  <c r="B10" i="4"/>
  <c r="BA10" i="4" a="1"/>
  <c r="BA10" i="4" s="1"/>
  <c r="BB10" i="4" s="1"/>
  <c r="T10" i="69" s="1"/>
  <c r="BS52" i="4"/>
  <c r="BU52" i="4" a="1"/>
  <c r="BU52" i="4" s="1"/>
  <c r="A54" i="9"/>
  <c r="AZ52" i="4"/>
  <c r="BV52" i="4" a="1"/>
  <c r="BV52" i="4" s="1"/>
  <c r="A52" i="20"/>
  <c r="I52" i="4"/>
  <c r="D52" i="1"/>
  <c r="C52" i="4"/>
  <c r="M52" i="4"/>
  <c r="BC52" i="4" a="1"/>
  <c r="BC52" i="4" s="1"/>
  <c r="D52" i="4"/>
  <c r="A52" i="4"/>
  <c r="K52" i="4"/>
  <c r="A683" i="13"/>
  <c r="A1080" i="13"/>
  <c r="AX83" i="13"/>
  <c r="A583" i="13"/>
  <c r="AX1080" i="13"/>
  <c r="A1879" i="13"/>
  <c r="AX683" i="13"/>
  <c r="AX483" i="13"/>
  <c r="AX583" i="13"/>
  <c r="A981" i="13"/>
  <c r="AX981" i="13" s="1"/>
  <c r="A782" i="13"/>
  <c r="AX782" i="13" s="1"/>
  <c r="A1179" i="13"/>
  <c r="A183" i="13"/>
  <c r="A882" i="13"/>
  <c r="AX882" i="13" s="1"/>
  <c r="A483" i="13"/>
  <c r="A72" i="20"/>
  <c r="C72" i="4"/>
  <c r="BU72" i="4" a="1"/>
  <c r="BU72" i="4" s="1"/>
  <c r="D72" i="1"/>
  <c r="BC72" i="4" a="1"/>
  <c r="BC72" i="4" s="1"/>
  <c r="D72" i="4"/>
  <c r="BV72" i="4" a="1"/>
  <c r="BV72" i="4" s="1"/>
  <c r="A74" i="9"/>
  <c r="AZ7" i="4"/>
  <c r="A9" i="9"/>
  <c r="BS7" i="4"/>
  <c r="A7" i="4"/>
  <c r="BU7" i="4" a="1"/>
  <c r="BU7" i="4" s="1"/>
  <c r="D7" i="4"/>
  <c r="I7" i="4"/>
  <c r="BC7" i="4" a="1"/>
  <c r="BC7" i="4" s="1"/>
  <c r="D7" i="1"/>
  <c r="A7" i="20"/>
  <c r="K7" i="4"/>
  <c r="BV7" i="4" a="1"/>
  <c r="BV7" i="4" s="1"/>
  <c r="C7" i="4"/>
  <c r="M7" i="4"/>
  <c r="BC79" i="4" a="1"/>
  <c r="BC79" i="4" s="1"/>
  <c r="D79" i="1"/>
  <c r="D79" i="4"/>
  <c r="C79" i="4"/>
  <c r="BV79" i="4" a="1"/>
  <c r="BV79" i="4" s="1"/>
  <c r="A81" i="9"/>
  <c r="BU79" i="4" a="1"/>
  <c r="BU79" i="4" s="1"/>
  <c r="A79" i="20"/>
  <c r="D64" i="4"/>
  <c r="C64" i="4"/>
  <c r="BU64" i="4" a="1"/>
  <c r="BU64" i="4" s="1"/>
  <c r="A64" i="20"/>
  <c r="BV64" i="4" a="1"/>
  <c r="BV64" i="4" s="1"/>
  <c r="A66" i="9"/>
  <c r="BC64" i="4" a="1"/>
  <c r="BC64" i="4" s="1"/>
  <c r="D64" i="1"/>
  <c r="S96" i="22"/>
  <c r="A1130" i="13"/>
  <c r="AX34" i="13"/>
  <c r="A1031" i="13"/>
  <c r="AX634" i="13"/>
  <c r="AX434" i="13"/>
  <c r="A1830" i="13"/>
  <c r="A634" i="13"/>
  <c r="AX1031" i="13"/>
  <c r="A434" i="13"/>
  <c r="A833" i="13"/>
  <c r="AX833" i="13" s="1"/>
  <c r="A534" i="13"/>
  <c r="A733" i="13"/>
  <c r="AX733" i="13" s="1"/>
  <c r="AX534" i="13"/>
  <c r="A134" i="13"/>
  <c r="A932" i="13"/>
  <c r="AX932" i="13" s="1"/>
  <c r="A1087" i="13"/>
  <c r="A789" i="13"/>
  <c r="AX789" i="13" s="1"/>
  <c r="AX690" i="13"/>
  <c r="AX1087" i="13"/>
  <c r="A1186" i="13"/>
  <c r="A690" i="13"/>
  <c r="A590" i="13"/>
  <c r="AX590" i="13"/>
  <c r="AX490" i="13"/>
  <c r="A1886" i="13"/>
  <c r="A889" i="13"/>
  <c r="AX889" i="13" s="1"/>
  <c r="A988" i="13"/>
  <c r="AX988" i="13" s="1"/>
  <c r="AX90" i="13"/>
  <c r="A490" i="13"/>
  <c r="A190" i="13"/>
  <c r="A71" i="20"/>
  <c r="A73" i="9"/>
  <c r="D71" i="4"/>
  <c r="BU71" i="4" a="1"/>
  <c r="BU71" i="4" s="1"/>
  <c r="BC71" i="4" a="1"/>
  <c r="BC71" i="4" s="1"/>
  <c r="BV71" i="4" a="1"/>
  <c r="BV71" i="4" s="1"/>
  <c r="C71" i="4"/>
  <c r="D71" i="1"/>
  <c r="I8" i="4"/>
  <c r="AZ8" i="4"/>
  <c r="BU8" i="4" a="1"/>
  <c r="BU8" i="4" s="1"/>
  <c r="D8" i="4"/>
  <c r="A10" i="9"/>
  <c r="D8" i="1"/>
  <c r="BS8" i="4"/>
  <c r="BV8" i="4" a="1"/>
  <c r="BV8" i="4" s="1"/>
  <c r="C8" i="4"/>
  <c r="M8" i="4"/>
  <c r="A8" i="20"/>
  <c r="A8" i="4"/>
  <c r="BC8" i="4" a="1"/>
  <c r="BC8" i="4" s="1"/>
  <c r="K8" i="4"/>
  <c r="A488" i="13"/>
  <c r="A1884" i="13"/>
  <c r="A588" i="13"/>
  <c r="A1085" i="13"/>
  <c r="AX1085" i="13"/>
  <c r="A688" i="13"/>
  <c r="A787" i="13"/>
  <c r="AX787" i="13" s="1"/>
  <c r="A1184" i="13"/>
  <c r="AX488" i="13"/>
  <c r="AX688" i="13"/>
  <c r="A986" i="13"/>
  <c r="AX986" i="13" s="1"/>
  <c r="AX88" i="13"/>
  <c r="A188" i="13"/>
  <c r="AX588" i="13"/>
  <c r="A887" i="13"/>
  <c r="AX887" i="13" s="1"/>
  <c r="D54" i="4"/>
  <c r="D54" i="1"/>
  <c r="A54" i="4"/>
  <c r="A54" i="20"/>
  <c r="C54" i="4"/>
  <c r="K54" i="4"/>
  <c r="BC54" i="4" a="1"/>
  <c r="BC54" i="4" s="1"/>
  <c r="M54" i="4"/>
  <c r="A56" i="9"/>
  <c r="BV54" i="4" a="1"/>
  <c r="BV54" i="4" s="1"/>
  <c r="BU54" i="4" a="1"/>
  <c r="BU54" i="4" s="1"/>
  <c r="BS54" i="4"/>
  <c r="I54" i="4"/>
  <c r="AZ54" i="4"/>
  <c r="A984" i="13"/>
  <c r="AX984" i="13" s="1"/>
  <c r="AX586" i="13"/>
  <c r="A686" i="13"/>
  <c r="AX486" i="13"/>
  <c r="A586" i="13"/>
  <c r="A1882" i="13"/>
  <c r="A1083" i="13"/>
  <c r="AX86" i="13"/>
  <c r="AX686" i="13"/>
  <c r="A186" i="13"/>
  <c r="A885" i="13"/>
  <c r="AX885" i="13" s="1"/>
  <c r="A1182" i="13"/>
  <c r="AX1083" i="13"/>
  <c r="A785" i="13"/>
  <c r="AX785" i="13" s="1"/>
  <c r="A486" i="13"/>
  <c r="BV67" i="4" a="1"/>
  <c r="BV67" i="4" s="1"/>
  <c r="C67" i="4"/>
  <c r="A67" i="20"/>
  <c r="A69" i="9"/>
  <c r="D67" i="4"/>
  <c r="D67" i="1"/>
  <c r="BC67" i="4" a="1"/>
  <c r="BC67" i="4" s="1"/>
  <c r="BU67" i="4" a="1"/>
  <c r="BU67" i="4" s="1"/>
  <c r="AX655" i="13"/>
  <c r="A155" i="13"/>
  <c r="A1151" i="13"/>
  <c r="A555" i="13"/>
  <c r="A854" i="13"/>
  <c r="AX854" i="13" s="1"/>
  <c r="AX55" i="13"/>
  <c r="A953" i="13"/>
  <c r="AX953" i="13" s="1"/>
  <c r="A1851" i="13"/>
  <c r="A455" i="13"/>
  <c r="A1052" i="13"/>
  <c r="AX455" i="13"/>
  <c r="AX1052" i="13"/>
  <c r="AX555" i="13"/>
  <c r="A754" i="13"/>
  <c r="AX754" i="13" s="1"/>
  <c r="A655" i="13"/>
  <c r="A494" i="13"/>
  <c r="AX94" i="13"/>
  <c r="A1190" i="13"/>
  <c r="A992" i="13"/>
  <c r="AX992" i="13" s="1"/>
  <c r="A694" i="13"/>
  <c r="A893" i="13"/>
  <c r="AX893" i="13" s="1"/>
  <c r="AX1091" i="13"/>
  <c r="A1091" i="13"/>
  <c r="A594" i="13"/>
  <c r="A1890" i="13"/>
  <c r="AX594" i="13"/>
  <c r="A194" i="13"/>
  <c r="AX494" i="13"/>
  <c r="AX694" i="13"/>
  <c r="A793" i="13"/>
  <c r="AX793" i="13" s="1"/>
  <c r="A1878" i="13"/>
  <c r="AX582" i="13"/>
  <c r="A582" i="13"/>
  <c r="AX682" i="13"/>
  <c r="AX482" i="13"/>
  <c r="A1079" i="13"/>
  <c r="A980" i="13"/>
  <c r="AX980" i="13" s="1"/>
  <c r="A1178" i="13"/>
  <c r="AX1079" i="13"/>
  <c r="A881" i="13"/>
  <c r="AX881" i="13" s="1"/>
  <c r="A781" i="13"/>
  <c r="AX781" i="13" s="1"/>
  <c r="A682" i="13"/>
  <c r="A182" i="13"/>
  <c r="AX82" i="13"/>
  <c r="A482" i="13"/>
  <c r="K17" i="27"/>
  <c r="BU21" i="4" a="1"/>
  <c r="BU21" i="4" s="1"/>
  <c r="BC21" i="4" a="1"/>
  <c r="BC21" i="4" s="1"/>
  <c r="AZ21" i="4"/>
  <c r="M21" i="4"/>
  <c r="A21" i="4"/>
  <c r="K21" i="4"/>
  <c r="A21" i="20"/>
  <c r="A23" i="9"/>
  <c r="D21" i="1"/>
  <c r="C21" i="4"/>
  <c r="I21" i="4"/>
  <c r="D21" i="4"/>
  <c r="BV21" i="4" a="1"/>
  <c r="BV21" i="4" s="1"/>
  <c r="BS21" i="4"/>
  <c r="BU33" i="4" a="1"/>
  <c r="BU33" i="4" s="1"/>
  <c r="BV33" i="4" a="1"/>
  <c r="BV33" i="4" s="1"/>
  <c r="I33" i="4"/>
  <c r="D33" i="1"/>
  <c r="D33" i="4"/>
  <c r="A35" i="9"/>
  <c r="BC33" i="4" a="1"/>
  <c r="BC33" i="4" s="1"/>
  <c r="C33" i="4"/>
  <c r="M33" i="4"/>
  <c r="A33" i="20"/>
  <c r="BS33" i="4"/>
  <c r="A33" i="4"/>
  <c r="K33" i="4"/>
  <c r="AZ33" i="4"/>
  <c r="A907" i="13"/>
  <c r="AX907" i="13" s="1"/>
  <c r="A609" i="13"/>
  <c r="A1006" i="13"/>
  <c r="A708" i="13"/>
  <c r="AX708" i="13" s="1"/>
  <c r="A509" i="13"/>
  <c r="AX509" i="13"/>
  <c r="A1105" i="13"/>
  <c r="AX609" i="13"/>
  <c r="A1805" i="13"/>
  <c r="AX1006" i="13"/>
  <c r="A109" i="13"/>
  <c r="AX9" i="13"/>
  <c r="AX409" i="13"/>
  <c r="A409" i="13"/>
  <c r="A808" i="13"/>
  <c r="AX808" i="13" s="1"/>
  <c r="AX81" i="13"/>
  <c r="AX681" i="13"/>
  <c r="AX581" i="13"/>
  <c r="AX481" i="13"/>
  <c r="A681" i="13"/>
  <c r="A979" i="13"/>
  <c r="AX979" i="13" s="1"/>
  <c r="A581" i="13"/>
  <c r="A1177" i="13"/>
  <c r="A780" i="13"/>
  <c r="AX780" i="13" s="1"/>
  <c r="A1078" i="13"/>
  <c r="AX1078" i="13"/>
  <c r="A181" i="13"/>
  <c r="A1877" i="13"/>
  <c r="A880" i="13"/>
  <c r="AX880" i="13" s="1"/>
  <c r="A481" i="13"/>
  <c r="A1162" i="13"/>
  <c r="A666" i="13"/>
  <c r="AX666" i="13"/>
  <c r="A1862" i="13"/>
  <c r="A1063" i="13"/>
  <c r="A964" i="13"/>
  <c r="AX964" i="13" s="1"/>
  <c r="A765" i="13"/>
  <c r="AX765" i="13" s="1"/>
  <c r="A166" i="13"/>
  <c r="A566" i="13"/>
  <c r="A466" i="13"/>
  <c r="A865" i="13"/>
  <c r="AX865" i="13" s="1"/>
  <c r="AX466" i="13"/>
  <c r="AX566" i="13"/>
  <c r="AX66" i="13"/>
  <c r="AX1063" i="13"/>
  <c r="A32" i="20"/>
  <c r="K32" i="4"/>
  <c r="M32" i="4"/>
  <c r="AZ32" i="4"/>
  <c r="BC32" i="4" a="1"/>
  <c r="BC32" i="4" s="1"/>
  <c r="D32" i="1"/>
  <c r="C32" i="4"/>
  <c r="BV32" i="4" a="1"/>
  <c r="BV32" i="4" s="1"/>
  <c r="D32" i="4"/>
  <c r="BU32" i="4" a="1"/>
  <c r="BU32" i="4" s="1"/>
  <c r="I32" i="4"/>
  <c r="BS32" i="4"/>
  <c r="A34" i="9"/>
  <c r="A32" i="4"/>
  <c r="BV88" i="4" a="1"/>
  <c r="BV88" i="4" s="1"/>
  <c r="D88" i="1"/>
  <c r="A90" i="9"/>
  <c r="C88" i="4"/>
  <c r="BC88" i="4" a="1"/>
  <c r="BC88" i="4" s="1"/>
  <c r="BU88" i="4" a="1"/>
  <c r="BU88" i="4" s="1"/>
  <c r="D88" i="4"/>
  <c r="A88" i="20"/>
  <c r="A872" i="13"/>
  <c r="AX872" i="13" s="1"/>
  <c r="AX1070" i="13"/>
  <c r="A473" i="13"/>
  <c r="A1869" i="13"/>
  <c r="A971" i="13"/>
  <c r="AX971" i="13" s="1"/>
  <c r="A1070" i="13"/>
  <c r="A173" i="13"/>
  <c r="A772" i="13"/>
  <c r="AX772" i="13" s="1"/>
  <c r="AX73" i="13"/>
  <c r="AX473" i="13"/>
  <c r="AX573" i="13"/>
  <c r="A573" i="13"/>
  <c r="A1169" i="13"/>
  <c r="A673" i="13"/>
  <c r="AX673" i="13"/>
  <c r="AX1007" i="13"/>
  <c r="A110" i="13"/>
  <c r="A610" i="13"/>
  <c r="A1007" i="13"/>
  <c r="A809" i="13"/>
  <c r="AX809" i="13" s="1"/>
  <c r="A510" i="13"/>
  <c r="A709" i="13"/>
  <c r="AX709" i="13" s="1"/>
  <c r="AX510" i="13"/>
  <c r="A908" i="13"/>
  <c r="AX908" i="13" s="1"/>
  <c r="AX410" i="13"/>
  <c r="AX10" i="13"/>
  <c r="A410" i="13"/>
  <c r="AX610" i="13"/>
  <c r="A1106" i="13"/>
  <c r="A1806" i="13"/>
  <c r="AX1041" i="13"/>
  <c r="A1840" i="13"/>
  <c r="A743" i="13"/>
  <c r="AX743" i="13" s="1"/>
  <c r="AX544" i="13"/>
  <c r="AX444" i="13"/>
  <c r="A843" i="13"/>
  <c r="AX843" i="13" s="1"/>
  <c r="A942" i="13"/>
  <c r="AX942" i="13" s="1"/>
  <c r="A444" i="13"/>
  <c r="A1041" i="13"/>
  <c r="AX644" i="13"/>
  <c r="A1140" i="13"/>
  <c r="A144" i="13"/>
  <c r="A644" i="13"/>
  <c r="A544" i="13"/>
  <c r="AX44" i="13"/>
  <c r="X4" i="69"/>
  <c r="X4" i="72"/>
  <c r="Z1257" i="13"/>
  <c r="Z1455" i="13"/>
  <c r="D85" i="4"/>
  <c r="D85" i="1"/>
  <c r="BC85" i="4" a="1"/>
  <c r="BC85" i="4" s="1"/>
  <c r="BV85" i="4" a="1"/>
  <c r="BV85" i="4" s="1"/>
  <c r="A85" i="20"/>
  <c r="A87" i="9"/>
  <c r="BU85" i="4" a="1"/>
  <c r="BU85" i="4" s="1"/>
  <c r="C85" i="4"/>
  <c r="A1029" i="13"/>
  <c r="AX632" i="13"/>
  <c r="A930" i="13"/>
  <c r="AX930" i="13" s="1"/>
  <c r="AX532" i="13"/>
  <c r="A532" i="13"/>
  <c r="A432" i="13"/>
  <c r="AX32" i="13"/>
  <c r="AX1029" i="13"/>
  <c r="A731" i="13"/>
  <c r="AX731" i="13" s="1"/>
  <c r="AX432" i="13"/>
  <c r="A1828" i="13"/>
  <c r="A1128" i="13"/>
  <c r="A831" i="13"/>
  <c r="AX831" i="13" s="1"/>
  <c r="A632" i="13"/>
  <c r="A132" i="13"/>
  <c r="F18" i="5"/>
  <c r="F12" i="5"/>
  <c r="A941" i="13"/>
  <c r="AX941" i="13" s="1"/>
  <c r="A143" i="13"/>
  <c r="A1139" i="13"/>
  <c r="AX543" i="13"/>
  <c r="AX643" i="13"/>
  <c r="A1040" i="13"/>
  <c r="AX443" i="13"/>
  <c r="A742" i="13"/>
  <c r="AX742" i="13" s="1"/>
  <c r="A543" i="13"/>
  <c r="A842" i="13"/>
  <c r="AX842" i="13" s="1"/>
  <c r="AX43" i="13"/>
  <c r="AX1040" i="13"/>
  <c r="A443" i="13"/>
  <c r="A643" i="13"/>
  <c r="A1839" i="13"/>
  <c r="BV92" i="4" a="1"/>
  <c r="BV92" i="4" s="1"/>
  <c r="A94" i="9"/>
  <c r="D92" i="1"/>
  <c r="BU92" i="4" a="1"/>
  <c r="BU92" i="4" s="1"/>
  <c r="C92" i="4"/>
  <c r="BC92" i="4" a="1"/>
  <c r="BC92" i="4" s="1"/>
  <c r="D92" i="4"/>
  <c r="A92" i="20"/>
  <c r="D80" i="1"/>
  <c r="C80" i="4"/>
  <c r="BV80" i="4" a="1"/>
  <c r="BV80" i="4" s="1"/>
  <c r="A82" i="9"/>
  <c r="A80" i="20"/>
  <c r="BU80" i="4" a="1"/>
  <c r="BU80" i="4" s="1"/>
  <c r="BC80" i="4" a="1"/>
  <c r="BC80" i="4" s="1"/>
  <c r="D80" i="4"/>
  <c r="A905" i="13"/>
  <c r="AX905" i="13" s="1"/>
  <c r="AX1004" i="13"/>
  <c r="A607" i="13"/>
  <c r="A407" i="13"/>
  <c r="AX7" i="13"/>
  <c r="AX407" i="13"/>
  <c r="A107" i="13"/>
  <c r="A706" i="13"/>
  <c r="A806" i="13"/>
  <c r="AX806" i="13" s="1"/>
  <c r="A507" i="13"/>
  <c r="AX507" i="13"/>
  <c r="A1004" i="13"/>
  <c r="A1803" i="13"/>
  <c r="A1103" i="13"/>
  <c r="AX607" i="13"/>
  <c r="AX423" i="13"/>
  <c r="AX23" i="13"/>
  <c r="AX1020" i="13"/>
  <c r="A123" i="13"/>
  <c r="A1119" i="13"/>
  <c r="A623" i="13"/>
  <c r="AX623" i="13"/>
  <c r="A1020" i="13"/>
  <c r="A921" i="13"/>
  <c r="AX921" i="13" s="1"/>
  <c r="A822" i="13"/>
  <c r="AX822" i="13" s="1"/>
  <c r="A423" i="13"/>
  <c r="A1819" i="13"/>
  <c r="A523" i="13"/>
  <c r="AX523" i="13"/>
  <c r="A722" i="13"/>
  <c r="AX722" i="13" s="1"/>
  <c r="AX535" i="13"/>
  <c r="AX635" i="13"/>
  <c r="AX435" i="13"/>
  <c r="A1131" i="13"/>
  <c r="A933" i="13"/>
  <c r="AX933" i="13" s="1"/>
  <c r="A734" i="13"/>
  <c r="AX734" i="13" s="1"/>
  <c r="AX1032" i="13"/>
  <c r="AX35" i="13"/>
  <c r="A834" i="13"/>
  <c r="AX834" i="13" s="1"/>
  <c r="A1831" i="13"/>
  <c r="A1032" i="13"/>
  <c r="A535" i="13"/>
  <c r="A135" i="13"/>
  <c r="A635" i="13"/>
  <c r="A435" i="13"/>
  <c r="AX1201" i="13"/>
  <c r="A1300" i="13"/>
  <c r="A852" i="13"/>
  <c r="AX852" i="13" s="1"/>
  <c r="AX453" i="13"/>
  <c r="A1849" i="13"/>
  <c r="A153" i="13"/>
  <c r="AX53" i="13"/>
  <c r="A1149" i="13"/>
  <c r="AX1050" i="13"/>
  <c r="A1050" i="13"/>
  <c r="AX553" i="13"/>
  <c r="A653" i="13"/>
  <c r="A752" i="13"/>
  <c r="AX752" i="13" s="1"/>
  <c r="A553" i="13"/>
  <c r="A951" i="13"/>
  <c r="AX951" i="13" s="1"/>
  <c r="A453" i="13"/>
  <c r="AX653" i="13"/>
  <c r="BU50" i="4" a="1"/>
  <c r="BU50" i="4" s="1"/>
  <c r="M50" i="4"/>
  <c r="A52" i="9"/>
  <c r="A50" i="4"/>
  <c r="K50" i="4"/>
  <c r="AZ50" i="4"/>
  <c r="BC50" i="4" a="1"/>
  <c r="BC50" i="4" s="1"/>
  <c r="C50" i="4"/>
  <c r="BV50" i="4" a="1"/>
  <c r="BV50" i="4" s="1"/>
  <c r="A50" i="20"/>
  <c r="I50" i="4"/>
  <c r="D50" i="1"/>
  <c r="BS50" i="4"/>
  <c r="D50" i="4"/>
  <c r="A42" i="20"/>
  <c r="AZ42" i="4"/>
  <c r="A42" i="4"/>
  <c r="M42" i="4"/>
  <c r="BC42" i="4" a="1"/>
  <c r="BC42" i="4" s="1"/>
  <c r="BU42" i="4" a="1"/>
  <c r="BU42" i="4" s="1"/>
  <c r="D42" i="4"/>
  <c r="I42" i="4"/>
  <c r="BS42" i="4"/>
  <c r="K42" i="4"/>
  <c r="A44" i="9"/>
  <c r="C42" i="4"/>
  <c r="BV42" i="4" a="1"/>
  <c r="BV42" i="4" s="1"/>
  <c r="D42" i="1"/>
  <c r="AV262" i="13"/>
  <c r="DC62" i="4"/>
  <c r="A25" i="13"/>
  <c r="H23" i="4"/>
  <c r="AX160" i="13"/>
  <c r="A260" i="13"/>
  <c r="AV6" i="13"/>
  <c r="Z1300" i="13"/>
  <c r="AY4" i="4"/>
  <c r="AW4" i="4"/>
  <c r="AX687" i="13"/>
  <c r="A1883" i="13"/>
  <c r="A985" i="13"/>
  <c r="AX985" i="13" s="1"/>
  <c r="A1183" i="13"/>
  <c r="A487" i="13"/>
  <c r="A587" i="13"/>
  <c r="AX1084" i="13"/>
  <c r="A786" i="13"/>
  <c r="AX786" i="13" s="1"/>
  <c r="A886" i="13"/>
  <c r="AX886" i="13" s="1"/>
  <c r="AX487" i="13"/>
  <c r="A187" i="13"/>
  <c r="AX87" i="13"/>
  <c r="A1084" i="13"/>
  <c r="A687" i="13"/>
  <c r="AX587" i="13"/>
  <c r="BC30" i="4" a="1"/>
  <c r="BC30" i="4" s="1"/>
  <c r="BU30" i="4" a="1"/>
  <c r="BU30" i="4" s="1"/>
  <c r="D30" i="1"/>
  <c r="A32" i="9"/>
  <c r="I30" i="4"/>
  <c r="K30" i="4"/>
  <c r="C30" i="4"/>
  <c r="AZ30" i="4"/>
  <c r="M30" i="4"/>
  <c r="BS30" i="4"/>
  <c r="A30" i="4"/>
  <c r="A30" i="20"/>
  <c r="D30" i="4"/>
  <c r="BV30" i="4" a="1"/>
  <c r="BV30" i="4" s="1"/>
  <c r="A41" i="20"/>
  <c r="BC41" i="4" a="1"/>
  <c r="BC41" i="4" s="1"/>
  <c r="K41" i="4"/>
  <c r="I41" i="4"/>
  <c r="M41" i="4"/>
  <c r="A41" i="4"/>
  <c r="A43" i="9"/>
  <c r="BV41" i="4" a="1"/>
  <c r="BV41" i="4" s="1"/>
  <c r="D41" i="4"/>
  <c r="BS41" i="4"/>
  <c r="BU41" i="4" a="1"/>
  <c r="BU41" i="4" s="1"/>
  <c r="AZ41" i="4"/>
  <c r="D41" i="1"/>
  <c r="C41" i="4"/>
  <c r="A630" i="13"/>
  <c r="AX30" i="13"/>
  <c r="A729" i="13"/>
  <c r="AX729" i="13" s="1"/>
  <c r="AX430" i="13"/>
  <c r="A430" i="13"/>
  <c r="A928" i="13"/>
  <c r="AX928" i="13" s="1"/>
  <c r="A1126" i="13"/>
  <c r="A530" i="13"/>
  <c r="A829" i="13"/>
  <c r="AX829" i="13" s="1"/>
  <c r="A1826" i="13"/>
  <c r="AX530" i="13"/>
  <c r="AX1027" i="13"/>
  <c r="AX630" i="13"/>
  <c r="A1027" i="13"/>
  <c r="A130" i="13"/>
  <c r="C5" i="4"/>
  <c r="K5" i="4"/>
  <c r="BV5" i="4" a="1"/>
  <c r="BV5" i="4" s="1"/>
  <c r="D5" i="1"/>
  <c r="D5" i="4"/>
  <c r="A5" i="20"/>
  <c r="M5" i="4"/>
  <c r="BU5" i="4" a="1"/>
  <c r="BU5" i="4" s="1"/>
  <c r="AZ5" i="4"/>
  <c r="I5" i="4"/>
  <c r="BC5" i="4" a="1"/>
  <c r="BC5" i="4" s="1"/>
  <c r="BS5" i="4"/>
  <c r="A5" i="4"/>
  <c r="A7" i="9"/>
  <c r="H11" i="9"/>
  <c r="Q9" i="72"/>
  <c r="H12" i="9"/>
  <c r="AW10" i="69"/>
  <c r="AB10" i="69" a="1"/>
  <c r="AB10" i="69" s="1"/>
  <c r="J10" i="72"/>
  <c r="N10" i="69" a="1"/>
  <c r="N10" i="69" s="1"/>
  <c r="P10" i="69"/>
  <c r="AB10" i="72" a="1"/>
  <c r="AB10" i="72" s="1"/>
  <c r="W9" i="69"/>
  <c r="L9" i="69" s="1"/>
  <c r="Q9" i="69"/>
  <c r="L10" i="69"/>
  <c r="AX10" i="69"/>
  <c r="BD10" i="72"/>
  <c r="W10" i="72"/>
  <c r="W9" i="72"/>
  <c r="P9" i="69"/>
  <c r="AD10" i="72"/>
  <c r="N9" i="72" a="1"/>
  <c r="N9" i="72" s="1"/>
  <c r="BC9" i="72"/>
  <c r="Y10" i="69"/>
  <c r="A10" i="69"/>
  <c r="Q10" i="69"/>
  <c r="AB9" i="72" a="1"/>
  <c r="AB9" i="72" s="1"/>
  <c r="A9" i="72"/>
  <c r="P10" i="72"/>
  <c r="AB9" i="69" a="1"/>
  <c r="AB9" i="69" s="1"/>
  <c r="AC9" i="72"/>
  <c r="AC10" i="69"/>
  <c r="Y10" i="72"/>
  <c r="A10" i="72"/>
  <c r="N10" i="72" a="1"/>
  <c r="N10" i="72" s="1"/>
  <c r="Y9" i="72"/>
  <c r="AW9" i="69"/>
  <c r="Y9" i="69"/>
  <c r="AT10" i="72"/>
  <c r="BD9" i="72"/>
  <c r="AX9" i="69"/>
  <c r="P9" i="72"/>
  <c r="AD9" i="72"/>
  <c r="Q10" i="72"/>
  <c r="AC10" i="72"/>
  <c r="AN10" i="69"/>
  <c r="AT9" i="72"/>
  <c r="AN9" i="69"/>
  <c r="BC10" i="72"/>
  <c r="W10" i="69"/>
  <c r="L10" i="72"/>
  <c r="A9" i="69"/>
  <c r="N9" i="69" a="1"/>
  <c r="N9" i="69" s="1"/>
  <c r="AC9" i="69"/>
  <c r="J10" i="69"/>
  <c r="K45" i="4"/>
  <c r="BV45" i="4" a="1"/>
  <c r="BV45" i="4" s="1"/>
  <c r="D45" i="1"/>
  <c r="C45" i="4"/>
  <c r="BU45" i="4" a="1"/>
  <c r="BU45" i="4" s="1"/>
  <c r="D45" i="4"/>
  <c r="I45" i="4"/>
  <c r="M45" i="4"/>
  <c r="A47" i="9"/>
  <c r="A45" i="4"/>
  <c r="BC45" i="4" a="1"/>
  <c r="BC45" i="4" s="1"/>
  <c r="AZ45" i="4"/>
  <c r="BS45" i="4"/>
  <c r="A45" i="20"/>
  <c r="A78" i="20"/>
  <c r="BU78" i="4" a="1"/>
  <c r="BU78" i="4" s="1"/>
  <c r="D78" i="1"/>
  <c r="C78" i="4"/>
  <c r="BC78" i="4" a="1"/>
  <c r="BC78" i="4" s="1"/>
  <c r="BV78" i="4" a="1"/>
  <c r="BV78" i="4" s="1"/>
  <c r="A80" i="9"/>
  <c r="D78" i="4"/>
  <c r="BV51" i="4" a="1"/>
  <c r="BV51" i="4" s="1"/>
  <c r="A51" i="4"/>
  <c r="BC51" i="4" a="1"/>
  <c r="BC51" i="4" s="1"/>
  <c r="C51" i="4"/>
  <c r="I51" i="4"/>
  <c r="K51" i="4"/>
  <c r="A53" i="9"/>
  <c r="BS51" i="4"/>
  <c r="M51" i="4"/>
  <c r="AZ51" i="4"/>
  <c r="BU51" i="4" a="1"/>
  <c r="BU51" i="4" s="1"/>
  <c r="A51" i="20"/>
  <c r="D51" i="1"/>
  <c r="D51" i="4"/>
  <c r="A452" i="13"/>
  <c r="A1049" i="13"/>
  <c r="A652" i="13"/>
  <c r="A152" i="13"/>
  <c r="AX52" i="13"/>
  <c r="A751" i="13"/>
  <c r="AX751" i="13" s="1"/>
  <c r="AX452" i="13"/>
  <c r="A1848" i="13"/>
  <c r="AX552" i="13"/>
  <c r="A851" i="13"/>
  <c r="AX851" i="13" s="1"/>
  <c r="A1148" i="13"/>
  <c r="A950" i="13"/>
  <c r="AX950" i="13" s="1"/>
  <c r="AX1049" i="13"/>
  <c r="A552" i="13"/>
  <c r="AX652" i="13"/>
  <c r="G58" i="4"/>
  <c r="BO58" i="4"/>
  <c r="A1255" i="13"/>
  <c r="AX1156" i="13"/>
  <c r="AZ48" i="4"/>
  <c r="BV48" i="4" a="1"/>
  <c r="BV48" i="4" s="1"/>
  <c r="M48" i="4"/>
  <c r="BS48" i="4"/>
  <c r="K48" i="4"/>
  <c r="I48" i="4"/>
  <c r="D48" i="1"/>
  <c r="C48" i="4"/>
  <c r="BC48" i="4" a="1"/>
  <c r="BC48" i="4" s="1"/>
  <c r="A50" i="9"/>
  <c r="BU48" i="4" a="1"/>
  <c r="BU48" i="4" s="1"/>
  <c r="D48" i="4"/>
  <c r="A48" i="20"/>
  <c r="A48" i="4"/>
  <c r="A76" i="9"/>
  <c r="BU74" i="4" a="1"/>
  <c r="BU74" i="4" s="1"/>
  <c r="BV74" i="4" a="1"/>
  <c r="BV74" i="4" s="1"/>
  <c r="D74" i="1"/>
  <c r="C74" i="4"/>
  <c r="D74" i="4"/>
  <c r="A74" i="20"/>
  <c r="BC74" i="4" a="1"/>
  <c r="BC74" i="4" s="1"/>
  <c r="A1161" i="13"/>
  <c r="A963" i="13"/>
  <c r="AX963" i="13" s="1"/>
  <c r="A764" i="13"/>
  <c r="AX764" i="13" s="1"/>
  <c r="AX465" i="13"/>
  <c r="AX1062" i="13"/>
  <c r="AX565" i="13"/>
  <c r="A565" i="13"/>
  <c r="AX65" i="13"/>
  <c r="A465" i="13"/>
  <c r="A1861" i="13"/>
  <c r="A165" i="13"/>
  <c r="A864" i="13"/>
  <c r="AX864" i="13" s="1"/>
  <c r="A665" i="13"/>
  <c r="A1062" i="13"/>
  <c r="AX665" i="13"/>
  <c r="A1061" i="13"/>
  <c r="A962" i="13"/>
  <c r="AX962" i="13" s="1"/>
  <c r="A164" i="13"/>
  <c r="A763" i="13"/>
  <c r="AX763" i="13" s="1"/>
  <c r="AX1061" i="13"/>
  <c r="AX564" i="13"/>
  <c r="A863" i="13"/>
  <c r="AX863" i="13" s="1"/>
  <c r="A1160" i="13"/>
  <c r="A664" i="13"/>
  <c r="AX64" i="13"/>
  <c r="A1860" i="13"/>
  <c r="A464" i="13"/>
  <c r="AX464" i="13"/>
  <c r="A564" i="13"/>
  <c r="AX664" i="13"/>
  <c r="C28" i="4"/>
  <c r="AZ28" i="4"/>
  <c r="A30" i="9"/>
  <c r="BS28" i="4"/>
  <c r="D28" i="4"/>
  <c r="BU28" i="4" a="1"/>
  <c r="BU28" i="4" s="1"/>
  <c r="BC28" i="4" a="1"/>
  <c r="BC28" i="4" s="1"/>
  <c r="M28" i="4"/>
  <c r="I28" i="4"/>
  <c r="BV28" i="4" a="1"/>
  <c r="BV28" i="4" s="1"/>
  <c r="D28" i="1"/>
  <c r="A28" i="20"/>
  <c r="K28" i="4"/>
  <c r="A28" i="4"/>
  <c r="AX547" i="13"/>
  <c r="A846" i="13"/>
  <c r="AX846" i="13" s="1"/>
  <c r="A547" i="13"/>
  <c r="A945" i="13"/>
  <c r="AX945" i="13" s="1"/>
  <c r="A1843" i="13"/>
  <c r="AX1044" i="13"/>
  <c r="AX647" i="13"/>
  <c r="A746" i="13"/>
  <c r="AX746" i="13" s="1"/>
  <c r="A147" i="13"/>
  <c r="AX47" i="13"/>
  <c r="A647" i="13"/>
  <c r="A1143" i="13"/>
  <c r="AX447" i="13"/>
  <c r="A447" i="13"/>
  <c r="A1044" i="13"/>
  <c r="A680" i="13"/>
  <c r="A1077" i="13"/>
  <c r="A180" i="13"/>
  <c r="AX680" i="13"/>
  <c r="A580" i="13"/>
  <c r="AX480" i="13"/>
  <c r="AX80" i="13"/>
  <c r="AX1077" i="13"/>
  <c r="AX580" i="13"/>
  <c r="A879" i="13"/>
  <c r="AX879" i="13" s="1"/>
  <c r="A480" i="13"/>
  <c r="A779" i="13"/>
  <c r="AX779" i="13" s="1"/>
  <c r="A1176" i="13"/>
  <c r="A1876" i="13"/>
  <c r="A978" i="13"/>
  <c r="AX978" i="13" s="1"/>
  <c r="M22" i="4"/>
  <c r="AZ22" i="4"/>
  <c r="BS22" i="4"/>
  <c r="D22" i="4"/>
  <c r="D22" i="1"/>
  <c r="I22" i="4"/>
  <c r="BV22" i="4" a="1"/>
  <c r="BV22" i="4" s="1"/>
  <c r="K22" i="4"/>
  <c r="C22" i="4"/>
  <c r="A22" i="4"/>
  <c r="A24" i="9"/>
  <c r="BC22" i="4" a="1"/>
  <c r="BC22" i="4" s="1"/>
  <c r="BU22" i="4" a="1"/>
  <c r="BU22" i="4" s="1"/>
  <c r="A22" i="20"/>
  <c r="AX1074" i="13"/>
  <c r="A776" i="13"/>
  <c r="AX776" i="13" s="1"/>
  <c r="AX577" i="13"/>
  <c r="A975" i="13"/>
  <c r="AX975" i="13" s="1"/>
  <c r="A1074" i="13"/>
  <c r="A876" i="13"/>
  <c r="AX876" i="13" s="1"/>
  <c r="A677" i="13"/>
  <c r="A1173" i="13"/>
  <c r="AX477" i="13"/>
  <c r="A177" i="13"/>
  <c r="AX77" i="13"/>
  <c r="A577" i="13"/>
  <c r="A477" i="13"/>
  <c r="AX677" i="13"/>
  <c r="A1873" i="13"/>
  <c r="A1025" i="13"/>
  <c r="AX628" i="13"/>
  <c r="A628" i="13"/>
  <c r="AX428" i="13"/>
  <c r="AX28" i="13"/>
  <c r="AX1025" i="13"/>
  <c r="AX528" i="13"/>
  <c r="A428" i="13"/>
  <c r="A1824" i="13"/>
  <c r="A926" i="13"/>
  <c r="AX926" i="13" s="1"/>
  <c r="A1124" i="13"/>
  <c r="A827" i="13"/>
  <c r="AX827" i="13" s="1"/>
  <c r="A528" i="13"/>
  <c r="A128" i="13"/>
  <c r="A727" i="13"/>
  <c r="AX727" i="13" s="1"/>
  <c r="BU47" i="4" a="1"/>
  <c r="BU47" i="4" s="1"/>
  <c r="D47" i="4"/>
  <c r="BC47" i="4" a="1"/>
  <c r="BC47" i="4" s="1"/>
  <c r="BS47" i="4"/>
  <c r="C47" i="4"/>
  <c r="A47" i="20"/>
  <c r="BV47" i="4" a="1"/>
  <c r="BV47" i="4" s="1"/>
  <c r="M47" i="4"/>
  <c r="A49" i="9"/>
  <c r="K47" i="4"/>
  <c r="I47" i="4"/>
  <c r="D47" i="1"/>
  <c r="AZ47" i="4"/>
  <c r="A47" i="4"/>
  <c r="A713" i="13"/>
  <c r="AX713" i="13" s="1"/>
  <c r="AX14" i="13"/>
  <c r="A1011" i="13"/>
  <c r="A414" i="13"/>
  <c r="AX1011" i="13"/>
  <c r="A614" i="13"/>
  <c r="A114" i="13"/>
  <c r="AX414" i="13"/>
  <c r="A912" i="13"/>
  <c r="AX912" i="13" s="1"/>
  <c r="AX514" i="13"/>
  <c r="A1110" i="13"/>
  <c r="A1810" i="13"/>
  <c r="AX614" i="13"/>
  <c r="A514" i="13"/>
  <c r="A813" i="13"/>
  <c r="AX813" i="13" s="1"/>
  <c r="BU77" i="4" a="1"/>
  <c r="BU77" i="4" s="1"/>
  <c r="C77" i="4"/>
  <c r="A77" i="20"/>
  <c r="D77" i="4"/>
  <c r="A79" i="9"/>
  <c r="BV77" i="4" a="1"/>
  <c r="BV77" i="4" s="1"/>
  <c r="BC77" i="4" a="1"/>
  <c r="BC77" i="4" s="1"/>
  <c r="D77" i="1"/>
  <c r="AX667" i="13"/>
  <c r="A467" i="13"/>
  <c r="A766" i="13"/>
  <c r="AX766" i="13" s="1"/>
  <c r="A167" i="13"/>
  <c r="A1163" i="13"/>
  <c r="AX67" i="13"/>
  <c r="AX467" i="13"/>
  <c r="A567" i="13"/>
  <c r="A866" i="13"/>
  <c r="AX866" i="13" s="1"/>
  <c r="AX1064" i="13"/>
  <c r="A965" i="13"/>
  <c r="AX965" i="13" s="1"/>
  <c r="A667" i="13"/>
  <c r="A1064" i="13"/>
  <c r="A1863" i="13"/>
  <c r="AX567" i="13"/>
  <c r="M31" i="4"/>
  <c r="D31" i="1"/>
  <c r="C31" i="4"/>
  <c r="BV31" i="4" a="1"/>
  <c r="BV31" i="4" s="1"/>
  <c r="K31" i="4"/>
  <c r="AZ31" i="4"/>
  <c r="I31" i="4"/>
  <c r="BS31" i="4"/>
  <c r="BC31" i="4" a="1"/>
  <c r="BC31" i="4" s="1"/>
  <c r="BU31" i="4" a="1"/>
  <c r="BU31" i="4" s="1"/>
  <c r="A33" i="9"/>
  <c r="A31" i="20"/>
  <c r="D31" i="4"/>
  <c r="A31" i="4"/>
  <c r="AX1047" i="13"/>
  <c r="A948" i="13"/>
  <c r="AX948" i="13" s="1"/>
  <c r="A1146" i="13"/>
  <c r="AX50" i="13"/>
  <c r="A1846" i="13"/>
  <c r="AX450" i="13"/>
  <c r="A650" i="13"/>
  <c r="A150" i="13"/>
  <c r="A550" i="13"/>
  <c r="A450" i="13"/>
  <c r="A849" i="13"/>
  <c r="AX849" i="13" s="1"/>
  <c r="AX550" i="13"/>
  <c r="A749" i="13"/>
  <c r="AX749" i="13" s="1"/>
  <c r="A1047" i="13"/>
  <c r="AX650" i="13"/>
  <c r="AX1073" i="13"/>
  <c r="AX676" i="13"/>
  <c r="A176" i="13"/>
  <c r="A974" i="13"/>
  <c r="AX974" i="13" s="1"/>
  <c r="A875" i="13"/>
  <c r="AX875" i="13" s="1"/>
  <c r="A576" i="13"/>
  <c r="AX576" i="13"/>
  <c r="A676" i="13"/>
  <c r="AX76" i="13"/>
  <c r="A1872" i="13"/>
  <c r="AX476" i="13"/>
  <c r="A775" i="13"/>
  <c r="AX775" i="13" s="1"/>
  <c r="A476" i="13"/>
  <c r="A1073" i="13"/>
  <c r="A1172" i="13"/>
  <c r="BC63" i="4" a="1"/>
  <c r="BC63" i="4" s="1"/>
  <c r="D63" i="1"/>
  <c r="BU63" i="4" a="1"/>
  <c r="BU63" i="4" s="1"/>
  <c r="D63" i="4"/>
  <c r="S95" i="22"/>
  <c r="A65" i="9"/>
  <c r="A63" i="20"/>
  <c r="BV63" i="4" a="1"/>
  <c r="BV63" i="4" s="1"/>
  <c r="C63" i="4"/>
  <c r="AV206" i="13"/>
  <c r="DC4" i="4"/>
  <c r="T4" i="4"/>
  <c r="BV62" i="4" a="1"/>
  <c r="BV62" i="4" s="1"/>
  <c r="S94" i="22"/>
  <c r="A62" i="20"/>
  <c r="A64" i="9"/>
  <c r="D62" i="4"/>
  <c r="BU62" i="4" a="1"/>
  <c r="BU62" i="4" s="1"/>
  <c r="C62" i="4"/>
  <c r="D62" i="1"/>
  <c r="BC62" i="4" a="1"/>
  <c r="BC62" i="4" s="1"/>
  <c r="A784" i="13"/>
  <c r="AX784" i="13" s="1"/>
  <c r="AX485" i="13"/>
  <c r="AX685" i="13"/>
  <c r="A1082" i="13"/>
  <c r="A585" i="13"/>
  <c r="AX585" i="13"/>
  <c r="A1181" i="13"/>
  <c r="A685" i="13"/>
  <c r="A884" i="13"/>
  <c r="AX884" i="13" s="1"/>
  <c r="AX85" i="13"/>
  <c r="A1881" i="13"/>
  <c r="A983" i="13"/>
  <c r="AX983" i="13" s="1"/>
  <c r="AX1082" i="13"/>
  <c r="A485" i="13"/>
  <c r="A185" i="13"/>
  <c r="A471" i="13"/>
  <c r="A1867" i="13"/>
  <c r="AX471" i="13"/>
  <c r="A1167" i="13"/>
  <c r="A770" i="13"/>
  <c r="AX770" i="13" s="1"/>
  <c r="A671" i="13"/>
  <c r="AX571" i="13"/>
  <c r="A969" i="13"/>
  <c r="AX969" i="13" s="1"/>
  <c r="A870" i="13"/>
  <c r="AX870" i="13" s="1"/>
  <c r="AX71" i="13"/>
  <c r="A171" i="13"/>
  <c r="AX671" i="13"/>
  <c r="A1068" i="13"/>
  <c r="AX1068" i="13"/>
  <c r="A571" i="13"/>
  <c r="AS9" i="4"/>
  <c r="AV611" i="13" s="1"/>
  <c r="A716" i="13"/>
  <c r="AX716" i="13" s="1"/>
  <c r="A816" i="13"/>
  <c r="AX816" i="13" s="1"/>
  <c r="A517" i="13"/>
  <c r="A1113" i="13"/>
  <c r="AX17" i="13"/>
  <c r="A1813" i="13"/>
  <c r="A915" i="13"/>
  <c r="AX915" i="13" s="1"/>
  <c r="A1014" i="13"/>
  <c r="A417" i="13"/>
  <c r="A117" i="13"/>
  <c r="A617" i="13"/>
  <c r="AX517" i="13"/>
  <c r="AX1014" i="13"/>
  <c r="AX417" i="13"/>
  <c r="AX617" i="13"/>
  <c r="I27" i="4"/>
  <c r="M27" i="4"/>
  <c r="BV27" i="4" a="1"/>
  <c r="BV27" i="4" s="1"/>
  <c r="K27" i="4"/>
  <c r="BC27" i="4" a="1"/>
  <c r="BC27" i="4" s="1"/>
  <c r="D27" i="1"/>
  <c r="A27" i="4"/>
  <c r="C27" i="4"/>
  <c r="BS27" i="4"/>
  <c r="D27" i="4"/>
  <c r="A29" i="9"/>
  <c r="AZ27" i="4"/>
  <c r="BU27" i="4" a="1"/>
  <c r="BU27" i="4" s="1"/>
  <c r="A27" i="20"/>
  <c r="A524" i="13"/>
  <c r="A1021" i="13"/>
  <c r="AX524" i="13"/>
  <c r="AX624" i="13"/>
  <c r="AX1021" i="13"/>
  <c r="A1120" i="13"/>
  <c r="A424" i="13"/>
  <c r="A922" i="13"/>
  <c r="AX922" i="13" s="1"/>
  <c r="A1820" i="13"/>
  <c r="A124" i="13"/>
  <c r="A624" i="13"/>
  <c r="A823" i="13"/>
  <c r="AX823" i="13" s="1"/>
  <c r="AX424" i="13"/>
  <c r="AX24" i="13"/>
  <c r="A723" i="13"/>
  <c r="AX723" i="13" s="1"/>
  <c r="BU75" i="4" a="1"/>
  <c r="BU75" i="4" s="1"/>
  <c r="BC75" i="4" a="1"/>
  <c r="BC75" i="4" s="1"/>
  <c r="A77" i="9"/>
  <c r="D75" i="4"/>
  <c r="A75" i="20"/>
  <c r="BV75" i="4" a="1"/>
  <c r="BV75" i="4" s="1"/>
  <c r="D75" i="1"/>
  <c r="C75" i="4"/>
  <c r="BC26" i="4" a="1"/>
  <c r="BC26" i="4" s="1"/>
  <c r="I26" i="4"/>
  <c r="BU26" i="4" a="1"/>
  <c r="BU26" i="4" s="1"/>
  <c r="A26" i="20"/>
  <c r="BS26" i="4"/>
  <c r="AZ26" i="4"/>
  <c r="K26" i="4"/>
  <c r="M26" i="4"/>
  <c r="A26" i="4"/>
  <c r="C26" i="4"/>
  <c r="BV26" i="4" a="1"/>
  <c r="BV26" i="4" s="1"/>
  <c r="A28" i="9"/>
  <c r="D26" i="1"/>
  <c r="D26" i="4"/>
  <c r="AX549" i="13"/>
  <c r="AX49" i="13"/>
  <c r="A1145" i="13"/>
  <c r="A1046" i="13"/>
  <c r="AX449" i="13"/>
  <c r="A149" i="13"/>
  <c r="AX649" i="13"/>
  <c r="A748" i="13"/>
  <c r="AX748" i="13" s="1"/>
  <c r="AX1046" i="13"/>
  <c r="A848" i="13"/>
  <c r="AX848" i="13" s="1"/>
  <c r="A947" i="13"/>
  <c r="AX947" i="13" s="1"/>
  <c r="A649" i="13"/>
  <c r="A449" i="13"/>
  <c r="A1845" i="13"/>
  <c r="A549" i="13"/>
  <c r="A12" i="20"/>
  <c r="A14" i="9"/>
  <c r="C12" i="4"/>
  <c r="D12" i="1"/>
  <c r="BV12" i="4" a="1"/>
  <c r="BV12" i="4" s="1"/>
  <c r="K12" i="4"/>
  <c r="BC12" i="4" a="1"/>
  <c r="BC12" i="4" s="1"/>
  <c r="A12" i="4"/>
  <c r="D12" i="4"/>
  <c r="BU12" i="4" a="1"/>
  <c r="BU12" i="4" s="1"/>
  <c r="I12" i="4"/>
  <c r="BS12" i="4"/>
  <c r="M12" i="4"/>
  <c r="AZ12" i="4"/>
  <c r="AX679" i="13"/>
  <c r="A1076" i="13"/>
  <c r="A1175" i="13"/>
  <c r="AX79" i="13"/>
  <c r="AX479" i="13"/>
  <c r="AX579" i="13"/>
  <c r="A679" i="13"/>
  <c r="A878" i="13"/>
  <c r="AX878" i="13" s="1"/>
  <c r="A778" i="13"/>
  <c r="AX778" i="13" s="1"/>
  <c r="A479" i="13"/>
  <c r="A1875" i="13"/>
  <c r="A977" i="13"/>
  <c r="AX977" i="13" s="1"/>
  <c r="A179" i="13"/>
  <c r="A579" i="13"/>
  <c r="AX1076" i="13"/>
  <c r="A67" i="9"/>
  <c r="D65" i="1"/>
  <c r="BU65" i="4" a="1"/>
  <c r="BU65" i="4" s="1"/>
  <c r="D65" i="4"/>
  <c r="BV65" i="4" a="1"/>
  <c r="BV65" i="4" s="1"/>
  <c r="C65" i="4"/>
  <c r="BC65" i="4" a="1"/>
  <c r="BC65" i="4" s="1"/>
  <c r="S97" i="22"/>
  <c r="A65" i="20"/>
  <c r="A433" i="13"/>
  <c r="AX33" i="13"/>
  <c r="AX1030" i="13"/>
  <c r="A832" i="13"/>
  <c r="AX832" i="13" s="1"/>
  <c r="AX633" i="13"/>
  <c r="AX433" i="13"/>
  <c r="A633" i="13"/>
  <c r="A732" i="13"/>
  <c r="AX732" i="13" s="1"/>
  <c r="A1129" i="13"/>
  <c r="A931" i="13"/>
  <c r="AX931" i="13" s="1"/>
  <c r="A1030" i="13"/>
  <c r="A1829" i="13"/>
  <c r="AX533" i="13"/>
  <c r="A533" i="13"/>
  <c r="A133" i="13"/>
  <c r="A36" i="4"/>
  <c r="BS36" i="4"/>
  <c r="BU36" i="4" a="1"/>
  <c r="BU36" i="4" s="1"/>
  <c r="C36" i="4"/>
  <c r="D36" i="1"/>
  <c r="A36" i="20"/>
  <c r="AZ36" i="4"/>
  <c r="K36" i="4"/>
  <c r="A38" i="9"/>
  <c r="BC36" i="4" a="1"/>
  <c r="BC36" i="4" s="1"/>
  <c r="M36" i="4"/>
  <c r="D36" i="4"/>
  <c r="I36" i="4"/>
  <c r="BV36" i="4" a="1"/>
  <c r="BV36" i="4" s="1"/>
  <c r="AL4" i="4"/>
  <c r="BS78" i="4"/>
  <c r="CF17" i="4" a="1"/>
  <c r="CN17" i="4" a="1"/>
  <c r="CI87" i="4" a="1"/>
  <c r="AK35" i="4" a="1"/>
  <c r="CG40" i="4" a="1"/>
  <c r="CE40" i="4" a="1"/>
  <c r="CB33" i="4" a="1"/>
  <c r="CK34" i="4" a="1"/>
  <c r="CB17" i="4" a="1"/>
  <c r="CD17" i="4" a="1"/>
  <c r="CE87" i="4" a="1"/>
  <c r="CD35" i="4" a="1"/>
  <c r="CL40" i="4" a="1"/>
  <c r="CH35" i="4"/>
  <c r="CI29" i="4" a="1"/>
  <c r="CO11" i="4" a="1"/>
  <c r="CP16" i="4" a="1"/>
  <c r="CS17" i="4" a="1"/>
  <c r="CR85" i="4" a="1"/>
  <c r="CO80" i="4" a="1"/>
  <c r="AB7" i="4" a="1"/>
  <c r="AA30" i="4" a="1"/>
  <c r="AJ11" i="4" a="1"/>
  <c r="CR91" i="4" a="1"/>
  <c r="CP18" i="4" a="1"/>
  <c r="AE48" i="4" a="1"/>
  <c r="AF29" i="4" a="1"/>
  <c r="AI21" i="4" a="1"/>
  <c r="CC23" i="4" a="1"/>
  <c r="AN8" i="4" a="1"/>
  <c r="AJ67" i="4" a="1"/>
  <c r="CO89" i="4" a="1"/>
  <c r="CR14" i="4" a="1"/>
  <c r="CR57" i="4" a="1"/>
  <c r="CP25" i="4" a="1"/>
  <c r="CD11" i="4" a="1"/>
  <c r="CR56" i="4" a="1"/>
  <c r="CR13" i="4" a="1"/>
  <c r="CD30" i="4" a="1"/>
  <c r="AF46" i="4" a="1"/>
  <c r="CO21" i="4" a="1"/>
  <c r="CR15" i="4" a="1"/>
  <c r="CR77" i="4" a="1"/>
  <c r="CP69" i="4" a="1"/>
  <c r="CP48" i="4" a="1"/>
  <c r="CL91" i="4" a="1"/>
  <c r="CS26" i="4" a="1"/>
  <c r="CO41" i="4" a="1"/>
  <c r="BP33" i="4" a="1"/>
  <c r="CP62" i="4" a="1"/>
  <c r="CO14" i="4" a="1"/>
  <c r="CE30" i="4" a="1"/>
  <c r="BI3" i="4" a="1"/>
  <c r="AA86" i="4" a="1"/>
  <c r="B91" i="1" a="1"/>
  <c r="CS64" i="4" a="1"/>
  <c r="CS16" i="4" a="1"/>
  <c r="CI33" i="4" a="1"/>
  <c r="CS70" i="4" a="1"/>
  <c r="CP54" i="4" a="1"/>
  <c r="B39" i="1" a="1"/>
  <c r="AN30" i="4" a="1"/>
  <c r="AN44" i="4" a="1"/>
  <c r="B84" i="1" a="1"/>
  <c r="AF38" i="4" a="1"/>
  <c r="CC17" i="4" a="1"/>
  <c r="AE87" i="4" a="1"/>
  <c r="CK87" i="4" a="1"/>
  <c r="AE35" i="4" a="1"/>
  <c r="AK40" i="4" a="1"/>
  <c r="CL35" i="4" a="1"/>
  <c r="CN29" i="4" a="1"/>
  <c r="AE17" i="4" a="1"/>
  <c r="AC87" i="4" a="1"/>
  <c r="CJ87" i="4" a="1"/>
  <c r="CB35" i="4" a="1"/>
  <c r="BN40" i="4" a="1"/>
  <c r="CC63" i="4" a="1"/>
  <c r="CH67" i="4"/>
  <c r="CR17" i="4" a="1"/>
  <c r="CS85" i="4" a="1"/>
  <c r="CP80" i="4" a="1"/>
  <c r="CR79" i="4" a="1"/>
  <c r="CR78" i="4" a="1"/>
  <c r="CP63" i="4" a="1"/>
  <c r="B37" i="1" a="1"/>
  <c r="AF93" i="4" a="1"/>
  <c r="AO74" i="4" a="1"/>
  <c r="CS84" i="4" a="1"/>
  <c r="CP12" i="4" a="1"/>
  <c r="CE17" i="4" a="1"/>
  <c r="CG87" i="4" a="1"/>
  <c r="CH87" i="4"/>
  <c r="CI35" i="4" a="1"/>
  <c r="CF35" i="4" a="1"/>
  <c r="AK63" i="4" a="1"/>
  <c r="CL67" i="4" a="1"/>
  <c r="CG17" i="4" a="1"/>
  <c r="AM87" i="4" a="1"/>
  <c r="CL87" i="4" a="1"/>
  <c r="CK35" i="4" a="1"/>
  <c r="AC35" i="4" a="1"/>
  <c r="CQ52" i="4"/>
  <c r="CC67" i="4" a="1"/>
  <c r="CM17" i="4" a="1"/>
  <c r="BN87" i="4" a="1"/>
  <c r="CQ87" i="4"/>
  <c r="CB40" i="4" a="1"/>
  <c r="AE40" i="4" a="1"/>
  <c r="CG52" i="4" a="1"/>
  <c r="CK67" i="4" a="1"/>
  <c r="AK17" i="4" a="1"/>
  <c r="CC87" i="4" a="1"/>
  <c r="CN87" i="4" a="1"/>
  <c r="AM40" i="4" a="1"/>
  <c r="CC35" i="4" a="1"/>
  <c r="CF52" i="4" a="1"/>
  <c r="CD89" i="4" a="1"/>
  <c r="AJ4" i="4" a="1"/>
  <c r="CQ17" i="4"/>
  <c r="CM87" i="4" a="1"/>
  <c r="CT87" i="4"/>
  <c r="CT40" i="4"/>
  <c r="CJ40" i="4" a="1"/>
  <c r="CB89" i="4" a="1"/>
  <c r="CD63" i="4" a="1"/>
  <c r="AI4" i="4" a="1"/>
  <c r="CJ17" i="4" a="1"/>
  <c r="CD87" i="4" a="1"/>
  <c r="AM17" i="4" a="1"/>
  <c r="CF40" i="4" a="1"/>
  <c r="CQ35" i="4"/>
  <c r="CC89" i="4" a="1"/>
  <c r="CJ63" i="4" a="1"/>
  <c r="CC62" i="4" a="1"/>
  <c r="AC17" i="4" a="1"/>
  <c r="AK87" i="4" a="1"/>
  <c r="CH17" i="4"/>
  <c r="CN40" i="4" a="1"/>
  <c r="CM35" i="4" a="1"/>
  <c r="BP89" i="4" a="1"/>
  <c r="BN54" i="4" a="1"/>
  <c r="AC53" i="4" a="1"/>
  <c r="CK17" i="4" a="1"/>
  <c r="CF87" i="4" a="1"/>
  <c r="CN35" i="4" a="1"/>
  <c r="CI40" i="4" a="1"/>
  <c r="CQ40" i="4"/>
  <c r="CQ33" i="4"/>
  <c r="CL48" i="4" a="1"/>
  <c r="CR11" i="4" a="1"/>
  <c r="CR45" i="4" a="1"/>
  <c r="CS65" i="4" a="1"/>
  <c r="CO30" i="4" a="1"/>
  <c r="AG18" i="4" a="1"/>
  <c r="AI26" i="4" a="1"/>
  <c r="CT23" i="4"/>
  <c r="CP34" i="4" a="1"/>
  <c r="CO51" i="4" a="1"/>
  <c r="AO51" i="4" a="1"/>
  <c r="AG93" i="4" a="1"/>
  <c r="CG23" i="4" a="1"/>
  <c r="AJ30" i="4" a="1"/>
  <c r="B89" i="1" a="1"/>
  <c r="CS91" i="4" a="1"/>
  <c r="CP57" i="4" a="1"/>
  <c r="CF84" i="4" a="1"/>
  <c r="CP79" i="4" a="1"/>
  <c r="CS81" i="4" a="1"/>
  <c r="CR76" i="4" a="1"/>
  <c r="CO25" i="4" a="1"/>
  <c r="CC53" i="4" a="1"/>
  <c r="B59" i="1" a="1"/>
  <c r="AA43" i="4" a="1"/>
  <c r="CS20" i="4" a="1"/>
  <c r="CO48" i="4" a="1"/>
  <c r="CE29" i="4" a="1"/>
  <c r="CR63" i="4" a="1"/>
  <c r="CR43" i="4" a="1"/>
  <c r="CS25" i="4" a="1"/>
  <c r="CS7" i="4" a="1"/>
  <c r="BN17" i="4" a="1"/>
  <c r="CR26" i="4" a="1"/>
  <c r="CS71" i="4" a="1"/>
  <c r="AJ89" i="4" a="1"/>
  <c r="AN52" i="4" a="1"/>
  <c r="AI70" i="4" a="1"/>
  <c r="AG42" i="4" a="1"/>
  <c r="CR6" i="4" a="1"/>
  <c r="CO77" i="4" a="1"/>
  <c r="CR38" i="4" a="1"/>
  <c r="CR16" i="4" a="1"/>
  <c r="CJ33" i="4" a="1"/>
  <c r="CE23" i="4" a="1"/>
  <c r="AG89" i="4" a="1"/>
  <c r="AO41" i="4" a="1"/>
  <c r="AF49" i="4" a="1"/>
  <c r="AG57" i="4" a="1"/>
  <c r="AG68" i="4" a="1"/>
  <c r="CN60" i="4" a="1"/>
  <c r="B75" i="1" a="1"/>
  <c r="AF52" i="4" a="1"/>
  <c r="AJ24" i="4" a="1"/>
  <c r="AN72" i="4" a="1"/>
  <c r="AF30" i="4" a="1"/>
  <c r="DF3" i="4" a="1"/>
  <c r="AA12" i="4" a="1"/>
  <c r="AF24" i="4" a="1"/>
  <c r="AO34" i="4" a="1"/>
  <c r="AN18" i="4" a="1"/>
  <c r="AJ8" i="4" a="1"/>
  <c r="AN13" i="4" a="1"/>
  <c r="AI69" i="4" a="1"/>
  <c r="AO25" i="4" a="1"/>
  <c r="CM60" i="4" a="1"/>
  <c r="B92" i="1" a="1"/>
  <c r="AB75" i="4" a="1"/>
  <c r="AN75" i="4" a="1"/>
  <c r="AF78" i="4" a="1"/>
  <c r="AG67" i="4" a="1"/>
  <c r="AI25" i="4" a="1"/>
  <c r="AA46" i="4" a="1"/>
  <c r="AI90" i="4" a="1"/>
  <c r="BK10" i="4" a="1"/>
  <c r="AF61" i="4" a="1"/>
  <c r="AI79" i="4" a="1"/>
  <c r="AO61" i="4" a="1"/>
  <c r="AI67" i="4" a="1"/>
  <c r="AB36" i="4" a="1"/>
  <c r="AA50" i="4" a="1"/>
  <c r="AJ34" i="4" a="1"/>
  <c r="AF62" i="4" a="1"/>
  <c r="AN51" i="4" a="1"/>
  <c r="AB86" i="4" a="1"/>
  <c r="AJ80" i="4" a="1"/>
  <c r="CB60" i="4" a="1"/>
  <c r="B78" i="1" a="1"/>
  <c r="BN23" i="4" a="1"/>
  <c r="AO18" i="4" a="1"/>
  <c r="AI47" i="4" a="1"/>
  <c r="AG7" i="4" a="1"/>
  <c r="AO21" i="4" a="1"/>
  <c r="AI27" i="4" a="1"/>
  <c r="AI41" i="4" a="1"/>
  <c r="AO48" i="4" a="1"/>
  <c r="AI11" i="4" a="1"/>
  <c r="AJ72" i="4" a="1"/>
  <c r="AF74" i="4" a="1"/>
  <c r="AJ32" i="4" a="1"/>
  <c r="B65" i="1" a="1"/>
  <c r="AB91" i="4" a="1"/>
  <c r="B40" i="1" a="1"/>
  <c r="BK9" i="4" a="1"/>
  <c r="BP48" i="4" a="1"/>
  <c r="AJ21" i="4" a="1"/>
  <c r="CO63" i="4" a="1"/>
  <c r="AF47" i="4" a="1"/>
  <c r="AF82" i="4" a="1"/>
  <c r="CR84" i="4" a="1"/>
  <c r="CS8" i="4" a="1"/>
  <c r="CS14" i="4" a="1"/>
  <c r="CS36" i="4" a="1"/>
  <c r="AG30" i="4" a="1"/>
  <c r="CR21" i="4" a="1"/>
  <c r="CO71" i="4" a="1"/>
  <c r="CO90" i="4" a="1"/>
  <c r="BN52" i="4" a="1"/>
  <c r="CP59" i="4" a="1"/>
  <c r="AJ47" i="4" a="1"/>
  <c r="B50" i="1" a="1"/>
  <c r="CD41" i="4" a="1"/>
  <c r="AF75" i="4" a="1"/>
  <c r="AO80" i="4" a="1"/>
  <c r="AO38" i="4" a="1"/>
  <c r="AF69" i="4" a="1"/>
  <c r="AI77" i="4" a="1"/>
  <c r="AF85" i="4" a="1"/>
  <c r="AO71" i="4" a="1"/>
  <c r="AF80" i="4" a="1"/>
  <c r="AN63" i="4" a="1"/>
  <c r="AN92" i="4" a="1"/>
  <c r="AB31" i="4" a="1"/>
  <c r="AB42" i="4" a="1"/>
  <c r="AB33" i="4" a="1"/>
  <c r="AG77" i="4" a="1"/>
  <c r="B87" i="1" a="1"/>
  <c r="AO46" i="4" a="1"/>
  <c r="AI73" i="4" a="1"/>
  <c r="AN82" i="4" a="1"/>
  <c r="AF13" i="4" a="1"/>
  <c r="AG81" i="4" a="1"/>
  <c r="AJ70" i="4" a="1"/>
  <c r="AF19" i="4" a="1"/>
  <c r="AI49" i="4" a="1"/>
  <c r="AI28" i="4" a="1"/>
  <c r="AF71" i="4" a="1"/>
  <c r="AG13" i="4" a="1"/>
  <c r="B54" i="1" a="1"/>
  <c r="AO54" i="4" a="1"/>
  <c r="AO19" i="4" a="1"/>
  <c r="AO47" i="4" a="1"/>
  <c r="AG70" i="4" a="1"/>
  <c r="B25" i="1" a="1"/>
  <c r="AF83" i="4" a="1"/>
  <c r="AA73" i="4" a="1"/>
  <c r="B15" i="1" a="1"/>
  <c r="AN6" i="4" a="1"/>
  <c r="CO43" i="4" a="1"/>
  <c r="CS13" i="4" a="1"/>
  <c r="CO72" i="4" a="1"/>
  <c r="B20" i="1" a="1"/>
  <c r="CS21" i="4" a="1"/>
  <c r="CS61" i="4" a="1"/>
  <c r="AI19" i="4" a="1"/>
  <c r="CO85" i="4" a="1"/>
  <c r="CS45" i="4" a="1"/>
  <c r="AG24" i="4" a="1"/>
  <c r="DF10" i="4" a="1"/>
  <c r="CQ23" i="4"/>
  <c r="AI14" i="4" a="1"/>
  <c r="BP60" i="4" a="1"/>
  <c r="AJ15" i="4" a="1"/>
  <c r="B29" i="1" a="1"/>
  <c r="AO15" i="4" a="1"/>
  <c r="B21" i="1" a="1"/>
  <c r="CO68" i="4" a="1"/>
  <c r="CO50" i="4" a="1"/>
  <c r="AM91" i="4" a="1"/>
  <c r="CS37" i="4" a="1"/>
  <c r="CP67" i="4" a="1"/>
  <c r="AO13" i="4" a="1"/>
  <c r="AO11" i="4" a="1"/>
  <c r="AB24" i="4" a="1"/>
  <c r="CR46" i="4" a="1"/>
  <c r="CO49" i="4" a="1"/>
  <c r="B56" i="1" a="1"/>
  <c r="AN11" i="4" a="1"/>
  <c r="AA24" i="4" a="1"/>
  <c r="AA26" i="4" a="1"/>
  <c r="CS42" i="4" a="1"/>
  <c r="CO12" i="4" a="1"/>
  <c r="CB34" i="4" a="1"/>
  <c r="CR18" i="4" a="1"/>
  <c r="CS22" i="4" a="1"/>
  <c r="CS57" i="4" a="1"/>
  <c r="CS72" i="4" a="1"/>
  <c r="CT34" i="4"/>
  <c r="AA21" i="4" a="1"/>
  <c r="AG34" i="4" a="1"/>
  <c r="CO69" i="4" a="1"/>
  <c r="CO56" i="4" a="1"/>
  <c r="CE53" i="4" a="1"/>
  <c r="CR59" i="4" a="1"/>
  <c r="CS41" i="4" a="1"/>
  <c r="CR61" i="4" a="1"/>
  <c r="BP91" i="4" a="1"/>
  <c r="CP82" i="4" a="1"/>
  <c r="AJ6" i="4" a="1"/>
  <c r="AJ88" i="4" a="1"/>
  <c r="AB61" i="4" a="1"/>
  <c r="B24" i="1" a="1"/>
  <c r="CO28" i="4" a="1"/>
  <c r="CS92" i="4" a="1"/>
  <c r="CR64" i="4" a="1"/>
  <c r="CS27" i="4" a="1"/>
  <c r="BN29" i="4" a="1"/>
  <c r="AA91" i="4" a="1"/>
  <c r="AN49" i="4" a="1"/>
  <c r="AB81" i="4" a="1"/>
  <c r="AA27" i="4" a="1"/>
  <c r="AJ65" i="4" a="1"/>
  <c r="AI39" i="4" a="1"/>
  <c r="AJ51" i="4" a="1"/>
  <c r="AA72" i="4" a="1"/>
  <c r="CL60" i="4" a="1"/>
  <c r="AJ93" i="4" a="1"/>
  <c r="AF59" i="4" a="1"/>
  <c r="AO81" i="4" a="1"/>
  <c r="AG45" i="4" a="1"/>
  <c r="CI23" i="4" a="1"/>
  <c r="AF37" i="4" a="1"/>
  <c r="AN73" i="4" a="1"/>
  <c r="AF88" i="4" a="1"/>
  <c r="AO37" i="4" a="1"/>
  <c r="AG88" i="4" a="1"/>
  <c r="AF84" i="4" a="1"/>
  <c r="AG51" i="4" a="1"/>
  <c r="AA85" i="4" a="1"/>
  <c r="AB49" i="4" a="1"/>
  <c r="AA71" i="4" a="1"/>
  <c r="AC60" i="4" a="1"/>
  <c r="B45" i="1" a="1"/>
  <c r="CB23" i="4" a="1"/>
  <c r="AG82" i="4" a="1"/>
  <c r="B83" i="1" a="1"/>
  <c r="AO45" i="4" a="1"/>
  <c r="AO79" i="4" a="1"/>
  <c r="AB66" i="4" a="1"/>
  <c r="AA54" i="4" a="1"/>
  <c r="CS78" i="4" a="1"/>
  <c r="CR66" i="4" a="1"/>
  <c r="CO16" i="4" a="1"/>
  <c r="AJ42" i="4" a="1"/>
  <c r="AG76" i="4" a="1"/>
  <c r="CO47" i="4" a="1"/>
  <c r="AB38" i="4" a="1"/>
  <c r="AF76" i="4" a="1"/>
  <c r="AI18" i="4" a="1"/>
  <c r="CP74" i="4" a="1"/>
  <c r="CS75" i="4" a="1"/>
  <c r="CR74" i="4" a="1"/>
  <c r="AO78" i="4" a="1"/>
  <c r="CR86" i="4" a="1"/>
  <c r="CL34" i="4" a="1"/>
  <c r="CP86" i="4" a="1"/>
  <c r="CP26" i="4" a="1"/>
  <c r="CR83" i="4" a="1"/>
  <c r="AO29" i="4" a="1"/>
  <c r="AG79" i="4" a="1"/>
  <c r="CP27" i="4" a="1"/>
  <c r="CP85" i="4" a="1"/>
  <c r="B30" i="1" a="1"/>
  <c r="B64" i="1" a="1"/>
  <c r="AO88" i="4" a="1"/>
  <c r="AG52" i="4" a="1"/>
  <c r="AG63" i="4" a="1"/>
  <c r="AO35" i="4" a="1"/>
  <c r="AJ44" i="4" a="1"/>
  <c r="AN93" i="4" a="1"/>
  <c r="AF14" i="4" a="1"/>
  <c r="B63" i="1" a="1"/>
  <c r="AA59" i="4" a="1"/>
  <c r="AB6" i="4" a="1"/>
  <c r="AF51" i="4" a="1"/>
  <c r="AF81" i="4" a="1"/>
  <c r="AO66" i="4" a="1"/>
  <c r="BK3" i="4" a="1"/>
  <c r="AF41" i="4" a="1"/>
  <c r="AI30" i="4" a="1"/>
  <c r="B73" i="1" a="1"/>
  <c r="AA19" i="4" a="1"/>
  <c r="AO31" i="4" a="1"/>
  <c r="CR8" i="4" a="1"/>
  <c r="AA57" i="4" a="1"/>
  <c r="CP71" i="4" a="1"/>
  <c r="CS86" i="4" a="1"/>
  <c r="CR90" i="4" a="1"/>
  <c r="AN64" i="4" a="1"/>
  <c r="CO27" i="4" a="1"/>
  <c r="CO6" i="4" a="1"/>
  <c r="AI78" i="4" a="1"/>
  <c r="AO43" i="4" a="1"/>
  <c r="AG38" i="4" a="1"/>
  <c r="AN25" i="4" a="1"/>
  <c r="AF67" i="4" a="1"/>
  <c r="AJ46" i="4" a="1"/>
  <c r="AO73" i="4" a="1"/>
  <c r="AA51" i="4" a="1"/>
  <c r="AO93" i="4" a="1"/>
  <c r="AG43" i="4" a="1"/>
  <c r="AO76" i="4" a="1"/>
  <c r="AI61" i="4" a="1"/>
  <c r="AO6" i="4" a="1"/>
  <c r="AF26" i="4" a="1"/>
  <c r="CE60" i="4" a="1"/>
  <c r="AO50" i="4" a="1"/>
  <c r="AF6" i="4" a="1"/>
  <c r="AG49" i="4" a="1"/>
  <c r="B69" i="1" a="1"/>
  <c r="AB14" i="4" a="1"/>
  <c r="CO7" i="4" a="1"/>
  <c r="CR44" i="4" a="1"/>
  <c r="AF77" i="4" a="1"/>
  <c r="AM60" i="4" a="1"/>
  <c r="CM23" i="4" a="1"/>
  <c r="AA42" i="4" a="1"/>
  <c r="AF86" i="4" a="1"/>
  <c r="CR39" i="4" a="1"/>
  <c r="CR50" i="4" a="1"/>
  <c r="AI72" i="4" a="1"/>
  <c r="AA22" i="4" a="1"/>
  <c r="B61" i="1" a="1"/>
  <c r="AB51" i="4" a="1"/>
  <c r="CP88" i="4" a="1"/>
  <c r="AC84" i="4" a="1"/>
  <c r="CP66" i="4" a="1"/>
  <c r="CR31" i="4" a="1"/>
  <c r="AA38" i="4" a="1"/>
  <c r="AG47" i="4" a="1"/>
  <c r="CS53" i="4" a="1"/>
  <c r="CQ91" i="4"/>
  <c r="AA52" i="4" a="1"/>
  <c r="B34" i="1" a="1"/>
  <c r="AG12" i="4" a="1"/>
  <c r="AG86" i="4" a="1"/>
  <c r="CO39" i="4" a="1"/>
  <c r="CR51" i="4" a="1"/>
  <c r="CS24" i="4" a="1"/>
  <c r="CF91" i="4" a="1"/>
  <c r="CS88" i="4" a="1"/>
  <c r="CR12" i="4" a="1"/>
  <c r="AA90" i="4" a="1"/>
  <c r="B68" i="1" a="1"/>
  <c r="AI22" i="4" a="1"/>
  <c r="CP31" i="4" a="1"/>
  <c r="CO84" i="4" a="1"/>
  <c r="CI41" i="4" a="1"/>
  <c r="CO93" i="4" a="1"/>
  <c r="CS77" i="4" a="1"/>
  <c r="CS69" i="4" a="1"/>
  <c r="CO13" i="4" a="1"/>
  <c r="CN93" i="4" a="1"/>
  <c r="CS90" i="4" a="1"/>
  <c r="CS47" i="4" a="1"/>
  <c r="AG92" i="4" a="1"/>
  <c r="AB69" i="4" a="1"/>
  <c r="AI5" i="4" a="1"/>
  <c r="CP6" i="4" a="1"/>
  <c r="CE35" i="4" a="1"/>
  <c r="CS44" i="4" a="1"/>
  <c r="CR52" i="4" a="1"/>
  <c r="AO49" i="4" a="1"/>
  <c r="AF57" i="4" a="1"/>
  <c r="AI83" i="4" a="1"/>
  <c r="B81" i="1" a="1"/>
  <c r="B31" i="1" a="1"/>
  <c r="AI53" i="4" a="1"/>
  <c r="B70" i="1" a="1"/>
  <c r="AF16" i="4" a="1"/>
  <c r="BK4" i="4" a="1"/>
  <c r="AF73" i="4" a="1"/>
  <c r="AN65" i="4" a="1"/>
  <c r="AA62" i="4" a="1"/>
  <c r="AO77" i="4" a="1"/>
  <c r="AB20" i="4" a="1"/>
  <c r="AJ82" i="4" a="1"/>
  <c r="AA68" i="4" a="1"/>
  <c r="AB26" i="4" a="1"/>
  <c r="AA7" i="4" a="1"/>
  <c r="AN5" i="4" a="1"/>
  <c r="AG44" i="4" a="1"/>
  <c r="CT60" i="4"/>
  <c r="B22" i="1" a="1"/>
  <c r="AN76" i="4" a="1"/>
  <c r="AN31" i="4" a="1"/>
  <c r="B86" i="1" a="1"/>
  <c r="AF25" i="4" a="1"/>
  <c r="AN22" i="4" a="1"/>
  <c r="B66" i="1" a="1"/>
  <c r="AB22" i="4" a="1"/>
  <c r="AA39" i="4" a="1"/>
  <c r="AI8" i="4" a="1"/>
  <c r="AG31" i="4" a="1"/>
  <c r="CF23" i="4" a="1"/>
  <c r="B27" i="1" a="1"/>
  <c r="AI88" i="4" a="1"/>
  <c r="AG71" i="4" a="1"/>
  <c r="AG37" i="4" a="1"/>
  <c r="AM23" i="4" a="1"/>
  <c r="AI36" i="4" a="1"/>
  <c r="AN45" i="4" a="1"/>
  <c r="AN53" i="4" a="1"/>
  <c r="AO62" i="4" a="1"/>
  <c r="AO68" i="4" a="1"/>
  <c r="AJ79" i="4" a="1"/>
  <c r="AA14" i="4" a="1"/>
  <c r="AN61" i="4" a="1"/>
  <c r="AN67" i="4" a="1"/>
  <c r="AI66" i="4" a="1"/>
  <c r="CG60" i="4" a="1"/>
  <c r="CS79" i="4" a="1"/>
  <c r="CP43" i="4" a="1"/>
  <c r="AK84" i="4" a="1"/>
  <c r="CP11" i="4" a="1"/>
  <c r="CP49" i="4" a="1"/>
  <c r="AG29" i="4" a="1"/>
  <c r="B49" i="1" a="1"/>
  <c r="CS82" i="4" a="1"/>
  <c r="CO20" i="4" a="1"/>
  <c r="AC11" i="4" a="1"/>
  <c r="AG32" i="4" a="1"/>
  <c r="AB93" i="4" a="1"/>
  <c r="B7" i="1" a="1"/>
  <c r="AI57" i="4" a="1"/>
  <c r="AA41" i="4" a="1"/>
  <c r="CS89" i="4" a="1"/>
  <c r="CP92" i="4" a="1"/>
  <c r="CS93" i="4" a="1"/>
  <c r="CK84" i="4" a="1"/>
  <c r="CP8" i="4" a="1"/>
  <c r="CP22" i="4" a="1"/>
  <c r="AN88" i="4" a="1"/>
  <c r="AB68" i="4" a="1"/>
  <c r="CD23" i="4" a="1"/>
  <c r="CS48" i="4" a="1"/>
  <c r="CO81" i="4" a="1"/>
  <c r="CS80" i="4" a="1"/>
  <c r="CS15" i="4" a="1"/>
  <c r="CS32" i="4" a="1"/>
  <c r="CO53" i="4" a="1"/>
  <c r="CR71" i="4" a="1"/>
  <c r="CG30" i="4" a="1"/>
  <c r="CR54" i="4" a="1"/>
  <c r="AN26" i="4" a="1"/>
  <c r="AI56" i="4" a="1"/>
  <c r="AA75" i="4" a="1"/>
  <c r="CP15" i="4" a="1"/>
  <c r="CR33" i="4" a="1"/>
  <c r="CB91" i="4" a="1"/>
  <c r="CO83" i="4" a="1"/>
  <c r="CP37" i="4" a="1"/>
  <c r="AJ20" i="4" a="1"/>
  <c r="AA5" i="4" a="1"/>
  <c r="CJ60" i="4" a="1"/>
  <c r="AF66" i="4" a="1"/>
  <c r="AA77" i="4" a="1"/>
  <c r="AB18" i="4" a="1"/>
  <c r="AA34" i="4" a="1"/>
  <c r="AI24" i="4" a="1"/>
  <c r="AG46" i="4" a="1"/>
  <c r="CJ23" i="4" a="1"/>
  <c r="AO69" i="4" a="1"/>
  <c r="AF43" i="4" a="1"/>
  <c r="AN32" i="4" a="1"/>
  <c r="AO70" i="4" a="1"/>
  <c r="AG21" i="4" a="1"/>
  <c r="B44" i="1" a="1"/>
  <c r="AB37" i="4" a="1"/>
  <c r="AN21" i="4" a="1"/>
  <c r="B35" i="1" a="1"/>
  <c r="B71" i="1" a="1"/>
  <c r="AG33" i="4" a="1"/>
  <c r="CK23" i="4" a="1"/>
  <c r="AB19" i="4" a="1"/>
  <c r="AJ68" i="4" a="1"/>
  <c r="AO27" i="4" a="1"/>
  <c r="AG90" i="4" a="1"/>
  <c r="AG5" i="4" a="1"/>
  <c r="BJ3" i="4" a="1"/>
  <c r="AJ5" i="4" a="1"/>
  <c r="AO8" i="4" a="1"/>
  <c r="AG74" i="4" a="1"/>
  <c r="AN37" i="4" a="1"/>
  <c r="AI43" i="4" a="1"/>
  <c r="CI17" i="4" a="1"/>
  <c r="CR19" i="4" a="1"/>
  <c r="CS6" i="4" a="1"/>
  <c r="AI6" i="4" a="1"/>
  <c r="AB72" i="4" a="1"/>
  <c r="AG15" i="4" a="1"/>
  <c r="AJ39" i="4" a="1"/>
  <c r="AA40" i="4" a="1"/>
  <c r="AB43" i="4" a="1"/>
  <c r="AA76" i="4" a="1"/>
  <c r="AO85" i="4" a="1"/>
  <c r="AI64" i="4" a="1"/>
  <c r="AB41" i="4" a="1"/>
  <c r="B32" i="1" a="1"/>
  <c r="AN19" i="4" a="1"/>
  <c r="AI62" i="4" a="1"/>
  <c r="AB70" i="4" a="1"/>
  <c r="AJ54" i="4" a="1"/>
  <c r="AJ64" i="4" a="1"/>
  <c r="CL23" i="4" a="1"/>
  <c r="AN77" i="4" a="1"/>
  <c r="AJ19" i="4" a="1"/>
  <c r="AF63" i="4" a="1"/>
  <c r="AJ37" i="4" a="1"/>
  <c r="B80" i="1" a="1"/>
  <c r="B42" i="1" a="1"/>
  <c r="B93" i="1" a="1"/>
  <c r="AC23" i="4" a="1"/>
  <c r="BI4" i="4" a="1"/>
  <c r="AB76" i="4" a="1"/>
  <c r="AJ74" i="4" a="1"/>
  <c r="AO92" i="4" a="1"/>
  <c r="B82" i="1" a="1"/>
  <c r="CP70" i="4" a="1"/>
  <c r="CP7" i="4" a="1"/>
  <c r="AB73" i="4" a="1"/>
  <c r="AO72" i="4" a="1"/>
  <c r="AF27" i="4" a="1"/>
  <c r="AB27" i="4" a="1"/>
  <c r="CH60" i="4"/>
  <c r="B62" i="1" a="1"/>
  <c r="AA92" i="4" a="1"/>
  <c r="AG59" i="4" a="1"/>
  <c r="AG64" i="4" a="1"/>
  <c r="AB59" i="4" a="1"/>
  <c r="AI82" i="4" a="1"/>
  <c r="CC60" i="4" a="1"/>
  <c r="AI89" i="4" a="1"/>
  <c r="B51" i="1" a="1"/>
  <c r="AF7" i="4" a="1"/>
  <c r="AI44" i="4" a="1"/>
  <c r="AI50" i="4" a="1"/>
  <c r="AB82" i="4" a="1"/>
  <c r="AF34" i="4" a="1"/>
  <c r="AG6" i="4" a="1"/>
  <c r="DF9" i="4" a="1"/>
  <c r="AO53" i="4" a="1"/>
  <c r="B76" i="1" a="1"/>
  <c r="AB40" i="4" a="1"/>
  <c r="CS67" i="4" a="1"/>
  <c r="CP5" i="4" a="1"/>
  <c r="CS39" i="4" a="1"/>
  <c r="CO88" i="4" a="1"/>
  <c r="CG11" i="4" a="1"/>
  <c r="AB74" i="4" a="1"/>
  <c r="AA79" i="4" a="1"/>
  <c r="CO42" i="4" a="1"/>
  <c r="CO74" i="4" a="1"/>
  <c r="CT28" i="4"/>
  <c r="AO20" i="4" a="1"/>
  <c r="AA63" i="4" a="1"/>
  <c r="AN33" i="4" a="1"/>
  <c r="CD60" i="4" a="1"/>
  <c r="B74" i="1" a="1"/>
  <c r="CS46" i="4" a="1"/>
  <c r="CP51" i="4" a="1"/>
  <c r="CS74" i="4" a="1"/>
  <c r="CR36" i="4" a="1"/>
  <c r="AK85" i="4" a="1"/>
  <c r="CS18" i="4" a="1"/>
  <c r="CR22" i="4" a="1"/>
  <c r="AI93" i="4" a="1"/>
  <c r="AB39" i="4" a="1"/>
  <c r="CS59" i="4" a="1"/>
  <c r="CR41" i="4" a="1"/>
  <c r="CR20" i="4" a="1"/>
  <c r="CP56" i="4" a="1"/>
  <c r="AK29" i="4" a="1"/>
  <c r="CS83" i="4" a="1"/>
  <c r="CO59" i="4" a="1"/>
  <c r="CR25" i="4" a="1"/>
  <c r="CR7" i="4" a="1"/>
  <c r="CJ35" i="4" a="1"/>
  <c r="AI86" i="4" a="1"/>
  <c r="AA36" i="4" a="1"/>
  <c r="CS38" i="4" a="1"/>
  <c r="CR27" i="4" a="1"/>
  <c r="CE41" i="4" a="1"/>
  <c r="CS68" i="4" a="1"/>
  <c r="DF4" i="4" a="1"/>
  <c r="B90" i="1" a="1"/>
  <c r="AF22" i="4" a="1"/>
  <c r="B85" i="1" a="1"/>
  <c r="AA47" i="4" a="1"/>
  <c r="AI68" i="4" a="1"/>
  <c r="AB29" i="4" a="1"/>
  <c r="B48" i="1" a="1"/>
  <c r="CP47" i="4" a="1"/>
  <c r="AK23" i="4" a="1"/>
  <c r="AO22" i="4" a="1"/>
  <c r="AF72" i="4" a="1"/>
  <c r="AA56" i="4" a="1"/>
  <c r="AF18" i="4" a="1"/>
  <c r="AO64" i="4" a="1"/>
  <c r="B6" i="1" a="1"/>
  <c r="CR37" i="4" a="1"/>
  <c r="CR82" i="4" a="1"/>
  <c r="CS56" i="4" a="1"/>
  <c r="CG91" i="4" a="1"/>
  <c r="AJ83" i="4" a="1"/>
  <c r="CP72" i="4" a="1"/>
  <c r="CP84" i="4" a="1"/>
  <c r="CS54" i="4" a="1"/>
  <c r="CO26" i="4" a="1"/>
  <c r="CS52" i="4" a="1"/>
  <c r="AN86" i="4" a="1"/>
  <c r="AO52" i="4" a="1"/>
  <c r="AG8" i="4" a="1"/>
  <c r="AI81" i="4" a="1"/>
  <c r="AJ71" i="4" a="1"/>
  <c r="CP68" i="4" a="1"/>
  <c r="CS49" i="4" a="1"/>
  <c r="CN84" i="4" a="1"/>
  <c r="CS11" i="4" a="1"/>
  <c r="CD91" i="4" a="1"/>
  <c r="AB52" i="4" a="1"/>
  <c r="AB44" i="4" a="1"/>
  <c r="CP89" i="4" a="1"/>
  <c r="CS5" i="4" a="1"/>
  <c r="CG84" i="4" a="1"/>
  <c r="AA74" i="4" a="1"/>
  <c r="AB89" i="4" a="1"/>
  <c r="AB45" i="4" a="1"/>
  <c r="AJ75" i="4" a="1"/>
  <c r="CO46" i="4" a="1"/>
  <c r="CR30" i="4" a="1"/>
  <c r="CO32" i="4" a="1"/>
  <c r="CJ53" i="4" a="1"/>
  <c r="CO44" i="4" a="1"/>
  <c r="CP64" i="4" a="1"/>
  <c r="AJ27" i="4" a="1"/>
  <c r="AJ14" i="4" a="1"/>
  <c r="BP23" i="4" a="1"/>
  <c r="CP45" i="4" a="1"/>
  <c r="CO65" i="4" a="1"/>
  <c r="CP21" i="4" a="1"/>
  <c r="CP61" i="4" a="1"/>
  <c r="CP14" i="4" a="1"/>
  <c r="BP28" i="4" a="1"/>
  <c r="CO29" i="4" a="1"/>
  <c r="CP36" i="4" a="1"/>
  <c r="AF70" i="4" a="1"/>
  <c r="AF8" i="4" a="1"/>
  <c r="AE23" i="4" a="1"/>
  <c r="CP76" i="4" a="1"/>
  <c r="CK93" i="4" a="1"/>
  <c r="CP77" i="4" a="1"/>
  <c r="B41" i="1" a="1"/>
  <c r="AJ86" i="4" a="1"/>
  <c r="AI71" i="4" a="1"/>
  <c r="AO57" i="4" a="1"/>
  <c r="AG84" i="4" a="1"/>
  <c r="AA83" i="4" a="1"/>
  <c r="AF89" i="4" a="1"/>
  <c r="B77" i="1" a="1"/>
  <c r="AA70" i="4" a="1"/>
  <c r="AO65" i="4" a="1"/>
  <c r="AI33" i="4" a="1"/>
  <c r="AN81" i="4" a="1"/>
  <c r="AF45" i="4" a="1"/>
  <c r="AA8" i="4" a="1"/>
  <c r="AJ61" i="4" a="1"/>
  <c r="CF60" i="4" a="1"/>
  <c r="AN16" i="4" a="1"/>
  <c r="AJ38" i="4" a="1"/>
  <c r="AA6" i="4" a="1"/>
  <c r="B13" i="1" a="1"/>
  <c r="B47" i="1" a="1"/>
  <c r="AI59" i="4" a="1"/>
  <c r="AJ48" i="4" a="1"/>
  <c r="AA31" i="4" a="1"/>
  <c r="AA37" i="4" a="1"/>
  <c r="AI76" i="4" a="1"/>
  <c r="B16" i="1" a="1"/>
  <c r="AB28" i="4" a="1"/>
  <c r="AN24" i="4" a="1"/>
  <c r="AN14" i="4" a="1"/>
  <c r="AN74" i="4" a="1"/>
  <c r="AJ16" i="4" a="1"/>
  <c r="CN23" i="4" a="1"/>
  <c r="AJ41" i="4" a="1"/>
  <c r="B53" i="1" a="1"/>
  <c r="AO5" i="4" a="1"/>
  <c r="AB77" i="4" a="1"/>
  <c r="AO36" i="4" a="1"/>
  <c r="AK60" i="4" a="1"/>
  <c r="AA29" i="4" a="1"/>
  <c r="AI37" i="4" a="1"/>
  <c r="AG50" i="4" a="1"/>
  <c r="AO12" i="4" a="1"/>
  <c r="AO33" i="4" a="1"/>
  <c r="AN35" i="4" a="1"/>
  <c r="B33" i="1" a="1"/>
  <c r="AO14" i="4" a="1"/>
  <c r="B5" i="1" a="1"/>
  <c r="AA25" i="4" a="1"/>
  <c r="AN42" i="4" a="1"/>
  <c r="CM11" i="4" a="1"/>
  <c r="AA78" i="4" a="1"/>
  <c r="CS33" i="4" a="1"/>
  <c r="AB83" i="4" a="1"/>
  <c r="AB71" i="4" a="1"/>
  <c r="B38" i="1" a="1"/>
  <c r="CR73" i="4" a="1"/>
  <c r="CO75" i="4" a="1"/>
  <c r="BN74" i="4" a="1"/>
  <c r="CP50" i="4" a="1"/>
  <c r="AC48" i="4" a="1"/>
  <c r="AF32" i="4" a="1"/>
  <c r="AA49" i="4" a="1"/>
  <c r="CR29" i="4" a="1"/>
  <c r="CO57" i="4" a="1"/>
  <c r="CM53" i="4" a="1"/>
  <c r="AB65" i="4" a="1"/>
  <c r="AN79" i="4" a="1"/>
  <c r="AF39" i="4" a="1"/>
  <c r="B14" i="1" a="1"/>
  <c r="BI10" i="4" a="1"/>
  <c r="CO34" i="4" a="1"/>
  <c r="CR62" i="4" a="1"/>
  <c r="CS76" i="4" a="1"/>
  <c r="CR72" i="4" a="1"/>
  <c r="CE84" i="4" a="1"/>
  <c r="CO79" i="4" a="1"/>
  <c r="CR81" i="4" a="1"/>
  <c r="AI15" i="4" a="1"/>
  <c r="AA80" i="4" a="1"/>
  <c r="AN43" i="4" a="1"/>
  <c r="CS63" i="4" a="1"/>
  <c r="CS43" i="4" a="1"/>
  <c r="CO73" i="4" a="1"/>
  <c r="CP24" i="4" a="1"/>
  <c r="CI52" i="4" a="1"/>
  <c r="CO62" i="4" a="1"/>
  <c r="CO82" i="4" a="1"/>
  <c r="CP19" i="4" a="1"/>
  <c r="CR35" i="4" a="1"/>
  <c r="CS50" i="4" a="1"/>
  <c r="AB56" i="4" a="1"/>
  <c r="AI51" i="4" a="1"/>
  <c r="CO78" i="4" a="1"/>
  <c r="CP38" i="4" a="1"/>
  <c r="CK11" i="4" a="1"/>
  <c r="CP28" i="4" a="1"/>
  <c r="CR92" i="4" a="1"/>
  <c r="AA67" i="4" a="1"/>
  <c r="AN39" i="4" a="1"/>
  <c r="AJ77" i="4" a="1"/>
  <c r="AG73" i="4" a="1"/>
  <c r="AB85" i="4" a="1"/>
  <c r="AB25" i="4" a="1"/>
  <c r="AB88" i="4" a="1"/>
  <c r="AN71" i="4" a="1"/>
  <c r="AG80" i="4" a="1"/>
  <c r="AO63" i="4" a="1"/>
  <c r="AN78" i="4" a="1"/>
  <c r="AJ57" i="4" a="1"/>
  <c r="AG65" i="4" a="1"/>
  <c r="AO42" i="4" a="1"/>
  <c r="AN50" i="4" a="1"/>
  <c r="AN90" i="4" a="1"/>
  <c r="AB62" i="4" a="1"/>
  <c r="AF31" i="4" a="1"/>
  <c r="AF92" i="4" a="1"/>
  <c r="AF21" i="4" a="1"/>
  <c r="AB90" i="4" a="1"/>
  <c r="AA64" i="4" a="1"/>
  <c r="AB57" i="4" a="1"/>
  <c r="AO82" i="4" a="1"/>
  <c r="AF33" i="4" a="1"/>
  <c r="AJ36" i="4" a="1"/>
  <c r="AN66" i="4" a="1"/>
  <c r="AF64" i="4" a="1"/>
  <c r="B46" i="1" a="1"/>
  <c r="AG36" i="4" a="1"/>
  <c r="AA28" i="4" a="1"/>
  <c r="B79" i="1" a="1"/>
  <c r="AO44" i="4" a="1"/>
  <c r="AG27" i="4" a="1"/>
  <c r="AO90" i="4" a="1"/>
  <c r="AO26" i="4" a="1"/>
  <c r="AN34" i="4" a="1"/>
  <c r="AJ12" i="4" a="1"/>
  <c r="AJ22" i="4" a="1"/>
  <c r="AA20" i="4" a="1"/>
  <c r="AF20" i="4" a="1"/>
  <c r="AB15" i="4" a="1"/>
  <c r="AI45" i="4" a="1"/>
  <c r="AJ50" i="4" a="1"/>
  <c r="AG41" i="4" a="1"/>
  <c r="AB5" i="4" a="1"/>
  <c r="AN80" i="4" a="1"/>
  <c r="AB12" i="4" a="1"/>
  <c r="B36" i="1" a="1"/>
  <c r="CR65" i="4" a="1"/>
  <c r="CP30" i="4" a="1"/>
  <c r="BN84" i="4" a="1"/>
  <c r="AA65" i="4" a="1"/>
  <c r="CR42" i="4" a="1"/>
  <c r="CS51" i="4" a="1"/>
  <c r="AI20" i="4" a="1"/>
  <c r="AF56" i="4" a="1"/>
  <c r="AN89" i="4" a="1"/>
  <c r="AJ31" i="4" a="1"/>
  <c r="AO83" i="4" a="1"/>
  <c r="CR53" i="4" a="1"/>
  <c r="CK91" i="4" a="1"/>
  <c r="CR88" i="4" a="1"/>
  <c r="CR75" i="4" a="1"/>
  <c r="AG69" i="4" a="1"/>
  <c r="CO86" i="4" a="1"/>
  <c r="CM93" i="4" a="1"/>
  <c r="CR47" i="4" a="1"/>
  <c r="CN91" i="4" a="1"/>
  <c r="AN62" i="4" a="1"/>
  <c r="AA18" i="4" a="1"/>
  <c r="AN85" i="4" a="1"/>
  <c r="B52" i="1" a="1"/>
  <c r="AJ13" i="4" a="1"/>
  <c r="AN69" i="4" a="1"/>
  <c r="AJ76" i="4" a="1"/>
  <c r="AB13" i="4" a="1"/>
  <c r="AJ73" i="4" a="1"/>
  <c r="AB50" i="4" a="1"/>
  <c r="CO67" i="4" a="1"/>
  <c r="CR49" i="4" a="1"/>
  <c r="BP84" i="4" a="1"/>
  <c r="AN20" i="4" a="1"/>
  <c r="AI46" i="4" a="1"/>
  <c r="CP39" i="4" a="1"/>
  <c r="CO92" i="4" a="1"/>
  <c r="AO59" i="4" a="1"/>
  <c r="AF54" i="4" a="1"/>
  <c r="AN38" i="4" a="1"/>
  <c r="CP20" i="4" a="1"/>
  <c r="CS12" i="4" a="1"/>
  <c r="CR24" i="4" a="1"/>
  <c r="AJ59" i="4" a="1"/>
  <c r="CP93" i="4" a="1"/>
  <c r="CO31" i="4" a="1"/>
  <c r="CJ85" i="4" a="1"/>
  <c r="CP90" i="4" a="1"/>
  <c r="AO39" i="4" a="1"/>
  <c r="CO15" i="4" a="1"/>
  <c r="AK91" i="4" a="1"/>
  <c r="B28" i="1" a="1"/>
  <c r="AB16" i="4" a="1"/>
  <c r="AG20" i="4" a="1"/>
  <c r="AJ7" i="4" a="1"/>
  <c r="CL93" i="4" a="1"/>
  <c r="AO89" i="4" a="1"/>
  <c r="AN41" i="4" a="1"/>
  <c r="BN60" i="4" a="1"/>
  <c r="CS66" i="4" a="1"/>
  <c r="CS31" i="4" a="1"/>
  <c r="CS73" i="4" a="1"/>
  <c r="CP75" i="4" a="1"/>
  <c r="AM28" i="4" a="1"/>
  <c r="AG56" i="4" a="1"/>
  <c r="AJ33" i="4" a="1"/>
  <c r="CR89" i="4" a="1"/>
  <c r="AO16" i="4" a="1"/>
  <c r="AB30" i="4" a="1"/>
  <c r="AI92" i="4" a="1"/>
  <c r="AJ66" i="4" a="1"/>
  <c r="AJ49" i="4" a="1"/>
  <c r="CS29" i="4" a="1"/>
  <c r="CR5" i="4" a="1"/>
  <c r="CJ11" i="4" a="1"/>
  <c r="CO8" i="4" a="1"/>
  <c r="CO22" i="4" a="1"/>
  <c r="CR93" i="4" a="1"/>
  <c r="CO70" i="4" a="1"/>
  <c r="CG53" i="4" a="1"/>
  <c r="AG85" i="4" a="1"/>
  <c r="AB34" i="4" a="1"/>
  <c r="CR80" i="4" a="1"/>
  <c r="CO61" i="4" a="1"/>
  <c r="AE91" i="4" a="1"/>
  <c r="CR48" i="4" a="1"/>
  <c r="CP81" i="4" a="1"/>
  <c r="CK74" i="4" a="1"/>
  <c r="CP29" i="4" a="1"/>
  <c r="CO36" i="4" a="1"/>
  <c r="CR69" i="4" a="1"/>
  <c r="CP13" i="4" a="1"/>
  <c r="CM33" i="4" a="1"/>
  <c r="AI12" i="4" a="1"/>
  <c r="AG72" i="4" a="1"/>
  <c r="AF68" i="4" a="1"/>
  <c r="CP83" i="4" a="1"/>
  <c r="CO54" i="4" a="1"/>
  <c r="CS19" i="4" a="1"/>
  <c r="CO76" i="4" a="1"/>
  <c r="BP87" i="4" a="1"/>
  <c r="AA88" i="4" a="1"/>
  <c r="AF79" i="4" a="1"/>
  <c r="AA33" i="4" a="1"/>
  <c r="AN15" i="4" a="1"/>
  <c r="BJ9" i="4" a="1"/>
  <c r="B57" i="1" a="1"/>
  <c r="AO30" i="4" a="1"/>
  <c r="AF12" i="4" a="1"/>
  <c r="AA81" i="4" a="1"/>
  <c r="AI75" i="4" a="1"/>
  <c r="AJ69" i="4" a="1"/>
  <c r="AI31" i="4" a="1"/>
  <c r="AB46" i="4" a="1"/>
  <c r="AI7" i="4" a="1"/>
  <c r="AG39" i="4" a="1"/>
  <c r="B18" i="1" a="1"/>
  <c r="AG75" i="4" a="1"/>
  <c r="AF15" i="4" a="1"/>
  <c r="AO75" i="4" a="1"/>
  <c r="BJ10" i="4" a="1"/>
  <c r="AB8" i="4" a="1"/>
  <c r="AN36" i="4" a="1"/>
  <c r="AG14" i="4" a="1"/>
  <c r="AG78" i="4" a="1"/>
  <c r="AA61" i="4" a="1"/>
  <c r="AJ81" i="4" a="1"/>
  <c r="AB92" i="4" a="1"/>
  <c r="AB78" i="4" a="1"/>
  <c r="AB21" i="4" a="1"/>
  <c r="AE60" i="4" a="1"/>
  <c r="AN83" i="4" a="1"/>
  <c r="AF42" i="4" a="1"/>
  <c r="AN57" i="4" a="1"/>
  <c r="B17" i="1" a="1"/>
  <c r="AA66" i="4" a="1"/>
  <c r="AJ56" i="4" a="1"/>
  <c r="AO67" i="4" a="1"/>
  <c r="AF5" i="4" a="1"/>
  <c r="AO24" i="4" a="1"/>
  <c r="AN59" i="4" a="1"/>
  <c r="AG26" i="4" a="1"/>
  <c r="AA89" i="4" a="1"/>
  <c r="AI65" i="4" a="1"/>
  <c r="B11" i="1" a="1"/>
  <c r="AF44" i="4" a="1"/>
  <c r="B88" i="1" a="1"/>
  <c r="CP46" i="4" a="1"/>
  <c r="CS30" i="4" a="1"/>
  <c r="CR32" i="4" a="1"/>
  <c r="AG62" i="4" a="1"/>
  <c r="AG25" i="4" a="1"/>
  <c r="AJ45" i="4" a="1"/>
  <c r="AN54" i="4" a="1"/>
  <c r="AA82" i="4" a="1"/>
  <c r="AN29" i="4" a="1"/>
  <c r="AJ28" i="4" a="1"/>
  <c r="AF65" i="4" a="1"/>
  <c r="CI60" i="4" a="1"/>
  <c r="AA32" i="4" a="1"/>
  <c r="AB67" i="4" a="1"/>
  <c r="CB29" i="4" a="1"/>
  <c r="CP41" i="4" a="1"/>
  <c r="AG22" i="4" a="1"/>
  <c r="AN48" i="4" a="1"/>
  <c r="AB63" i="4" a="1"/>
  <c r="AI54" i="4" a="1"/>
  <c r="AI13" i="4" a="1"/>
  <c r="AA93" i="4" a="1"/>
  <c r="AI16" i="4" a="1"/>
  <c r="B19" i="1" a="1"/>
  <c r="AG54" i="4" a="1"/>
  <c r="CS62" i="4" a="1"/>
  <c r="CP32" i="4" a="1"/>
  <c r="CP53" i="4" a="1"/>
  <c r="AF28" i="4" a="1"/>
  <c r="AN47" i="4" a="1"/>
  <c r="AJ26" i="4" a="1"/>
  <c r="AB47" i="4" a="1"/>
  <c r="AE11" i="4" a="1"/>
  <c r="AO56" i="4" a="1"/>
  <c r="AO32" i="4" a="1"/>
  <c r="AJ92" i="4" a="1"/>
  <c r="AF36" i="4" a="1"/>
  <c r="BI9" i="4" a="1"/>
  <c r="CO45" i="4" a="1"/>
  <c r="CO38" i="4" a="1"/>
  <c r="BJ4" i="4" a="1"/>
  <c r="AG28" i="4" a="1"/>
  <c r="AI32" i="4" a="1"/>
  <c r="AJ25" i="4" a="1"/>
  <c r="AB54" i="4" a="1"/>
  <c r="B12" i="1" a="1"/>
  <c r="AF50" i="4" a="1"/>
  <c r="B8" i="1" a="1"/>
  <c r="AB32" i="4" a="1"/>
  <c r="AA13" i="4" a="1"/>
  <c r="AK52" i="4" a="1"/>
  <c r="AN70" i="4" a="1"/>
  <c r="AI42" i="4" a="1"/>
  <c r="CO18" i="4" a="1"/>
  <c r="AG16" i="4" a="1"/>
  <c r="AJ62" i="4" a="1"/>
  <c r="CO64" i="4" a="1"/>
  <c r="AI34" i="4" a="1"/>
  <c r="CO66" i="4" a="1"/>
  <c r="AG61" i="4" a="1"/>
  <c r="CP73" i="4" a="1"/>
  <c r="AJ78" i="4" a="1"/>
  <c r="AN68" i="4" a="1"/>
  <c r="AO84" i="4" a="1"/>
  <c r="AN12" i="4" a="1"/>
  <c r="AF90" i="4" a="1"/>
  <c r="CK60" i="4" a="1"/>
  <c r="AB64" i="4" a="1"/>
  <c r="CQ60" i="4"/>
  <c r="CP42" i="4" a="1"/>
  <c r="AA15" i="4" a="1"/>
  <c r="AO7" i="4" a="1"/>
  <c r="AI74" i="4" a="1"/>
  <c r="CH23" i="4"/>
  <c r="CR68" i="4" a="1"/>
  <c r="AI48" i="4" a="1"/>
  <c r="CO24" i="4" a="1"/>
  <c r="AN84" i="4" a="1"/>
  <c r="AA69" i="4" a="1"/>
  <c r="AJ43" i="4" a="1"/>
  <c r="AJ18" i="4" a="1"/>
  <c r="AG19" i="4" a="1"/>
  <c r="B72" i="1" a="1"/>
  <c r="CR70" i="4" a="1"/>
  <c r="AN46" i="4" a="1"/>
  <c r="AB79" i="4" a="1"/>
  <c r="AI38" i="4" a="1"/>
  <c r="CR67" i="4" a="1"/>
  <c r="AB80" i="4" a="1"/>
  <c r="AA45" i="4" a="1"/>
  <c r="AN27" i="4" a="1"/>
  <c r="CO19" i="4" a="1"/>
  <c r="AO86" i="4" a="1"/>
  <c r="CS35" i="4" a="1"/>
  <c r="AN56" i="4" a="1"/>
  <c r="CO5" i="4" a="1"/>
  <c r="CO37" i="4" a="1"/>
  <c r="AJ90" i="4" a="1"/>
  <c r="AA16" i="4" a="1"/>
  <c r="B26" i="1" a="1"/>
  <c r="B67" i="1" a="1"/>
  <c r="AN7" i="4" a="1"/>
  <c r="AJ53" i="4" a="1"/>
  <c r="B43" i="1" a="1"/>
  <c r="CH93" i="4"/>
  <c r="AG83" i="4" a="1"/>
  <c r="AE53" i="4" a="1"/>
  <c r="CP65" i="4" a="1"/>
  <c r="CP78" i="4" a="1"/>
  <c r="AG66" i="4" a="1"/>
  <c r="AA44" i="4" a="1"/>
  <c r="CP44" i="4" a="1"/>
  <c r="AI80" i="4" a="1"/>
  <c r="CL48" i="4" l="1"/>
  <c r="CI40" i="4"/>
  <c r="CN35" i="4"/>
  <c r="CF87" i="4"/>
  <c r="CK17" i="4"/>
  <c r="AC53" i="4"/>
  <c r="BN54" i="4"/>
  <c r="BP89" i="4"/>
  <c r="CM35" i="4"/>
  <c r="CN40" i="4"/>
  <c r="AK87" i="4"/>
  <c r="AC17" i="4"/>
  <c r="CC62" i="4"/>
  <c r="CJ63" i="4"/>
  <c r="CC89" i="4"/>
  <c r="CF40" i="4"/>
  <c r="AM17" i="4"/>
  <c r="CD87" i="4"/>
  <c r="CJ17" i="4"/>
  <c r="AI4" i="4"/>
  <c r="CD63" i="4"/>
  <c r="CB89" i="4"/>
  <c r="CJ40" i="4"/>
  <c r="CM87" i="4"/>
  <c r="AJ4" i="4"/>
  <c r="CD89" i="4"/>
  <c r="CF52" i="4"/>
  <c r="CC35" i="4"/>
  <c r="AM40" i="4"/>
  <c r="CN87" i="4"/>
  <c r="CC87" i="4"/>
  <c r="AK17" i="4"/>
  <c r="CK67" i="4"/>
  <c r="CG52" i="4"/>
  <c r="AE40" i="4"/>
  <c r="CB40" i="4"/>
  <c r="BN87" i="4"/>
  <c r="CM17" i="4"/>
  <c r="CC67" i="4"/>
  <c r="AC35" i="4"/>
  <c r="CK35" i="4"/>
  <c r="CL87" i="4"/>
  <c r="AM87" i="4"/>
  <c r="CG17" i="4"/>
  <c r="CL67" i="4"/>
  <c r="BW67" i="4" s="1"/>
  <c r="AK63" i="4"/>
  <c r="CF35" i="4"/>
  <c r="CI35" i="4"/>
  <c r="CG87" i="4"/>
  <c r="CE17" i="4"/>
  <c r="CC63" i="4"/>
  <c r="BN40" i="4"/>
  <c r="CB35" i="4"/>
  <c r="CJ87" i="4"/>
  <c r="AC87" i="4"/>
  <c r="AE17" i="4"/>
  <c r="CN29" i="4"/>
  <c r="CL35" i="4"/>
  <c r="AK40" i="4"/>
  <c r="AE35" i="4"/>
  <c r="CK87" i="4"/>
  <c r="AE87" i="4"/>
  <c r="CC17" i="4"/>
  <c r="CI29" i="4"/>
  <c r="CL40" i="4"/>
  <c r="CD35" i="4"/>
  <c r="CE87" i="4"/>
  <c r="CD17" i="4"/>
  <c r="CB17" i="4"/>
  <c r="CK34" i="4"/>
  <c r="CB33" i="4"/>
  <c r="CE40" i="4"/>
  <c r="CG40" i="4"/>
  <c r="AK35" i="4"/>
  <c r="CI87" i="4"/>
  <c r="CN17" i="4"/>
  <c r="CF17" i="4"/>
  <c r="AH4" i="4"/>
  <c r="AV1300" i="13" s="1"/>
  <c r="B22" i="27"/>
  <c r="B21" i="27"/>
  <c r="AS10" i="72"/>
  <c r="T9" i="72"/>
  <c r="BT9" i="72" s="1"/>
  <c r="C19" i="27"/>
  <c r="CD41" i="4"/>
  <c r="BN29" i="4"/>
  <c r="CJ33" i="4"/>
  <c r="BP87" i="4"/>
  <c r="G87" i="4" s="1"/>
  <c r="AK91" i="4"/>
  <c r="CS45" i="4"/>
  <c r="CS68" i="4"/>
  <c r="CR92" i="4"/>
  <c r="CP77" i="4"/>
  <c r="CP37" i="4"/>
  <c r="CP54" i="4"/>
  <c r="CR52" i="4"/>
  <c r="CP85" i="4"/>
  <c r="CS27" i="4"/>
  <c r="CR16" i="4"/>
  <c r="CO38" i="4"/>
  <c r="CO76" i="4"/>
  <c r="CS33" i="4"/>
  <c r="CO6" i="4"/>
  <c r="CP28" i="4"/>
  <c r="CS6" i="4"/>
  <c r="CS70" i="4"/>
  <c r="CO83" i="4"/>
  <c r="CS44" i="4"/>
  <c r="CP27" i="4"/>
  <c r="CR64" i="4"/>
  <c r="CR38" i="4"/>
  <c r="CP78" i="4"/>
  <c r="CS19" i="4"/>
  <c r="CO15" i="4"/>
  <c r="CE41" i="4"/>
  <c r="CK11" i="4"/>
  <c r="CI33" i="4"/>
  <c r="CK93" i="4"/>
  <c r="CB91" i="4"/>
  <c r="CE35" i="4"/>
  <c r="CR50" i="4"/>
  <c r="CS92" i="4"/>
  <c r="CO77" i="4"/>
  <c r="CO37" i="4"/>
  <c r="CO54" i="4"/>
  <c r="CS52" i="4"/>
  <c r="CO85" i="4"/>
  <c r="CR27" i="4"/>
  <c r="CS16" i="4"/>
  <c r="CP38" i="4"/>
  <c r="CP76" i="4"/>
  <c r="CR33" i="4"/>
  <c r="CP6" i="4"/>
  <c r="CO28" i="4"/>
  <c r="CR6" i="4"/>
  <c r="CR70" i="4"/>
  <c r="CP83" i="4"/>
  <c r="CR44" i="4"/>
  <c r="CO27" i="4"/>
  <c r="CS64" i="4"/>
  <c r="CS38" i="4"/>
  <c r="CO78" i="4"/>
  <c r="CR19" i="4"/>
  <c r="CP15" i="4"/>
  <c r="CE30" i="4"/>
  <c r="BW30" i="4" s="1"/>
  <c r="AE11" i="4"/>
  <c r="CM33" i="4"/>
  <c r="CL93" i="4"/>
  <c r="CN91" i="4"/>
  <c r="CJ35" i="4"/>
  <c r="CS50" i="4"/>
  <c r="CP36" i="4"/>
  <c r="CP7" i="4"/>
  <c r="CS47" i="4"/>
  <c r="CP59" i="4"/>
  <c r="CP82" i="4"/>
  <c r="CO14" i="4"/>
  <c r="CS71" i="4"/>
  <c r="CP41" i="4"/>
  <c r="CP13" i="4"/>
  <c r="CO26" i="4"/>
  <c r="CS61" i="4"/>
  <c r="CR7" i="4"/>
  <c r="CR35" i="4"/>
  <c r="CO29" i="4"/>
  <c r="CR54" i="4"/>
  <c r="CS90" i="4"/>
  <c r="CR83" i="4"/>
  <c r="CP62" i="4"/>
  <c r="CR26" i="4"/>
  <c r="CP53" i="4"/>
  <c r="CR69" i="4"/>
  <c r="CP90" i="4"/>
  <c r="CR25" i="4"/>
  <c r="CP19" i="4"/>
  <c r="BP28" i="4"/>
  <c r="CG30" i="4"/>
  <c r="CN93" i="4"/>
  <c r="BP33" i="4"/>
  <c r="BN52" i="4"/>
  <c r="BP91" i="4"/>
  <c r="BN17" i="4"/>
  <c r="CR32" i="4"/>
  <c r="CO36" i="4"/>
  <c r="CO7" i="4"/>
  <c r="CR47" i="4"/>
  <c r="CO59" i="4"/>
  <c r="CO82" i="4"/>
  <c r="CP14" i="4"/>
  <c r="CR71" i="4"/>
  <c r="CO41" i="4"/>
  <c r="CO13" i="4"/>
  <c r="CP26" i="4"/>
  <c r="CR61" i="4"/>
  <c r="CS7" i="4"/>
  <c r="CS35" i="4"/>
  <c r="CP29" i="4"/>
  <c r="CS54" i="4"/>
  <c r="CR90" i="4"/>
  <c r="CS83" i="4"/>
  <c r="CO62" i="4"/>
  <c r="CS26" i="4"/>
  <c r="CO53" i="4"/>
  <c r="CS69" i="4"/>
  <c r="CO90" i="4"/>
  <c r="CS25" i="4"/>
  <c r="CO19" i="4"/>
  <c r="CK74" i="4"/>
  <c r="CJ85" i="4"/>
  <c r="CM93" i="4"/>
  <c r="AK29" i="4"/>
  <c r="CI52" i="4"/>
  <c r="CL91" i="4"/>
  <c r="CI17" i="4"/>
  <c r="CS32" i="4"/>
  <c r="CS77" i="4"/>
  <c r="CP86" i="4"/>
  <c r="CS41" i="4"/>
  <c r="CR43" i="4"/>
  <c r="CP65" i="4"/>
  <c r="CP81" i="4"/>
  <c r="CP84" i="4"/>
  <c r="CS21" i="4"/>
  <c r="CP56" i="4"/>
  <c r="CP48" i="4"/>
  <c r="CP24" i="4"/>
  <c r="CP61" i="4"/>
  <c r="CS15" i="4"/>
  <c r="CO93" i="4"/>
  <c r="CO71" i="4"/>
  <c r="CR59" i="4"/>
  <c r="CR63" i="4"/>
  <c r="CO45" i="4"/>
  <c r="CR48" i="4"/>
  <c r="CO31" i="4"/>
  <c r="CS86" i="4"/>
  <c r="CP69" i="4"/>
  <c r="CR20" i="4"/>
  <c r="CO73" i="4"/>
  <c r="CP21" i="4"/>
  <c r="CS80" i="4"/>
  <c r="CI41" i="4"/>
  <c r="CL34" i="4"/>
  <c r="CE53" i="4"/>
  <c r="CE29" i="4"/>
  <c r="BW29" i="4" s="1"/>
  <c r="AK52" i="4"/>
  <c r="AE91" i="4"/>
  <c r="CP72" i="4"/>
  <c r="CR77" i="4"/>
  <c r="CO86" i="4"/>
  <c r="CR41" i="4"/>
  <c r="CS43" i="4"/>
  <c r="CO65" i="4"/>
  <c r="CO81" i="4"/>
  <c r="CO84" i="4"/>
  <c r="CR21" i="4"/>
  <c r="CO56" i="4"/>
  <c r="CO48" i="4"/>
  <c r="CO24" i="4"/>
  <c r="CO61" i="4"/>
  <c r="CR15" i="4"/>
  <c r="CP93" i="4"/>
  <c r="CP71" i="4"/>
  <c r="CS59" i="4"/>
  <c r="CS63" i="4"/>
  <c r="CP45" i="4"/>
  <c r="CS48" i="4"/>
  <c r="CP31" i="4"/>
  <c r="CR86" i="4"/>
  <c r="CO69" i="4"/>
  <c r="CS20" i="4"/>
  <c r="CP73" i="4"/>
  <c r="CO21" i="4"/>
  <c r="CR80" i="4"/>
  <c r="CD30" i="4"/>
  <c r="CC53" i="4"/>
  <c r="CB29" i="4"/>
  <c r="CG53" i="4"/>
  <c r="CG91" i="4"/>
  <c r="CO72" i="4"/>
  <c r="CR22" i="4"/>
  <c r="CR81" i="4"/>
  <c r="CP64" i="4"/>
  <c r="CP22" i="4"/>
  <c r="CR12" i="4"/>
  <c r="CR13" i="4"/>
  <c r="CS36" i="4"/>
  <c r="CS72" i="4"/>
  <c r="CO25" i="4"/>
  <c r="CP32" i="4"/>
  <c r="CO70" i="4"/>
  <c r="CR24" i="4"/>
  <c r="CR75" i="4"/>
  <c r="CS18" i="4"/>
  <c r="CO79" i="4"/>
  <c r="CO44" i="4"/>
  <c r="CP8" i="4"/>
  <c r="CR56" i="4"/>
  <c r="CS88" i="4"/>
  <c r="CR74" i="4"/>
  <c r="CS57" i="4"/>
  <c r="CR76" i="4"/>
  <c r="CS30" i="4"/>
  <c r="CR93" i="4"/>
  <c r="CR8" i="4"/>
  <c r="AK85" i="4"/>
  <c r="CE84" i="4"/>
  <c r="BW84" i="4" s="1"/>
  <c r="CJ53" i="4"/>
  <c r="CD11" i="4"/>
  <c r="CK84" i="4"/>
  <c r="CF91" i="4"/>
  <c r="CS14" i="4"/>
  <c r="CS22" i="4"/>
  <c r="CS81" i="4"/>
  <c r="CO64" i="4"/>
  <c r="CO22" i="4"/>
  <c r="CS12" i="4"/>
  <c r="CS13" i="4"/>
  <c r="CR36" i="4"/>
  <c r="CR72" i="4"/>
  <c r="CP25" i="4"/>
  <c r="CO32" i="4"/>
  <c r="CP70" i="4"/>
  <c r="CS24" i="4"/>
  <c r="CS75" i="4"/>
  <c r="CR18" i="4"/>
  <c r="CP79" i="4"/>
  <c r="CP44" i="4"/>
  <c r="CO8" i="4"/>
  <c r="CS56" i="4"/>
  <c r="CR88" i="4"/>
  <c r="CS74" i="4"/>
  <c r="CR57" i="4"/>
  <c r="CS76" i="4"/>
  <c r="CR30" i="4"/>
  <c r="CS93" i="4"/>
  <c r="CS8" i="4"/>
  <c r="CB34" i="4"/>
  <c r="CF84" i="4"/>
  <c r="AE53" i="4"/>
  <c r="CJ11" i="4"/>
  <c r="CM11" i="4"/>
  <c r="CK91" i="4"/>
  <c r="CR14" i="4"/>
  <c r="CP51" i="4"/>
  <c r="CR62" i="4"/>
  <c r="CP92" i="4"/>
  <c r="CR51" i="4"/>
  <c r="CP74" i="4"/>
  <c r="CO12" i="4"/>
  <c r="CP57" i="4"/>
  <c r="CO18" i="4"/>
  <c r="CR5" i="4"/>
  <c r="CP20" i="4"/>
  <c r="CP47" i="4"/>
  <c r="CS46" i="4"/>
  <c r="CO34" i="4"/>
  <c r="CO46" i="4"/>
  <c r="CS89" i="4"/>
  <c r="CO39" i="4"/>
  <c r="CR84" i="4"/>
  <c r="CS42" i="4"/>
  <c r="CS91" i="4"/>
  <c r="CP42" i="4"/>
  <c r="CS29" i="4"/>
  <c r="CO89" i="4"/>
  <c r="CR82" i="4"/>
  <c r="CR53" i="4"/>
  <c r="CM53" i="4"/>
  <c r="CG84" i="4"/>
  <c r="AC11" i="4"/>
  <c r="AE48" i="4"/>
  <c r="CO63" i="4"/>
  <c r="CO49" i="4"/>
  <c r="CO51" i="4"/>
  <c r="CS62" i="4"/>
  <c r="CO92" i="4"/>
  <c r="CS51" i="4"/>
  <c r="CO74" i="4"/>
  <c r="CP12" i="4"/>
  <c r="CO57" i="4"/>
  <c r="CP18" i="4"/>
  <c r="CS5" i="4"/>
  <c r="CO20" i="4"/>
  <c r="CO47" i="4"/>
  <c r="CR46" i="4"/>
  <c r="CP34" i="4"/>
  <c r="CP46" i="4"/>
  <c r="CR89" i="4"/>
  <c r="CP39" i="4"/>
  <c r="CS84" i="4"/>
  <c r="CR42" i="4"/>
  <c r="CR91" i="4"/>
  <c r="CO42" i="4"/>
  <c r="CR29" i="4"/>
  <c r="CP89" i="4"/>
  <c r="CS82" i="4"/>
  <c r="CS53" i="4"/>
  <c r="AM28" i="4"/>
  <c r="BP84" i="4"/>
  <c r="BN84" i="4"/>
  <c r="CG11" i="4"/>
  <c r="AC48" i="4"/>
  <c r="CD91" i="4"/>
  <c r="CP63" i="4"/>
  <c r="CP49" i="4"/>
  <c r="CO80" i="4"/>
  <c r="CR31" i="4"/>
  <c r="CO16" i="4"/>
  <c r="CP67" i="4"/>
  <c r="CO30" i="4"/>
  <c r="CO5" i="4"/>
  <c r="CP75" i="4"/>
  <c r="CR49" i="4"/>
  <c r="CO43" i="4"/>
  <c r="CO88" i="4"/>
  <c r="CR78" i="4"/>
  <c r="CP50" i="4"/>
  <c r="CR85" i="4"/>
  <c r="CS11" i="4"/>
  <c r="CP11" i="4"/>
  <c r="CP66" i="4"/>
  <c r="CR66" i="4"/>
  <c r="CS37" i="4"/>
  <c r="CS65" i="4"/>
  <c r="CR67" i="4"/>
  <c r="CS73" i="4"/>
  <c r="CO68" i="4"/>
  <c r="CR79" i="4"/>
  <c r="CS17" i="4"/>
  <c r="CS39" i="4"/>
  <c r="BN74" i="4"/>
  <c r="CN84" i="4"/>
  <c r="AK84" i="4"/>
  <c r="AC84" i="4"/>
  <c r="BP48" i="4"/>
  <c r="AM91" i="4"/>
  <c r="CR45" i="4"/>
  <c r="CR68" i="4"/>
  <c r="CP80" i="4"/>
  <c r="CS31" i="4"/>
  <c r="CP16" i="4"/>
  <c r="CO67" i="4"/>
  <c r="CP30" i="4"/>
  <c r="CP5" i="4"/>
  <c r="CO75" i="4"/>
  <c r="CS49" i="4"/>
  <c r="CP43" i="4"/>
  <c r="CP88" i="4"/>
  <c r="CS78" i="4"/>
  <c r="CO50" i="4"/>
  <c r="CS85" i="4"/>
  <c r="CR11" i="4"/>
  <c r="CO11" i="4"/>
  <c r="CO66" i="4"/>
  <c r="CS66" i="4"/>
  <c r="CR37" i="4"/>
  <c r="CR65" i="4"/>
  <c r="CS67" i="4"/>
  <c r="CR73" i="4"/>
  <c r="CP68" i="4"/>
  <c r="CS79" i="4"/>
  <c r="CR17" i="4"/>
  <c r="CR39" i="4"/>
  <c r="M9" i="72"/>
  <c r="BW14" i="4"/>
  <c r="BW37" i="4"/>
  <c r="BW25" i="4"/>
  <c r="BW31" i="4"/>
  <c r="BW72" i="4"/>
  <c r="Z3" i="4"/>
  <c r="AP4" i="4"/>
  <c r="AV306" i="13" s="1"/>
  <c r="AV406" i="13" s="1"/>
  <c r="M9" i="69"/>
  <c r="BW52" i="4"/>
  <c r="T9" i="69"/>
  <c r="BN9" i="69" s="1"/>
  <c r="BW65" i="4"/>
  <c r="M10" i="69"/>
  <c r="BW39" i="4"/>
  <c r="M10" i="72"/>
  <c r="BW63" i="4"/>
  <c r="AS9" i="72"/>
  <c r="F4" i="4"/>
  <c r="AH3" i="4"/>
  <c r="AV1299" i="13" s="1"/>
  <c r="F3" i="4"/>
  <c r="BW62" i="4"/>
  <c r="BW48" i="4"/>
  <c r="AS29" i="4"/>
  <c r="AV631" i="13" s="1"/>
  <c r="AS32" i="4"/>
  <c r="AV634" i="13" s="1"/>
  <c r="AS45" i="4"/>
  <c r="AV647" i="13" s="1"/>
  <c r="AS21" i="4"/>
  <c r="AV623" i="13" s="1"/>
  <c r="DA3" i="4" a="1"/>
  <c r="DA3" i="4" s="1"/>
  <c r="CW3" i="4"/>
  <c r="CX3" i="4" s="1"/>
  <c r="BW90" i="4"/>
  <c r="H33" i="9"/>
  <c r="H23" i="9"/>
  <c r="BW74" i="4"/>
  <c r="BW18" i="4"/>
  <c r="AS54" i="4"/>
  <c r="AV656" i="13" s="1"/>
  <c r="H21" i="9"/>
  <c r="BC9" i="69"/>
  <c r="BS75" i="4"/>
  <c r="AS41" i="4"/>
  <c r="AV643" i="13" s="1"/>
  <c r="AD4" i="4"/>
  <c r="F4" i="69" s="1"/>
  <c r="AD3" i="4"/>
  <c r="AS28" i="4"/>
  <c r="AV630" i="13" s="1"/>
  <c r="BW79" i="4"/>
  <c r="C58" i="1"/>
  <c r="BS58" i="4"/>
  <c r="AS12" i="4"/>
  <c r="AV614" i="13" s="1"/>
  <c r="BW13" i="4"/>
  <c r="AS34" i="4"/>
  <c r="AV636" i="13" s="1"/>
  <c r="BW7" i="4"/>
  <c r="AN9" i="72"/>
  <c r="AS18" i="4"/>
  <c r="AV620" i="13" s="1"/>
  <c r="AS39" i="4"/>
  <c r="AV641" i="13" s="1"/>
  <c r="BW71" i="4"/>
  <c r="K62" i="4"/>
  <c r="M63" i="4"/>
  <c r="H32" i="9"/>
  <c r="H9" i="9"/>
  <c r="H18" i="9"/>
  <c r="AS43" i="4"/>
  <c r="AV645" i="13" s="1"/>
  <c r="BW92" i="4"/>
  <c r="BW64" i="4"/>
  <c r="BW49" i="4"/>
  <c r="AS22" i="4"/>
  <c r="AV624" i="13" s="1"/>
  <c r="AS37" i="4"/>
  <c r="AV639" i="13" s="1"/>
  <c r="BW47" i="4"/>
  <c r="BW28" i="4"/>
  <c r="AS31" i="4"/>
  <c r="AV633" i="13" s="1"/>
  <c r="H30" i="9"/>
  <c r="AS38" i="4"/>
  <c r="AV640" i="13" s="1"/>
  <c r="BW42" i="4"/>
  <c r="AS40" i="4"/>
  <c r="AV642" i="13" s="1"/>
  <c r="BW51" i="4"/>
  <c r="BW88" i="4"/>
  <c r="AS53" i="4"/>
  <c r="AV655" i="13" s="1"/>
  <c r="BW77" i="4"/>
  <c r="AI9" i="72"/>
  <c r="H17" i="9"/>
  <c r="M75" i="4"/>
  <c r="K78" i="4"/>
  <c r="H20" i="9"/>
  <c r="H19" i="9"/>
  <c r="H22" i="9"/>
  <c r="BW5" i="4"/>
  <c r="BW85" i="4"/>
  <c r="BW61" i="4"/>
  <c r="BW43" i="4"/>
  <c r="BW17" i="4"/>
  <c r="AS49" i="4"/>
  <c r="AV651" i="13" s="1"/>
  <c r="AS46" i="4"/>
  <c r="AV648" i="13" s="1"/>
  <c r="BW56" i="4"/>
  <c r="H38" i="9"/>
  <c r="BS65" i="4"/>
  <c r="A75" i="4"/>
  <c r="B75" i="4" s="1"/>
  <c r="I62" i="4"/>
  <c r="BW11" i="4"/>
  <c r="BI9" i="72"/>
  <c r="I65" i="4"/>
  <c r="CU65" i="4" s="1"/>
  <c r="CV65" i="4" s="1"/>
  <c r="M77" i="4"/>
  <c r="H24" i="9"/>
  <c r="AS30" i="4"/>
  <c r="AV632" i="13" s="1"/>
  <c r="AS44" i="4"/>
  <c r="AV646" i="13" s="1"/>
  <c r="A65" i="4"/>
  <c r="BA65" i="4" s="1" a="1"/>
  <c r="BA65" i="4" s="1"/>
  <c r="AS26" i="4"/>
  <c r="AV628" i="13" s="1"/>
  <c r="I63" i="4"/>
  <c r="BS77" i="4"/>
  <c r="AN10" i="72"/>
  <c r="BI10" i="72"/>
  <c r="B78" i="1"/>
  <c r="B47" i="1"/>
  <c r="B12" i="1"/>
  <c r="B62" i="1"/>
  <c r="B63" i="1"/>
  <c r="B45" i="1"/>
  <c r="B28" i="1"/>
  <c r="B75" i="1"/>
  <c r="B31" i="1"/>
  <c r="B77" i="1"/>
  <c r="B74" i="1"/>
  <c r="B48" i="1"/>
  <c r="B65" i="1"/>
  <c r="B26" i="1"/>
  <c r="B36" i="1"/>
  <c r="B27" i="1"/>
  <c r="B22" i="1"/>
  <c r="B51" i="1"/>
  <c r="B92" i="1"/>
  <c r="B85" i="1"/>
  <c r="B67" i="1"/>
  <c r="B64" i="1"/>
  <c r="BI10" i="4"/>
  <c r="BJ10" i="4"/>
  <c r="BK10" i="4"/>
  <c r="DF10" i="4"/>
  <c r="B11" i="1"/>
  <c r="B16" i="1"/>
  <c r="B18" i="1"/>
  <c r="B87" i="1"/>
  <c r="B83" i="1"/>
  <c r="AF65" i="4"/>
  <c r="AG65" i="4"/>
  <c r="AI75" i="4"/>
  <c r="AJ75" i="4"/>
  <c r="AA27" i="4"/>
  <c r="DB27" i="4" s="1"/>
  <c r="AB27" i="4"/>
  <c r="AJ62" i="4"/>
  <c r="AI62" i="4"/>
  <c r="AF51" i="4"/>
  <c r="AG51" i="4"/>
  <c r="AF78" i="4"/>
  <c r="AG78" i="4"/>
  <c r="AB41" i="4"/>
  <c r="AA41" i="4"/>
  <c r="DB41" i="4" s="1"/>
  <c r="AN41" i="4"/>
  <c r="AO41" i="4"/>
  <c r="AA42" i="4"/>
  <c r="DB42" i="4" s="1"/>
  <c r="AB42" i="4"/>
  <c r="AA50" i="4"/>
  <c r="DB50" i="4" s="1"/>
  <c r="AB50" i="4"/>
  <c r="AN21" i="4"/>
  <c r="AO21" i="4"/>
  <c r="AJ8" i="4"/>
  <c r="AI8" i="4"/>
  <c r="AF86" i="4"/>
  <c r="AG86" i="4"/>
  <c r="AO56" i="4"/>
  <c r="AN56" i="4"/>
  <c r="AA25" i="4"/>
  <c r="DB25" i="4" s="1"/>
  <c r="AB25" i="4"/>
  <c r="AI68" i="4"/>
  <c r="AJ68" i="4"/>
  <c r="AI90" i="4"/>
  <c r="AJ90" i="4"/>
  <c r="AJ18" i="4"/>
  <c r="AI18" i="4"/>
  <c r="AG43" i="4"/>
  <c r="AF43" i="4"/>
  <c r="AG38" i="4"/>
  <c r="AF38" i="4"/>
  <c r="AG44" i="4"/>
  <c r="AF44" i="4"/>
  <c r="AA40" i="4"/>
  <c r="DB40" i="4" s="1"/>
  <c r="AB40" i="4"/>
  <c r="AB20" i="4"/>
  <c r="AA20" i="4"/>
  <c r="DB20" i="4" s="1"/>
  <c r="AN15" i="4"/>
  <c r="AO15" i="4"/>
  <c r="B8" i="1"/>
  <c r="B72" i="1"/>
  <c r="B53" i="1"/>
  <c r="B73" i="1"/>
  <c r="B38" i="1"/>
  <c r="B89" i="1"/>
  <c r="B82" i="1"/>
  <c r="AN12" i="4"/>
  <c r="AO12" i="4"/>
  <c r="AN63" i="4"/>
  <c r="AO63" i="4"/>
  <c r="AF77" i="4"/>
  <c r="AG77" i="4"/>
  <c r="AB77" i="4"/>
  <c r="AA77" i="4"/>
  <c r="AG74" i="4"/>
  <c r="AF74" i="4"/>
  <c r="AI48" i="4"/>
  <c r="AJ48" i="4"/>
  <c r="AA51" i="4"/>
  <c r="DB51" i="4" s="1"/>
  <c r="AB51" i="4"/>
  <c r="AF45" i="4"/>
  <c r="AG45" i="4"/>
  <c r="AO85" i="4"/>
  <c r="AN85" i="4"/>
  <c r="AG88" i="4"/>
  <c r="AF88" i="4"/>
  <c r="AO67" i="4"/>
  <c r="AN67" i="4"/>
  <c r="AJ67" i="4"/>
  <c r="AI67" i="4"/>
  <c r="AI54" i="4"/>
  <c r="AJ54" i="4"/>
  <c r="AF64" i="4"/>
  <c r="AG64" i="4"/>
  <c r="AN72" i="4"/>
  <c r="AO72" i="4"/>
  <c r="AN34" i="4"/>
  <c r="AO34" i="4"/>
  <c r="AJ53" i="4"/>
  <c r="AI53" i="4"/>
  <c r="AJ49" i="4"/>
  <c r="AI49" i="4"/>
  <c r="AI13" i="4"/>
  <c r="AJ13" i="4"/>
  <c r="AI37" i="4"/>
  <c r="AJ37" i="4"/>
  <c r="AF25" i="4"/>
  <c r="AG25" i="4"/>
  <c r="AF73" i="4"/>
  <c r="AG73" i="4"/>
  <c r="AJ43" i="4"/>
  <c r="AI43" i="4"/>
  <c r="AN38" i="4"/>
  <c r="AO38" i="4"/>
  <c r="AB66" i="4"/>
  <c r="AA66" i="4"/>
  <c r="AB70" i="4"/>
  <c r="AA70" i="4"/>
  <c r="AN35" i="4"/>
  <c r="AO35" i="4"/>
  <c r="AG15" i="4"/>
  <c r="AF15" i="4"/>
  <c r="AO83" i="4"/>
  <c r="AN83" i="4"/>
  <c r="B71" i="1"/>
  <c r="CB60" i="4"/>
  <c r="CI60" i="4"/>
  <c r="AE60" i="4"/>
  <c r="CF60" i="4"/>
  <c r="AC60" i="4"/>
  <c r="AM60" i="4"/>
  <c r="CL60" i="4"/>
  <c r="CJ60" i="4"/>
  <c r="CD60" i="4"/>
  <c r="BN60" i="4"/>
  <c r="CG60" i="4"/>
  <c r="CK60" i="4"/>
  <c r="CE60" i="4"/>
  <c r="AK60" i="4"/>
  <c r="CC60" i="4"/>
  <c r="CM60" i="4"/>
  <c r="BP60" i="4"/>
  <c r="CN60" i="4"/>
  <c r="B14" i="1"/>
  <c r="B81" i="1"/>
  <c r="B29" i="1"/>
  <c r="B69" i="1"/>
  <c r="AJ65" i="4"/>
  <c r="AI65" i="4"/>
  <c r="AO47" i="4"/>
  <c r="AN47" i="4"/>
  <c r="AA22" i="4"/>
  <c r="DB22" i="4" s="1"/>
  <c r="AB22" i="4"/>
  <c r="AJ45" i="4"/>
  <c r="AI45" i="4"/>
  <c r="AB45" i="4"/>
  <c r="AA45" i="4"/>
  <c r="DB45" i="4" s="1"/>
  <c r="AO80" i="4"/>
  <c r="AN80" i="4"/>
  <c r="AF71" i="4"/>
  <c r="AG71" i="4"/>
  <c r="AB64" i="4"/>
  <c r="AA64" i="4"/>
  <c r="AG84" i="4"/>
  <c r="AF84" i="4"/>
  <c r="AF14" i="4"/>
  <c r="AG14" i="4"/>
  <c r="AI57" i="4"/>
  <c r="AJ57" i="4"/>
  <c r="AA81" i="4"/>
  <c r="AB81" i="4"/>
  <c r="AA29" i="4"/>
  <c r="DB29" i="4" s="1"/>
  <c r="AB29" i="4"/>
  <c r="AF49" i="4"/>
  <c r="AG49" i="4"/>
  <c r="AI76" i="4"/>
  <c r="AJ76" i="4"/>
  <c r="AN18" i="4"/>
  <c r="AO18" i="4"/>
  <c r="AG89" i="4"/>
  <c r="AF89" i="4"/>
  <c r="AN66" i="4"/>
  <c r="AO66" i="4"/>
  <c r="AA19" i="4"/>
  <c r="DB19" i="4" s="1"/>
  <c r="AB19" i="4"/>
  <c r="AO70" i="4"/>
  <c r="AN70" i="4"/>
  <c r="AF82" i="4"/>
  <c r="AG82" i="4"/>
  <c r="AN69" i="4"/>
  <c r="AO69" i="4"/>
  <c r="B52" i="1"/>
  <c r="B84" i="1"/>
  <c r="B44" i="1"/>
  <c r="AF36" i="4"/>
  <c r="AG36" i="4"/>
  <c r="AJ36" i="4"/>
  <c r="AI36" i="4"/>
  <c r="AB26" i="4"/>
  <c r="AA26" i="4"/>
  <c r="DB26" i="4" s="1"/>
  <c r="AO75" i="4"/>
  <c r="AN75" i="4"/>
  <c r="AN77" i="4"/>
  <c r="AO77" i="4"/>
  <c r="AF22" i="4"/>
  <c r="AG22" i="4"/>
  <c r="AN5" i="4"/>
  <c r="AO5" i="4"/>
  <c r="AI41" i="4"/>
  <c r="AJ41" i="4"/>
  <c r="AI30" i="4"/>
  <c r="AJ30" i="4"/>
  <c r="AN42" i="4"/>
  <c r="AO42" i="4"/>
  <c r="AF50" i="4"/>
  <c r="AG50" i="4"/>
  <c r="AF80" i="4"/>
  <c r="AG80" i="4"/>
  <c r="AA33" i="4"/>
  <c r="DB33" i="4" s="1"/>
  <c r="AB33" i="4"/>
  <c r="AA54" i="4"/>
  <c r="DB54" i="4" s="1"/>
  <c r="AB54" i="4"/>
  <c r="AO8" i="4"/>
  <c r="AN8" i="4"/>
  <c r="AJ72" i="4"/>
  <c r="AI72" i="4"/>
  <c r="AI81" i="4"/>
  <c r="AJ81" i="4"/>
  <c r="AN81" i="4"/>
  <c r="AO81" i="4"/>
  <c r="AA76" i="4"/>
  <c r="AB76" i="4"/>
  <c r="AO37" i="4"/>
  <c r="AN37" i="4"/>
  <c r="AF61" i="4"/>
  <c r="AG61" i="4"/>
  <c r="AN61" i="4"/>
  <c r="AO61" i="4"/>
  <c r="AN73" i="4"/>
  <c r="AO73" i="4"/>
  <c r="AJ24" i="4"/>
  <c r="AI24" i="4"/>
  <c r="AG24" i="4"/>
  <c r="AF24" i="4"/>
  <c r="AI66" i="4"/>
  <c r="AJ66" i="4"/>
  <c r="AG19" i="4"/>
  <c r="AF19" i="4"/>
  <c r="AA82" i="4"/>
  <c r="AB82" i="4"/>
  <c r="B50" i="1"/>
  <c r="B32" i="1"/>
  <c r="B21" i="1"/>
  <c r="B86" i="1"/>
  <c r="BJ4" i="4"/>
  <c r="BK4" i="4"/>
  <c r="DF4" i="4"/>
  <c r="BI4" i="4"/>
  <c r="B6" i="1"/>
  <c r="B76" i="1"/>
  <c r="B25" i="1"/>
  <c r="B40" i="1"/>
  <c r="B24" i="1"/>
  <c r="B17" i="1"/>
  <c r="AA12" i="4"/>
  <c r="DB12" i="4" s="1"/>
  <c r="AB12" i="4"/>
  <c r="AF63" i="4"/>
  <c r="AG63" i="4"/>
  <c r="AI31" i="4"/>
  <c r="AJ31" i="4"/>
  <c r="AI77" i="4"/>
  <c r="AJ77" i="4"/>
  <c r="AJ28" i="4"/>
  <c r="AI28" i="4"/>
  <c r="AG42" i="4"/>
  <c r="AF42" i="4"/>
  <c r="AJ80" i="4"/>
  <c r="AI80" i="4"/>
  <c r="AO32" i="4"/>
  <c r="AN32" i="4"/>
  <c r="AO33" i="4"/>
  <c r="AN33" i="4"/>
  <c r="AA71" i="4"/>
  <c r="AB71" i="4"/>
  <c r="AA72" i="4"/>
  <c r="AB72" i="4"/>
  <c r="AN84" i="4"/>
  <c r="AO84" i="4"/>
  <c r="AN14" i="4"/>
  <c r="AO14" i="4"/>
  <c r="AA13" i="4"/>
  <c r="DB13" i="4" s="1"/>
  <c r="AB13" i="4"/>
  <c r="AG39" i="4"/>
  <c r="AF39" i="4"/>
  <c r="AI61" i="4"/>
  <c r="AJ61" i="4"/>
  <c r="AO25" i="4"/>
  <c r="AN25" i="4"/>
  <c r="AF68" i="4"/>
  <c r="AG68" i="4"/>
  <c r="AB73" i="4"/>
  <c r="AA73" i="4"/>
  <c r="AG90" i="4"/>
  <c r="AF90" i="4"/>
  <c r="AA89" i="4"/>
  <c r="AB89" i="4"/>
  <c r="AO19" i="4"/>
  <c r="AN19" i="4"/>
  <c r="AJ82" i="4"/>
  <c r="AI82" i="4"/>
  <c r="AB15" i="4"/>
  <c r="AA15" i="4"/>
  <c r="DB15" i="4" s="1"/>
  <c r="AJ83" i="4"/>
  <c r="AI83" i="4"/>
  <c r="B88" i="1"/>
  <c r="B7" i="1"/>
  <c r="BK9" i="4"/>
  <c r="BJ9" i="4"/>
  <c r="BI9" i="4"/>
  <c r="DF9" i="4"/>
  <c r="B91" i="1"/>
  <c r="B13" i="1"/>
  <c r="B93" i="1"/>
  <c r="B66" i="1"/>
  <c r="B20" i="1"/>
  <c r="AN36" i="4"/>
  <c r="AO36" i="4"/>
  <c r="AG12" i="4"/>
  <c r="AF12" i="4"/>
  <c r="AF75" i="4"/>
  <c r="AG75" i="4"/>
  <c r="AO62" i="4"/>
  <c r="AN62" i="4"/>
  <c r="AB28" i="4"/>
  <c r="AA28" i="4"/>
  <c r="DB28" i="4" s="1"/>
  <c r="AO92" i="4"/>
  <c r="AN92" i="4"/>
  <c r="AJ71" i="4"/>
  <c r="AI71" i="4"/>
  <c r="AN49" i="4"/>
  <c r="AO49" i="4"/>
  <c r="AA39" i="4"/>
  <c r="DB39" i="4" s="1"/>
  <c r="AB39" i="4"/>
  <c r="AO6" i="4"/>
  <c r="AN6" i="4"/>
  <c r="AF76" i="4"/>
  <c r="AG76" i="4"/>
  <c r="AA37" i="4"/>
  <c r="DB37" i="4" s="1"/>
  <c r="AB37" i="4"/>
  <c r="AN90" i="4"/>
  <c r="AO90" i="4"/>
  <c r="AN93" i="4"/>
  <c r="AO93" i="4"/>
  <c r="AO43" i="4"/>
  <c r="AN43" i="4"/>
  <c r="AO44" i="4"/>
  <c r="AN44" i="4"/>
  <c r="AA24" i="4"/>
  <c r="DB24" i="4" s="1"/>
  <c r="AB24" i="4"/>
  <c r="AO82" i="4"/>
  <c r="AN82" i="4"/>
  <c r="B5" i="1"/>
  <c r="CK23" i="4"/>
  <c r="AK23" i="4"/>
  <c r="BP23" i="4"/>
  <c r="CI23" i="4"/>
  <c r="CB23" i="4"/>
  <c r="CC23" i="4"/>
  <c r="CL23" i="4"/>
  <c r="CJ23" i="4"/>
  <c r="AE23" i="4"/>
  <c r="CE23" i="4"/>
  <c r="CM23" i="4"/>
  <c r="BN23" i="4"/>
  <c r="CD23" i="4"/>
  <c r="AC23" i="4"/>
  <c r="CN23" i="4"/>
  <c r="CG23" i="4"/>
  <c r="AM23" i="4"/>
  <c r="CF23" i="4"/>
  <c r="B33" i="1"/>
  <c r="AA75" i="4"/>
  <c r="AB75" i="4"/>
  <c r="AB62" i="4"/>
  <c r="AA62" i="4"/>
  <c r="AI22" i="4"/>
  <c r="AJ22" i="4"/>
  <c r="AF28" i="4"/>
  <c r="AG28" i="4"/>
  <c r="AO74" i="4"/>
  <c r="AN74" i="4"/>
  <c r="AO45" i="4"/>
  <c r="AN45" i="4"/>
  <c r="AI5" i="4"/>
  <c r="AJ5" i="4"/>
  <c r="AF41" i="4"/>
  <c r="AG41" i="4"/>
  <c r="AG30" i="4"/>
  <c r="AF30" i="4"/>
  <c r="AJ92" i="4"/>
  <c r="AI92" i="4"/>
  <c r="AJ33" i="4"/>
  <c r="AI33" i="4"/>
  <c r="AO71" i="4"/>
  <c r="AN71" i="4"/>
  <c r="AG79" i="4"/>
  <c r="AF79" i="4"/>
  <c r="AI34" i="4"/>
  <c r="AJ34" i="4"/>
  <c r="AG34" i="4"/>
  <c r="AF34" i="4"/>
  <c r="AA14" i="4"/>
  <c r="DB14" i="4" s="1"/>
  <c r="AB14" i="4"/>
  <c r="AJ11" i="4"/>
  <c r="AI11" i="4"/>
  <c r="AB6" i="4"/>
  <c r="AA6" i="4"/>
  <c r="DB6" i="4" s="1"/>
  <c r="AB61" i="4"/>
  <c r="AA61" i="4"/>
  <c r="AG59" i="4"/>
  <c r="AF59" i="4"/>
  <c r="AA43" i="4"/>
  <c r="DB43" i="4" s="1"/>
  <c r="AB43" i="4"/>
  <c r="AO89" i="4"/>
  <c r="AN89" i="4"/>
  <c r="AI46" i="4"/>
  <c r="AJ46" i="4"/>
  <c r="AN46" i="4"/>
  <c r="AO46" i="4"/>
  <c r="AI70" i="4"/>
  <c r="AJ70" i="4"/>
  <c r="AB63" i="4"/>
  <c r="AA63" i="4"/>
  <c r="AO31" i="4"/>
  <c r="AN31" i="4"/>
  <c r="AJ78" i="4"/>
  <c r="AI78" i="4"/>
  <c r="AG5" i="4"/>
  <c r="AF5" i="4"/>
  <c r="AI32" i="4"/>
  <c r="AJ32" i="4"/>
  <c r="AO79" i="4"/>
  <c r="AN79" i="4"/>
  <c r="AA79" i="4"/>
  <c r="AB79" i="4"/>
  <c r="AG7" i="4"/>
  <c r="AF7" i="4"/>
  <c r="AG72" i="4"/>
  <c r="AF72" i="4"/>
  <c r="AG52" i="4"/>
  <c r="AF52" i="4"/>
  <c r="AB34" i="4"/>
  <c r="AA34" i="4"/>
  <c r="DB34" i="4" s="1"/>
  <c r="AA86" i="4"/>
  <c r="AB86" i="4"/>
  <c r="AN57" i="4"/>
  <c r="AO57" i="4"/>
  <c r="AA49" i="4"/>
  <c r="DB49" i="4" s="1"/>
  <c r="AB49" i="4"/>
  <c r="AG16" i="4"/>
  <c r="AF16" i="4"/>
  <c r="AO39" i="4"/>
  <c r="AN39" i="4"/>
  <c r="AO68" i="4"/>
  <c r="AN68" i="4"/>
  <c r="AJ59" i="4"/>
  <c r="AI59" i="4"/>
  <c r="AA93" i="4"/>
  <c r="AB93" i="4"/>
  <c r="AB44" i="4"/>
  <c r="AA44" i="4"/>
  <c r="DB44" i="4" s="1"/>
  <c r="AA46" i="4"/>
  <c r="DB46" i="4" s="1"/>
  <c r="AB46" i="4"/>
  <c r="AI19" i="4"/>
  <c r="AJ19" i="4"/>
  <c r="AI69" i="4"/>
  <c r="AJ69" i="4"/>
  <c r="AG69" i="4"/>
  <c r="AF69" i="4"/>
  <c r="B41" i="1"/>
  <c r="B34" i="1"/>
  <c r="B49" i="1"/>
  <c r="B39" i="1"/>
  <c r="B46" i="1"/>
  <c r="AB36" i="4"/>
  <c r="AA36" i="4"/>
  <c r="DB36" i="4" s="1"/>
  <c r="AG26" i="4"/>
  <c r="AF26" i="4"/>
  <c r="AF27" i="4"/>
  <c r="AG27" i="4"/>
  <c r="AG31" i="4"/>
  <c r="AF31" i="4"/>
  <c r="AF47" i="4"/>
  <c r="AG47" i="4"/>
  <c r="AI74" i="4"/>
  <c r="AJ74" i="4"/>
  <c r="AJ51" i="4"/>
  <c r="AI51" i="4"/>
  <c r="AA5" i="4"/>
  <c r="DB5" i="4" s="1"/>
  <c r="AB5" i="4"/>
  <c r="AB80" i="4"/>
  <c r="AA80" i="4"/>
  <c r="AB32" i="4"/>
  <c r="AA32" i="4"/>
  <c r="DB32" i="4" s="1"/>
  <c r="AI21" i="4"/>
  <c r="AJ21" i="4"/>
  <c r="AO54" i="4"/>
  <c r="AN54" i="4"/>
  <c r="AG8" i="4"/>
  <c r="AF8" i="4"/>
  <c r="AA8" i="4"/>
  <c r="DB8" i="4" s="1"/>
  <c r="AB8" i="4"/>
  <c r="AI14" i="4"/>
  <c r="AJ14" i="4"/>
  <c r="AG57" i="4"/>
  <c r="AF57" i="4"/>
  <c r="AN11" i="4"/>
  <c r="AO11" i="4"/>
  <c r="AF13" i="4"/>
  <c r="AG13" i="4"/>
  <c r="AJ56" i="4"/>
  <c r="AI56" i="4"/>
  <c r="AF6" i="4"/>
  <c r="AG6" i="4"/>
  <c r="AA68" i="4"/>
  <c r="AB68" i="4"/>
  <c r="AA59" i="4"/>
  <c r="AB59" i="4"/>
  <c r="AG93" i="4"/>
  <c r="AF93" i="4"/>
  <c r="AG20" i="4"/>
  <c r="AF20" i="4"/>
  <c r="AA69" i="4"/>
  <c r="AB69" i="4"/>
  <c r="B30" i="1"/>
  <c r="B79" i="1"/>
  <c r="B57" i="1"/>
  <c r="B68" i="1"/>
  <c r="B35" i="1"/>
  <c r="B15" i="1"/>
  <c r="AJ26" i="4"/>
  <c r="AI26" i="4"/>
  <c r="AA31" i="4"/>
  <c r="DB31" i="4" s="1"/>
  <c r="AB31" i="4"/>
  <c r="AI47" i="4"/>
  <c r="AJ47" i="4"/>
  <c r="AN22" i="4"/>
  <c r="AO22" i="4"/>
  <c r="AN78" i="4"/>
  <c r="AO78" i="4"/>
  <c r="AO30" i="4"/>
  <c r="AN30" i="4"/>
  <c r="AB30" i="4"/>
  <c r="AA30" i="4"/>
  <c r="DB30" i="4" s="1"/>
  <c r="AN50" i="4"/>
  <c r="AO50" i="4"/>
  <c r="AI88" i="4"/>
  <c r="AJ88" i="4"/>
  <c r="AF33" i="4"/>
  <c r="AG33" i="4"/>
  <c r="AB21" i="4"/>
  <c r="AA21" i="4"/>
  <c r="DB21" i="4" s="1"/>
  <c r="AF67" i="4"/>
  <c r="AG67" i="4"/>
  <c r="AF54" i="4"/>
  <c r="AG54" i="4"/>
  <c r="AJ64" i="4"/>
  <c r="AI64" i="4"/>
  <c r="AO52" i="4"/>
  <c r="AN52" i="4"/>
  <c r="AA91" i="4"/>
  <c r="AB91" i="4"/>
  <c r="AI16" i="4"/>
  <c r="AJ16" i="4"/>
  <c r="AF56" i="4"/>
  <c r="AG56" i="4"/>
  <c r="AG37" i="4"/>
  <c r="AF37" i="4"/>
  <c r="AI25" i="4"/>
  <c r="AJ25" i="4"/>
  <c r="AJ44" i="4"/>
  <c r="AI44" i="4"/>
  <c r="AG46" i="4"/>
  <c r="AF46" i="4"/>
  <c r="AO20" i="4"/>
  <c r="AN20" i="4"/>
  <c r="AA83" i="4"/>
  <c r="AB83" i="4"/>
  <c r="B54" i="1"/>
  <c r="BI3" i="4"/>
  <c r="BJ3" i="4"/>
  <c r="BK3" i="4"/>
  <c r="DF3" i="4"/>
  <c r="B59" i="1"/>
  <c r="B43" i="1"/>
  <c r="B19" i="1"/>
  <c r="AB65" i="4"/>
  <c r="AA65" i="4"/>
  <c r="AO65" i="4"/>
  <c r="AN65" i="4"/>
  <c r="AJ12" i="4"/>
  <c r="AI12" i="4"/>
  <c r="AG62" i="4"/>
  <c r="AF62" i="4"/>
  <c r="AA47" i="4"/>
  <c r="DB47" i="4" s="1"/>
  <c r="AB47" i="4"/>
  <c r="AA74" i="4"/>
  <c r="AB74" i="4"/>
  <c r="AO48" i="4"/>
  <c r="AN48" i="4"/>
  <c r="AB78" i="4"/>
  <c r="AA78" i="4"/>
  <c r="AB92" i="4"/>
  <c r="AA92" i="4"/>
  <c r="AF85" i="4"/>
  <c r="AG85" i="4"/>
  <c r="AB88" i="4"/>
  <c r="AA88" i="4"/>
  <c r="AG32" i="4"/>
  <c r="AF32" i="4"/>
  <c r="AG21" i="4"/>
  <c r="AF21" i="4"/>
  <c r="AO64" i="4"/>
  <c r="AN64" i="4"/>
  <c r="AJ79" i="4"/>
  <c r="AI79" i="4"/>
  <c r="AI7" i="4"/>
  <c r="AJ7" i="4"/>
  <c r="AN7" i="4"/>
  <c r="AO7" i="4"/>
  <c r="AA52" i="4"/>
  <c r="DB52" i="4" s="1"/>
  <c r="AB52" i="4"/>
  <c r="AJ86" i="4"/>
  <c r="AI86" i="4"/>
  <c r="AN86" i="4"/>
  <c r="AO86" i="4"/>
  <c r="AB57" i="4"/>
  <c r="AA57" i="4"/>
  <c r="AF81" i="4"/>
  <c r="AG81" i="4"/>
  <c r="AF29" i="4"/>
  <c r="AG29" i="4"/>
  <c r="AA16" i="4"/>
  <c r="DB16" i="4" s="1"/>
  <c r="AB16" i="4"/>
  <c r="AA56" i="4"/>
  <c r="AB56" i="4"/>
  <c r="AO76" i="4"/>
  <c r="AN76" i="4"/>
  <c r="AJ93" i="4"/>
  <c r="AI93" i="4"/>
  <c r="AB18" i="4"/>
  <c r="AA18" i="4"/>
  <c r="DB18" i="4" s="1"/>
  <c r="AB38" i="4"/>
  <c r="AA38" i="4"/>
  <c r="DB38" i="4" s="1"/>
  <c r="AO24" i="4"/>
  <c r="AN24" i="4"/>
  <c r="AG70" i="4"/>
  <c r="AF70" i="4"/>
  <c r="AJ15" i="4"/>
  <c r="AI15" i="4"/>
  <c r="B42" i="1"/>
  <c r="B80" i="1"/>
  <c r="B56" i="1"/>
  <c r="B37" i="1"/>
  <c r="B61" i="1"/>
  <c r="B90" i="1"/>
  <c r="B70" i="1"/>
  <c r="AN26" i="4"/>
  <c r="AO26" i="4"/>
  <c r="AN27" i="4"/>
  <c r="AO27" i="4"/>
  <c r="AJ27" i="4"/>
  <c r="AI27" i="4"/>
  <c r="AN51" i="4"/>
  <c r="AO51" i="4"/>
  <c r="AJ42" i="4"/>
  <c r="AI42" i="4"/>
  <c r="AJ50" i="4"/>
  <c r="AI50" i="4"/>
  <c r="AG92" i="4"/>
  <c r="AF92" i="4"/>
  <c r="AA85" i="4"/>
  <c r="AB85" i="4"/>
  <c r="AN88" i="4"/>
  <c r="AO88" i="4"/>
  <c r="AA67" i="4"/>
  <c r="AB67" i="4"/>
  <c r="AB7" i="4"/>
  <c r="AA7" i="4"/>
  <c r="DB7" i="4" s="1"/>
  <c r="AN53" i="4"/>
  <c r="AO53" i="4"/>
  <c r="AO29" i="4"/>
  <c r="AN29" i="4"/>
  <c r="AN16" i="4"/>
  <c r="AO16" i="4"/>
  <c r="AO13" i="4"/>
  <c r="AN13" i="4"/>
  <c r="AJ39" i="4"/>
  <c r="AI39" i="4"/>
  <c r="AJ6" i="4"/>
  <c r="AI6" i="4"/>
  <c r="AJ73" i="4"/>
  <c r="AI73" i="4"/>
  <c r="AA90" i="4"/>
  <c r="AB90" i="4"/>
  <c r="AN59" i="4"/>
  <c r="AO59" i="4"/>
  <c r="AG18" i="4"/>
  <c r="AF18" i="4"/>
  <c r="AI38" i="4"/>
  <c r="AJ38" i="4"/>
  <c r="AJ89" i="4"/>
  <c r="AI89" i="4"/>
  <c r="AG66" i="4"/>
  <c r="AF66" i="4"/>
  <c r="AJ20" i="4"/>
  <c r="AI20" i="4"/>
  <c r="AG83" i="4"/>
  <c r="AF83" i="4"/>
  <c r="AX185" i="13"/>
  <c r="A285" i="13"/>
  <c r="BZ75" i="4" a="1"/>
  <c r="BZ75" i="4" s="1"/>
  <c r="BX75" i="4" s="1" a="1"/>
  <c r="BX75" i="4" s="1"/>
  <c r="BY75" i="4" a="1"/>
  <c r="BY75" i="4" s="1"/>
  <c r="F1" i="4"/>
  <c r="K3" i="27"/>
  <c r="AX149" i="13"/>
  <c r="A249" i="13"/>
  <c r="B26" i="4"/>
  <c r="DE26" i="4" s="1"/>
  <c r="BA26" i="4" a="1"/>
  <c r="BA26" i="4" s="1"/>
  <c r="BB26" i="4" s="1"/>
  <c r="AV128" i="13" s="1"/>
  <c r="I75" i="4"/>
  <c r="A77" i="4"/>
  <c r="BZ77" i="4" a="1"/>
  <c r="BZ77" i="4" s="1"/>
  <c r="BX77" i="4" s="1" a="1"/>
  <c r="BX77" i="4" s="1"/>
  <c r="BY77" i="4" a="1"/>
  <c r="BY77" i="4" s="1"/>
  <c r="BS74" i="4"/>
  <c r="B48" i="4"/>
  <c r="E48" i="4" s="1"/>
  <c r="BA48" i="4" a="1"/>
  <c r="BA48" i="4" s="1"/>
  <c r="BB48" i="4" s="1"/>
  <c r="AV150" i="13" s="1"/>
  <c r="C78" i="1"/>
  <c r="R10" i="69"/>
  <c r="AY10" i="69"/>
  <c r="BB10" i="69"/>
  <c r="BO10" i="69"/>
  <c r="BH10" i="69" a="1"/>
  <c r="BH10" i="69" s="1"/>
  <c r="BK10" i="69"/>
  <c r="BJ10" i="69" s="1"/>
  <c r="BM10" i="69" s="1"/>
  <c r="BL10" i="69" a="1"/>
  <c r="BL10" i="69" s="1"/>
  <c r="E10" i="69"/>
  <c r="BC10" i="69"/>
  <c r="AI10" i="72"/>
  <c r="AZ10" i="72" a="1"/>
  <c r="AZ10" i="72" s="1"/>
  <c r="A1245" i="13"/>
  <c r="AX1146" i="13"/>
  <c r="C47" i="1"/>
  <c r="M65" i="4"/>
  <c r="A279" i="13"/>
  <c r="AX179" i="13"/>
  <c r="C12" i="1"/>
  <c r="AX31" i="4"/>
  <c r="CU31" i="4"/>
  <c r="CV31" i="4" s="1"/>
  <c r="CH17" i="71"/>
  <c r="CH28" i="71"/>
  <c r="CH4" i="71"/>
  <c r="CU36" i="4"/>
  <c r="CV36" i="4" s="1"/>
  <c r="AX36" i="4"/>
  <c r="CW21" i="71"/>
  <c r="CW36" i="71"/>
  <c r="CW14" i="71"/>
  <c r="CW28" i="71"/>
  <c r="CW11" i="71"/>
  <c r="BA36" i="4" a="1"/>
  <c r="BA36" i="4" s="1"/>
  <c r="BB36" i="4" s="1"/>
  <c r="AV138" i="13" s="1"/>
  <c r="B36" i="4"/>
  <c r="DE36" i="4" s="1"/>
  <c r="H14" i="9"/>
  <c r="K75" i="4"/>
  <c r="AS27" i="4"/>
  <c r="AV629" i="13" s="1"/>
  <c r="C62" i="1"/>
  <c r="AZ63" i="4"/>
  <c r="BZ63" i="4" a="1"/>
  <c r="BZ63" i="4" s="1"/>
  <c r="BX63" i="4" s="1" a="1"/>
  <c r="BX63" i="4" s="1"/>
  <c r="BY63" i="4" a="1"/>
  <c r="BY63" i="4" s="1"/>
  <c r="AZ58" i="4"/>
  <c r="AZ77" i="4"/>
  <c r="AX147" i="13"/>
  <c r="A247" i="13"/>
  <c r="B28" i="4"/>
  <c r="E28" i="4" s="1"/>
  <c r="BD28" i="4" s="1"/>
  <c r="BA28" i="4" a="1"/>
  <c r="BA28" i="4" s="1"/>
  <c r="BB28" i="4" s="1"/>
  <c r="AV130" i="13" s="1"/>
  <c r="M74" i="4"/>
  <c r="BZ51" i="4" a="1"/>
  <c r="BZ51" i="4" s="1"/>
  <c r="BX51" i="4" s="1" a="1"/>
  <c r="BX51" i="4" s="1"/>
  <c r="BY51" i="4" a="1"/>
  <c r="BY51" i="4" s="1"/>
  <c r="M78" i="4"/>
  <c r="BY78" i="4" a="1"/>
  <c r="BY78" i="4" s="1"/>
  <c r="BZ78" i="4" a="1"/>
  <c r="BZ78" i="4" s="1"/>
  <c r="BX78" i="4" s="1" a="1"/>
  <c r="BX78" i="4" s="1"/>
  <c r="BY45" i="4" a="1"/>
  <c r="BY45" i="4" s="1"/>
  <c r="BZ45" i="4" a="1"/>
  <c r="BZ45" i="4" s="1"/>
  <c r="BX45" i="4" s="1" a="1"/>
  <c r="BX45" i="4" s="1"/>
  <c r="BF10" i="72"/>
  <c r="AL10" i="72" s="1"/>
  <c r="AK10" i="72"/>
  <c r="BQ9" i="69"/>
  <c r="C63" i="1"/>
  <c r="A250" i="13"/>
  <c r="AX150" i="13"/>
  <c r="K74" i="4"/>
  <c r="J9" i="69"/>
  <c r="A1244" i="13"/>
  <c r="AX1145" i="13"/>
  <c r="A271" i="13"/>
  <c r="AX171" i="13"/>
  <c r="BZ62" i="4" a="1"/>
  <c r="BZ62" i="4" s="1"/>
  <c r="BX62" i="4" s="1" a="1"/>
  <c r="BX62" i="4" s="1"/>
  <c r="BY62" i="4" a="1"/>
  <c r="BY62" i="4" s="1"/>
  <c r="AY9" i="69"/>
  <c r="BB9" i="69"/>
  <c r="R9" i="69"/>
  <c r="BK9" i="69"/>
  <c r="BJ9" i="69" s="1"/>
  <c r="BM9" i="69" s="1"/>
  <c r="BL9" i="69" a="1"/>
  <c r="BL9" i="69" s="1"/>
  <c r="E9" i="69"/>
  <c r="I3" i="69"/>
  <c r="I3" i="72"/>
  <c r="A277" i="13"/>
  <c r="AX177" i="13"/>
  <c r="BZ22" i="4" a="1"/>
  <c r="BZ22" i="4" s="1"/>
  <c r="BX22" i="4" s="1" a="1"/>
  <c r="BX22" i="4" s="1"/>
  <c r="BY22" i="4" a="1"/>
  <c r="BY22" i="4" s="1"/>
  <c r="AX164" i="13"/>
  <c r="A264" i="13"/>
  <c r="BZ48" i="4" a="1"/>
  <c r="BZ48" i="4" s="1"/>
  <c r="BX48" i="4" s="1" a="1"/>
  <c r="BX48" i="4" s="1"/>
  <c r="BY48" i="4" a="1"/>
  <c r="BY48" i="4" s="1"/>
  <c r="A1354" i="13"/>
  <c r="AX1255" i="13"/>
  <c r="C45" i="1"/>
  <c r="H55" i="4"/>
  <c r="DL25" i="71" s="1"/>
  <c r="A57" i="13"/>
  <c r="AZ94" i="4"/>
  <c r="BS83" i="4"/>
  <c r="BS95" i="4"/>
  <c r="K87" i="4"/>
  <c r="A82" i="4"/>
  <c r="M58" i="4"/>
  <c r="K66" i="4"/>
  <c r="K93" i="4"/>
  <c r="I61" i="4"/>
  <c r="I76" i="4"/>
  <c r="I91" i="4"/>
  <c r="I57" i="4"/>
  <c r="A86" i="4"/>
  <c r="AZ79" i="4"/>
  <c r="I71" i="4"/>
  <c r="A80" i="4"/>
  <c r="I94" i="4"/>
  <c r="K83" i="4"/>
  <c r="BS82" i="4"/>
  <c r="M66" i="4"/>
  <c r="BS93" i="4"/>
  <c r="A61" i="4"/>
  <c r="AZ76" i="4"/>
  <c r="BS91" i="4"/>
  <c r="K57" i="4"/>
  <c r="M86" i="4"/>
  <c r="I79" i="4"/>
  <c r="BS64" i="4"/>
  <c r="AZ71" i="4"/>
  <c r="M88" i="4"/>
  <c r="AZ80" i="4"/>
  <c r="Z94" i="69"/>
  <c r="AZ83" i="4"/>
  <c r="AZ82" i="4"/>
  <c r="M70" i="4"/>
  <c r="I66" i="4"/>
  <c r="K81" i="4"/>
  <c r="BS57" i="4"/>
  <c r="I86" i="4"/>
  <c r="A84" i="4"/>
  <c r="BS79" i="4"/>
  <c r="K64" i="4"/>
  <c r="A71" i="4"/>
  <c r="K67" i="4"/>
  <c r="K88" i="4"/>
  <c r="A83" i="4"/>
  <c r="BS69" i="4"/>
  <c r="K82" i="4"/>
  <c r="A70" i="4"/>
  <c r="AZ66" i="4"/>
  <c r="I90" i="4"/>
  <c r="A81" i="4"/>
  <c r="BS86" i="4"/>
  <c r="M84" i="4"/>
  <c r="M72" i="4"/>
  <c r="I64" i="4"/>
  <c r="BS71" i="4"/>
  <c r="AZ67" i="4"/>
  <c r="A88" i="4"/>
  <c r="Z96" i="72"/>
  <c r="M83" i="4"/>
  <c r="I69" i="4"/>
  <c r="M82" i="4"/>
  <c r="BS70" i="4"/>
  <c r="A66" i="4"/>
  <c r="I58" i="4"/>
  <c r="Z95" i="72"/>
  <c r="K90" i="4"/>
  <c r="BS68" i="4"/>
  <c r="BS81" i="4"/>
  <c r="AZ86" i="4"/>
  <c r="AZ84" i="4"/>
  <c r="AZ72" i="4"/>
  <c r="M64" i="4"/>
  <c r="M67" i="4"/>
  <c r="I88" i="4"/>
  <c r="V95" i="69"/>
  <c r="I83" i="4"/>
  <c r="A69" i="4"/>
  <c r="K70" i="4"/>
  <c r="BS66" i="4"/>
  <c r="K58" i="4"/>
  <c r="M94" i="4"/>
  <c r="BS90" i="4"/>
  <c r="K73" i="4"/>
  <c r="M68" i="4"/>
  <c r="I81" i="4"/>
  <c r="K86" i="4"/>
  <c r="I84" i="4"/>
  <c r="K72" i="4"/>
  <c r="AZ64" i="4"/>
  <c r="I67" i="4"/>
  <c r="AZ88" i="4"/>
  <c r="BS92" i="4"/>
  <c r="AZ69" i="4"/>
  <c r="I70" i="4"/>
  <c r="K89" i="4"/>
  <c r="BS96" i="4"/>
  <c r="K59" i="4"/>
  <c r="M90" i="4"/>
  <c r="AZ73" i="4"/>
  <c r="A68" i="4"/>
  <c r="Z94" i="72"/>
  <c r="BS56" i="4"/>
  <c r="V94" i="72"/>
  <c r="M81" i="4"/>
  <c r="K84" i="4"/>
  <c r="I72" i="4"/>
  <c r="A64" i="4"/>
  <c r="A67" i="4"/>
  <c r="BS88" i="4"/>
  <c r="I85" i="4"/>
  <c r="M92" i="4"/>
  <c r="A58" i="4"/>
  <c r="K69" i="4"/>
  <c r="AZ87" i="4"/>
  <c r="AZ70" i="4"/>
  <c r="M89" i="4"/>
  <c r="BS59" i="4"/>
  <c r="AZ90" i="4"/>
  <c r="A73" i="4"/>
  <c r="K68" i="4"/>
  <c r="A94" i="4"/>
  <c r="M56" i="4"/>
  <c r="AZ81" i="4"/>
  <c r="BS84" i="4"/>
  <c r="BS72" i="4"/>
  <c r="BS67" i="4"/>
  <c r="Z95" i="69"/>
  <c r="K85" i="4"/>
  <c r="AZ92" i="4"/>
  <c r="M69" i="4"/>
  <c r="M87" i="4"/>
  <c r="BS89" i="4"/>
  <c r="I93" i="4"/>
  <c r="I59" i="4"/>
  <c r="M73" i="4"/>
  <c r="AZ68" i="4"/>
  <c r="M61" i="4"/>
  <c r="A76" i="4"/>
  <c r="BS94" i="4"/>
  <c r="AZ56" i="4"/>
  <c r="M91" i="4"/>
  <c r="C96" i="1"/>
  <c r="I95" i="4"/>
  <c r="A72" i="4"/>
  <c r="A96" i="4"/>
  <c r="M85" i="4"/>
  <c r="A92" i="4"/>
  <c r="M80" i="4"/>
  <c r="I87" i="4"/>
  <c r="I96" i="4"/>
  <c r="AZ89" i="4"/>
  <c r="A93" i="4"/>
  <c r="M59" i="4"/>
  <c r="AZ96" i="4"/>
  <c r="I73" i="4"/>
  <c r="I68" i="4"/>
  <c r="AZ61" i="4"/>
  <c r="M76" i="4"/>
  <c r="K56" i="4"/>
  <c r="A91" i="4"/>
  <c r="AZ95" i="4"/>
  <c r="AZ57" i="4"/>
  <c r="C94" i="1"/>
  <c r="M79" i="4"/>
  <c r="V96" i="72"/>
  <c r="AZ85" i="4"/>
  <c r="I92" i="4"/>
  <c r="I80" i="4"/>
  <c r="A95" i="4"/>
  <c r="M95" i="4"/>
  <c r="BS87" i="4"/>
  <c r="A89" i="4"/>
  <c r="AZ93" i="4"/>
  <c r="A59" i="4"/>
  <c r="A90" i="4"/>
  <c r="BS73" i="4"/>
  <c r="BS61" i="4"/>
  <c r="BS76" i="4"/>
  <c r="A56" i="4"/>
  <c r="K91" i="4"/>
  <c r="A57" i="4"/>
  <c r="V96" i="69"/>
  <c r="A79" i="4"/>
  <c r="M71" i="4"/>
  <c r="K94" i="4"/>
  <c r="BS85" i="4"/>
  <c r="K92" i="4"/>
  <c r="BS80" i="4"/>
  <c r="K95" i="4"/>
  <c r="A87" i="4"/>
  <c r="I82" i="4"/>
  <c r="I89" i="4"/>
  <c r="M93" i="4"/>
  <c r="AZ59" i="4"/>
  <c r="V95" i="72"/>
  <c r="K61" i="4"/>
  <c r="K76" i="4"/>
  <c r="I56" i="4"/>
  <c r="H58" i="9" s="1"/>
  <c r="AZ91" i="4"/>
  <c r="M57" i="4"/>
  <c r="K79" i="4"/>
  <c r="Z1877" i="13" s="1"/>
  <c r="B1877" i="13" s="1" a="1"/>
  <c r="B1877" i="13" s="1"/>
  <c r="K71" i="4"/>
  <c r="A85" i="4"/>
  <c r="K80" i="4"/>
  <c r="AS80" i="4" s="1"/>
  <c r="AV682" i="13" s="1"/>
  <c r="M96" i="4"/>
  <c r="CU12" i="4"/>
  <c r="CV12" i="4" s="1"/>
  <c r="AX12" i="4"/>
  <c r="AC5" i="71"/>
  <c r="AC17" i="71"/>
  <c r="AC28" i="71"/>
  <c r="AC7" i="71"/>
  <c r="AC4" i="71"/>
  <c r="AC33" i="71"/>
  <c r="AC26" i="71"/>
  <c r="AC29" i="71"/>
  <c r="AC10" i="71"/>
  <c r="AC24" i="71"/>
  <c r="AC22" i="71"/>
  <c r="AC36" i="71"/>
  <c r="AC13" i="71"/>
  <c r="AC15" i="71"/>
  <c r="AC23" i="71"/>
  <c r="AC18" i="71"/>
  <c r="AC11" i="71"/>
  <c r="BZ27" i="4" a="1"/>
  <c r="BZ27" i="4" s="1"/>
  <c r="BX27" i="4" s="1" a="1"/>
  <c r="BX27" i="4" s="1"/>
  <c r="BY27" i="4" a="1"/>
  <c r="BY27" i="4" s="1"/>
  <c r="CU27" i="4"/>
  <c r="CV27" i="4" s="1"/>
  <c r="AX27" i="4"/>
  <c r="BV31" i="71"/>
  <c r="BV5" i="71"/>
  <c r="BV33" i="71"/>
  <c r="BV19" i="71"/>
  <c r="BV23" i="71"/>
  <c r="BV22" i="71"/>
  <c r="BV11" i="71"/>
  <c r="BV15" i="71"/>
  <c r="BV17" i="71"/>
  <c r="BW38" i="71"/>
  <c r="BV29" i="71"/>
  <c r="BV4" i="71"/>
  <c r="BV7" i="71"/>
  <c r="BV8" i="71"/>
  <c r="BV34" i="71"/>
  <c r="BV26" i="71"/>
  <c r="BV14" i="71"/>
  <c r="BV25" i="71"/>
  <c r="BV6" i="71"/>
  <c r="BV12" i="71"/>
  <c r="A1212" i="13"/>
  <c r="AX1113" i="13"/>
  <c r="K63" i="4"/>
  <c r="AX63" i="4" s="1"/>
  <c r="AX1172" i="13"/>
  <c r="A1271" i="13"/>
  <c r="A276" i="13"/>
  <c r="AX176" i="13"/>
  <c r="I77" i="4"/>
  <c r="AX180" i="13"/>
  <c r="A280" i="13"/>
  <c r="C28" i="1"/>
  <c r="H50" i="9"/>
  <c r="A78" i="4"/>
  <c r="AZ9" i="72" a="1"/>
  <c r="AZ9" i="72" s="1"/>
  <c r="AE10" i="69" a="1"/>
  <c r="AE10" i="69" s="1"/>
  <c r="BI10" i="69" s="1" a="1"/>
  <c r="BI10" i="69" s="1"/>
  <c r="AZ9" i="69"/>
  <c r="BQ10" i="69"/>
  <c r="Z1829" i="13"/>
  <c r="B1829" i="13" s="1" a="1"/>
  <c r="B1829" i="13" s="1"/>
  <c r="BY12" i="4" a="1"/>
  <c r="BY12" i="4" s="1"/>
  <c r="BZ12" i="4" a="1"/>
  <c r="BZ12" i="4" s="1"/>
  <c r="BX12" i="4" s="1" a="1"/>
  <c r="BX12" i="4" s="1"/>
  <c r="C75" i="1"/>
  <c r="AX124" i="13"/>
  <c r="A224" i="13"/>
  <c r="BS63" i="4"/>
  <c r="B31" i="4"/>
  <c r="BA31" i="4" a="1"/>
  <c r="BA31" i="4" s="1"/>
  <c r="BB31" i="4" s="1"/>
  <c r="AV133" i="13" s="1"/>
  <c r="J551" i="15"/>
  <c r="J533" i="15"/>
  <c r="J579" i="15"/>
  <c r="J528" i="15"/>
  <c r="C31" i="1"/>
  <c r="A1262" i="13"/>
  <c r="AX1163" i="13"/>
  <c r="C77" i="1"/>
  <c r="AX1110" i="13"/>
  <c r="A1209" i="13"/>
  <c r="B47" i="4"/>
  <c r="CW47" i="4" s="1"/>
  <c r="CX47" i="4" s="1"/>
  <c r="BA47" i="4" a="1"/>
  <c r="BA47" i="4" s="1"/>
  <c r="BB47" i="4" s="1"/>
  <c r="AV149" i="13" s="1"/>
  <c r="I78" i="4"/>
  <c r="AS78" i="4" s="1"/>
  <c r="AV680" i="13" s="1"/>
  <c r="J609" i="15"/>
  <c r="A233" i="13"/>
  <c r="AX133" i="13"/>
  <c r="CU63" i="4"/>
  <c r="CV63" i="4" s="1"/>
  <c r="AX1173" i="13"/>
  <c r="A1272" i="13"/>
  <c r="AV60" i="13"/>
  <c r="AW58" i="4"/>
  <c r="Z1354" i="13"/>
  <c r="AY58" i="4"/>
  <c r="AX152" i="13"/>
  <c r="A252" i="13"/>
  <c r="H53" i="9"/>
  <c r="BG35" i="71"/>
  <c r="AS36" i="4"/>
  <c r="AV638" i="13" s="1"/>
  <c r="K65" i="4"/>
  <c r="AS65" i="4" s="1"/>
  <c r="AV667" i="13" s="1"/>
  <c r="BZ65" i="4" a="1"/>
  <c r="BZ65" i="4" s="1"/>
  <c r="BX65" i="4" s="1" a="1"/>
  <c r="BX65" i="4" s="1"/>
  <c r="BY65" i="4" a="1"/>
  <c r="BY65" i="4" s="1"/>
  <c r="BY26" i="4" a="1"/>
  <c r="BY26" i="4" s="1"/>
  <c r="BZ26" i="4" a="1"/>
  <c r="BZ26" i="4" s="1"/>
  <c r="BX26" i="4" s="1" a="1"/>
  <c r="BX26" i="4" s="1"/>
  <c r="H29" i="9"/>
  <c r="M62" i="4"/>
  <c r="A63" i="4"/>
  <c r="A267" i="13"/>
  <c r="AX167" i="13"/>
  <c r="BY47" i="4" a="1"/>
  <c r="BY47" i="4" s="1"/>
  <c r="BZ47" i="4" a="1"/>
  <c r="BZ47" i="4" s="1"/>
  <c r="BX47" i="4" s="1" a="1"/>
  <c r="BX47" i="4" s="1"/>
  <c r="BA22" i="4" a="1"/>
  <c r="BA22" i="4" s="1"/>
  <c r="BB22" i="4" s="1"/>
  <c r="AV124" i="13" s="1"/>
  <c r="B22" i="4"/>
  <c r="E22" i="4" s="1"/>
  <c r="AX1176" i="13"/>
  <c r="A1275" i="13"/>
  <c r="CU28" i="4"/>
  <c r="CV28" i="4" s="1"/>
  <c r="AX28" i="4"/>
  <c r="BY34" i="71"/>
  <c r="BY16" i="71"/>
  <c r="BY27" i="71"/>
  <c r="BY17" i="71"/>
  <c r="BY20" i="71"/>
  <c r="BY5" i="71"/>
  <c r="BY31" i="71"/>
  <c r="BY8" i="71"/>
  <c r="BZ38" i="71"/>
  <c r="BY13" i="71"/>
  <c r="BY30" i="71"/>
  <c r="BY14" i="71"/>
  <c r="BY19" i="71"/>
  <c r="BY15" i="71"/>
  <c r="BY18" i="71"/>
  <c r="BY33" i="71"/>
  <c r="BY11" i="71"/>
  <c r="BY7" i="71"/>
  <c r="BY35" i="71"/>
  <c r="BY6" i="71"/>
  <c r="BY22" i="71"/>
  <c r="BY4" i="71"/>
  <c r="AS51" i="4"/>
  <c r="AV653" i="13" s="1"/>
  <c r="AZ78" i="4"/>
  <c r="AE9" i="69" a="1"/>
  <c r="AE9" i="69" s="1"/>
  <c r="AK9" i="69" s="1" a="1"/>
  <c r="AK9" i="69" s="1"/>
  <c r="AT9" i="69" a="1"/>
  <c r="AT9" i="69" s="1"/>
  <c r="C74" i="1"/>
  <c r="C48" i="1"/>
  <c r="AX51" i="4"/>
  <c r="CU51" i="4"/>
  <c r="CV51" i="4" s="1"/>
  <c r="ES23" i="71"/>
  <c r="ES14" i="71"/>
  <c r="ES13" i="71"/>
  <c r="ES11" i="71"/>
  <c r="ES36" i="71"/>
  <c r="ES15" i="71"/>
  <c r="ES17" i="71"/>
  <c r="ES29" i="71"/>
  <c r="ES12" i="71"/>
  <c r="ES30" i="71"/>
  <c r="ES6" i="71"/>
  <c r="ES32" i="71"/>
  <c r="ES22" i="71"/>
  <c r="ES31" i="71"/>
  <c r="ES8" i="71"/>
  <c r="ES20" i="71"/>
  <c r="ES21" i="71"/>
  <c r="ES16" i="71"/>
  <c r="ES19" i="71"/>
  <c r="ES4" i="71"/>
  <c r="ES7" i="71"/>
  <c r="ES25" i="71"/>
  <c r="ES9" i="71"/>
  <c r="ET38" i="71"/>
  <c r="ES28" i="71"/>
  <c r="BW10" i="72"/>
  <c r="AF9" i="72" a="1"/>
  <c r="AF9" i="72" s="1"/>
  <c r="AQ9" i="72" s="1" a="1"/>
  <c r="AQ9" i="72" s="1"/>
  <c r="AF10" i="72" a="1"/>
  <c r="AF10" i="72" s="1"/>
  <c r="BO10" i="72" s="1" a="1"/>
  <c r="BO10" i="72" s="1"/>
  <c r="C65" i="1"/>
  <c r="B12" i="4"/>
  <c r="BA12" i="4" a="1"/>
  <c r="BA12" i="4" s="1"/>
  <c r="BB12" i="4" s="1"/>
  <c r="AV114" i="13" s="1"/>
  <c r="AX26" i="4"/>
  <c r="CU26" i="4"/>
  <c r="CV26" i="4" s="1"/>
  <c r="BS34" i="71"/>
  <c r="BS21" i="71"/>
  <c r="BS20" i="71"/>
  <c r="BS12" i="71"/>
  <c r="BT38" i="71"/>
  <c r="BS19" i="71"/>
  <c r="BS15" i="71"/>
  <c r="BS25" i="71"/>
  <c r="BS4" i="71"/>
  <c r="BS31" i="71"/>
  <c r="BS26" i="71"/>
  <c r="BS35" i="71"/>
  <c r="BS32" i="71"/>
  <c r="BS11" i="71"/>
  <c r="BS27" i="71"/>
  <c r="BS36" i="71"/>
  <c r="BS14" i="71"/>
  <c r="BS24" i="71"/>
  <c r="BS29" i="71"/>
  <c r="BS33" i="71"/>
  <c r="BS18" i="71"/>
  <c r="BS8" i="71"/>
  <c r="BS23" i="71"/>
  <c r="BS5" i="71"/>
  <c r="BS10" i="71"/>
  <c r="BS7" i="71"/>
  <c r="BS30" i="71"/>
  <c r="BS17" i="71"/>
  <c r="BS6" i="71"/>
  <c r="BS22" i="71"/>
  <c r="BS16" i="71"/>
  <c r="BS28" i="71"/>
  <c r="AX62" i="4"/>
  <c r="CU62" i="4"/>
  <c r="CV62" i="4" s="1"/>
  <c r="CU48" i="4"/>
  <c r="CV48" i="4" s="1"/>
  <c r="AX48" i="4"/>
  <c r="EG30" i="71"/>
  <c r="EG8" i="71"/>
  <c r="EG11" i="71"/>
  <c r="EG25" i="71"/>
  <c r="EG15" i="71"/>
  <c r="EG20" i="71"/>
  <c r="EG10" i="71"/>
  <c r="EG28" i="71"/>
  <c r="EG16" i="71"/>
  <c r="EG24" i="71"/>
  <c r="EG7" i="71"/>
  <c r="EG17" i="71"/>
  <c r="EG29" i="71"/>
  <c r="EG32" i="71"/>
  <c r="EG31" i="71"/>
  <c r="EG19" i="71"/>
  <c r="EG33" i="71"/>
  <c r="EG9" i="71"/>
  <c r="EG4" i="71"/>
  <c r="EG23" i="71"/>
  <c r="EG18" i="71"/>
  <c r="EG14" i="71"/>
  <c r="EG21" i="71"/>
  <c r="EG36" i="71"/>
  <c r="EG34" i="71"/>
  <c r="EG12" i="71"/>
  <c r="EG6" i="71"/>
  <c r="EG5" i="71"/>
  <c r="EG13" i="71"/>
  <c r="EG26" i="71"/>
  <c r="EG27" i="71"/>
  <c r="EH38" i="71"/>
  <c r="EG22" i="71"/>
  <c r="B45" i="4"/>
  <c r="BA45" i="4" a="1"/>
  <c r="BA45" i="4" s="1"/>
  <c r="BB45" i="4" s="1"/>
  <c r="AV147" i="13" s="1"/>
  <c r="J582" i="15"/>
  <c r="BE10" i="72"/>
  <c r="BH10" i="72"/>
  <c r="AO10" i="72"/>
  <c r="R10" i="72"/>
  <c r="BR10" i="72" a="1"/>
  <c r="BR10" i="72" s="1"/>
  <c r="BQ10" i="72"/>
  <c r="BP10" i="72" s="1"/>
  <c r="BS10" i="72" s="1"/>
  <c r="E10" i="72"/>
  <c r="CH16" i="71"/>
  <c r="C26" i="1"/>
  <c r="A1260" i="13"/>
  <c r="AX1161" i="13"/>
  <c r="C36" i="1"/>
  <c r="AZ65" i="4"/>
  <c r="A1274" i="13"/>
  <c r="AX1175" i="13"/>
  <c r="H28" i="9"/>
  <c r="A1219" i="13"/>
  <c r="AX1120" i="13"/>
  <c r="V94" i="69"/>
  <c r="AZ62" i="4"/>
  <c r="BZ31" i="4" a="1"/>
  <c r="BZ31" i="4" s="1"/>
  <c r="BX31" i="4" s="1" a="1"/>
  <c r="BX31" i="4" s="1"/>
  <c r="BY31" i="4" a="1"/>
  <c r="BY31" i="4" s="1"/>
  <c r="AX114" i="13"/>
  <c r="A214" i="13"/>
  <c r="AS47" i="4"/>
  <c r="AV649" i="13" s="1"/>
  <c r="BY28" i="4" a="1"/>
  <c r="BY28" i="4" s="1"/>
  <c r="BZ28" i="4" a="1"/>
  <c r="BZ28" i="4" s="1"/>
  <c r="BX28" i="4" s="1" a="1"/>
  <c r="BX28" i="4" s="1"/>
  <c r="I74" i="4"/>
  <c r="BZ74" i="4" a="1"/>
  <c r="BZ74" i="4" s="1"/>
  <c r="BX74" i="4" s="1" a="1"/>
  <c r="BX74" i="4" s="1"/>
  <c r="BY74" i="4" a="1"/>
  <c r="BY74" i="4" s="1"/>
  <c r="AS48" i="4"/>
  <c r="AV650" i="13" s="1"/>
  <c r="H47" i="9"/>
  <c r="J534" i="15"/>
  <c r="AT10" i="69" a="1"/>
  <c r="AT10" i="69" s="1"/>
  <c r="J9" i="72"/>
  <c r="BF9" i="72"/>
  <c r="AL9" i="72" s="1"/>
  <c r="AK9" i="72"/>
  <c r="AX1129" i="13"/>
  <c r="A1228" i="13"/>
  <c r="CU47" i="4"/>
  <c r="CV47" i="4" s="1"/>
  <c r="AX47" i="4"/>
  <c r="ED6" i="71"/>
  <c r="ED28" i="71"/>
  <c r="ED24" i="71"/>
  <c r="ED34" i="71"/>
  <c r="ED29" i="71"/>
  <c r="ED35" i="71"/>
  <c r="ED19" i="71"/>
  <c r="ED9" i="71"/>
  <c r="ED25" i="71"/>
  <c r="ED33" i="71"/>
  <c r="ED7" i="71"/>
  <c r="ED14" i="71"/>
  <c r="ED26" i="71"/>
  <c r="ED11" i="71"/>
  <c r="ED5" i="71"/>
  <c r="ED4" i="71"/>
  <c r="ED13" i="71"/>
  <c r="ED20" i="71"/>
  <c r="ED12" i="71"/>
  <c r="ED16" i="71"/>
  <c r="ED17" i="71"/>
  <c r="ED18" i="71"/>
  <c r="ED32" i="71"/>
  <c r="ED30" i="71"/>
  <c r="ED15" i="71"/>
  <c r="ED8" i="71"/>
  <c r="ED22" i="71"/>
  <c r="ED10" i="71"/>
  <c r="ED23" i="71"/>
  <c r="EE38" i="71"/>
  <c r="ED21" i="71"/>
  <c r="AX128" i="13"/>
  <c r="A228" i="13"/>
  <c r="BA27" i="4" a="1"/>
  <c r="BA27" i="4" s="1"/>
  <c r="BB27" i="4" s="1"/>
  <c r="AV129" i="13" s="1"/>
  <c r="B27" i="4"/>
  <c r="DE27" i="4" s="1"/>
  <c r="J635" i="15"/>
  <c r="J617" i="15"/>
  <c r="J601" i="15"/>
  <c r="J652" i="15"/>
  <c r="AX117" i="13"/>
  <c r="A217" i="13"/>
  <c r="C95" i="1"/>
  <c r="AX1167" i="13"/>
  <c r="A1266" i="13"/>
  <c r="AX1181" i="13"/>
  <c r="A1280" i="13"/>
  <c r="A62" i="4"/>
  <c r="H49" i="9"/>
  <c r="CU22" i="4"/>
  <c r="CV22" i="4" s="1"/>
  <c r="AX22" i="4"/>
  <c r="BG18" i="71"/>
  <c r="BG12" i="71"/>
  <c r="BG8" i="71"/>
  <c r="BG28" i="71"/>
  <c r="BG4" i="71"/>
  <c r="BG16" i="71"/>
  <c r="BG32" i="71"/>
  <c r="BG34" i="71"/>
  <c r="BG23" i="71"/>
  <c r="BG33" i="71"/>
  <c r="BG14" i="71"/>
  <c r="BG19" i="71"/>
  <c r="BG6" i="71"/>
  <c r="BG24" i="71"/>
  <c r="BG26" i="71"/>
  <c r="BG13" i="71"/>
  <c r="BG27" i="71"/>
  <c r="BG31" i="71"/>
  <c r="BG22" i="71"/>
  <c r="BG5" i="71"/>
  <c r="BG36" i="71"/>
  <c r="BG20" i="71"/>
  <c r="BG10" i="71"/>
  <c r="BG9" i="71"/>
  <c r="BG29" i="71"/>
  <c r="BH38" i="71"/>
  <c r="BG15" i="71"/>
  <c r="BG11" i="71"/>
  <c r="BG30" i="71"/>
  <c r="BG25" i="71"/>
  <c r="BG17" i="71"/>
  <c r="A1242" i="13"/>
  <c r="AX1143" i="13"/>
  <c r="Z96" i="69"/>
  <c r="A1259" i="13"/>
  <c r="AX1160" i="13"/>
  <c r="A265" i="13"/>
  <c r="AX165" i="13"/>
  <c r="AZ74" i="4"/>
  <c r="A1247" i="13"/>
  <c r="AX1148" i="13"/>
  <c r="BA51" i="4" a="1"/>
  <c r="BA51" i="4" s="1"/>
  <c r="BB51" i="4" s="1"/>
  <c r="AV153" i="13" s="1"/>
  <c r="B51" i="4"/>
  <c r="E51" i="4" s="1"/>
  <c r="J593" i="15"/>
  <c r="J525" i="15"/>
  <c r="BN10" i="69"/>
  <c r="CW15" i="71"/>
  <c r="I4" i="69"/>
  <c r="I4" i="72"/>
  <c r="BY36" i="4" a="1"/>
  <c r="BY36" i="4" s="1"/>
  <c r="BZ36" i="4" a="1"/>
  <c r="BZ36" i="4" s="1"/>
  <c r="BX36" i="4" s="1" a="1"/>
  <c r="BX36" i="4" s="1"/>
  <c r="AZ75" i="4"/>
  <c r="C27" i="1"/>
  <c r="BS62" i="4"/>
  <c r="K77" i="4"/>
  <c r="AX1124" i="13"/>
  <c r="A1223" i="13"/>
  <c r="C22" i="1"/>
  <c r="K96" i="4"/>
  <c r="A74" i="4"/>
  <c r="C51" i="1"/>
  <c r="CU45" i="4"/>
  <c r="CV45" i="4" s="1"/>
  <c r="AX45" i="4"/>
  <c r="DX30" i="71"/>
  <c r="DX11" i="71"/>
  <c r="DX23" i="71"/>
  <c r="DX5" i="71"/>
  <c r="DX7" i="71"/>
  <c r="DX13" i="71"/>
  <c r="DX14" i="71"/>
  <c r="DX22" i="71"/>
  <c r="DX10" i="71"/>
  <c r="DX33" i="71"/>
  <c r="DX16" i="71"/>
  <c r="DX28" i="71"/>
  <c r="DX34" i="71"/>
  <c r="DX29" i="71"/>
  <c r="DX35" i="71"/>
  <c r="DX6" i="71"/>
  <c r="DX12" i="71"/>
  <c r="DX36" i="71"/>
  <c r="DX26" i="71"/>
  <c r="DX24" i="71"/>
  <c r="DX18" i="71"/>
  <c r="DX15" i="71"/>
  <c r="DY38" i="71"/>
  <c r="DX32" i="71"/>
  <c r="DX27" i="71"/>
  <c r="DX9" i="71"/>
  <c r="DX31" i="71"/>
  <c r="DX20" i="71"/>
  <c r="DX25" i="71"/>
  <c r="DX8" i="71"/>
  <c r="DX4" i="71"/>
  <c r="DX17" i="71"/>
  <c r="CW35" i="71"/>
  <c r="CU5" i="4"/>
  <c r="CV5" i="4" s="1"/>
  <c r="AX5" i="4"/>
  <c r="B50" i="4"/>
  <c r="BA50" i="4" a="1"/>
  <c r="BA50" i="4" s="1"/>
  <c r="BB50" i="4" s="1"/>
  <c r="AV152" i="13" s="1"/>
  <c r="C92" i="1"/>
  <c r="C85" i="1"/>
  <c r="BY32" i="4" a="1"/>
  <c r="BY32" i="4" s="1"/>
  <c r="BZ32" i="4" a="1"/>
  <c r="BZ32" i="4" s="1"/>
  <c r="BX32" i="4" s="1" a="1"/>
  <c r="BX32" i="4" s="1"/>
  <c r="A1261" i="13"/>
  <c r="AX1162" i="13"/>
  <c r="A1204" i="13"/>
  <c r="AX1105" i="13"/>
  <c r="BZ21" i="4" a="1"/>
  <c r="BZ21" i="4" s="1"/>
  <c r="BX21" i="4" s="1" a="1"/>
  <c r="BX21" i="4" s="1"/>
  <c r="BY21" i="4" a="1"/>
  <c r="BY21" i="4" s="1"/>
  <c r="AX194" i="13"/>
  <c r="A294" i="13"/>
  <c r="A1250" i="13"/>
  <c r="AX1151" i="13"/>
  <c r="C67" i="1"/>
  <c r="C64" i="1"/>
  <c r="E10" i="4"/>
  <c r="BT10" i="4" s="1"/>
  <c r="DE10" i="4"/>
  <c r="H36" i="9"/>
  <c r="A1269" i="13"/>
  <c r="AX1170" i="13"/>
  <c r="BY81" i="4" a="1"/>
  <c r="BY81" i="4" s="1"/>
  <c r="BZ81" i="4" a="1"/>
  <c r="BZ81" i="4" s="1"/>
  <c r="BX81" i="4" s="1" a="1"/>
  <c r="BX81" i="4" s="1"/>
  <c r="C11" i="1"/>
  <c r="C16" i="1"/>
  <c r="BY13" i="4" a="1"/>
  <c r="BY13" i="4" s="1"/>
  <c r="BZ13" i="4" a="1"/>
  <c r="BZ13" i="4" s="1"/>
  <c r="BX13" i="4" s="1" a="1"/>
  <c r="BX13" i="4" s="1"/>
  <c r="Z4" i="4"/>
  <c r="AV1201" i="13" s="1"/>
  <c r="C18" i="1"/>
  <c r="DA10" i="4" a="1"/>
  <c r="DA10" i="4" s="1"/>
  <c r="BY24" i="4" a="1"/>
  <c r="BY24" i="4" s="1"/>
  <c r="BZ24" i="4" a="1"/>
  <c r="BZ24" i="4" s="1"/>
  <c r="BX24" i="4" s="1" a="1"/>
  <c r="BX24" i="4" s="1"/>
  <c r="BZ46" i="4" a="1"/>
  <c r="BZ46" i="4" s="1"/>
  <c r="BX46" i="4" s="1" a="1"/>
  <c r="BX46" i="4" s="1"/>
  <c r="BY46" i="4" a="1"/>
  <c r="BY46" i="4" s="1"/>
  <c r="Z1816" i="13"/>
  <c r="B1816" i="13" s="1" a="1"/>
  <c r="B1816" i="13" s="1"/>
  <c r="AX10" i="71"/>
  <c r="AX19" i="4"/>
  <c r="CU19" i="4"/>
  <c r="CV19" i="4" s="1"/>
  <c r="A1217" i="13"/>
  <c r="AX1118" i="13"/>
  <c r="C87" i="1"/>
  <c r="Z1825" i="13"/>
  <c r="B1825" i="13" s="1" a="1"/>
  <c r="B1825" i="13" s="1"/>
  <c r="BY69" i="4" a="1"/>
  <c r="BY69" i="4" s="1"/>
  <c r="BZ69" i="4" a="1"/>
  <c r="BZ69" i="4" s="1"/>
  <c r="BX69" i="4" s="1" a="1"/>
  <c r="BX69" i="4" s="1"/>
  <c r="C83" i="1"/>
  <c r="BW26" i="4"/>
  <c r="BO22" i="4"/>
  <c r="G22" i="4"/>
  <c r="BO48" i="4"/>
  <c r="G48" i="4"/>
  <c r="DA48" i="4" s="1" a="1"/>
  <c r="DA48" i="4" s="1"/>
  <c r="BW32" i="4"/>
  <c r="G7" i="4"/>
  <c r="BO7" i="4"/>
  <c r="G53" i="4"/>
  <c r="BO53" i="4"/>
  <c r="BO57" i="4"/>
  <c r="G57" i="4"/>
  <c r="BO91" i="4"/>
  <c r="G91" i="4"/>
  <c r="BW70" i="4"/>
  <c r="B30" i="4"/>
  <c r="DE30" i="4" s="1"/>
  <c r="BA30" i="4" a="1"/>
  <c r="BA30" i="4" s="1"/>
  <c r="BB30" i="4" s="1"/>
  <c r="AV132" i="13" s="1"/>
  <c r="H52" i="9"/>
  <c r="A1248" i="13"/>
  <c r="AX1149" i="13"/>
  <c r="BY88" i="4" a="1"/>
  <c r="BY88" i="4" s="1"/>
  <c r="BZ88" i="4" a="1"/>
  <c r="BZ88" i="4" s="1"/>
  <c r="BX88" i="4" s="1" a="1"/>
  <c r="BX88" i="4" s="1"/>
  <c r="A1277" i="13"/>
  <c r="AX1178" i="13"/>
  <c r="A255" i="13"/>
  <c r="AX155" i="13"/>
  <c r="BY54" i="4" a="1"/>
  <c r="BY54" i="4" s="1"/>
  <c r="BZ54" i="4" a="1"/>
  <c r="BZ54" i="4" s="1"/>
  <c r="BX54" i="4" s="1" a="1"/>
  <c r="BX54" i="4" s="1"/>
  <c r="C8" i="1"/>
  <c r="C72" i="1"/>
  <c r="BZ34" i="4" a="1"/>
  <c r="BZ34" i="4" s="1"/>
  <c r="BX34" i="4" s="1" a="1"/>
  <c r="BX34" i="4" s="1"/>
  <c r="BY34" i="4" a="1"/>
  <c r="BY34" i="4" s="1"/>
  <c r="C53" i="1"/>
  <c r="BY84" i="4" a="1"/>
  <c r="BY84" i="4" s="1"/>
  <c r="BZ84" i="4" a="1"/>
  <c r="BZ84" i="4" s="1"/>
  <c r="BX84" i="4" s="1" a="1"/>
  <c r="BX84" i="4" s="1"/>
  <c r="AX1152" i="13"/>
  <c r="A1251" i="13"/>
  <c r="A861" i="13"/>
  <c r="AX861" i="13" s="1"/>
  <c r="A462" i="13"/>
  <c r="A960" i="13"/>
  <c r="AX960" i="13" s="1"/>
  <c r="A162" i="13"/>
  <c r="A662" i="13"/>
  <c r="AX1059" i="13"/>
  <c r="AX662" i="13"/>
  <c r="A761" i="13"/>
  <c r="AX761" i="13" s="1"/>
  <c r="AX62" i="13"/>
  <c r="AX462" i="13"/>
  <c r="AX562" i="13"/>
  <c r="A562" i="13"/>
  <c r="A1059" i="13"/>
  <c r="A1858" i="13"/>
  <c r="A1158" i="13"/>
  <c r="BY14" i="4" a="1"/>
  <c r="BY14" i="4" s="1"/>
  <c r="BZ14" i="4" a="1"/>
  <c r="BZ14" i="4" s="1"/>
  <c r="BX14" i="4" s="1" a="1"/>
  <c r="BX14" i="4" s="1"/>
  <c r="A254" i="13"/>
  <c r="AX154" i="13"/>
  <c r="BA16" i="4" a="1"/>
  <c r="BA16" i="4" s="1"/>
  <c r="BB16" i="4" s="1"/>
  <c r="AV118" i="13" s="1"/>
  <c r="B16" i="4"/>
  <c r="E16" i="4" s="1"/>
  <c r="CU13" i="4"/>
  <c r="CV13" i="4" s="1"/>
  <c r="AX13" i="4"/>
  <c r="AX1189" i="13"/>
  <c r="A1288" i="13"/>
  <c r="C73" i="1"/>
  <c r="AX141" i="13"/>
  <c r="A241" i="13"/>
  <c r="K10" i="27"/>
  <c r="A3" i="27"/>
  <c r="A2" i="27"/>
  <c r="AX1174" i="13"/>
  <c r="A1273" i="13"/>
  <c r="BZ18" i="4" a="1"/>
  <c r="BZ18" i="4" s="1"/>
  <c r="BX18" i="4" s="1" a="1"/>
  <c r="BX18" i="4" s="1"/>
  <c r="BY18" i="4" a="1"/>
  <c r="BY18" i="4" s="1"/>
  <c r="B43" i="4"/>
  <c r="CW43" i="4" s="1"/>
  <c r="CX43" i="4" s="1"/>
  <c r="BA43" i="4" a="1"/>
  <c r="BA43" i="4" s="1"/>
  <c r="BB43" i="4" s="1"/>
  <c r="AV145" i="13" s="1"/>
  <c r="C38" i="1"/>
  <c r="AX1188" i="13"/>
  <c r="A1287" i="13"/>
  <c r="CW10" i="4"/>
  <c r="CX10" i="4" s="1"/>
  <c r="C89" i="1"/>
  <c r="AX24" i="4"/>
  <c r="CU24" i="4"/>
  <c r="CV24" i="4" s="1"/>
  <c r="AX122" i="13"/>
  <c r="A222" i="13"/>
  <c r="BZ70" i="4" a="1"/>
  <c r="BZ70" i="4" s="1"/>
  <c r="BX70" i="4" s="1" a="1"/>
  <c r="BX70" i="4" s="1"/>
  <c r="BY70" i="4" a="1"/>
  <c r="BY70" i="4" s="1"/>
  <c r="C82" i="1"/>
  <c r="AS35" i="4"/>
  <c r="AV637" i="13" s="1"/>
  <c r="A1221" i="13"/>
  <c r="AX1122" i="13"/>
  <c r="BY20" i="4" a="1"/>
  <c r="BY20" i="4" s="1"/>
  <c r="BZ20" i="4" a="1"/>
  <c r="BZ20" i="4" s="1"/>
  <c r="BX20" i="4" s="1" a="1"/>
  <c r="BX20" i="4" s="1"/>
  <c r="AL6" i="71"/>
  <c r="CU15" i="4"/>
  <c r="CV15" i="4" s="1"/>
  <c r="AX15" i="4"/>
  <c r="F9" i="4"/>
  <c r="BO65" i="4"/>
  <c r="G65" i="4"/>
  <c r="G62" i="4"/>
  <c r="BO62" i="4"/>
  <c r="BO63" i="4"/>
  <c r="G63" i="4"/>
  <c r="G8" i="4"/>
  <c r="BO8" i="4"/>
  <c r="G40" i="4"/>
  <c r="BO40" i="4"/>
  <c r="BO19" i="4"/>
  <c r="G19" i="4"/>
  <c r="BA10" i="69"/>
  <c r="AZ10" i="69"/>
  <c r="EP18" i="71"/>
  <c r="HP8" i="71"/>
  <c r="FK14" i="71"/>
  <c r="R58" i="14" a="1"/>
  <c r="R58" i="14" s="1"/>
  <c r="E869" i="15"/>
  <c r="ES24" i="71"/>
  <c r="E791" i="15"/>
  <c r="CK13" i="71"/>
  <c r="E337" i="15"/>
  <c r="DO12" i="71"/>
  <c r="IH23" i="71"/>
  <c r="DF5" i="71"/>
  <c r="G59" i="14" a="1"/>
  <c r="G59" i="14" s="1"/>
  <c r="BY28" i="71"/>
  <c r="E670" i="15"/>
  <c r="BY12" i="71"/>
  <c r="E701" i="15"/>
  <c r="BS9" i="71"/>
  <c r="HG30" i="71"/>
  <c r="BM23" i="71"/>
  <c r="ED36" i="71"/>
  <c r="E649" i="15"/>
  <c r="GX9" i="71"/>
  <c r="X59" i="14" a="1"/>
  <c r="X59" i="14" s="1"/>
  <c r="ED31" i="71"/>
  <c r="M80" i="9"/>
  <c r="DR31" i="71"/>
  <c r="E863" i="15"/>
  <c r="CB34" i="71"/>
  <c r="BZ5" i="4" a="1"/>
  <c r="BZ5" i="4" s="1"/>
  <c r="BX5" i="4" s="1" a="1"/>
  <c r="BX5" i="4" s="1"/>
  <c r="BY5" i="4" a="1"/>
  <c r="BY5" i="4" s="1"/>
  <c r="H43" i="9"/>
  <c r="AX260" i="13"/>
  <c r="A360" i="13"/>
  <c r="AX360" i="13" s="1"/>
  <c r="H44" i="9"/>
  <c r="Z1831" i="13"/>
  <c r="B1831" i="13" s="1" a="1"/>
  <c r="B1831" i="13" s="1"/>
  <c r="BD18" i="71"/>
  <c r="CU21" i="4"/>
  <c r="CV21" i="4" s="1"/>
  <c r="AX21" i="4"/>
  <c r="H69" i="9"/>
  <c r="H10" i="9"/>
  <c r="C71" i="1"/>
  <c r="A234" i="13"/>
  <c r="AX134" i="13"/>
  <c r="BZ72" i="4" a="1"/>
  <c r="BZ72" i="4" s="1"/>
  <c r="BX72" i="4" s="1" a="1"/>
  <c r="BX72" i="4" s="1"/>
  <c r="BY72" i="4" a="1"/>
  <c r="BY72" i="4" s="1"/>
  <c r="Z1879" i="13"/>
  <c r="B1879" i="13" s="1" a="1"/>
  <c r="B1879" i="13" s="1"/>
  <c r="A256" i="13"/>
  <c r="AX156" i="13"/>
  <c r="D60" i="4"/>
  <c r="A60" i="20"/>
  <c r="M60" i="4"/>
  <c r="S92" i="22"/>
  <c r="BS60" i="4"/>
  <c r="BC60" i="4" a="1"/>
  <c r="BC60" i="4" s="1"/>
  <c r="C60" i="4"/>
  <c r="D60" i="1"/>
  <c r="A60" i="4"/>
  <c r="K60" i="4"/>
  <c r="AZ60" i="4"/>
  <c r="A62" i="9"/>
  <c r="BU60" i="4" a="1"/>
  <c r="BU60" i="4" s="1"/>
  <c r="BV60" i="4" a="1"/>
  <c r="BV60" i="4" s="1"/>
  <c r="I60" i="4"/>
  <c r="C14" i="1"/>
  <c r="C81" i="1"/>
  <c r="A236" i="13"/>
  <c r="AX136" i="13"/>
  <c r="C29" i="1"/>
  <c r="AS16" i="4"/>
  <c r="AV618" i="13" s="1"/>
  <c r="AX1155" i="13"/>
  <c r="A1254" i="13"/>
  <c r="BZ39" i="4" a="1"/>
  <c r="BZ39" i="4" s="1"/>
  <c r="BX39" i="4" s="1" a="1"/>
  <c r="BX39" i="4" s="1"/>
  <c r="BY39" i="4" a="1"/>
  <c r="BY39" i="4" s="1"/>
  <c r="BA6" i="4" a="1"/>
  <c r="BA6" i="4" s="1"/>
  <c r="BB6" i="4" s="1"/>
  <c r="AV108" i="13" s="1"/>
  <c r="B6" i="4"/>
  <c r="DE6" i="4" s="1"/>
  <c r="A1226" i="13"/>
  <c r="AX1127" i="13"/>
  <c r="Z1809" i="13"/>
  <c r="B1809" i="13" s="1" a="1"/>
  <c r="B1809" i="13" s="1"/>
  <c r="Z1836" i="13"/>
  <c r="B1836" i="13" s="1" a="1"/>
  <c r="B1836" i="13" s="1"/>
  <c r="A270" i="13"/>
  <c r="AX170" i="13"/>
  <c r="AX172" i="13"/>
  <c r="A272" i="13"/>
  <c r="AH10" i="4"/>
  <c r="BA40" i="4" a="1"/>
  <c r="BA40" i="4" s="1"/>
  <c r="BB40" i="4" s="1"/>
  <c r="AV142" i="13" s="1"/>
  <c r="B40" i="4"/>
  <c r="E123" i="15" s="1"/>
  <c r="AX1115" i="13"/>
  <c r="A1214" i="13"/>
  <c r="H48" i="9"/>
  <c r="BZ82" i="4" a="1"/>
  <c r="BZ82" i="4" s="1"/>
  <c r="BX82" i="4" s="1" a="1"/>
  <c r="BX82" i="4" s="1"/>
  <c r="BY82" i="4" a="1"/>
  <c r="BY82" i="4" s="1"/>
  <c r="Z1864" i="13"/>
  <c r="B1864" i="13" s="1" a="1"/>
  <c r="B1864" i="13" s="1"/>
  <c r="Z1834" i="13"/>
  <c r="B1834" i="13" s="1" a="1"/>
  <c r="B1834" i="13" s="1"/>
  <c r="A221" i="13"/>
  <c r="AX121" i="13"/>
  <c r="Z9" i="4"/>
  <c r="C69" i="1"/>
  <c r="BZ83" i="4" a="1"/>
  <c r="BZ83" i="4" s="1"/>
  <c r="BX83" i="4" s="1" a="1"/>
  <c r="BX83" i="4" s="1"/>
  <c r="BY83" i="4" a="1"/>
  <c r="BY83" i="4" s="1"/>
  <c r="BW12" i="4"/>
  <c r="X58" i="72"/>
  <c r="X58" i="69"/>
  <c r="G28" i="4"/>
  <c r="CW28" i="4" s="1"/>
  <c r="CX28" i="4" s="1"/>
  <c r="BO28" i="4"/>
  <c r="G51" i="4"/>
  <c r="BO51" i="4"/>
  <c r="BW41" i="4"/>
  <c r="G88" i="4"/>
  <c r="BO88" i="4"/>
  <c r="BO32" i="4"/>
  <c r="G32" i="4"/>
  <c r="BO54" i="4"/>
  <c r="G54" i="4"/>
  <c r="CY54" i="4" s="1"/>
  <c r="CZ54" i="4" s="1"/>
  <c r="G73" i="4"/>
  <c r="BO73" i="4"/>
  <c r="BO24" i="4"/>
  <c r="G24" i="4"/>
  <c r="BO87" i="4"/>
  <c r="L9" i="72"/>
  <c r="AO9" i="72"/>
  <c r="BE9" i="72"/>
  <c r="BH9" i="72"/>
  <c r="R9" i="72"/>
  <c r="BU9" i="72"/>
  <c r="BN9" i="72" a="1"/>
  <c r="BN9" i="72" s="1"/>
  <c r="BQ9" i="72"/>
  <c r="BP9" i="72" s="1"/>
  <c r="BS9" i="72" s="1"/>
  <c r="BR9" i="72" a="1"/>
  <c r="BR9" i="72" s="1"/>
  <c r="E9" i="72"/>
  <c r="H19" i="71"/>
  <c r="K51" i="9"/>
  <c r="DI9" i="71"/>
  <c r="E980" i="15"/>
  <c r="DU22" i="71"/>
  <c r="BP24" i="71"/>
  <c r="FW15" i="71"/>
  <c r="GC24" i="71"/>
  <c r="FZ17" i="71"/>
  <c r="E890" i="15"/>
  <c r="EV36" i="71"/>
  <c r="EY17" i="71"/>
  <c r="CH34" i="71"/>
  <c r="CW19" i="71"/>
  <c r="N93" i="9"/>
  <c r="L93" i="9" s="1"/>
  <c r="FQ27" i="71"/>
  <c r="U56" i="23" a="1"/>
  <c r="U56" i="23" s="1"/>
  <c r="DL17" i="71"/>
  <c r="M86" i="9"/>
  <c r="CH15" i="71"/>
  <c r="CH7" i="71"/>
  <c r="DU25" i="71"/>
  <c r="Y56" i="23" a="1"/>
  <c r="Y56" i="23" s="1"/>
  <c r="A230" i="13"/>
  <c r="AX130" i="13"/>
  <c r="BA41" i="4" a="1"/>
  <c r="BA41" i="4" s="1"/>
  <c r="BB41" i="4" s="1"/>
  <c r="AV143" i="13" s="1"/>
  <c r="B41" i="4"/>
  <c r="DE41" i="4" s="1"/>
  <c r="AS42" i="4"/>
  <c r="AV644" i="13" s="1"/>
  <c r="BY50" i="4" a="1"/>
  <c r="BY50" i="4" s="1"/>
  <c r="BZ50" i="4" a="1"/>
  <c r="BZ50" i="4" s="1"/>
  <c r="BX50" i="4" s="1" a="1"/>
  <c r="BX50" i="4" s="1"/>
  <c r="AX153" i="13"/>
  <c r="A253" i="13"/>
  <c r="Z1819" i="13"/>
  <c r="B1819" i="13" s="1" a="1"/>
  <c r="B1819" i="13" s="1"/>
  <c r="Z1839" i="13"/>
  <c r="B1839" i="13" s="1" a="1"/>
  <c r="B1839" i="13" s="1"/>
  <c r="AX1139" i="13"/>
  <c r="A1238" i="13"/>
  <c r="A1268" i="13"/>
  <c r="AX1169" i="13"/>
  <c r="Z1882" i="13"/>
  <c r="B1882" i="13" s="1" a="1"/>
  <c r="B1882" i="13" s="1"/>
  <c r="H56" i="9"/>
  <c r="A288" i="13"/>
  <c r="AX188" i="13"/>
  <c r="Z1886" i="13"/>
  <c r="B1886" i="13" s="1" a="1"/>
  <c r="B1886" i="13" s="1"/>
  <c r="A1229" i="13"/>
  <c r="AX1130" i="13"/>
  <c r="AS7" i="4"/>
  <c r="AV609" i="13" s="1"/>
  <c r="C52" i="1"/>
  <c r="C84" i="1"/>
  <c r="F4" i="72"/>
  <c r="BZ57" i="4" a="1"/>
  <c r="BZ57" i="4" s="1"/>
  <c r="BX57" i="4" s="1" a="1"/>
  <c r="BX57" i="4" s="1"/>
  <c r="BY57" i="4" a="1"/>
  <c r="BY57" i="4" s="1"/>
  <c r="AS11" i="4"/>
  <c r="AV613" i="13" s="1"/>
  <c r="AX1135" i="13"/>
  <c r="A1234" i="13"/>
  <c r="BY49" i="4" a="1"/>
  <c r="BY49" i="4" s="1"/>
  <c r="BZ49" i="4" a="1"/>
  <c r="BZ49" i="4" s="1"/>
  <c r="BX49" i="4" s="1" a="1"/>
  <c r="BX49" i="4" s="1"/>
  <c r="AO27" i="71"/>
  <c r="AX16" i="4"/>
  <c r="CU16" i="4"/>
  <c r="CV16" i="4" s="1"/>
  <c r="AX1112" i="13"/>
  <c r="A1211" i="13"/>
  <c r="K28" i="71"/>
  <c r="CU6" i="4"/>
  <c r="CV6" i="4" s="1"/>
  <c r="AX6" i="4"/>
  <c r="A293" i="13"/>
  <c r="AX193" i="13"/>
  <c r="BZ25" i="4" a="1"/>
  <c r="BZ25" i="4" s="1"/>
  <c r="BX25" i="4" s="1" a="1"/>
  <c r="BX25" i="4" s="1"/>
  <c r="BY25" i="4" a="1"/>
  <c r="BY25" i="4" s="1"/>
  <c r="BZ90" i="4" a="1"/>
  <c r="BZ90" i="4" s="1"/>
  <c r="BX90" i="4" s="1" a="1"/>
  <c r="BX90" i="4" s="1"/>
  <c r="BY90" i="4" a="1"/>
  <c r="BY90" i="4" s="1"/>
  <c r="AO3" i="72"/>
  <c r="BE3" i="72"/>
  <c r="R3" i="72"/>
  <c r="BH3" i="72"/>
  <c r="AL3" i="72"/>
  <c r="BR3" i="72" a="1"/>
  <c r="BR3" i="72" s="1"/>
  <c r="L3" i="72"/>
  <c r="BQ3" i="72"/>
  <c r="BP3" i="72" s="1"/>
  <c r="BS3" i="72" s="1"/>
  <c r="BI3" i="72"/>
  <c r="BF3" i="72"/>
  <c r="AZ3" i="72" a="1"/>
  <c r="AZ3" i="72" s="1"/>
  <c r="AK3" i="72"/>
  <c r="BW3" i="72"/>
  <c r="AN3" i="72"/>
  <c r="AF3" i="72" a="1"/>
  <c r="AF3" i="72" s="1"/>
  <c r="BO3" i="72" s="1" a="1"/>
  <c r="BO3" i="72" s="1"/>
  <c r="E3" i="72"/>
  <c r="AX1123" i="13"/>
  <c r="A1222" i="13"/>
  <c r="AX1166" i="13"/>
  <c r="A1265" i="13"/>
  <c r="BY43" i="4" a="1"/>
  <c r="BY43" i="4" s="1"/>
  <c r="BZ43" i="4" a="1"/>
  <c r="BZ43" i="4" s="1"/>
  <c r="BX43" i="4" s="1" a="1"/>
  <c r="BX43" i="4" s="1"/>
  <c r="BY38" i="4" a="1"/>
  <c r="BY38" i="4" s="1"/>
  <c r="BZ38" i="4" a="1"/>
  <c r="BZ38" i="4" s="1"/>
  <c r="BX38" i="4" s="1" a="1"/>
  <c r="BX38" i="4" s="1"/>
  <c r="C44" i="1"/>
  <c r="AL10" i="4"/>
  <c r="BA46" i="4" a="1"/>
  <c r="BA46" i="4" s="1"/>
  <c r="BB46" i="4" s="1"/>
  <c r="AV148" i="13" s="1"/>
  <c r="B46" i="4"/>
  <c r="DE46" i="4" s="1"/>
  <c r="AF48" i="27"/>
  <c r="AI50" i="27"/>
  <c r="AE68" i="27"/>
  <c r="AJ73" i="27"/>
  <c r="AE80" i="27"/>
  <c r="AI76" i="27"/>
  <c r="AE78" i="27"/>
  <c r="AJ90" i="27"/>
  <c r="AJ89" i="27"/>
  <c r="AE89" i="27"/>
  <c r="AE44" i="27"/>
  <c r="AI55" i="27"/>
  <c r="AI70" i="27"/>
  <c r="AF77" i="27"/>
  <c r="AE56" i="27"/>
  <c r="AI61" i="27"/>
  <c r="AI79" i="27"/>
  <c r="AE91" i="27"/>
  <c r="AI94" i="27"/>
  <c r="AE77" i="27"/>
  <c r="AF52" i="27"/>
  <c r="D16" i="27"/>
  <c r="AI54" i="27"/>
  <c r="AI69" i="27"/>
  <c r="AI80" i="27"/>
  <c r="AE70" i="27"/>
  <c r="AE92" i="27"/>
  <c r="AE55" i="27"/>
  <c r="AF91" i="27"/>
  <c r="AE86" i="27"/>
  <c r="AE88" i="27"/>
  <c r="AE64" i="27"/>
  <c r="AJ94" i="27"/>
  <c r="AE51" i="27"/>
  <c r="AF86" i="27"/>
  <c r="AE53" i="27"/>
  <c r="AE95" i="27"/>
  <c r="AJ61" i="27"/>
  <c r="AI89" i="27"/>
  <c r="AE43" i="27"/>
  <c r="AF60" i="27"/>
  <c r="AE67" i="27"/>
  <c r="AJ79" i="27"/>
  <c r="AI82" i="27"/>
  <c r="AI52" i="27"/>
  <c r="AF66" i="27"/>
  <c r="AI46" i="27"/>
  <c r="AJ88" i="27"/>
  <c r="AJ70" i="27"/>
  <c r="AE59" i="27"/>
  <c r="AJ51" i="27"/>
  <c r="AF69" i="27"/>
  <c r="AI56" i="27"/>
  <c r="Q20" i="27"/>
  <c r="AJ69" i="27"/>
  <c r="AE79" i="27"/>
  <c r="AE60" i="27"/>
  <c r="AF53" i="27"/>
  <c r="AF72" i="27"/>
  <c r="AF54" i="27"/>
  <c r="AI58" i="27"/>
  <c r="AE97" i="27"/>
  <c r="AJ48" i="27"/>
  <c r="AF78" i="27"/>
  <c r="AI66" i="27"/>
  <c r="AE75" i="27"/>
  <c r="AF63" i="27"/>
  <c r="AE98" i="27"/>
  <c r="AE54" i="27"/>
  <c r="AF71" i="27"/>
  <c r="AJ85" i="27"/>
  <c r="AF61" i="27"/>
  <c r="AF76" i="27"/>
  <c r="AI95" i="27"/>
  <c r="AF57" i="27"/>
  <c r="AJ50" i="27"/>
  <c r="AJ45" i="27"/>
  <c r="AE49" i="27"/>
  <c r="AF68" i="27"/>
  <c r="AF93" i="27"/>
  <c r="AJ60" i="27"/>
  <c r="AJ59" i="27"/>
  <c r="AE71" i="27"/>
  <c r="AJ49" i="27"/>
  <c r="AF99" i="27"/>
  <c r="AJ65" i="27"/>
  <c r="AF90" i="27"/>
  <c r="AF80" i="27"/>
  <c r="AI87" i="27"/>
  <c r="AE58" i="27"/>
  <c r="AF62" i="27"/>
  <c r="AF79" i="27"/>
  <c r="AE57" i="27"/>
  <c r="AE82" i="27"/>
  <c r="AF70" i="27"/>
  <c r="AJ71" i="27"/>
  <c r="AI85" i="27"/>
  <c r="AE62" i="27"/>
  <c r="AJ81" i="27"/>
  <c r="AI51" i="27"/>
  <c r="AE72" i="27"/>
  <c r="B19" i="27" a="1"/>
  <c r="B19" i="27" s="1"/>
  <c r="AJ47" i="27"/>
  <c r="AI72" i="27"/>
  <c r="AF85" i="27"/>
  <c r="AI73" i="27"/>
  <c r="AJ46" i="27"/>
  <c r="AC19" i="27"/>
  <c r="AI91" i="27"/>
  <c r="AI47" i="27"/>
  <c r="AI83" i="27"/>
  <c r="AI57" i="27"/>
  <c r="AF98" i="27"/>
  <c r="AE73" i="27"/>
  <c r="AF96" i="27"/>
  <c r="AE69" i="27"/>
  <c r="AF44" i="27"/>
  <c r="AJ56" i="27"/>
  <c r="AE96" i="27"/>
  <c r="AI93" i="27"/>
  <c r="AJ54" i="27"/>
  <c r="AI97" i="27"/>
  <c r="AJ96" i="27"/>
  <c r="AF83" i="27"/>
  <c r="AE93" i="27"/>
  <c r="AJ75" i="27"/>
  <c r="AF89" i="27"/>
  <c r="AJ95" i="27"/>
  <c r="AF88" i="27"/>
  <c r="AJ80" i="27"/>
  <c r="AF64" i="27"/>
  <c r="AJ67" i="27"/>
  <c r="AF58" i="27"/>
  <c r="AJ62" i="27"/>
  <c r="AJ52" i="27"/>
  <c r="AF73" i="27"/>
  <c r="AE47" i="27"/>
  <c r="AI81" i="27"/>
  <c r="AI67" i="27"/>
  <c r="AI71" i="27"/>
  <c r="AJ87" i="27"/>
  <c r="AJ53" i="27"/>
  <c r="AJ98" i="27"/>
  <c r="AE87" i="27"/>
  <c r="AI90" i="27"/>
  <c r="AE50" i="27"/>
  <c r="AE48" i="27"/>
  <c r="AI84" i="27"/>
  <c r="AI96" i="27"/>
  <c r="AF94" i="27"/>
  <c r="AJ58" i="27"/>
  <c r="AI88" i="27"/>
  <c r="AE84" i="27"/>
  <c r="AF74" i="27"/>
  <c r="AF56" i="27"/>
  <c r="AE90" i="27"/>
  <c r="AF49" i="27"/>
  <c r="AF92" i="27"/>
  <c r="AJ86" i="27"/>
  <c r="AE74" i="27"/>
  <c r="AJ63" i="27"/>
  <c r="AJ55" i="27"/>
  <c r="AI68" i="27"/>
  <c r="AF84" i="27"/>
  <c r="AE83" i="27"/>
  <c r="AJ76" i="27"/>
  <c r="AF43" i="27"/>
  <c r="AE66" i="27"/>
  <c r="AE65" i="27"/>
  <c r="AF95" i="27"/>
  <c r="AF47" i="27"/>
  <c r="AE94" i="27"/>
  <c r="AF82" i="27"/>
  <c r="AI64" i="27"/>
  <c r="AF46" i="27"/>
  <c r="AE76" i="27"/>
  <c r="AF45" i="27"/>
  <c r="AI92" i="27"/>
  <c r="AE45" i="27"/>
  <c r="AI59" i="27"/>
  <c r="AJ92" i="27"/>
  <c r="AF59" i="27"/>
  <c r="AE81" i="27"/>
  <c r="AE52" i="27"/>
  <c r="AJ68" i="27"/>
  <c r="AE99" i="27"/>
  <c r="AF50" i="27"/>
  <c r="AI99" i="27"/>
  <c r="AJ74" i="27"/>
  <c r="AF51" i="27"/>
  <c r="AJ57" i="27"/>
  <c r="AI65" i="27"/>
  <c r="AI48" i="27"/>
  <c r="AI75" i="27"/>
  <c r="AI77" i="27"/>
  <c r="AI63" i="27"/>
  <c r="AF55" i="27"/>
  <c r="AI53" i="27"/>
  <c r="AF87" i="27"/>
  <c r="AI98" i="27"/>
  <c r="AJ64" i="27"/>
  <c r="AI45" i="27"/>
  <c r="AJ99" i="27"/>
  <c r="AJ84" i="27"/>
  <c r="AE46" i="27"/>
  <c r="AF65" i="27"/>
  <c r="AJ78" i="27"/>
  <c r="AI74" i="27"/>
  <c r="AF81" i="27"/>
  <c r="AJ72" i="27"/>
  <c r="AI86" i="27"/>
  <c r="AF97" i="27"/>
  <c r="AI78" i="27"/>
  <c r="AF67" i="27"/>
  <c r="AI62" i="27"/>
  <c r="AI60" i="27"/>
  <c r="AF75" i="27"/>
  <c r="AJ66" i="27"/>
  <c r="AE85" i="27"/>
  <c r="AE61" i="27"/>
  <c r="AJ77" i="27"/>
  <c r="AE63" i="27"/>
  <c r="AJ83" i="27"/>
  <c r="AJ93" i="27"/>
  <c r="AI49" i="27"/>
  <c r="AJ91" i="27"/>
  <c r="AJ82" i="27"/>
  <c r="AJ97" i="27"/>
  <c r="AX126" i="13"/>
  <c r="A226" i="13"/>
  <c r="A268" i="13"/>
  <c r="AX168" i="13"/>
  <c r="A238" i="13"/>
  <c r="AX138" i="13"/>
  <c r="AD9" i="4"/>
  <c r="G85" i="4"/>
  <c r="BO85" i="4"/>
  <c r="BO71" i="4"/>
  <c r="G71" i="4"/>
  <c r="BO64" i="4"/>
  <c r="G64" i="4"/>
  <c r="BO34" i="4"/>
  <c r="G34" i="4"/>
  <c r="G14" i="4"/>
  <c r="BO14" i="4"/>
  <c r="G13" i="4"/>
  <c r="BO13" i="4"/>
  <c r="G39" i="4"/>
  <c r="BO39" i="4"/>
  <c r="G18" i="4"/>
  <c r="BO18" i="4"/>
  <c r="G89" i="4"/>
  <c r="BO89" i="4"/>
  <c r="BO66" i="4"/>
  <c r="G66" i="4"/>
  <c r="G70" i="4"/>
  <c r="BO70" i="4"/>
  <c r="AX187" i="13"/>
  <c r="A287" i="13"/>
  <c r="C50" i="1"/>
  <c r="Z1849" i="13"/>
  <c r="B1849" i="13" s="1" a="1"/>
  <c r="B1849" i="13" s="1"/>
  <c r="A1202" i="13"/>
  <c r="AX1103" i="13"/>
  <c r="A243" i="13"/>
  <c r="AX143" i="13"/>
  <c r="H90" i="9"/>
  <c r="C32" i="1"/>
  <c r="AX181" i="13"/>
  <c r="A281" i="13"/>
  <c r="H35" i="9"/>
  <c r="C21" i="1"/>
  <c r="BZ8" i="4" a="1"/>
  <c r="BZ8" i="4" s="1"/>
  <c r="BX8" i="4" s="1" a="1"/>
  <c r="BX8" i="4" s="1"/>
  <c r="BY8" i="4" a="1"/>
  <c r="BY8" i="4" s="1"/>
  <c r="BZ79" i="4" a="1"/>
  <c r="BZ79" i="4" s="1"/>
  <c r="BX79" i="4" s="1" a="1"/>
  <c r="BX79" i="4" s="1"/>
  <c r="BY79" i="4" a="1"/>
  <c r="BY79" i="4" s="1"/>
  <c r="CU52" i="4"/>
  <c r="CV52" i="4" s="1"/>
  <c r="AX52" i="4"/>
  <c r="BY53" i="4" a="1"/>
  <c r="BY53" i="4" s="1"/>
  <c r="BZ53" i="4" a="1"/>
  <c r="BZ53" i="4" s="1"/>
  <c r="BX53" i="4" s="1" a="1"/>
  <c r="BX53" i="4" s="1"/>
  <c r="Z1852" i="13"/>
  <c r="B1852" i="13" s="1" a="1"/>
  <c r="B1852" i="13" s="1"/>
  <c r="C86" i="1"/>
  <c r="AX1154" i="13"/>
  <c r="A1253" i="13"/>
  <c r="E405" i="15"/>
  <c r="E368" i="15"/>
  <c r="E510" i="15"/>
  <c r="E175" i="15"/>
  <c r="E359" i="15"/>
  <c r="DE4" i="4"/>
  <c r="E4" i="4"/>
  <c r="BT4" i="4" s="1"/>
  <c r="AX163" i="13"/>
  <c r="A263" i="13"/>
  <c r="H51" i="9"/>
  <c r="AX49" i="4"/>
  <c r="CU49" i="4"/>
  <c r="CV49" i="4" s="1"/>
  <c r="H41" i="9"/>
  <c r="C6" i="1"/>
  <c r="C76" i="1"/>
  <c r="Z1847" i="13"/>
  <c r="B1847" i="13" s="1" a="1"/>
  <c r="B1847" i="13" s="1"/>
  <c r="AX1147" i="13"/>
  <c r="A1246" i="13"/>
  <c r="A218" i="13"/>
  <c r="AX118" i="13"/>
  <c r="C25" i="1"/>
  <c r="AX1136" i="13"/>
  <c r="A1235" i="13"/>
  <c r="BB3" i="69"/>
  <c r="R3" i="69"/>
  <c r="AY3" i="69"/>
  <c r="AE3" i="69" a="1"/>
  <c r="AE3" i="69" s="1"/>
  <c r="BI3" i="69" s="1" a="1"/>
  <c r="BI3" i="69" s="1"/>
  <c r="BK3" i="69"/>
  <c r="BJ3" i="69" s="1"/>
  <c r="BM3" i="69" s="1"/>
  <c r="BL3" i="69" a="1"/>
  <c r="BL3" i="69" s="1"/>
  <c r="L3" i="69"/>
  <c r="BC3" i="69"/>
  <c r="AZ3" i="69"/>
  <c r="AT3" i="69" a="1"/>
  <c r="AT3" i="69" s="1"/>
  <c r="BQ3" i="69"/>
  <c r="E3" i="69"/>
  <c r="AV1398" i="13"/>
  <c r="AV605" i="13"/>
  <c r="J3" i="69"/>
  <c r="J3" i="72"/>
  <c r="H95" i="9"/>
  <c r="AX1168" i="13"/>
  <c r="A1267" i="13"/>
  <c r="Z10" i="4"/>
  <c r="C40" i="1"/>
  <c r="AX195" i="13"/>
  <c r="A295" i="13"/>
  <c r="C24" i="1"/>
  <c r="BY66" i="4" a="1"/>
  <c r="BY66" i="4" s="1"/>
  <c r="BZ66" i="4" a="1"/>
  <c r="BZ66" i="4" s="1"/>
  <c r="BX66" i="4" s="1" a="1"/>
  <c r="BX66" i="4" s="1"/>
  <c r="A1284" i="13"/>
  <c r="AX1185" i="13"/>
  <c r="BZ19" i="4" a="1"/>
  <c r="BZ19" i="4" s="1"/>
  <c r="BX19" i="4" s="1" a="1"/>
  <c r="BX19" i="4" s="1"/>
  <c r="BY19" i="4" a="1"/>
  <c r="BY19" i="4" s="1"/>
  <c r="Z1838" i="13"/>
  <c r="B1838" i="13" s="1" a="1"/>
  <c r="B1838" i="13" s="1"/>
  <c r="C17" i="1"/>
  <c r="Z1844" i="13"/>
  <c r="B1844" i="13" s="1" a="1"/>
  <c r="B1844" i="13" s="1"/>
  <c r="AS15" i="4"/>
  <c r="AV617" i="13" s="1"/>
  <c r="B15" i="4"/>
  <c r="E15" i="4" s="1"/>
  <c r="BA15" i="4" a="1"/>
  <c r="BA15" i="4" s="1"/>
  <c r="BB15" i="4" s="1"/>
  <c r="AV117" i="13" s="1"/>
  <c r="BO27" i="4"/>
  <c r="G27" i="4"/>
  <c r="G77" i="4"/>
  <c r="BO77" i="4"/>
  <c r="BW76" i="4"/>
  <c r="BO93" i="4"/>
  <c r="G93" i="4"/>
  <c r="BO43" i="4"/>
  <c r="G43" i="4"/>
  <c r="G44" i="4"/>
  <c r="CY44" i="4" s="1"/>
  <c r="CZ44" i="4" s="1"/>
  <c r="BO44" i="4"/>
  <c r="BO46" i="4"/>
  <c r="G46" i="4"/>
  <c r="AX41" i="4"/>
  <c r="CU41" i="4"/>
  <c r="CV41" i="4" s="1"/>
  <c r="AX42" i="4"/>
  <c r="CU42" i="4"/>
  <c r="CV42" i="4" s="1"/>
  <c r="AX50" i="4"/>
  <c r="CU50" i="4"/>
  <c r="CV50" i="4" s="1"/>
  <c r="Z1803" i="13"/>
  <c r="B1803" i="13" s="1" a="1"/>
  <c r="B1803" i="13" s="1"/>
  <c r="Z4" i="72"/>
  <c r="AC4" i="72"/>
  <c r="Y4" i="72"/>
  <c r="J4" i="72"/>
  <c r="L4" i="72"/>
  <c r="AD4" i="72"/>
  <c r="U4" i="72" a="1"/>
  <c r="U4" i="72" s="1"/>
  <c r="K4" i="72" a="1"/>
  <c r="K4" i="72" s="1"/>
  <c r="T4" i="72"/>
  <c r="BV4" i="72"/>
  <c r="A4" i="72"/>
  <c r="P4" i="72"/>
  <c r="BD4" i="72"/>
  <c r="N4" i="72" a="1"/>
  <c r="N4" i="72" s="1"/>
  <c r="V4" i="72"/>
  <c r="AB4" i="72" a="1"/>
  <c r="AB4" i="72" s="1"/>
  <c r="Q4" i="72"/>
  <c r="BC4" i="72"/>
  <c r="G4" i="72"/>
  <c r="AT4" i="72"/>
  <c r="AA4" i="72"/>
  <c r="M4" i="72"/>
  <c r="W4" i="72"/>
  <c r="BR4" i="72" s="1" a="1"/>
  <c r="BR4" i="72" s="1"/>
  <c r="AS4" i="72"/>
  <c r="C88" i="1"/>
  <c r="AX166" i="13"/>
  <c r="A266" i="13"/>
  <c r="AS8" i="4"/>
  <c r="AV610" i="13" s="1"/>
  <c r="BY64" i="4" a="1"/>
  <c r="BY64" i="4" s="1"/>
  <c r="BZ64" i="4" a="1"/>
  <c r="BZ64" i="4" s="1"/>
  <c r="BX64" i="4" s="1" a="1"/>
  <c r="BX64" i="4" s="1"/>
  <c r="H81" i="9"/>
  <c r="C7" i="1"/>
  <c r="DA9" i="4" a="1"/>
  <c r="DA9" i="4" s="1"/>
  <c r="DE9" i="4"/>
  <c r="E9" i="4"/>
  <c r="BT9" i="4" s="1"/>
  <c r="A215" i="13"/>
  <c r="AX115" i="13"/>
  <c r="BA14" i="4" a="1"/>
  <c r="BA14" i="4" s="1"/>
  <c r="BB14" i="4" s="1"/>
  <c r="AV116" i="13" s="1"/>
  <c r="B14" i="4"/>
  <c r="DE14" i="4" s="1"/>
  <c r="C91" i="1"/>
  <c r="C13" i="1"/>
  <c r="Z1855" i="13"/>
  <c r="B1855" i="13" s="1" a="1"/>
  <c r="B1855" i="13" s="1"/>
  <c r="BY6" i="4" a="1"/>
  <c r="BY6" i="4" s="1"/>
  <c r="BZ6" i="4" a="1"/>
  <c r="BZ6" i="4" s="1"/>
  <c r="BX6" i="4" s="1" a="1"/>
  <c r="BX6" i="4" s="1"/>
  <c r="BY76" i="4" a="1"/>
  <c r="BY76" i="4" s="1"/>
  <c r="BZ76" i="4" a="1"/>
  <c r="BZ76" i="4" s="1"/>
  <c r="BX76" i="4" s="1" a="1"/>
  <c r="BX76" i="4" s="1"/>
  <c r="BY37" i="4" a="1"/>
  <c r="BY37" i="4" s="1"/>
  <c r="BZ37" i="4" a="1"/>
  <c r="BZ37" i="4" s="1"/>
  <c r="BX37" i="4" s="1" a="1"/>
  <c r="BX37" i="4" s="1"/>
  <c r="H92" i="9"/>
  <c r="Z1837" i="13"/>
  <c r="B1837" i="13" s="1" a="1"/>
  <c r="B1837" i="13" s="1"/>
  <c r="G3" i="69"/>
  <c r="G3" i="72"/>
  <c r="C93" i="1"/>
  <c r="Z1823" i="13"/>
  <c r="B1823" i="13" s="1" a="1"/>
  <c r="B1823" i="13" s="1"/>
  <c r="CU43" i="4"/>
  <c r="CV43" i="4" s="1"/>
  <c r="AX43" i="4"/>
  <c r="B38" i="4"/>
  <c r="CW38" i="4" s="1"/>
  <c r="CX38" i="4" s="1"/>
  <c r="BA38" i="4" a="1"/>
  <c r="BA38" i="4" s="1"/>
  <c r="BB38" i="4" s="1"/>
  <c r="AV140" i="13" s="1"/>
  <c r="Z1871" i="13"/>
  <c r="B1871" i="13" s="1" a="1"/>
  <c r="B1871" i="13" s="1"/>
  <c r="B44" i="4"/>
  <c r="E44" i="4" s="1"/>
  <c r="BA44" i="4" a="1"/>
  <c r="BA44" i="4" s="1"/>
  <c r="BB44" i="4" s="1"/>
  <c r="AV146" i="13" s="1"/>
  <c r="AP10" i="4"/>
  <c r="C66" i="1"/>
  <c r="Z1885" i="13"/>
  <c r="B1885" i="13" s="1" a="1"/>
  <c r="B1885" i="13" s="1"/>
  <c r="AX1116" i="13"/>
  <c r="A1215" i="13"/>
  <c r="B19" i="4"/>
  <c r="BA19" i="4" a="1"/>
  <c r="BA19" i="4" s="1"/>
  <c r="BB19" i="4" s="1"/>
  <c r="AV121" i="13" s="1"/>
  <c r="A242" i="13"/>
  <c r="AX142" i="13"/>
  <c r="H37" i="9"/>
  <c r="A248" i="13"/>
  <c r="AX148" i="13"/>
  <c r="C20" i="1"/>
  <c r="BZ15" i="4" a="1"/>
  <c r="BZ15" i="4" s="1"/>
  <c r="BX15" i="4" s="1" a="1"/>
  <c r="BX15" i="4" s="1"/>
  <c r="BY15" i="4" a="1"/>
  <c r="BY15" i="4" s="1"/>
  <c r="G47" i="4"/>
  <c r="BO47" i="4"/>
  <c r="BO78" i="4"/>
  <c r="G78" i="4"/>
  <c r="G80" i="4"/>
  <c r="BO80" i="4"/>
  <c r="G84" i="4"/>
  <c r="BO84" i="4"/>
  <c r="G86" i="4"/>
  <c r="BO86" i="4"/>
  <c r="BW68" i="4"/>
  <c r="BW44" i="4"/>
  <c r="BW82" i="4"/>
  <c r="C5" i="1"/>
  <c r="A23" i="4"/>
  <c r="K23" i="4"/>
  <c r="C23" i="4"/>
  <c r="BS23" i="4"/>
  <c r="A23" i="20"/>
  <c r="BC23" i="4" a="1"/>
  <c r="BC23" i="4" s="1"/>
  <c r="BU23" i="4" a="1"/>
  <c r="BU23" i="4" s="1"/>
  <c r="BV23" i="4" a="1"/>
  <c r="BV23" i="4" s="1"/>
  <c r="I23" i="4"/>
  <c r="BJ13" i="71" s="1"/>
  <c r="D23" i="1"/>
  <c r="AZ23" i="4"/>
  <c r="M23" i="4"/>
  <c r="A25" i="9"/>
  <c r="D23" i="4"/>
  <c r="BZ80" i="4" a="1"/>
  <c r="BZ80" i="4" s="1"/>
  <c r="BX80" i="4" s="1" a="1"/>
  <c r="BX80" i="4" s="1"/>
  <c r="BY80" i="4" a="1"/>
  <c r="BY80" i="4" s="1"/>
  <c r="J4" i="69"/>
  <c r="T4" i="69"/>
  <c r="AA4" i="69"/>
  <c r="AB4" i="69" a="1"/>
  <c r="AB4" i="69" s="1"/>
  <c r="AW4" i="69"/>
  <c r="K4" i="69" a="1"/>
  <c r="K4" i="69" s="1"/>
  <c r="N4" i="69" a="1"/>
  <c r="N4" i="69" s="1"/>
  <c r="Y4" i="69"/>
  <c r="P4" i="69"/>
  <c r="AM4" i="69"/>
  <c r="L4" i="69"/>
  <c r="V4" i="69"/>
  <c r="Z4" i="69"/>
  <c r="AX4" i="69"/>
  <c r="A4" i="69"/>
  <c r="BP4" i="69"/>
  <c r="AC4" i="69"/>
  <c r="Q4" i="69"/>
  <c r="U4" i="69" a="1"/>
  <c r="U4" i="69" s="1"/>
  <c r="M4" i="69"/>
  <c r="G4" i="69"/>
  <c r="AN4" i="69"/>
  <c r="W4" i="69"/>
  <c r="BL4" i="69" s="1" a="1"/>
  <c r="BL4" i="69" s="1"/>
  <c r="C33" i="1"/>
  <c r="AX8" i="4"/>
  <c r="CU8" i="4"/>
  <c r="CV8" i="4" s="1"/>
  <c r="BY71" i="4" a="1"/>
  <c r="BY71" i="4" s="1"/>
  <c r="BZ71" i="4" a="1"/>
  <c r="BZ71" i="4" s="1"/>
  <c r="BX71" i="4" s="1" a="1"/>
  <c r="BX71" i="4" s="1"/>
  <c r="BA53" i="4" a="1"/>
  <c r="BA53" i="4" s="1"/>
  <c r="BB53" i="4" s="1"/>
  <c r="AV155" i="13" s="1"/>
  <c r="B53" i="4"/>
  <c r="AX169" i="13"/>
  <c r="A269" i="13"/>
  <c r="AI14" i="71"/>
  <c r="CU14" i="4"/>
  <c r="CV14" i="4" s="1"/>
  <c r="AX14" i="4"/>
  <c r="AX174" i="13"/>
  <c r="A274" i="13"/>
  <c r="DA4" i="4" a="1"/>
  <c r="DA4" i="4" s="1"/>
  <c r="Z1850" i="13"/>
  <c r="B1850" i="13" s="1" a="1"/>
  <c r="B1850" i="13" s="1"/>
  <c r="AX1132" i="13"/>
  <c r="A1231" i="13"/>
  <c r="BZ11" i="4" a="1"/>
  <c r="BZ11" i="4" s="1"/>
  <c r="BX11" i="4" s="1" a="1"/>
  <c r="BX11" i="4" s="1"/>
  <c r="BY11" i="4" a="1"/>
  <c r="BY11" i="4" s="1"/>
  <c r="Z1859" i="13"/>
  <c r="B1859" i="13" s="1" a="1"/>
  <c r="B1859" i="13" s="1"/>
  <c r="BZ56" i="4" a="1"/>
  <c r="BZ56" i="4" s="1"/>
  <c r="BX56" i="4" s="1" a="1"/>
  <c r="BX56" i="4" s="1"/>
  <c r="BY56" i="4" a="1"/>
  <c r="BY56" i="4" s="1"/>
  <c r="Z1857" i="13"/>
  <c r="B1857" i="13" s="1" a="1"/>
  <c r="B1857" i="13" s="1"/>
  <c r="A1256" i="13"/>
  <c r="AX1157" i="13"/>
  <c r="BA25" i="4" a="1"/>
  <c r="BA25" i="4" s="1"/>
  <c r="BB25" i="4" s="1"/>
  <c r="AV127" i="13" s="1"/>
  <c r="B25" i="4"/>
  <c r="E25" i="4" s="1"/>
  <c r="AX140" i="13"/>
  <c r="A240" i="13"/>
  <c r="Z1842" i="13"/>
  <c r="B1842" i="13" s="1" a="1"/>
  <c r="B1842" i="13" s="1"/>
  <c r="AV1200" i="13"/>
  <c r="B3" i="72"/>
  <c r="S3" i="69"/>
  <c r="B3" i="69"/>
  <c r="S3" i="72"/>
  <c r="AJ3" i="72" s="1"/>
  <c r="Z1887" i="13"/>
  <c r="B1887" i="13" s="1" a="1"/>
  <c r="B1887" i="13" s="1"/>
  <c r="H40" i="9"/>
  <c r="Z1888" i="13"/>
  <c r="B1888" i="13" s="1" a="1"/>
  <c r="B1888" i="13" s="1"/>
  <c r="H46" i="9"/>
  <c r="Z1868" i="13"/>
  <c r="B1868" i="13" s="1" a="1"/>
  <c r="B1868" i="13" s="1"/>
  <c r="F10" i="4"/>
  <c r="H68" i="9"/>
  <c r="H84" i="9"/>
  <c r="BY17" i="4" a="1"/>
  <c r="BY17" i="4" s="1"/>
  <c r="BZ17" i="4" a="1"/>
  <c r="BZ17" i="4" s="1"/>
  <c r="BX17" i="4" s="1" a="1"/>
  <c r="BX17" i="4" s="1"/>
  <c r="BO31" i="4"/>
  <c r="G31" i="4"/>
  <c r="BW21" i="4"/>
  <c r="BW54" i="4"/>
  <c r="G52" i="4"/>
  <c r="BO52" i="4"/>
  <c r="G81" i="4"/>
  <c r="BO81" i="4"/>
  <c r="BW91" i="4"/>
  <c r="BO49" i="4"/>
  <c r="G49" i="4"/>
  <c r="G25" i="4"/>
  <c r="BO25" i="4"/>
  <c r="G38" i="4"/>
  <c r="BO38" i="4"/>
  <c r="BO69" i="4"/>
  <c r="G69" i="4"/>
  <c r="FK30" i="71"/>
  <c r="DF8" i="71"/>
  <c r="J554" i="15"/>
  <c r="EY28" i="71"/>
  <c r="J957" i="15"/>
  <c r="JU11" i="71"/>
  <c r="EY8" i="71"/>
  <c r="GL18" i="71"/>
  <c r="BY32" i="71"/>
  <c r="HV30" i="71"/>
  <c r="CW22" i="71"/>
  <c r="M65" i="9"/>
  <c r="S57" i="14" a="1"/>
  <c r="S57" i="14" s="1"/>
  <c r="J731" i="15"/>
  <c r="P16" i="27" a="1"/>
  <c r="P16" i="27" s="1"/>
  <c r="JC10" i="71"/>
  <c r="J594" i="15"/>
  <c r="M57" i="14" a="1"/>
  <c r="M57" i="14" s="1"/>
  <c r="EV15" i="71"/>
  <c r="AX30" i="4"/>
  <c r="CU30" i="4"/>
  <c r="CV30" i="4" s="1"/>
  <c r="AX525" i="13"/>
  <c r="A1022" i="13"/>
  <c r="A724" i="13"/>
  <c r="AX724" i="13" s="1"/>
  <c r="A1121" i="13"/>
  <c r="A1821" i="13"/>
  <c r="A125" i="13"/>
  <c r="A425" i="13"/>
  <c r="AX25" i="13"/>
  <c r="A824" i="13"/>
  <c r="AX824" i="13" s="1"/>
  <c r="A625" i="13"/>
  <c r="AX1022" i="13"/>
  <c r="AX425" i="13"/>
  <c r="A923" i="13"/>
  <c r="AX923" i="13" s="1"/>
  <c r="AX625" i="13"/>
  <c r="A525" i="13"/>
  <c r="BY42" i="4" a="1"/>
  <c r="BY42" i="4" s="1"/>
  <c r="BZ42" i="4" a="1"/>
  <c r="BZ42" i="4" s="1"/>
  <c r="BX42" i="4" s="1" a="1"/>
  <c r="BX42" i="4" s="1"/>
  <c r="A1399" i="13"/>
  <c r="AX1300" i="13"/>
  <c r="BY85" i="4" a="1"/>
  <c r="BY85" i="4" s="1"/>
  <c r="BZ85" i="4" a="1"/>
  <c r="BZ85" i="4" s="1"/>
  <c r="BX85" i="4" s="1" a="1"/>
  <c r="BX85" i="4" s="1"/>
  <c r="AX33" i="4"/>
  <c r="CU33" i="4"/>
  <c r="CV33" i="4" s="1"/>
  <c r="Z1851" i="13"/>
  <c r="B1851" i="13" s="1" a="1"/>
  <c r="B1851" i="13" s="1"/>
  <c r="BA8" i="4" a="1"/>
  <c r="BA8" i="4" s="1"/>
  <c r="BB8" i="4" s="1"/>
  <c r="AV110" i="13" s="1"/>
  <c r="B8" i="4"/>
  <c r="DE8" i="4" s="1"/>
  <c r="AX7" i="4"/>
  <c r="CU7" i="4"/>
  <c r="CV7" i="4" s="1"/>
  <c r="A283" i="13"/>
  <c r="AX183" i="13"/>
  <c r="AX53" i="4"/>
  <c r="CU53" i="4"/>
  <c r="CV53" i="4" s="1"/>
  <c r="BY86" i="4" a="1"/>
  <c r="BY86" i="4" s="1"/>
  <c r="BZ86" i="4" a="1"/>
  <c r="BZ86" i="4" s="1"/>
  <c r="BX86" i="4" s="1" a="1"/>
  <c r="BX86" i="4" s="1"/>
  <c r="Z1811" i="13"/>
  <c r="B1811" i="13" s="1" a="1"/>
  <c r="B1811" i="13" s="1"/>
  <c r="CW4" i="4"/>
  <c r="CX4" i="4" s="1"/>
  <c r="Z1832" i="13"/>
  <c r="B1832" i="13" s="1" a="1"/>
  <c r="B1832" i="13" s="1"/>
  <c r="BA11" i="4" a="1"/>
  <c r="BA11" i="4" s="1"/>
  <c r="BB11" i="4" s="1"/>
  <c r="AV113" i="13" s="1"/>
  <c r="B11" i="4"/>
  <c r="DE11" i="4" s="1"/>
  <c r="AX1159" i="13"/>
  <c r="A1258" i="13"/>
  <c r="H93" i="9"/>
  <c r="BA49" i="4" a="1"/>
  <c r="BA49" i="4" s="1"/>
  <c r="BB49" i="4" s="1"/>
  <c r="AV151" i="13" s="1"/>
  <c r="B49" i="4"/>
  <c r="DE49" i="4" s="1"/>
  <c r="AX161" i="13"/>
  <c r="A261" i="13"/>
  <c r="Z1827" i="13"/>
  <c r="B1827" i="13" s="1" a="1"/>
  <c r="B1827" i="13" s="1"/>
  <c r="BA37" i="4" a="1"/>
  <c r="BA37" i="4" s="1"/>
  <c r="BB37" i="4" s="1"/>
  <c r="AV139" i="13" s="1"/>
  <c r="B37" i="4"/>
  <c r="H63" i="9"/>
  <c r="A246" i="13"/>
  <c r="AX146" i="13"/>
  <c r="H61" i="9"/>
  <c r="AD10" i="4"/>
  <c r="Z1891" i="13"/>
  <c r="B1891" i="13" s="1" a="1"/>
  <c r="B1891" i="13" s="1"/>
  <c r="H26" i="9"/>
  <c r="CU46" i="4"/>
  <c r="CV46" i="4" s="1"/>
  <c r="AX46" i="4"/>
  <c r="AX189" i="13"/>
  <c r="A289" i="13"/>
  <c r="A1237" i="13"/>
  <c r="AX1138" i="13"/>
  <c r="BA20" i="4" a="1"/>
  <c r="BA20" i="4" s="1"/>
  <c r="BB20" i="4" s="1"/>
  <c r="AV122" i="13" s="1"/>
  <c r="B20" i="4"/>
  <c r="CW9" i="4"/>
  <c r="CX9" i="4" s="1"/>
  <c r="G12" i="4"/>
  <c r="BO12" i="4"/>
  <c r="BO26" i="4"/>
  <c r="G26" i="4"/>
  <c r="DA26" i="4" s="1" a="1"/>
  <c r="DA26" i="4" s="1"/>
  <c r="BO75" i="4"/>
  <c r="G75" i="4"/>
  <c r="BO74" i="4"/>
  <c r="G74" i="4"/>
  <c r="BO45" i="4"/>
  <c r="G45" i="4"/>
  <c r="G30" i="4"/>
  <c r="BO30" i="4"/>
  <c r="G50" i="4"/>
  <c r="CW50" i="4" s="1"/>
  <c r="CX50" i="4" s="1"/>
  <c r="BO50" i="4"/>
  <c r="BO21" i="4"/>
  <c r="G21" i="4"/>
  <c r="BW34" i="4"/>
  <c r="BW81" i="4"/>
  <c r="G76" i="4"/>
  <c r="BO76" i="4"/>
  <c r="G61" i="4"/>
  <c r="BO61" i="4"/>
  <c r="BW93" i="4"/>
  <c r="BW40" i="4"/>
  <c r="BW89" i="4"/>
  <c r="BO20" i="4"/>
  <c r="G20" i="4"/>
  <c r="G15" i="4"/>
  <c r="BO15" i="4"/>
  <c r="BW83" i="4"/>
  <c r="BW9" i="72"/>
  <c r="H7" i="9"/>
  <c r="AS5" i="4"/>
  <c r="AV607" i="13" s="1"/>
  <c r="Z1826" i="13"/>
  <c r="B1826" i="13" s="1" a="1"/>
  <c r="B1826" i="13" s="1"/>
  <c r="C41" i="1"/>
  <c r="E50" i="4"/>
  <c r="DE50" i="4"/>
  <c r="A1230" i="13"/>
  <c r="AX1131" i="13"/>
  <c r="H82" i="9"/>
  <c r="AX132" i="13"/>
  <c r="A232" i="13"/>
  <c r="H87" i="9"/>
  <c r="Z1840" i="13"/>
  <c r="B1840" i="13" s="1" a="1"/>
  <c r="B1840" i="13" s="1"/>
  <c r="BA32" i="4" a="1"/>
  <c r="BA32" i="4" s="1"/>
  <c r="BB32" i="4" s="1"/>
  <c r="AV134" i="13" s="1"/>
  <c r="B32" i="4"/>
  <c r="AX1177" i="13"/>
  <c r="A1276" i="13"/>
  <c r="AX109" i="13"/>
  <c r="A209" i="13"/>
  <c r="J540" i="15"/>
  <c r="B21" i="4"/>
  <c r="CW21" i="4" s="1"/>
  <c r="CX21" i="4" s="1"/>
  <c r="BA21" i="4" a="1"/>
  <c r="BA21" i="4" s="1"/>
  <c r="BB21" i="4" s="1"/>
  <c r="AV123" i="13" s="1"/>
  <c r="AX182" i="13"/>
  <c r="A282" i="13"/>
  <c r="Z1878" i="13"/>
  <c r="B1878" i="13" s="1" a="1"/>
  <c r="B1878" i="13" s="1"/>
  <c r="A1283" i="13"/>
  <c r="AX1184" i="13"/>
  <c r="H73" i="9"/>
  <c r="A1285" i="13"/>
  <c r="AX1186" i="13"/>
  <c r="AX1179" i="13"/>
  <c r="A1278" i="13"/>
  <c r="H54" i="9"/>
  <c r="C34" i="1"/>
  <c r="B34" i="4"/>
  <c r="DE34" i="4" s="1"/>
  <c r="BA34" i="4" a="1"/>
  <c r="BA34" i="4" s="1"/>
  <c r="BB34" i="4" s="1"/>
  <c r="AV136" i="13" s="1"/>
  <c r="Z1870" i="13"/>
  <c r="B1870" i="13" s="1" a="1"/>
  <c r="B1870" i="13" s="1"/>
  <c r="H31" i="9"/>
  <c r="Z18" i="71"/>
  <c r="CU11" i="4"/>
  <c r="CV11" i="4" s="1"/>
  <c r="AX11" i="4"/>
  <c r="C49" i="1"/>
  <c r="AS13" i="4"/>
  <c r="AV615" i="13" s="1"/>
  <c r="C39" i="1"/>
  <c r="AX131" i="13"/>
  <c r="A231" i="13"/>
  <c r="H39" i="9"/>
  <c r="CU25" i="4"/>
  <c r="CV25" i="4" s="1"/>
  <c r="AX25" i="4"/>
  <c r="AX145" i="13"/>
  <c r="A245" i="13"/>
  <c r="BY73" i="4" a="1"/>
  <c r="BY73" i="4" s="1"/>
  <c r="BZ73" i="4" a="1"/>
  <c r="BZ73" i="4" s="1"/>
  <c r="BX73" i="4" s="1" a="1"/>
  <c r="BX73" i="4" s="1"/>
  <c r="AV505" i="13"/>
  <c r="DV3" i="4"/>
  <c r="AS3" i="72"/>
  <c r="AM3" i="69"/>
  <c r="AX178" i="13"/>
  <c r="A278" i="13"/>
  <c r="A1279" i="13"/>
  <c r="AX1180" i="13"/>
  <c r="H42" i="9"/>
  <c r="H91" i="9"/>
  <c r="C46" i="1"/>
  <c r="AX35" i="4"/>
  <c r="CU35" i="4"/>
  <c r="CV35" i="4" s="1"/>
  <c r="A1263" i="13"/>
  <c r="AX1164" i="13"/>
  <c r="Z1833" i="13"/>
  <c r="B1833" i="13" s="1" a="1"/>
  <c r="B1833" i="13" s="1"/>
  <c r="BW78" i="4"/>
  <c r="G42" i="4"/>
  <c r="CY42" i="4" s="1"/>
  <c r="CZ42" i="4" s="1"/>
  <c r="BO42" i="4"/>
  <c r="BW33" i="4"/>
  <c r="BO29" i="4"/>
  <c r="G29" i="4"/>
  <c r="G16" i="4"/>
  <c r="BO16" i="4"/>
  <c r="BW6" i="4"/>
  <c r="BO90" i="4"/>
  <c r="G90" i="4"/>
  <c r="G82" i="4"/>
  <c r="BO82" i="4"/>
  <c r="G17" i="4"/>
  <c r="CY17" i="4" s="1"/>
  <c r="CZ17" i="4" s="1"/>
  <c r="BO17" i="4"/>
  <c r="BW69" i="4"/>
  <c r="E854" i="15"/>
  <c r="P58" i="14" a="1"/>
  <c r="P58" i="14" s="1"/>
  <c r="BM22" i="71"/>
  <c r="J499" i="15"/>
  <c r="H20" i="71"/>
  <c r="Z1498" i="13"/>
  <c r="CK11" i="71"/>
  <c r="E582" i="15"/>
  <c r="T56" i="23" a="1"/>
  <c r="T56" i="23" s="1"/>
  <c r="J784" i="15"/>
  <c r="HS11" i="71"/>
  <c r="J794" i="15"/>
  <c r="P57" i="23" a="1"/>
  <c r="P57" i="23" s="1"/>
  <c r="P35" i="23" s="1"/>
  <c r="CW24" i="71"/>
  <c r="R38" i="71"/>
  <c r="N53" i="9"/>
  <c r="L53" i="9" s="1"/>
  <c r="IB14" i="71"/>
  <c r="HM7" i="71"/>
  <c r="IN30" i="71"/>
  <c r="CE18" i="71"/>
  <c r="HM25" i="71"/>
  <c r="E851" i="15"/>
  <c r="FK26" i="71"/>
  <c r="HM18" i="71"/>
  <c r="DO22" i="71"/>
  <c r="FB20" i="71"/>
  <c r="E49" i="15"/>
  <c r="CK32" i="71"/>
  <c r="IT18" i="71"/>
  <c r="EA10" i="71"/>
  <c r="IW16" i="71"/>
  <c r="J524" i="15"/>
  <c r="JI13" i="71"/>
  <c r="CE11" i="71"/>
  <c r="J572" i="15"/>
  <c r="BA5" i="4" a="1"/>
  <c r="BA5" i="4" s="1"/>
  <c r="BB5" i="4" s="1"/>
  <c r="AV107" i="13" s="1"/>
  <c r="B5" i="4"/>
  <c r="DE5" i="4" s="1"/>
  <c r="C30" i="1"/>
  <c r="AX173" i="13"/>
  <c r="A273" i="13"/>
  <c r="H34" i="9"/>
  <c r="Z1862" i="13"/>
  <c r="B1862" i="13" s="1" a="1"/>
  <c r="B1862" i="13" s="1"/>
  <c r="AS33" i="4"/>
  <c r="AV635" i="13" s="1"/>
  <c r="BZ33" i="4" a="1"/>
  <c r="BZ33" i="4" s="1"/>
  <c r="BX33" i="4" s="1" a="1"/>
  <c r="BX33" i="4" s="1"/>
  <c r="BY33" i="4" a="1"/>
  <c r="BY33" i="4" s="1"/>
  <c r="A1289" i="13"/>
  <c r="AX1190" i="13"/>
  <c r="A1281" i="13"/>
  <c r="AX1182" i="13"/>
  <c r="BA54" i="4" a="1"/>
  <c r="BA54" i="4" s="1"/>
  <c r="BB54" i="4" s="1"/>
  <c r="AV156" i="13" s="1"/>
  <c r="B54" i="4"/>
  <c r="C79" i="1"/>
  <c r="BZ7" i="4" a="1"/>
  <c r="BZ7" i="4" s="1"/>
  <c r="BX7" i="4" s="1" a="1"/>
  <c r="BX7" i="4" s="1"/>
  <c r="BY7" i="4" a="1"/>
  <c r="BY7" i="4" s="1"/>
  <c r="H74" i="9"/>
  <c r="AS52" i="4"/>
  <c r="AV654" i="13" s="1"/>
  <c r="BY52" i="4" a="1"/>
  <c r="BY52" i="4" s="1"/>
  <c r="BZ52" i="4" a="1"/>
  <c r="BZ52" i="4" s="1"/>
  <c r="BX52" i="4" s="1" a="1"/>
  <c r="BX52" i="4" s="1"/>
  <c r="Z1854" i="13"/>
  <c r="B1854" i="13" s="1" a="1"/>
  <c r="B1854" i="13" s="1"/>
  <c r="C57" i="1"/>
  <c r="CU29" i="4"/>
  <c r="CV29" i="4" s="1"/>
  <c r="AX29" i="4"/>
  <c r="H13" i="9"/>
  <c r="Z1835" i="13"/>
  <c r="B1835" i="13" s="1" a="1"/>
  <c r="B1835" i="13" s="1"/>
  <c r="BY91" i="4" a="1"/>
  <c r="BY91" i="4" s="1"/>
  <c r="BZ91" i="4" a="1"/>
  <c r="BZ91" i="4" s="1"/>
  <c r="BX91" i="4" s="1" a="1"/>
  <c r="BX91" i="4" s="1"/>
  <c r="BZ16" i="4" a="1"/>
  <c r="BZ16" i="4" s="1"/>
  <c r="BX16" i="4" s="1" a="1"/>
  <c r="BX16" i="4" s="1"/>
  <c r="BY16" i="4" a="1"/>
  <c r="BY16" i="4" s="1"/>
  <c r="H15" i="9"/>
  <c r="B39" i="4"/>
  <c r="E39" i="4" s="1"/>
  <c r="BA39" i="4" a="1"/>
  <c r="BA39" i="4" s="1"/>
  <c r="BB39" i="4" s="1"/>
  <c r="AV141" i="13" s="1"/>
  <c r="H8" i="9"/>
  <c r="H78" i="9"/>
  <c r="A213" i="13"/>
  <c r="AX113" i="13"/>
  <c r="CU37" i="4"/>
  <c r="CV37" i="4" s="1"/>
  <c r="AX37" i="4"/>
  <c r="BZ61" i="4" a="1"/>
  <c r="BZ61" i="4" s="1"/>
  <c r="BX61" i="4" s="1" a="1"/>
  <c r="BX61" i="4" s="1"/>
  <c r="BY61" i="4" a="1"/>
  <c r="BY61" i="4" s="1"/>
  <c r="A1213" i="13"/>
  <c r="AX1114" i="13"/>
  <c r="C68" i="1"/>
  <c r="A1240" i="13"/>
  <c r="AX1141" i="13"/>
  <c r="AX108" i="13"/>
  <c r="A208" i="13"/>
  <c r="CV3" i="4"/>
  <c r="BY93" i="4" a="1"/>
  <c r="BY93" i="4" s="1"/>
  <c r="BZ93" i="4" a="1"/>
  <c r="BZ93" i="4" s="1"/>
  <c r="BX93" i="4" s="1" a="1"/>
  <c r="BX93" i="4" s="1"/>
  <c r="CU18" i="4"/>
  <c r="CV18" i="4" s="1"/>
  <c r="AX18" i="4"/>
  <c r="AX127" i="13"/>
  <c r="A227" i="13"/>
  <c r="H45" i="9"/>
  <c r="AX38" i="4"/>
  <c r="CU38" i="4"/>
  <c r="CV38" i="4" s="1"/>
  <c r="AX184" i="13"/>
  <c r="A284" i="13"/>
  <c r="BD10" i="4"/>
  <c r="A219" i="13"/>
  <c r="AX119" i="13"/>
  <c r="B24" i="4"/>
  <c r="DE24" i="4" s="1"/>
  <c r="BA24" i="4" a="1"/>
  <c r="BA24" i="4" s="1"/>
  <c r="BB24" i="4" s="1"/>
  <c r="AV126" i="13" s="1"/>
  <c r="B35" i="4"/>
  <c r="DE35" i="4" s="1"/>
  <c r="BA35" i="4" a="1"/>
  <c r="BA35" i="4" s="1"/>
  <c r="BB35" i="4" s="1"/>
  <c r="AV137" i="13" s="1"/>
  <c r="C35" i="1"/>
  <c r="AX1144" i="13"/>
  <c r="A1243" i="13"/>
  <c r="BZ87" i="4" a="1"/>
  <c r="BZ87" i="4" s="1"/>
  <c r="BX87" i="4" s="1" a="1"/>
  <c r="BX87" i="4" s="1"/>
  <c r="BY87" i="4" a="1"/>
  <c r="BY87" i="4" s="1"/>
  <c r="C15" i="1"/>
  <c r="AL9" i="4"/>
  <c r="BO36" i="4"/>
  <c r="G36" i="4"/>
  <c r="CW36" i="4" s="1"/>
  <c r="CX36" i="4" s="1"/>
  <c r="BW27" i="4"/>
  <c r="G5" i="4"/>
  <c r="BO5" i="4"/>
  <c r="BO41" i="4"/>
  <c r="G41" i="4"/>
  <c r="BW50" i="4"/>
  <c r="BW80" i="4"/>
  <c r="BO92" i="4"/>
  <c r="G92" i="4"/>
  <c r="G68" i="4"/>
  <c r="BO68" i="4"/>
  <c r="BW59" i="4"/>
  <c r="BW19" i="4"/>
  <c r="BO35" i="4"/>
  <c r="G35" i="4"/>
  <c r="CY35" i="4" s="1"/>
  <c r="CZ35" i="4" s="1"/>
  <c r="BW20" i="4"/>
  <c r="CW16" i="71"/>
  <c r="FT34" i="71"/>
  <c r="CE36" i="71"/>
  <c r="BZ41" i="4" a="1"/>
  <c r="BZ41" i="4" s="1"/>
  <c r="BX41" i="4" s="1" a="1"/>
  <c r="BX41" i="4" s="1"/>
  <c r="BY41" i="4" a="1"/>
  <c r="BY41" i="4" s="1"/>
  <c r="BY30" i="4" a="1"/>
  <c r="BY30" i="4" s="1"/>
  <c r="BZ30" i="4" a="1"/>
  <c r="BZ30" i="4" s="1"/>
  <c r="BX30" i="4" s="1" a="1"/>
  <c r="BX30" i="4" s="1"/>
  <c r="AV506" i="13"/>
  <c r="BL4" i="4"/>
  <c r="BM4" i="4" s="1"/>
  <c r="BE4" i="4" s="1" a="1"/>
  <c r="BE4" i="4" s="1"/>
  <c r="DV4" i="4"/>
  <c r="BA42" i="4" a="1"/>
  <c r="BA42" i="4" s="1"/>
  <c r="BB42" i="4" s="1"/>
  <c r="AV144" i="13" s="1"/>
  <c r="B42" i="4"/>
  <c r="E42" i="4" s="1"/>
  <c r="AX1119" i="13"/>
  <c r="A1218" i="13"/>
  <c r="AX706" i="13"/>
  <c r="S701" i="13"/>
  <c r="A244" i="13"/>
  <c r="AX144" i="13"/>
  <c r="Z1806" i="13"/>
  <c r="B1806" i="13" s="1" a="1"/>
  <c r="B1806" i="13" s="1"/>
  <c r="BA33" i="4" a="1"/>
  <c r="BA33" i="4" s="1"/>
  <c r="BB33" i="4" s="1"/>
  <c r="AV135" i="13" s="1"/>
  <c r="B33" i="4"/>
  <c r="BY67" i="4" a="1"/>
  <c r="BY67" i="4" s="1"/>
  <c r="BZ67" i="4" a="1"/>
  <c r="BZ67" i="4" s="1"/>
  <c r="BX67" i="4" s="1" a="1"/>
  <c r="BX67" i="4" s="1"/>
  <c r="C54" i="1"/>
  <c r="A290" i="13"/>
  <c r="AX190" i="13"/>
  <c r="Z1830" i="13"/>
  <c r="B1830" i="13" s="1" a="1"/>
  <c r="B1830" i="13" s="1"/>
  <c r="B7" i="4"/>
  <c r="BA7" i="4" a="1"/>
  <c r="BA7" i="4" s="1"/>
  <c r="BB7" i="4" s="1"/>
  <c r="AV109" i="13" s="1"/>
  <c r="B52" i="4"/>
  <c r="BA52" i="4" a="1"/>
  <c r="BA52" i="4" s="1"/>
  <c r="BB52" i="4" s="1"/>
  <c r="AV154" i="13" s="1"/>
  <c r="H55" i="9"/>
  <c r="AX1165" i="13"/>
  <c r="A1264" i="13"/>
  <c r="AS14" i="4"/>
  <c r="AV616" i="13" s="1"/>
  <c r="A1249" i="13"/>
  <c r="AX1150" i="13"/>
  <c r="BZ29" i="4" a="1"/>
  <c r="BZ29" i="4" s="1"/>
  <c r="BX29" i="4" s="1" a="1"/>
  <c r="BX29" i="4" s="1"/>
  <c r="BY29" i="4" a="1"/>
  <c r="BY29" i="4" s="1"/>
  <c r="BA13" i="4" a="1"/>
  <c r="BA13" i="4" s="1"/>
  <c r="BB13" i="4" s="1"/>
  <c r="AV115" i="13" s="1"/>
  <c r="B13" i="4"/>
  <c r="DE13" i="4" s="1"/>
  <c r="AX116" i="13"/>
  <c r="A216" i="13"/>
  <c r="A259" i="13"/>
  <c r="AX159" i="13"/>
  <c r="AX39" i="4"/>
  <c r="CU39" i="4"/>
  <c r="CV39" i="4" s="1"/>
  <c r="AS6" i="4"/>
  <c r="AV608" i="13" s="1"/>
  <c r="AX1109" i="13"/>
  <c r="A1208" i="13"/>
  <c r="AS25" i="4"/>
  <c r="AV627" i="13" s="1"/>
  <c r="E363" i="15"/>
  <c r="E185" i="15"/>
  <c r="E71" i="15"/>
  <c r="E268" i="15"/>
  <c r="E76" i="15"/>
  <c r="E344" i="15"/>
  <c r="E566" i="15"/>
  <c r="E375" i="15"/>
  <c r="E486" i="15"/>
  <c r="E307" i="15"/>
  <c r="E136" i="15"/>
  <c r="E603" i="15"/>
  <c r="E638" i="15"/>
  <c r="E578" i="15"/>
  <c r="E507" i="15"/>
  <c r="E358" i="15"/>
  <c r="DE3" i="4"/>
  <c r="E3" i="4"/>
  <c r="BH3" i="4" s="1"/>
  <c r="AP3" i="4"/>
  <c r="C59" i="1"/>
  <c r="AX191" i="13"/>
  <c r="A291" i="13"/>
  <c r="DD4" i="4" a="1"/>
  <c r="DD4" i="4" s="1"/>
  <c r="C43" i="1"/>
  <c r="A275" i="13"/>
  <c r="AX175" i="13"/>
  <c r="AX192" i="13"/>
  <c r="A292" i="13"/>
  <c r="BZ44" i="4" a="1"/>
  <c r="BZ44" i="4" s="1"/>
  <c r="BX44" i="4" s="1" a="1"/>
  <c r="BX44" i="4" s="1"/>
  <c r="BY44" i="4" a="1"/>
  <c r="BY44" i="4" s="1"/>
  <c r="AX40" i="4"/>
  <c r="CU40" i="4"/>
  <c r="CV40" i="4" s="1"/>
  <c r="A1290" i="13"/>
  <c r="AX1191" i="13"/>
  <c r="AS24" i="4"/>
  <c r="AV626" i="13" s="1"/>
  <c r="C19" i="1"/>
  <c r="AS19" i="4"/>
  <c r="AV621" i="13" s="1"/>
  <c r="AS17" i="4"/>
  <c r="AV619" i="13" s="1"/>
  <c r="A1216" i="13"/>
  <c r="AX1117" i="13"/>
  <c r="BA6" i="71"/>
  <c r="CU20" i="4"/>
  <c r="CV20" i="4" s="1"/>
  <c r="AX20" i="4"/>
  <c r="A1224" i="13"/>
  <c r="AX1125" i="13"/>
  <c r="AH9" i="4"/>
  <c r="A1232" i="13"/>
  <c r="AX1133" i="13"/>
  <c r="BW75" i="4"/>
  <c r="BW45" i="4"/>
  <c r="G33" i="4"/>
  <c r="BO33" i="4"/>
  <c r="BO72" i="4"/>
  <c r="G72" i="4"/>
  <c r="BW16" i="4"/>
  <c r="BO6" i="4"/>
  <c r="G6" i="4"/>
  <c r="BO59" i="4"/>
  <c r="G59" i="4"/>
  <c r="BW38" i="4"/>
  <c r="BW66" i="4"/>
  <c r="G83" i="4"/>
  <c r="BO83" i="4"/>
  <c r="H32" i="71"/>
  <c r="HA18" i="71"/>
  <c r="HD4" i="71"/>
  <c r="CW17" i="71"/>
  <c r="K36" i="9"/>
  <c r="DC6" i="71"/>
  <c r="JF25" i="71"/>
  <c r="S59" i="14" a="1"/>
  <c r="S59" i="14" s="1"/>
  <c r="M93" i="9"/>
  <c r="J723" i="15"/>
  <c r="GU5" i="71"/>
  <c r="DL11" i="71"/>
  <c r="W59" i="23" a="1"/>
  <c r="W59" i="23" s="1"/>
  <c r="EV11" i="71"/>
  <c r="T57" i="23" a="1"/>
  <c r="T57" i="23" s="1"/>
  <c r="T35" i="23" s="1"/>
  <c r="E208" i="15"/>
  <c r="BY25" i="71"/>
  <c r="HP25" i="71"/>
  <c r="H29" i="71"/>
  <c r="K34" i="9"/>
  <c r="DF15" i="71"/>
  <c r="N36" i="9"/>
  <c r="L36" i="9" s="1"/>
  <c r="DF36" i="71"/>
  <c r="HP29" i="71"/>
  <c r="EY27" i="71"/>
  <c r="N58" i="23" a="1"/>
  <c r="N58" i="23" s="1"/>
  <c r="N36" i="23" s="1"/>
  <c r="EM23" i="71"/>
  <c r="A1225" i="13"/>
  <c r="AX1126" i="13"/>
  <c r="AX1183" i="13"/>
  <c r="A1282" i="13"/>
  <c r="C42" i="1"/>
  <c r="AS50" i="4"/>
  <c r="AV652" i="13" s="1"/>
  <c r="AX135" i="13"/>
  <c r="A235" i="13"/>
  <c r="A223" i="13"/>
  <c r="AX123" i="13"/>
  <c r="A207" i="13"/>
  <c r="AX107" i="13"/>
  <c r="C80" i="1"/>
  <c r="BZ92" i="4" a="1"/>
  <c r="BZ92" i="4" s="1"/>
  <c r="BX92" i="4" s="1" a="1"/>
  <c r="BX92" i="4" s="1"/>
  <c r="BY92" i="4" a="1"/>
  <c r="BY92" i="4" s="1"/>
  <c r="A1227" i="13"/>
  <c r="AX1128" i="13"/>
  <c r="A1239" i="13"/>
  <c r="AX1140" i="13"/>
  <c r="A1205" i="13"/>
  <c r="AX1106" i="13"/>
  <c r="AX110" i="13"/>
  <c r="A210" i="13"/>
  <c r="CU32" i="4"/>
  <c r="CV32" i="4" s="1"/>
  <c r="AX32" i="4"/>
  <c r="A286" i="13"/>
  <c r="AX186" i="13"/>
  <c r="AX54" i="4"/>
  <c r="CU54" i="4"/>
  <c r="CV54" i="4" s="1"/>
  <c r="T10" i="72"/>
  <c r="BU10" i="72" s="1"/>
  <c r="AV112" i="13"/>
  <c r="AX34" i="4"/>
  <c r="CU34" i="4"/>
  <c r="CV34" i="4" s="1"/>
  <c r="Z1865" i="13"/>
  <c r="B1865" i="13" s="1" a="1"/>
  <c r="B1865" i="13" s="1"/>
  <c r="A1210" i="13"/>
  <c r="AX1111" i="13"/>
  <c r="AX158" i="13"/>
  <c r="A258" i="13"/>
  <c r="H16" i="9"/>
  <c r="H83" i="9"/>
  <c r="B29" i="4"/>
  <c r="DE29" i="4" s="1"/>
  <c r="BA29" i="4" a="1"/>
  <c r="BA29" i="4" s="1"/>
  <c r="BB29" i="4" s="1"/>
  <c r="AV131" i="13" s="1"/>
  <c r="AX139" i="13"/>
  <c r="A239" i="13"/>
  <c r="C56" i="1"/>
  <c r="Z1812" i="13"/>
  <c r="B1812" i="13" s="1" a="1"/>
  <c r="B1812" i="13" s="1"/>
  <c r="C37" i="1"/>
  <c r="C61" i="1"/>
  <c r="AX151" i="13"/>
  <c r="A251" i="13"/>
  <c r="H27" i="9"/>
  <c r="BZ68" i="4" a="1"/>
  <c r="BZ68" i="4" s="1"/>
  <c r="BX68" i="4" s="1" a="1"/>
  <c r="BX68" i="4" s="1"/>
  <c r="BY68" i="4" a="1"/>
  <c r="BY68" i="4" s="1"/>
  <c r="Z1841" i="13"/>
  <c r="B1841" i="13" s="1" a="1"/>
  <c r="B1841" i="13" s="1"/>
  <c r="C90" i="1"/>
  <c r="AX1142" i="13"/>
  <c r="A1241" i="13"/>
  <c r="AX1137" i="13"/>
  <c r="A1236" i="13"/>
  <c r="AX1104" i="13"/>
  <c r="A1203" i="13"/>
  <c r="AV105" i="13"/>
  <c r="E3" i="9"/>
  <c r="DD3" i="4" a="1"/>
  <c r="DD3" i="4" s="1"/>
  <c r="T3" i="72"/>
  <c r="BN3" i="72" s="1" a="1"/>
  <c r="BN3" i="72" s="1"/>
  <c r="T3" i="69"/>
  <c r="BH3" i="69" s="1" a="1"/>
  <c r="BH3" i="69" s="1"/>
  <c r="M3" i="69"/>
  <c r="M3" i="72"/>
  <c r="F3" i="72"/>
  <c r="F3" i="69"/>
  <c r="BZ59" i="4" a="1"/>
  <c r="BZ59" i="4" s="1"/>
  <c r="BX59" i="4" s="1" a="1"/>
  <c r="BX59" i="4" s="1"/>
  <c r="BY59" i="4" a="1"/>
  <c r="BY59" i="4" s="1"/>
  <c r="A1286" i="13"/>
  <c r="AX1187" i="13"/>
  <c r="B18" i="4"/>
  <c r="BA18" i="4" a="1"/>
  <c r="BA18" i="4" s="1"/>
  <c r="BB18" i="4" s="1"/>
  <c r="AV120" i="13" s="1"/>
  <c r="AX1171" i="13"/>
  <c r="A1270" i="13"/>
  <c r="AX44" i="4"/>
  <c r="CU44" i="4"/>
  <c r="CV44" i="4" s="1"/>
  <c r="Z1880" i="13"/>
  <c r="B1880" i="13" s="1" a="1"/>
  <c r="B1880" i="13" s="1"/>
  <c r="BY40" i="4" a="1"/>
  <c r="BY40" i="4" s="1"/>
  <c r="BZ40" i="4" a="1"/>
  <c r="BZ40" i="4" s="1"/>
  <c r="BX40" i="4" s="1" a="1"/>
  <c r="BX40" i="4" s="1"/>
  <c r="BZ89" i="4" a="1"/>
  <c r="BZ89" i="4" s="1"/>
  <c r="BX89" i="4" s="1" a="1"/>
  <c r="BX89" i="4" s="1"/>
  <c r="BY89" i="4" a="1"/>
  <c r="BY89" i="4" s="1"/>
  <c r="AX120" i="13"/>
  <c r="A220" i="13"/>
  <c r="C70" i="1"/>
  <c r="BY35" i="4" a="1"/>
  <c r="BY35" i="4" s="1"/>
  <c r="BZ35" i="4" a="1"/>
  <c r="BZ35" i="4" s="1"/>
  <c r="BX35" i="4" s="1" a="1"/>
  <c r="BX35" i="4" s="1"/>
  <c r="J485" i="15"/>
  <c r="BA17" i="4" a="1"/>
  <c r="BA17" i="4" s="1"/>
  <c r="BB17" i="4" s="1"/>
  <c r="AV119" i="13" s="1"/>
  <c r="B17" i="4"/>
  <c r="DE17" i="4" s="1"/>
  <c r="AX17" i="4"/>
  <c r="CU17" i="4"/>
  <c r="CV17" i="4" s="1"/>
  <c r="Z1822" i="13"/>
  <c r="B1822" i="13" s="1" a="1"/>
  <c r="B1822" i="13" s="1"/>
  <c r="H89" i="9"/>
  <c r="AX1134" i="13"/>
  <c r="A1233" i="13"/>
  <c r="AS20" i="4"/>
  <c r="AV622" i="13" s="1"/>
  <c r="A229" i="13"/>
  <c r="AX129" i="13"/>
  <c r="AP9" i="4"/>
  <c r="H71" i="9"/>
  <c r="A237" i="13"/>
  <c r="AX137" i="13"/>
  <c r="BW36" i="4"/>
  <c r="BW22" i="4"/>
  <c r="BO67" i="4"/>
  <c r="G67" i="4"/>
  <c r="BW8" i="4"/>
  <c r="G79" i="4"/>
  <c r="BO79" i="4"/>
  <c r="BW53" i="4"/>
  <c r="BW57" i="4"/>
  <c r="G11" i="4"/>
  <c r="BO11" i="4"/>
  <c r="BO56" i="4"/>
  <c r="G56" i="4"/>
  <c r="BO37" i="4"/>
  <c r="G37" i="4"/>
  <c r="BW73" i="4"/>
  <c r="BW24" i="4"/>
  <c r="BW46" i="4"/>
  <c r="BW35" i="4"/>
  <c r="BW87" i="4"/>
  <c r="BW15" i="4"/>
  <c r="CP87" i="4" a="1"/>
  <c r="CP33" i="4" a="1"/>
  <c r="CO87" i="4" a="1"/>
  <c r="CO33" i="4" a="1"/>
  <c r="CP40" i="4" a="1"/>
  <c r="CO40" i="4" a="1"/>
  <c r="CS40" i="4" a="1"/>
  <c r="CP52" i="4" a="1"/>
  <c r="CR40" i="4" a="1"/>
  <c r="CO52" i="4" a="1"/>
  <c r="CP35" i="4" a="1"/>
  <c r="CR87" i="4" a="1"/>
  <c r="CO35" i="4" a="1"/>
  <c r="CS87" i="4" a="1"/>
  <c r="CO17" i="4" a="1"/>
  <c r="CP17" i="4" a="1"/>
  <c r="BI22" i="4" a="1"/>
  <c r="DF28" i="4" a="1"/>
  <c r="DF21" i="4" a="1"/>
  <c r="BI53" i="4" a="1"/>
  <c r="BI51" i="4" a="1"/>
  <c r="BK30" i="4" a="1"/>
  <c r="AJ23" i="4" a="1"/>
  <c r="BI49" i="4" a="1"/>
  <c r="BK46" i="4" a="1"/>
  <c r="BJ54" i="4" a="1"/>
  <c r="BI14" i="4" a="1"/>
  <c r="BK35" i="4" a="1"/>
  <c r="BK45" i="4" a="1"/>
  <c r="BI17" i="4" a="1"/>
  <c r="BK5" i="4" a="1"/>
  <c r="BI32" i="4" a="1"/>
  <c r="CJ55" i="4" a="1"/>
  <c r="AN23" i="4" a="1"/>
  <c r="BI31" i="4" a="1"/>
  <c r="BJ43" i="4" a="1"/>
  <c r="BJ52" i="4" a="1"/>
  <c r="DF6" i="4" a="1"/>
  <c r="BI15" i="4" a="1"/>
  <c r="BJ7" i="4" a="1"/>
  <c r="BI19" i="4" a="1"/>
  <c r="BJ21" i="4" a="1"/>
  <c r="BI45" i="4" a="1"/>
  <c r="BJ35" i="4" a="1"/>
  <c r="CP23" i="4" a="1"/>
  <c r="CS28" i="4" a="1"/>
  <c r="DF11" i="4" a="1"/>
  <c r="BK20" i="4" a="1"/>
  <c r="BK38" i="4" a="1"/>
  <c r="CB55" i="4" a="1"/>
  <c r="BK12" i="4" a="1"/>
  <c r="DF42" i="4" a="1"/>
  <c r="DF36" i="4" a="1"/>
  <c r="DF54" i="4" a="1"/>
  <c r="BJ25" i="4" a="1"/>
  <c r="BK6" i="4" a="1"/>
  <c r="BK41" i="4" a="1"/>
  <c r="DF29" i="4" a="1"/>
  <c r="BJ24" i="4" a="1"/>
  <c r="BI12" i="4" a="1"/>
  <c r="DF37" i="4" a="1"/>
  <c r="BK24" i="4" a="1"/>
  <c r="CQ55" i="4"/>
  <c r="CO60" i="4" a="1"/>
  <c r="DF35" i="4" a="1"/>
  <c r="BJ49" i="4" a="1"/>
  <c r="BJ47" i="4" a="1"/>
  <c r="BI33" i="4" a="1"/>
  <c r="BJ34" i="4" a="1"/>
  <c r="BJ30" i="4" a="1"/>
  <c r="BI50" i="4" a="1"/>
  <c r="BK44" i="4" a="1"/>
  <c r="DF43" i="4" a="1"/>
  <c r="BJ44" i="4" a="1"/>
  <c r="BJ18" i="4" a="1"/>
  <c r="BK43" i="4" a="1"/>
  <c r="AA23" i="4" a="1"/>
  <c r="BN55" i="4" a="1"/>
  <c r="BI13" i="4" a="1"/>
  <c r="B60" i="1" a="1"/>
  <c r="BK42" i="4" a="1"/>
  <c r="BJ12" i="4" a="1"/>
  <c r="BI43" i="4" a="1"/>
  <c r="BI21" i="4" a="1"/>
  <c r="BK40" i="4" a="1"/>
  <c r="DF27" i="4" a="1"/>
  <c r="CS34" i="4" a="1"/>
  <c r="CR23" i="4" a="1"/>
  <c r="AB23" i="4" a="1"/>
  <c r="BK52" i="4" a="1"/>
  <c r="DF40" i="4" a="1"/>
  <c r="BI29" i="4" a="1"/>
  <c r="AK55" i="4" a="1"/>
  <c r="BI27" i="4" a="1"/>
  <c r="DF31" i="4" a="1"/>
  <c r="BI38" i="4" a="1"/>
  <c r="BK22" i="4" a="1"/>
  <c r="BK47" i="4" a="1"/>
  <c r="CN55" i="4" a="1"/>
  <c r="CR34" i="4" a="1"/>
  <c r="BI34" i="4" a="1"/>
  <c r="BI39" i="4" a="1"/>
  <c r="BK53" i="4" a="1"/>
  <c r="DF24" i="4" a="1"/>
  <c r="BJ6" i="4" a="1"/>
  <c r="BK50" i="4" a="1"/>
  <c r="CO23" i="4" a="1"/>
  <c r="BI75" i="4" a="1"/>
  <c r="AA60" i="4" a="1"/>
  <c r="DF14" i="4" a="1"/>
  <c r="DF17" i="4" a="1"/>
  <c r="BI52" i="4" a="1"/>
  <c r="BK29" i="4" a="1"/>
  <c r="CO91" i="4" a="1"/>
  <c r="B23" i="1" a="1"/>
  <c r="BK48" i="4" a="1"/>
  <c r="AE55" i="4" a="1"/>
  <c r="BJ40" i="4" a="1"/>
  <c r="BK54" i="4" a="1"/>
  <c r="BI20" i="4" a="1"/>
  <c r="BK18" i="4" a="1"/>
  <c r="DF34" i="4" a="1"/>
  <c r="BK34" i="4" a="1"/>
  <c r="BJ51" i="4" a="1"/>
  <c r="DF16" i="4" a="1"/>
  <c r="DF5" i="4" a="1"/>
  <c r="BI18" i="4" a="1"/>
  <c r="BK36" i="4" a="1"/>
  <c r="AI23" i="4" a="1"/>
  <c r="BK26" i="4" a="1"/>
  <c r="AO60" i="4" a="1"/>
  <c r="BJ37" i="4" a="1"/>
  <c r="BI48" i="4" a="1"/>
  <c r="CR60" i="4" a="1"/>
  <c r="AM55" i="4" a="1"/>
  <c r="DF30" i="4" a="1"/>
  <c r="BK37" i="4" a="1"/>
  <c r="CR28" i="4" a="1"/>
  <c r="CM55" i="4" a="1"/>
  <c r="BJ15" i="4" a="1"/>
  <c r="CS23" i="4" a="1"/>
  <c r="BJ42" i="4" a="1"/>
  <c r="AO23" i="4" a="1"/>
  <c r="DF75" i="4" a="1"/>
  <c r="BJ5" i="4" a="1"/>
  <c r="BJ27" i="4" a="1"/>
  <c r="BK17" i="4" a="1"/>
  <c r="BJ13" i="4" a="1"/>
  <c r="BK28" i="4" a="1"/>
  <c r="DF18" i="4" a="1"/>
  <c r="BI16" i="4" a="1"/>
  <c r="BJ17" i="4" a="1"/>
  <c r="DF8" i="4" a="1"/>
  <c r="BJ36" i="4" a="1"/>
  <c r="BK75" i="4" a="1"/>
  <c r="CE55" i="4" a="1"/>
  <c r="AG23" i="4" a="1"/>
  <c r="DF48" i="4" a="1"/>
  <c r="BJ32" i="4" a="1"/>
  <c r="DF13" i="4" a="1"/>
  <c r="DF49" i="4" a="1"/>
  <c r="AF23" i="4" a="1"/>
  <c r="DF53" i="4" a="1"/>
  <c r="BJ33" i="4" a="1"/>
  <c r="CL55" i="4" a="1"/>
  <c r="DF41" i="4" a="1"/>
  <c r="BI25" i="4" a="1"/>
  <c r="AJ60" i="4" a="1"/>
  <c r="DF7" i="4" a="1"/>
  <c r="BJ75" i="4" a="1"/>
  <c r="DF12" i="4" a="1"/>
  <c r="BI41" i="4" a="1"/>
  <c r="DF33" i="4" a="1"/>
  <c r="BI44" i="4" a="1"/>
  <c r="CC55" i="4" a="1"/>
  <c r="BJ14" i="4" a="1"/>
  <c r="BI28" i="4" a="1"/>
  <c r="BJ38" i="4" a="1"/>
  <c r="DF26" i="4" a="1"/>
  <c r="BI54" i="4" a="1"/>
  <c r="BK21" i="4" a="1"/>
  <c r="CH55" i="4"/>
  <c r="CG55" i="4" a="1"/>
  <c r="BJ29" i="4" a="1"/>
  <c r="BI24" i="4" a="1"/>
  <c r="BI26" i="4" a="1"/>
  <c r="DF39" i="4" a="1"/>
  <c r="BJ28" i="4" a="1"/>
  <c r="BI40" i="4" a="1"/>
  <c r="CS60" i="4" a="1"/>
  <c r="BK51" i="4" a="1"/>
  <c r="BI8" i="4" a="1"/>
  <c r="BK49" i="4" a="1"/>
  <c r="BI47" i="4" a="1"/>
  <c r="BJ50" i="4" a="1"/>
  <c r="BK7" i="4" a="1"/>
  <c r="BK13" i="4" a="1"/>
  <c r="BI5" i="4" a="1"/>
  <c r="AB60" i="4" a="1"/>
  <c r="BK14" i="4" a="1"/>
  <c r="BJ11" i="4" a="1"/>
  <c r="BK31" i="4" a="1"/>
  <c r="BJ48" i="4" a="1"/>
  <c r="DF32" i="4" a="1"/>
  <c r="BI36" i="4" a="1"/>
  <c r="BJ45" i="4" a="1"/>
  <c r="BK32" i="4" a="1"/>
  <c r="BI6" i="4" a="1"/>
  <c r="DF52" i="4" a="1"/>
  <c r="BJ39" i="4" a="1"/>
  <c r="AN60" i="4" a="1"/>
  <c r="AI60" i="4" a="1"/>
  <c r="BJ16" i="4" a="1"/>
  <c r="BI30" i="4" a="1"/>
  <c r="BI37" i="4" a="1"/>
  <c r="BK11" i="4" a="1"/>
  <c r="CK55" i="4" a="1"/>
  <c r="CT55" i="4"/>
  <c r="BJ20" i="4" a="1"/>
  <c r="AF60" i="4" a="1"/>
  <c r="BJ19" i="4" a="1"/>
  <c r="CP91" i="4" a="1"/>
  <c r="BK19" i="4" a="1"/>
  <c r="BJ46" i="4" a="1"/>
  <c r="BP55" i="4" a="1"/>
  <c r="DF45" i="4" a="1"/>
  <c r="BJ26" i="4" a="1"/>
  <c r="BI7" i="4" a="1"/>
  <c r="BJ41" i="4" a="1"/>
  <c r="BK15" i="4" a="1"/>
  <c r="BI46" i="4" a="1"/>
  <c r="BK8" i="4" a="1"/>
  <c r="CP60" i="4" a="1"/>
  <c r="AC55" i="4" a="1"/>
  <c r="BK27" i="4" a="1"/>
  <c r="DF47" i="4" a="1"/>
  <c r="CF55" i="4" a="1"/>
  <c r="BI35" i="4" a="1"/>
  <c r="BJ31" i="4" a="1"/>
  <c r="BK25" i="4" a="1"/>
  <c r="BJ22" i="4" a="1"/>
  <c r="DF15" i="4" a="1"/>
  <c r="CD55" i="4" a="1"/>
  <c r="BK39" i="4" a="1"/>
  <c r="BJ53" i="4" a="1"/>
  <c r="BK33" i="4" a="1"/>
  <c r="DF20" i="4" a="1"/>
  <c r="CI55" i="4" a="1"/>
  <c r="BJ8" i="4" a="1"/>
  <c r="BI42" i="4" a="1"/>
  <c r="BI11" i="4" a="1"/>
  <c r="DF19" i="4" a="1"/>
  <c r="AG60" i="4" a="1"/>
  <c r="DF22" i="4" a="1"/>
  <c r="DF38" i="4" a="1"/>
  <c r="DF25" i="4" a="1"/>
  <c r="BK16" i="4" a="1"/>
  <c r="DF46" i="4" a="1"/>
  <c r="DF51" i="4" a="1"/>
  <c r="DF50" i="4" a="1"/>
  <c r="DF44" i="4" a="1"/>
  <c r="P701" i="13" l="1"/>
  <c r="B23" i="27"/>
  <c r="CP17" i="4"/>
  <c r="CO17" i="4"/>
  <c r="CS87" i="4"/>
  <c r="CO35" i="4"/>
  <c r="CR87" i="4"/>
  <c r="CP35" i="4"/>
  <c r="CO52" i="4"/>
  <c r="CR40" i="4"/>
  <c r="CP52" i="4"/>
  <c r="CS40" i="4"/>
  <c r="CO40" i="4"/>
  <c r="CP40" i="4"/>
  <c r="CO33" i="4"/>
  <c r="CO87" i="4"/>
  <c r="CP33" i="4"/>
  <c r="CP87" i="4"/>
  <c r="CW34" i="71"/>
  <c r="CW25" i="71"/>
  <c r="CH29" i="71"/>
  <c r="CH20" i="71"/>
  <c r="J649" i="15"/>
  <c r="CE21" i="71"/>
  <c r="CT10" i="71"/>
  <c r="S59" i="23" a="1"/>
  <c r="S59" i="23" s="1"/>
  <c r="EY36" i="71"/>
  <c r="H15" i="71"/>
  <c r="DL9" i="71"/>
  <c r="DU34" i="71"/>
  <c r="AI4" i="71"/>
  <c r="W56" i="14" a="1"/>
  <c r="W56" i="14" s="1"/>
  <c r="BS13" i="71"/>
  <c r="ES26" i="71"/>
  <c r="ES35" i="71"/>
  <c r="ES18" i="71"/>
  <c r="BY21" i="71"/>
  <c r="BY36" i="71"/>
  <c r="BY9" i="71"/>
  <c r="Z1810" i="13"/>
  <c r="B1810" i="13" s="1" a="1"/>
  <c r="B1810" i="13" s="1"/>
  <c r="BV32" i="71"/>
  <c r="BV18" i="71"/>
  <c r="BV24" i="71"/>
  <c r="AC9" i="71"/>
  <c r="AC35" i="71"/>
  <c r="AC25" i="71"/>
  <c r="CW4" i="71"/>
  <c r="CW6" i="71"/>
  <c r="CH36" i="71"/>
  <c r="CH27" i="71"/>
  <c r="CH32" i="71"/>
  <c r="J620" i="15"/>
  <c r="EP8" i="71"/>
  <c r="BP16" i="71"/>
  <c r="CQ28" i="71"/>
  <c r="DL10" i="71"/>
  <c r="EY29" i="71"/>
  <c r="EY13" i="71"/>
  <c r="J56" i="23" a="1"/>
  <c r="J56" i="23" s="1"/>
  <c r="DF13" i="71"/>
  <c r="FB9" i="71"/>
  <c r="CH8" i="71"/>
  <c r="CI38" i="71"/>
  <c r="J627" i="15"/>
  <c r="M58" i="23" a="1"/>
  <c r="M58" i="23" s="1"/>
  <c r="M36" i="23" s="1"/>
  <c r="EP7" i="71"/>
  <c r="CQ23" i="71"/>
  <c r="R56" i="14" a="1"/>
  <c r="R56" i="14" s="1"/>
  <c r="EV17" i="71"/>
  <c r="S58" i="14" a="1"/>
  <c r="S58" i="14" s="1"/>
  <c r="DC13" i="71"/>
  <c r="AI31" i="71"/>
  <c r="N19" i="71"/>
  <c r="BA5" i="71"/>
  <c r="AL21" i="71"/>
  <c r="BA16" i="71"/>
  <c r="AU15" i="71"/>
  <c r="T9" i="71"/>
  <c r="AP1197" i="13" a="1"/>
  <c r="AP1197" i="13" s="1"/>
  <c r="T31" i="71"/>
  <c r="T25" i="71"/>
  <c r="AF9" i="71"/>
  <c r="AO30" i="71"/>
  <c r="H59" i="14" a="1"/>
  <c r="H59" i="14" s="1"/>
  <c r="AU20" i="71"/>
  <c r="AE1296" i="13" a="1"/>
  <c r="AE1296" i="13" s="1"/>
  <c r="T33" i="71"/>
  <c r="J59" i="14" a="1"/>
  <c r="J59" i="14" s="1"/>
  <c r="W17" i="71"/>
  <c r="T10" i="71"/>
  <c r="W21" i="71"/>
  <c r="Z56" i="14" a="1"/>
  <c r="Z56" i="14" s="1"/>
  <c r="AS38" i="71"/>
  <c r="F56" i="14" a="1"/>
  <c r="F56" i="14" s="1"/>
  <c r="K4" i="71"/>
  <c r="W19" i="71"/>
  <c r="J588" i="15"/>
  <c r="J576" i="15"/>
  <c r="AF33" i="71"/>
  <c r="T6" i="71"/>
  <c r="X58" i="23" a="1"/>
  <c r="X58" i="23" s="1"/>
  <c r="X36" i="23" s="1"/>
  <c r="X58" i="14" a="1"/>
  <c r="X58" i="14" s="1"/>
  <c r="V57" i="23" a="1"/>
  <c r="V57" i="23" s="1"/>
  <c r="V35" i="23" s="1"/>
  <c r="AS1296" i="13" a="1"/>
  <c r="AS1296" i="13" s="1"/>
  <c r="Z14" i="71"/>
  <c r="N202" i="13" a="1"/>
  <c r="N202" i="13" s="1"/>
  <c r="T7" i="71"/>
  <c r="BA25" i="71"/>
  <c r="AU34" i="71"/>
  <c r="AL30" i="71"/>
  <c r="AI6" i="71"/>
  <c r="AR27" i="71"/>
  <c r="AX9" i="71"/>
  <c r="AF24" i="71"/>
  <c r="Q16" i="71"/>
  <c r="E450" i="15"/>
  <c r="Z34" i="71"/>
  <c r="H58" i="14" a="1"/>
  <c r="H58" i="14" s="1"/>
  <c r="DC23" i="71"/>
  <c r="AV38" i="71"/>
  <c r="T8" i="71"/>
  <c r="CN12" i="71"/>
  <c r="AR4" i="71"/>
  <c r="DC28" i="71"/>
  <c r="F56" i="23" a="1"/>
  <c r="F56" i="23" s="1"/>
  <c r="DF18" i="71"/>
  <c r="I59" i="23" a="1"/>
  <c r="I59" i="23" s="1"/>
  <c r="CZ5" i="71"/>
  <c r="DI10" i="71"/>
  <c r="J615" i="15"/>
  <c r="CQ8" i="71"/>
  <c r="DC31" i="71"/>
  <c r="T5" i="71"/>
  <c r="W19" i="22"/>
  <c r="Y19" i="22" s="1"/>
  <c r="BA24" i="71"/>
  <c r="T24" i="71"/>
  <c r="AR21" i="71"/>
  <c r="AR19" i="71"/>
  <c r="AX12" i="71"/>
  <c r="AL8" i="71"/>
  <c r="AU25" i="71"/>
  <c r="AX19" i="71"/>
  <c r="AU32" i="71"/>
  <c r="AU9" i="71"/>
  <c r="N56" i="23" a="1"/>
  <c r="N56" i="23" s="1"/>
  <c r="AU36" i="71"/>
  <c r="AX5" i="71"/>
  <c r="BA30" i="71"/>
  <c r="K7" i="71"/>
  <c r="AG1296" i="13" a="1"/>
  <c r="AG1296" i="13" s="1"/>
  <c r="Q56" i="14" a="1"/>
  <c r="Q56" i="14" s="1"/>
  <c r="AO12" i="71"/>
  <c r="BD32" i="71"/>
  <c r="J640" i="15"/>
  <c r="AR17" i="71"/>
  <c r="Z19" i="71"/>
  <c r="BA36" i="71"/>
  <c r="N11" i="71"/>
  <c r="K58" i="14" a="1"/>
  <c r="K58" i="14" s="1"/>
  <c r="S57" i="23" a="1"/>
  <c r="S57" i="23" s="1"/>
  <c r="S35" i="23" s="1"/>
  <c r="AI21" i="71"/>
  <c r="U58" i="23" a="1"/>
  <c r="U58" i="23" s="1"/>
  <c r="U36" i="23" s="1"/>
  <c r="G56" i="14" a="1"/>
  <c r="G56" i="14" s="1"/>
  <c r="S56" i="23" a="1"/>
  <c r="S56" i="23" s="1"/>
  <c r="AO19" i="71"/>
  <c r="P56" i="14" a="1"/>
  <c r="P56" i="14" s="1"/>
  <c r="H56" i="14" a="1"/>
  <c r="H56" i="14" s="1"/>
  <c r="AU1296" i="13" a="1"/>
  <c r="AU1296" i="13" s="1"/>
  <c r="DR14" i="71"/>
  <c r="M59" i="14" a="1"/>
  <c r="M59" i="14" s="1"/>
  <c r="BA35" i="71"/>
  <c r="T20" i="71"/>
  <c r="AF4" i="71"/>
  <c r="Y57" i="14" a="1"/>
  <c r="Y57" i="14" s="1"/>
  <c r="J643" i="15"/>
  <c r="Z17" i="71"/>
  <c r="Z22" i="71"/>
  <c r="AR22" i="71"/>
  <c r="AU7" i="71"/>
  <c r="T11" i="71"/>
  <c r="J585" i="15"/>
  <c r="BA31" i="71"/>
  <c r="K15" i="71"/>
  <c r="J596" i="15"/>
  <c r="BA17" i="71"/>
  <c r="K59" i="14" a="1"/>
  <c r="K59" i="14" s="1"/>
  <c r="V58" i="23" a="1"/>
  <c r="V58" i="23" s="1"/>
  <c r="V36" i="23" s="1"/>
  <c r="J57" i="14" a="1"/>
  <c r="J57" i="14" s="1"/>
  <c r="I202" i="13" a="1"/>
  <c r="I202" i="13" s="1"/>
  <c r="G58" i="14" a="1"/>
  <c r="G58" i="14" s="1"/>
  <c r="J618" i="15"/>
  <c r="DL30" i="71"/>
  <c r="BM19" i="71"/>
  <c r="CR38" i="71"/>
  <c r="E8" i="71"/>
  <c r="E22" i="71"/>
  <c r="E18" i="71"/>
  <c r="AF17" i="71"/>
  <c r="T13" i="71"/>
  <c r="AI27" i="71"/>
  <c r="O202" i="13" a="1"/>
  <c r="O202" i="13" s="1"/>
  <c r="W7" i="71"/>
  <c r="Q58" i="23" a="1"/>
  <c r="Q58" i="23" s="1"/>
  <c r="Q36" i="23" s="1"/>
  <c r="W58" i="23" a="1"/>
  <c r="W58" i="23" s="1"/>
  <c r="W36" i="23" s="1"/>
  <c r="AL31" i="71"/>
  <c r="AO1296" i="13" a="1"/>
  <c r="AO1296" i="13" s="1"/>
  <c r="AR10" i="71"/>
  <c r="W12" i="71"/>
  <c r="O57" i="14" a="1"/>
  <c r="O57" i="14" s="1"/>
  <c r="K23" i="71"/>
  <c r="AH1296" i="13" a="1"/>
  <c r="AH1296" i="13" s="1"/>
  <c r="AR35" i="71"/>
  <c r="O59" i="23" a="1"/>
  <c r="O59" i="23" s="1"/>
  <c r="AL36" i="71"/>
  <c r="AL23" i="71"/>
  <c r="T202" i="13" a="1"/>
  <c r="T202" i="13" s="1"/>
  <c r="AU14" i="71"/>
  <c r="W27" i="71"/>
  <c r="W5" i="71"/>
  <c r="AI35" i="71"/>
  <c r="AI12" i="71"/>
  <c r="Y59" i="23" a="1"/>
  <c r="Y59" i="23" s="1"/>
  <c r="AF26" i="71"/>
  <c r="W16" i="71"/>
  <c r="U202" i="13" a="1"/>
  <c r="U202" i="13" s="1"/>
  <c r="AU23" i="71"/>
  <c r="Z1807" i="13"/>
  <c r="B1807" i="13" s="1" a="1"/>
  <c r="B1807" i="13" s="1"/>
  <c r="Z57" i="14" a="1"/>
  <c r="Z57" i="14" s="1"/>
  <c r="W31" i="71"/>
  <c r="Z23" i="71"/>
  <c r="W9" i="71"/>
  <c r="Z32" i="71"/>
  <c r="K12" i="27" a="1"/>
  <c r="K12" i="27" s="1"/>
  <c r="AY38" i="71"/>
  <c r="AX6" i="71"/>
  <c r="AO32" i="71"/>
  <c r="AL22" i="71"/>
  <c r="N14" i="71"/>
  <c r="AC1197" i="13" a="1"/>
  <c r="AC1197" i="13" s="1"/>
  <c r="T57" i="14" a="1"/>
  <c r="T57" i="14" s="1"/>
  <c r="AO36" i="71"/>
  <c r="AF25" i="71"/>
  <c r="T29" i="71"/>
  <c r="AL25" i="71"/>
  <c r="F59" i="23" a="1"/>
  <c r="F59" i="23" s="1"/>
  <c r="AX25" i="71"/>
  <c r="Q57" i="23" a="1"/>
  <c r="Q57" i="23" s="1"/>
  <c r="Q35" i="23" s="1"/>
  <c r="W22" i="22"/>
  <c r="Y22" i="22" s="1"/>
  <c r="Y58" i="14" a="1"/>
  <c r="Y58" i="14" s="1"/>
  <c r="T22" i="71"/>
  <c r="AO13" i="71"/>
  <c r="P12" i="27" a="1"/>
  <c r="P12" i="27" s="1"/>
  <c r="I58" i="14" a="1"/>
  <c r="I58" i="14" s="1"/>
  <c r="AI1296" i="13" a="1"/>
  <c r="AI1296" i="13" s="1"/>
  <c r="I59" i="14" a="1"/>
  <c r="I59" i="14" s="1"/>
  <c r="AX34" i="71"/>
  <c r="T21" i="71"/>
  <c r="T19" i="71"/>
  <c r="AR13" i="71"/>
  <c r="AR15" i="71"/>
  <c r="N26" i="71"/>
  <c r="BA9" i="71"/>
  <c r="W20" i="71"/>
  <c r="B50" i="14"/>
  <c r="AF22" i="71"/>
  <c r="AF12" i="71"/>
  <c r="G59" i="23" a="1"/>
  <c r="G59" i="23" s="1"/>
  <c r="AR32" i="71"/>
  <c r="AR1296" i="13" a="1"/>
  <c r="AR1296" i="13" s="1"/>
  <c r="AF28" i="71"/>
  <c r="Q56" i="23" a="1"/>
  <c r="Q56" i="23" s="1"/>
  <c r="DC15" i="71"/>
  <c r="EA30" i="71"/>
  <c r="W57" i="23" a="1"/>
  <c r="W57" i="23" s="1"/>
  <c r="W35" i="23" s="1"/>
  <c r="AD1296" i="13" a="1"/>
  <c r="AD1296" i="13" s="1"/>
  <c r="AI34" i="71"/>
  <c r="N22" i="71"/>
  <c r="M56" i="23" a="1"/>
  <c r="M56" i="23" s="1"/>
  <c r="W6" i="71"/>
  <c r="AF13" i="71"/>
  <c r="AI19" i="71"/>
  <c r="H59" i="23" a="1"/>
  <c r="H59" i="23" s="1"/>
  <c r="T16" i="27" a="1"/>
  <c r="T16" i="27" s="1"/>
  <c r="AX4" i="71"/>
  <c r="AO4" i="71"/>
  <c r="Y57" i="23" a="1"/>
  <c r="Y57" i="23" s="1"/>
  <c r="Y35" i="23" s="1"/>
  <c r="DF26" i="71"/>
  <c r="DI34" i="71"/>
  <c r="EM32" i="71"/>
  <c r="CT12" i="71"/>
  <c r="E4" i="71"/>
  <c r="E13" i="71"/>
  <c r="F38" i="71"/>
  <c r="AX30" i="71"/>
  <c r="AX33" i="71"/>
  <c r="W33" i="71"/>
  <c r="AL16" i="71"/>
  <c r="AX27" i="71"/>
  <c r="K33" i="71"/>
  <c r="Q59" i="23" a="1"/>
  <c r="Q59" i="23" s="1"/>
  <c r="AX11" i="71"/>
  <c r="L38" i="71"/>
  <c r="M56" i="14" a="1"/>
  <c r="M56" i="14" s="1"/>
  <c r="J653" i="15"/>
  <c r="J545" i="15"/>
  <c r="W25" i="71"/>
  <c r="AF5" i="71"/>
  <c r="AO5" i="71"/>
  <c r="AU30" i="71"/>
  <c r="AO1197" i="13" a="1"/>
  <c r="AO1197" i="13" s="1"/>
  <c r="AF16" i="71"/>
  <c r="AO34" i="71"/>
  <c r="BA32" i="71"/>
  <c r="J553" i="15"/>
  <c r="X57" i="14" a="1"/>
  <c r="X57" i="14" s="1"/>
  <c r="W58" i="14" a="1"/>
  <c r="W58" i="14" s="1"/>
  <c r="AO23" i="71"/>
  <c r="AR29" i="71"/>
  <c r="N7" i="71"/>
  <c r="V59" i="23" a="1"/>
  <c r="V59" i="23" s="1"/>
  <c r="AK1296" i="13" a="1"/>
  <c r="AK1296" i="13" s="1"/>
  <c r="T15" i="71"/>
  <c r="AI24" i="71"/>
  <c r="AL19" i="71"/>
  <c r="BA21" i="71"/>
  <c r="W23" i="71"/>
  <c r="AX31" i="71"/>
  <c r="K17" i="71"/>
  <c r="Z26" i="71"/>
  <c r="M58" i="14" a="1"/>
  <c r="M58" i="14" s="1"/>
  <c r="K56" i="23" a="1"/>
  <c r="K56" i="23" s="1"/>
  <c r="K202" i="13" a="1"/>
  <c r="K202" i="13" s="1"/>
  <c r="T56" i="14" a="1"/>
  <c r="T56" i="14" s="1"/>
  <c r="AR36" i="71"/>
  <c r="K56" i="14" a="1"/>
  <c r="K56" i="14" s="1"/>
  <c r="J575" i="15"/>
  <c r="AF8" i="71"/>
  <c r="K30" i="71"/>
  <c r="N58" i="14" a="1"/>
  <c r="N58" i="14" s="1"/>
  <c r="BA15" i="71"/>
  <c r="Z57" i="23" a="1"/>
  <c r="Z57" i="23" s="1"/>
  <c r="Z35" i="23" s="1"/>
  <c r="W35" i="71"/>
  <c r="K10" i="71"/>
  <c r="AO20" i="71"/>
  <c r="Y202" i="13" a="1"/>
  <c r="Y202" i="13" s="1"/>
  <c r="T59" i="14" a="1"/>
  <c r="T59" i="14" s="1"/>
  <c r="K57" i="14" a="1"/>
  <c r="K57" i="14" s="1"/>
  <c r="AU11" i="71"/>
  <c r="N57" i="23" a="1"/>
  <c r="N57" i="23" s="1"/>
  <c r="N35" i="23" s="1"/>
  <c r="T35" i="71"/>
  <c r="E575" i="15"/>
  <c r="T17" i="71"/>
  <c r="BA4" i="71"/>
  <c r="BA10" i="71"/>
  <c r="Z11" i="71"/>
  <c r="AB1296" i="13" a="1"/>
  <c r="AB1296" i="13" s="1"/>
  <c r="AU16" i="71"/>
  <c r="R12" i="27" a="1"/>
  <c r="R12" i="27" s="1"/>
  <c r="J58" i="14" a="1"/>
  <c r="J58" i="14" s="1"/>
  <c r="EP22" i="71"/>
  <c r="Z9" i="71"/>
  <c r="AF34" i="71"/>
  <c r="AF27" i="71"/>
  <c r="O58" i="14" a="1"/>
  <c r="O58" i="14" s="1"/>
  <c r="V22" i="22"/>
  <c r="DL7" i="71"/>
  <c r="EY5" i="71"/>
  <c r="J512" i="15"/>
  <c r="AT1296" i="13" a="1"/>
  <c r="AT1296" i="13" s="1"/>
  <c r="BA13" i="71"/>
  <c r="CN5" i="71"/>
  <c r="T14" i="71"/>
  <c r="FB31" i="71"/>
  <c r="AA38" i="71"/>
  <c r="CZ23" i="71"/>
  <c r="Z1808" i="13"/>
  <c r="B1808" i="13" s="1" a="1"/>
  <c r="B1808" i="13" s="1"/>
  <c r="Z15" i="71"/>
  <c r="AX7" i="71"/>
  <c r="AR12" i="71"/>
  <c r="H17" i="71"/>
  <c r="E27" i="71"/>
  <c r="E24" i="71"/>
  <c r="E26" i="71"/>
  <c r="T28" i="71"/>
  <c r="J522" i="15"/>
  <c r="T36" i="71"/>
  <c r="AX35" i="71"/>
  <c r="AL34" i="71"/>
  <c r="AF7" i="71"/>
  <c r="AX16" i="71"/>
  <c r="G58" i="23" a="1"/>
  <c r="G58" i="23" s="1"/>
  <c r="G36" i="23" s="1"/>
  <c r="AL11" i="71"/>
  <c r="J565" i="15"/>
  <c r="Z7" i="71"/>
  <c r="F59" i="14" a="1"/>
  <c r="F59" i="14" s="1"/>
  <c r="K59" i="23" a="1"/>
  <c r="K59" i="23" s="1"/>
  <c r="M202" i="13" a="1"/>
  <c r="M202" i="13" s="1"/>
  <c r="BB38" i="71"/>
  <c r="AN1296" i="13" a="1"/>
  <c r="AN1296" i="13" s="1"/>
  <c r="AX32" i="71"/>
  <c r="AL32" i="71"/>
  <c r="H56" i="23" a="1"/>
  <c r="H56" i="23" s="1"/>
  <c r="AR16" i="71"/>
  <c r="AX15" i="71"/>
  <c r="AR23" i="71"/>
  <c r="AO35" i="71"/>
  <c r="AJ38" i="71"/>
  <c r="AT1197" i="13" a="1"/>
  <c r="AT1197" i="13" s="1"/>
  <c r="F58" i="14" a="1"/>
  <c r="F58" i="14" s="1"/>
  <c r="AO25" i="71"/>
  <c r="AU6" i="71"/>
  <c r="T23" i="71"/>
  <c r="U59" i="23" a="1"/>
  <c r="U59" i="23" s="1"/>
  <c r="AL17" i="71"/>
  <c r="BA22" i="71"/>
  <c r="AI18" i="71"/>
  <c r="AL10" i="71"/>
  <c r="N9" i="71"/>
  <c r="F50" i="23"/>
  <c r="P50" i="23" s="1"/>
  <c r="Z50" i="23" s="1"/>
  <c r="F201" i="13" a="1"/>
  <c r="F201" i="13" s="1"/>
  <c r="AI23" i="71"/>
  <c r="AU35" i="71"/>
  <c r="AL27" i="71"/>
  <c r="AO8" i="71"/>
  <c r="CK12" i="71"/>
  <c r="AI9" i="71"/>
  <c r="EM24" i="71"/>
  <c r="AI20" i="71"/>
  <c r="J623" i="15"/>
  <c r="EM29" i="71"/>
  <c r="E36" i="71"/>
  <c r="E30" i="71"/>
  <c r="E17" i="71"/>
  <c r="BA11" i="71"/>
  <c r="AF23" i="71"/>
  <c r="AR34" i="71"/>
  <c r="K34" i="71"/>
  <c r="AR6" i="71"/>
  <c r="AR28" i="71"/>
  <c r="AX8" i="71"/>
  <c r="BA8" i="71"/>
  <c r="W30" i="71"/>
  <c r="N16" i="71"/>
  <c r="AR30" i="71"/>
  <c r="L57" i="23" a="1"/>
  <c r="L57" i="23" s="1"/>
  <c r="L35" i="23" s="1"/>
  <c r="W8" i="71"/>
  <c r="W28" i="71"/>
  <c r="K12" i="71"/>
  <c r="AX14" i="71"/>
  <c r="AR7" i="71"/>
  <c r="J483" i="15"/>
  <c r="T59" i="23" a="1"/>
  <c r="T59" i="23" s="1"/>
  <c r="AU18" i="71"/>
  <c r="F57" i="14" a="1"/>
  <c r="F57" i="14" s="1"/>
  <c r="AU24" i="71"/>
  <c r="AR31" i="71"/>
  <c r="R16" i="27" a="1"/>
  <c r="R16" i="27" s="1"/>
  <c r="H57" i="23" a="1"/>
  <c r="H57" i="23" s="1"/>
  <c r="H35" i="23" s="1"/>
  <c r="K20" i="71"/>
  <c r="AU1197" i="13" a="1"/>
  <c r="AU1197" i="13" s="1"/>
  <c r="T26" i="71"/>
  <c r="L56" i="23" a="1"/>
  <c r="L56" i="23" s="1"/>
  <c r="K22" i="71"/>
  <c r="AF36" i="71"/>
  <c r="AU31" i="71"/>
  <c r="AL24" i="71"/>
  <c r="J477" i="15"/>
  <c r="J634" i="15"/>
  <c r="K11" i="71"/>
  <c r="E15" i="71"/>
  <c r="E11" i="71"/>
  <c r="E21" i="71"/>
  <c r="W14" i="22"/>
  <c r="Y14" i="22" s="1"/>
  <c r="AL26" i="71"/>
  <c r="AO9" i="71"/>
  <c r="J569" i="15"/>
  <c r="W32" i="71"/>
  <c r="Z59" i="14" a="1"/>
  <c r="Z59" i="14" s="1"/>
  <c r="L58" i="23" a="1"/>
  <c r="L58" i="23" s="1"/>
  <c r="L36" i="23" s="1"/>
  <c r="Z5" i="71"/>
  <c r="Z24" i="71"/>
  <c r="BA29" i="71"/>
  <c r="W13" i="71"/>
  <c r="R59" i="14" a="1"/>
  <c r="R59" i="14" s="1"/>
  <c r="T32" i="71"/>
  <c r="AU10" i="71"/>
  <c r="AI25" i="71"/>
  <c r="AU21" i="71"/>
  <c r="W4" i="71"/>
  <c r="AU4" i="71"/>
  <c r="Z20" i="71"/>
  <c r="BA34" i="71"/>
  <c r="AU29" i="71"/>
  <c r="V58" i="14" a="1"/>
  <c r="V58" i="14" s="1"/>
  <c r="AR11" i="71"/>
  <c r="AS1197" i="13" a="1"/>
  <c r="AS1197" i="13" s="1"/>
  <c r="N5" i="71"/>
  <c r="AM1197" i="13" a="1"/>
  <c r="AM1197" i="13" s="1"/>
  <c r="E7" i="71"/>
  <c r="E25" i="71"/>
  <c r="E20" i="71"/>
  <c r="V14" i="22"/>
  <c r="AL35" i="71"/>
  <c r="AX23" i="71"/>
  <c r="BA20" i="71"/>
  <c r="T16" i="71"/>
  <c r="AR14" i="71"/>
  <c r="BA23" i="71"/>
  <c r="AU22" i="71"/>
  <c r="J58" i="23" a="1"/>
  <c r="J58" i="23" s="1"/>
  <c r="J36" i="23" s="1"/>
  <c r="AU33" i="71"/>
  <c r="AU19" i="71"/>
  <c r="W22" i="71"/>
  <c r="AL18" i="71"/>
  <c r="T4" i="71"/>
  <c r="AO22" i="71"/>
  <c r="T58" i="23" a="1"/>
  <c r="T58" i="23" s="1"/>
  <c r="T36" i="23" s="1"/>
  <c r="AI7" i="71"/>
  <c r="K29" i="71"/>
  <c r="AO16" i="71"/>
  <c r="AL1296" i="13" a="1"/>
  <c r="AL1296" i="13" s="1"/>
  <c r="Z16" i="71"/>
  <c r="U14" i="27" a="1"/>
  <c r="U14" i="27" s="1"/>
  <c r="V56" i="23" a="1"/>
  <c r="V56" i="23" s="1"/>
  <c r="M57" i="23" a="1"/>
  <c r="M57" i="23" s="1"/>
  <c r="M35" i="23" s="1"/>
  <c r="AX17" i="71"/>
  <c r="Q14" i="27" a="1"/>
  <c r="Q14" i="27" s="1"/>
  <c r="T12" i="71"/>
  <c r="P14" i="27" a="1"/>
  <c r="P14" i="27" s="1"/>
  <c r="P56" i="23" a="1"/>
  <c r="P56" i="23" s="1"/>
  <c r="AL9" i="71"/>
  <c r="Q29" i="71"/>
  <c r="AR26" i="71"/>
  <c r="DR36" i="71"/>
  <c r="BA7" i="71"/>
  <c r="W24" i="71"/>
  <c r="E5" i="71"/>
  <c r="E33" i="71"/>
  <c r="E9" i="71"/>
  <c r="AL29" i="71"/>
  <c r="AX24" i="71"/>
  <c r="AO29" i="71"/>
  <c r="AX18" i="71"/>
  <c r="X202" i="13" a="1"/>
  <c r="X202" i="13" s="1"/>
  <c r="AR20" i="71"/>
  <c r="AK1197" i="13" a="1"/>
  <c r="AK1197" i="13" s="1"/>
  <c r="AM38" i="71"/>
  <c r="L59" i="23" a="1"/>
  <c r="L59" i="23" s="1"/>
  <c r="P58" i="23" a="1"/>
  <c r="P58" i="23" s="1"/>
  <c r="P36" i="23" s="1"/>
  <c r="BA33" i="71"/>
  <c r="L56" i="14" a="1"/>
  <c r="L56" i="14" s="1"/>
  <c r="AO11" i="71"/>
  <c r="Z21" i="71"/>
  <c r="AF29" i="71"/>
  <c r="N6" i="71"/>
  <c r="X38" i="71"/>
  <c r="K58" i="23" a="1"/>
  <c r="K58" i="23" s="1"/>
  <c r="K36" i="23" s="1"/>
  <c r="AJ1197" i="13" a="1"/>
  <c r="AJ1197" i="13" s="1"/>
  <c r="K13" i="71"/>
  <c r="AI26" i="71"/>
  <c r="K35" i="71"/>
  <c r="W57" i="14" a="1"/>
  <c r="W57" i="14" s="1"/>
  <c r="J59" i="23" a="1"/>
  <c r="J59" i="23" s="1"/>
  <c r="E563" i="15"/>
  <c r="BA19" i="71"/>
  <c r="J532" i="15"/>
  <c r="O57" i="23" a="1"/>
  <c r="O57" i="23" s="1"/>
  <c r="O35" i="23" s="1"/>
  <c r="Q22" i="71"/>
  <c r="W36" i="71"/>
  <c r="Q13" i="71"/>
  <c r="Q58" i="14" a="1"/>
  <c r="Q58" i="14" s="1"/>
  <c r="K14" i="71"/>
  <c r="AF18" i="71"/>
  <c r="Z10" i="71"/>
  <c r="AF14" i="71"/>
  <c r="K25" i="71"/>
  <c r="BA28" i="71"/>
  <c r="Y59" i="14" a="1"/>
  <c r="Y59" i="14" s="1"/>
  <c r="Y56" i="14" a="1"/>
  <c r="Y56" i="14" s="1"/>
  <c r="G57" i="23" a="1"/>
  <c r="G57" i="23" s="1"/>
  <c r="G35" i="23" s="1"/>
  <c r="Z13" i="71"/>
  <c r="V59" i="14" a="1"/>
  <c r="V59" i="14" s="1"/>
  <c r="CQ19" i="71"/>
  <c r="BM5" i="71"/>
  <c r="J56" i="14" a="1"/>
  <c r="J56" i="14" s="1"/>
  <c r="K6" i="71"/>
  <c r="Z36" i="71"/>
  <c r="EM5" i="71"/>
  <c r="BD12" i="71"/>
  <c r="DI27" i="71"/>
  <c r="F50" i="14"/>
  <c r="P50" i="14" s="1"/>
  <c r="Z50" i="14" s="1"/>
  <c r="W29" i="71"/>
  <c r="EA27" i="71"/>
  <c r="J603" i="15"/>
  <c r="E14" i="71"/>
  <c r="E29" i="71"/>
  <c r="E31" i="71"/>
  <c r="T34" i="71"/>
  <c r="AF31" i="71"/>
  <c r="J556" i="15"/>
  <c r="AL7" i="71"/>
  <c r="W18" i="71"/>
  <c r="BA27" i="71"/>
  <c r="J563" i="15"/>
  <c r="I56" i="23" a="1"/>
  <c r="I56" i="23" s="1"/>
  <c r="AL20" i="71"/>
  <c r="AR9" i="71"/>
  <c r="O38" i="71"/>
  <c r="AR24" i="71"/>
  <c r="G57" i="14" a="1"/>
  <c r="G57" i="14" s="1"/>
  <c r="AF21" i="71"/>
  <c r="BA12" i="71"/>
  <c r="W34" i="71"/>
  <c r="G56" i="23" a="1"/>
  <c r="G56" i="23" s="1"/>
  <c r="AF30" i="71"/>
  <c r="W15" i="71"/>
  <c r="N23" i="71"/>
  <c r="N25" i="71"/>
  <c r="K8" i="71"/>
  <c r="B50" i="23"/>
  <c r="K18" i="71"/>
  <c r="J542" i="15"/>
  <c r="AO17" i="71"/>
  <c r="O56" i="14" a="1"/>
  <c r="O56" i="14" s="1"/>
  <c r="AL14" i="71"/>
  <c r="AX22" i="71"/>
  <c r="BA14" i="71"/>
  <c r="AR25" i="71"/>
  <c r="AF15" i="71"/>
  <c r="R14" i="27" a="1"/>
  <c r="R14" i="27" s="1"/>
  <c r="AG38" i="71"/>
  <c r="AU12" i="71"/>
  <c r="AO21" i="71"/>
  <c r="AF19" i="71"/>
  <c r="J570" i="15"/>
  <c r="Q202" i="13" a="1"/>
  <c r="Q202" i="13" s="1"/>
  <c r="N36" i="71"/>
  <c r="AF10" i="71"/>
  <c r="AU8" i="71"/>
  <c r="J526" i="15"/>
  <c r="CN4" i="71"/>
  <c r="AI11" i="71"/>
  <c r="F57" i="23" a="1"/>
  <c r="F57" i="23" s="1"/>
  <c r="F35" i="23" s="1"/>
  <c r="U58" i="14" a="1"/>
  <c r="U58" i="14" s="1"/>
  <c r="AL5" i="71"/>
  <c r="U57" i="23" a="1"/>
  <c r="U57" i="23" s="1"/>
  <c r="U35" i="23" s="1"/>
  <c r="DM38" i="71"/>
  <c r="DF35" i="71"/>
  <c r="CB15" i="71"/>
  <c r="CZ7" i="71"/>
  <c r="AD1197" i="13" a="1"/>
  <c r="AD1197" i="13" s="1"/>
  <c r="Z1508" i="13"/>
  <c r="EY19" i="71"/>
  <c r="FB28" i="71"/>
  <c r="CK24" i="71"/>
  <c r="H12" i="71"/>
  <c r="AX26" i="71"/>
  <c r="O58" i="23" a="1"/>
  <c r="O58" i="23" s="1"/>
  <c r="O36" i="23" s="1"/>
  <c r="U59" i="14" a="1"/>
  <c r="U59" i="14" s="1"/>
  <c r="S58" i="23" a="1"/>
  <c r="S58" i="23" s="1"/>
  <c r="S36" i="23" s="1"/>
  <c r="J590" i="15"/>
  <c r="BM12" i="71"/>
  <c r="J202" i="13" a="1"/>
  <c r="J202" i="13" s="1"/>
  <c r="AF1197" i="13" a="1"/>
  <c r="AF1197" i="13" s="1"/>
  <c r="AE1197" i="13" s="1" a="1"/>
  <c r="AE1197" i="13" s="1"/>
  <c r="AI32" i="71"/>
  <c r="AI8" i="71"/>
  <c r="DR8" i="71"/>
  <c r="AL1197" i="13" a="1"/>
  <c r="AL1197" i="13" s="1"/>
  <c r="J547" i="15"/>
  <c r="AU5" i="71"/>
  <c r="AR8" i="71"/>
  <c r="W59" i="14" a="1"/>
  <c r="W59" i="14" s="1"/>
  <c r="N29" i="71"/>
  <c r="AJ1296" i="13" a="1"/>
  <c r="AJ1296" i="13" s="1"/>
  <c r="Q57" i="14" a="1"/>
  <c r="Q57" i="14" s="1"/>
  <c r="P59" i="23" a="1"/>
  <c r="P59" i="23" s="1"/>
  <c r="Q18" i="71"/>
  <c r="AL33" i="71"/>
  <c r="W10" i="71"/>
  <c r="AR18" i="71"/>
  <c r="CB12" i="71"/>
  <c r="AI5" i="71"/>
  <c r="J612" i="15"/>
  <c r="CB5" i="71"/>
  <c r="X57" i="23" a="1"/>
  <c r="X57" i="23" s="1"/>
  <c r="X35" i="23" s="1"/>
  <c r="CN20" i="71"/>
  <c r="CT31" i="71"/>
  <c r="Z25" i="71"/>
  <c r="N56" i="14" a="1"/>
  <c r="N56" i="14" s="1"/>
  <c r="R59" i="23" a="1"/>
  <c r="R59" i="23" s="1"/>
  <c r="Z29" i="71"/>
  <c r="AX20" i="71"/>
  <c r="DR13" i="71"/>
  <c r="CZ13" i="71"/>
  <c r="J476" i="15"/>
  <c r="X56" i="23" a="1"/>
  <c r="X56" i="23" s="1"/>
  <c r="AR33" i="71"/>
  <c r="BD13" i="71"/>
  <c r="AU27" i="71"/>
  <c r="BD16" i="71"/>
  <c r="N35" i="71"/>
  <c r="CB27" i="71"/>
  <c r="L58" i="14" a="1"/>
  <c r="L58" i="14" s="1"/>
  <c r="T30" i="71"/>
  <c r="AI17" i="71"/>
  <c r="AU17" i="71"/>
  <c r="AI36" i="71"/>
  <c r="AO31" i="71"/>
  <c r="V19" i="22"/>
  <c r="AC1296" i="13" a="1"/>
  <c r="AC1296" i="13" s="1"/>
  <c r="DF33" i="71"/>
  <c r="CZ4" i="71"/>
  <c r="J597" i="15"/>
  <c r="O56" i="23" a="1"/>
  <c r="O56" i="23" s="1"/>
  <c r="CZ32" i="71"/>
  <c r="K21" i="71"/>
  <c r="DC34" i="71"/>
  <c r="J607" i="15"/>
  <c r="AP38" i="71"/>
  <c r="W14" i="71"/>
  <c r="Q16" i="27" a="1"/>
  <c r="Q16" i="27" s="1"/>
  <c r="BA26" i="71"/>
  <c r="AR5" i="71"/>
  <c r="FB19" i="71"/>
  <c r="Z56" i="23" a="1"/>
  <c r="Z56" i="23" s="1"/>
  <c r="AU28" i="71"/>
  <c r="S16" i="27" a="1"/>
  <c r="S16" i="27" s="1"/>
  <c r="AL12" i="71"/>
  <c r="BD4" i="71"/>
  <c r="BP10" i="71"/>
  <c r="AI29" i="71"/>
  <c r="AU26" i="71"/>
  <c r="AX21" i="71"/>
  <c r="DI15" i="71"/>
  <c r="V202" i="13" a="1"/>
  <c r="V202" i="13" s="1"/>
  <c r="T27" i="71"/>
  <c r="EP25" i="71"/>
  <c r="DI28" i="71"/>
  <c r="FB27" i="71"/>
  <c r="AL4" i="71"/>
  <c r="DF16" i="71"/>
  <c r="AV1503" i="13"/>
  <c r="AV1602" i="13" s="1"/>
  <c r="AL13" i="71"/>
  <c r="H8" i="71"/>
  <c r="N10" i="71"/>
  <c r="Q20" i="71"/>
  <c r="AX13" i="71"/>
  <c r="AX28" i="71"/>
  <c r="AL28" i="71"/>
  <c r="V56" i="14" a="1"/>
  <c r="V56" i="14" s="1"/>
  <c r="EY11" i="71"/>
  <c r="AB1197" i="13" a="1"/>
  <c r="AB1197" i="13" s="1"/>
  <c r="DU9" i="71"/>
  <c r="Z27" i="71"/>
  <c r="AQ1197" i="13" a="1"/>
  <c r="AQ1197" i="13" s="1"/>
  <c r="J529" i="15"/>
  <c r="Z1509" i="13"/>
  <c r="AV1405" i="13"/>
  <c r="CN7" i="71"/>
  <c r="DU4" i="71"/>
  <c r="AO28" i="71"/>
  <c r="T18" i="71"/>
  <c r="W11" i="71"/>
  <c r="N28" i="71"/>
  <c r="Q31" i="71"/>
  <c r="Z35" i="71"/>
  <c r="E178" i="15"/>
  <c r="T12" i="27" a="1"/>
  <c r="T12" i="27" s="1"/>
  <c r="DI14" i="71"/>
  <c r="DI21" i="71"/>
  <c r="E429" i="15"/>
  <c r="EP23" i="71"/>
  <c r="BD6" i="71"/>
  <c r="EY22" i="71"/>
  <c r="N17" i="71"/>
  <c r="N57" i="14" a="1"/>
  <c r="N57" i="14" s="1"/>
  <c r="T58" i="14" a="1"/>
  <c r="T58" i="14" s="1"/>
  <c r="AX29" i="71"/>
  <c r="CB26" i="71"/>
  <c r="DI19" i="71"/>
  <c r="AI15" i="71"/>
  <c r="AO33" i="71"/>
  <c r="DR32" i="71"/>
  <c r="J621" i="15"/>
  <c r="G202" i="13" a="1"/>
  <c r="G202" i="13" s="1"/>
  <c r="R202" i="13" a="1"/>
  <c r="R202" i="13" s="1"/>
  <c r="AX36" i="71"/>
  <c r="P57" i="14" a="1"/>
  <c r="P57" i="14" s="1"/>
  <c r="DU5" i="71"/>
  <c r="DU29" i="71"/>
  <c r="J651" i="15"/>
  <c r="AF1296" i="13" a="1"/>
  <c r="AF1296" i="13" s="1"/>
  <c r="AL15" i="71"/>
  <c r="U38" i="71"/>
  <c r="N59" i="14" a="1"/>
  <c r="N59" i="14" s="1"/>
  <c r="DC33" i="71"/>
  <c r="N24" i="71"/>
  <c r="CN6" i="71"/>
  <c r="DI23" i="71"/>
  <c r="AO26" i="71"/>
  <c r="AU13" i="71"/>
  <c r="J535" i="15"/>
  <c r="Q28" i="71"/>
  <c r="AO10" i="71"/>
  <c r="AF6" i="71"/>
  <c r="Z202" i="13" a="1"/>
  <c r="Z202" i="13" s="1"/>
  <c r="EV32" i="71"/>
  <c r="W26" i="71"/>
  <c r="L57" i="14" a="1"/>
  <c r="L57" i="14" s="1"/>
  <c r="CT27" i="71"/>
  <c r="BM16" i="71"/>
  <c r="CB19" i="71"/>
  <c r="AV1504" i="13"/>
  <c r="AV1603" i="13" s="1"/>
  <c r="L59" i="14" a="1"/>
  <c r="L59" i="14" s="1"/>
  <c r="BA18" i="71"/>
  <c r="AO14" i="71"/>
  <c r="CB24" i="71"/>
  <c r="V17" i="22"/>
  <c r="K32" i="71"/>
  <c r="B10" i="71"/>
  <c r="E12" i="71"/>
  <c r="J492" i="15"/>
  <c r="B35" i="71"/>
  <c r="B14" i="71"/>
  <c r="F45" i="14"/>
  <c r="P45" i="14" s="1"/>
  <c r="Z45" i="14" s="1"/>
  <c r="BM4" i="71"/>
  <c r="J536" i="15"/>
  <c r="Q36" i="71"/>
  <c r="CN29" i="71"/>
  <c r="DF6" i="71"/>
  <c r="DC16" i="71"/>
  <c r="EV13" i="71"/>
  <c r="DL21" i="71"/>
  <c r="J484" i="15"/>
  <c r="K31" i="71"/>
  <c r="J480" i="15"/>
  <c r="EM26" i="71"/>
  <c r="DC26" i="71"/>
  <c r="EY18" i="71"/>
  <c r="EY9" i="71"/>
  <c r="CQ11" i="71"/>
  <c r="FB7" i="71"/>
  <c r="DO36" i="71"/>
  <c r="EV25" i="71"/>
  <c r="CQ31" i="71"/>
  <c r="DI5" i="71"/>
  <c r="DI6" i="71"/>
  <c r="DO33" i="71"/>
  <c r="CE6" i="71"/>
  <c r="H10" i="71"/>
  <c r="CK20" i="71"/>
  <c r="CB23" i="71"/>
  <c r="DC27" i="71"/>
  <c r="BM8" i="71"/>
  <c r="EM10" i="71"/>
  <c r="DU16" i="71"/>
  <c r="EM8" i="71"/>
  <c r="DU11" i="71"/>
  <c r="J583" i="15"/>
  <c r="DO21" i="71"/>
  <c r="CT4" i="71"/>
  <c r="EV18" i="71"/>
  <c r="FB4" i="71"/>
  <c r="EP16" i="71"/>
  <c r="DO35" i="71"/>
  <c r="EP9" i="71"/>
  <c r="CN28" i="71"/>
  <c r="Q33" i="71"/>
  <c r="CO38" i="71"/>
  <c r="J567" i="15"/>
  <c r="DR7" i="71"/>
  <c r="DD38" i="71"/>
  <c r="EP17" i="71"/>
  <c r="J645" i="15"/>
  <c r="F46" i="23"/>
  <c r="P46" i="23" s="1"/>
  <c r="Z46" i="23" s="1"/>
  <c r="BD29" i="71"/>
  <c r="DO6" i="71"/>
  <c r="DU7" i="71"/>
  <c r="CZ26" i="71"/>
  <c r="AI1197" i="13" a="1"/>
  <c r="AI1197" i="13" s="1"/>
  <c r="DR24" i="71"/>
  <c r="BQ38" i="71"/>
  <c r="DL14" i="71"/>
  <c r="J628" i="15"/>
  <c r="CB8" i="71"/>
  <c r="J646" i="15"/>
  <c r="J580" i="15"/>
  <c r="DR12" i="71"/>
  <c r="N59" i="23" a="1"/>
  <c r="N59" i="23" s="1"/>
  <c r="DR11" i="71"/>
  <c r="CN36" i="71"/>
  <c r="FB23" i="71"/>
  <c r="BD33" i="71"/>
  <c r="AF11" i="71"/>
  <c r="CE27" i="71"/>
  <c r="CN14" i="71"/>
  <c r="DS38" i="71"/>
  <c r="Z1846" i="13"/>
  <c r="B1846" i="13" s="1" a="1"/>
  <c r="B1846" i="13" s="1"/>
  <c r="AN1197" i="13" a="1"/>
  <c r="AN1197" i="13" s="1"/>
  <c r="DI33" i="71"/>
  <c r="ED27" i="71"/>
  <c r="J566" i="15"/>
  <c r="B8" i="71"/>
  <c r="B30" i="71"/>
  <c r="E16" i="71"/>
  <c r="W17" i="22"/>
  <c r="Y17" i="22" s="1"/>
  <c r="EM27" i="71"/>
  <c r="J504" i="15"/>
  <c r="Q24" i="71"/>
  <c r="CB22" i="71"/>
  <c r="BP7" i="71"/>
  <c r="BP8" i="71"/>
  <c r="CN19" i="71"/>
  <c r="BD24" i="71"/>
  <c r="J478" i="15"/>
  <c r="K26" i="71"/>
  <c r="J509" i="15"/>
  <c r="EV29" i="71"/>
  <c r="EV35" i="71"/>
  <c r="DR4" i="71"/>
  <c r="CT22" i="71"/>
  <c r="DR10" i="71"/>
  <c r="BP21" i="71"/>
  <c r="DI35" i="71"/>
  <c r="EM28" i="71"/>
  <c r="FB34" i="71"/>
  <c r="CZ12" i="71"/>
  <c r="BD10" i="71"/>
  <c r="CE4" i="71"/>
  <c r="H28" i="71"/>
  <c r="CE34" i="71"/>
  <c r="DF19" i="71"/>
  <c r="EY31" i="71"/>
  <c r="CN27" i="71"/>
  <c r="DU20" i="71"/>
  <c r="EA20" i="71"/>
  <c r="BP32" i="71"/>
  <c r="CQ5" i="71"/>
  <c r="EM11" i="71"/>
  <c r="CZ31" i="71"/>
  <c r="CZ10" i="71"/>
  <c r="DU8" i="71"/>
  <c r="EV28" i="71"/>
  <c r="EV34" i="71"/>
  <c r="EA26" i="71"/>
  <c r="Q11" i="71"/>
  <c r="CE26" i="71"/>
  <c r="CZ15" i="71"/>
  <c r="DR26" i="71"/>
  <c r="DR25" i="71"/>
  <c r="DI16" i="71"/>
  <c r="DL26" i="71"/>
  <c r="F46" i="14"/>
  <c r="P46" i="14" s="1"/>
  <c r="Z46" i="14" s="1"/>
  <c r="BD19" i="71"/>
  <c r="Q26" i="71"/>
  <c r="O59" i="14" a="1"/>
  <c r="O59" i="14" s="1"/>
  <c r="BP25" i="71"/>
  <c r="I57" i="23" a="1"/>
  <c r="I57" i="23" s="1"/>
  <c r="I35" i="23" s="1"/>
  <c r="DF30" i="71"/>
  <c r="BM29" i="71"/>
  <c r="DC17" i="71"/>
  <c r="EA24" i="71"/>
  <c r="CT17" i="71"/>
  <c r="CT28" i="71"/>
  <c r="BM6" i="71"/>
  <c r="L202" i="13" a="1"/>
  <c r="L202" i="13" s="1"/>
  <c r="EV9" i="71"/>
  <c r="CQ25" i="71"/>
  <c r="AF20" i="71"/>
  <c r="EY34" i="71"/>
  <c r="E353" i="15"/>
  <c r="N31" i="71"/>
  <c r="CE33" i="71"/>
  <c r="Z1818" i="13"/>
  <c r="B1818" i="13" s="1" a="1"/>
  <c r="B1818" i="13" s="1"/>
  <c r="J647" i="15"/>
  <c r="AO6" i="71"/>
  <c r="B17" i="71"/>
  <c r="B22" i="71"/>
  <c r="B19" i="71"/>
  <c r="E35" i="71"/>
  <c r="J491" i="15"/>
  <c r="J517" i="15"/>
  <c r="N4" i="71"/>
  <c r="BD15" i="71"/>
  <c r="EM14" i="71"/>
  <c r="BM20" i="71"/>
  <c r="DU36" i="71"/>
  <c r="CB21" i="71"/>
  <c r="DO28" i="71"/>
  <c r="CB10" i="71"/>
  <c r="K27" i="71"/>
  <c r="EA8" i="71"/>
  <c r="CB25" i="71"/>
  <c r="EA14" i="71"/>
  <c r="J629" i="15"/>
  <c r="CT30" i="71"/>
  <c r="J558" i="15"/>
  <c r="DO18" i="71"/>
  <c r="BP14" i="71"/>
  <c r="EV7" i="71"/>
  <c r="DC32" i="71"/>
  <c r="CT32" i="71"/>
  <c r="DO19" i="71"/>
  <c r="Q7" i="71"/>
  <c r="H22" i="71"/>
  <c r="H4" i="71"/>
  <c r="BM9" i="71"/>
  <c r="DF4" i="71"/>
  <c r="DA38" i="71"/>
  <c r="EV20" i="71"/>
  <c r="CQ24" i="71"/>
  <c r="DC7" i="71"/>
  <c r="DU18" i="71"/>
  <c r="DF27" i="71"/>
  <c r="CK28" i="71"/>
  <c r="DF31" i="71"/>
  <c r="J622" i="15"/>
  <c r="DO11" i="71"/>
  <c r="DC20" i="71"/>
  <c r="DC10" i="71"/>
  <c r="EY33" i="71"/>
  <c r="DL18" i="71"/>
  <c r="CN17" i="71"/>
  <c r="BD26" i="71"/>
  <c r="Q23" i="71"/>
  <c r="DR17" i="71"/>
  <c r="EA5" i="71"/>
  <c r="DC12" i="71"/>
  <c r="EA33" i="71"/>
  <c r="Z1805" i="13"/>
  <c r="B1805" i="13" s="1" a="1"/>
  <c r="B1805" i="13" s="1"/>
  <c r="B45" i="14"/>
  <c r="J614" i="15"/>
  <c r="CK21" i="71"/>
  <c r="DL19" i="71"/>
  <c r="H202" i="13" a="1"/>
  <c r="H202" i="13" s="1"/>
  <c r="CT34" i="71"/>
  <c r="AG1197" i="13" a="1"/>
  <c r="AG1197" i="13" s="1"/>
  <c r="DJ38" i="71"/>
  <c r="CT20" i="71"/>
  <c r="DU14" i="71"/>
  <c r="FB36" i="71"/>
  <c r="B9" i="71"/>
  <c r="B18" i="71"/>
  <c r="BD25" i="71"/>
  <c r="H3" i="9"/>
  <c r="E28" i="71"/>
  <c r="Z1813" i="13"/>
  <c r="B1813" i="13" s="1" a="1"/>
  <c r="B1813" i="13" s="1"/>
  <c r="J510" i="15"/>
  <c r="F49" i="14"/>
  <c r="P49" i="14" s="1"/>
  <c r="Z49" i="14" s="1"/>
  <c r="DF25" i="71"/>
  <c r="DL12" i="71"/>
  <c r="N34" i="71"/>
  <c r="J561" i="15"/>
  <c r="EV5" i="71"/>
  <c r="BP33" i="71"/>
  <c r="J488" i="15"/>
  <c r="DO20" i="71"/>
  <c r="AI28" i="71"/>
  <c r="EA4" i="71"/>
  <c r="DO8" i="71"/>
  <c r="CZ28" i="71"/>
  <c r="BM24" i="71"/>
  <c r="EA23" i="71"/>
  <c r="J538" i="15"/>
  <c r="DC25" i="71"/>
  <c r="BP18" i="71"/>
  <c r="DR20" i="71"/>
  <c r="EY6" i="71"/>
  <c r="J648" i="15"/>
  <c r="EM31" i="71"/>
  <c r="CL38" i="71"/>
  <c r="H30" i="71"/>
  <c r="EM22" i="71"/>
  <c r="H11" i="71"/>
  <c r="DO17" i="71"/>
  <c r="DF14" i="71"/>
  <c r="EP36" i="71"/>
  <c r="BP20" i="71"/>
  <c r="DR22" i="71"/>
  <c r="CE5" i="71"/>
  <c r="EV21" i="71"/>
  <c r="J495" i="15"/>
  <c r="EV4" i="71"/>
  <c r="EV27" i="71"/>
  <c r="CE7" i="71"/>
  <c r="CT13" i="71"/>
  <c r="BP12" i="71"/>
  <c r="CQ17" i="71"/>
  <c r="DI13" i="71"/>
  <c r="CZ27" i="71"/>
  <c r="DO29" i="71"/>
  <c r="EM13" i="71"/>
  <c r="Q25" i="71"/>
  <c r="AI16" i="71"/>
  <c r="CT5" i="71"/>
  <c r="DI8" i="71"/>
  <c r="CQ15" i="71"/>
  <c r="B45" i="23"/>
  <c r="BD14" i="71"/>
  <c r="DL35" i="71"/>
  <c r="CK14" i="71"/>
  <c r="BP17" i="71"/>
  <c r="FB8" i="71"/>
  <c r="DU33" i="71"/>
  <c r="CE24" i="71"/>
  <c r="R56" i="23" a="1"/>
  <c r="R56" i="23" s="1"/>
  <c r="CK29" i="71"/>
  <c r="B16" i="71"/>
  <c r="B5" i="71"/>
  <c r="J486" i="15"/>
  <c r="Z1802" i="13"/>
  <c r="B1802" i="13" s="1" a="1"/>
  <c r="B1802" i="13" s="1"/>
  <c r="B23" i="71"/>
  <c r="BG7" i="71"/>
  <c r="E32" i="71"/>
  <c r="CT7" i="71"/>
  <c r="CB7" i="71"/>
  <c r="N8" i="71"/>
  <c r="CQ30" i="71"/>
  <c r="EA28" i="71"/>
  <c r="BM31" i="71"/>
  <c r="CQ12" i="71"/>
  <c r="Q17" i="71"/>
  <c r="DU10" i="71"/>
  <c r="DV38" i="71"/>
  <c r="CB13" i="71"/>
  <c r="J639" i="15"/>
  <c r="J571" i="15"/>
  <c r="Z1848" i="13"/>
  <c r="B1848" i="13" s="1" a="1"/>
  <c r="B1848" i="13" s="1"/>
  <c r="EP30" i="71"/>
  <c r="BD35" i="71"/>
  <c r="DU32" i="71"/>
  <c r="DO5" i="71"/>
  <c r="CT18" i="71"/>
  <c r="J633" i="15"/>
  <c r="J605" i="15"/>
  <c r="CE30" i="71"/>
  <c r="Q8" i="71"/>
  <c r="H25" i="71"/>
  <c r="H34" i="71"/>
  <c r="EA21" i="71"/>
  <c r="EA32" i="71"/>
  <c r="DI11" i="71"/>
  <c r="CZ19" i="71"/>
  <c r="BN38" i="71"/>
  <c r="CU38" i="71"/>
  <c r="DL13" i="71"/>
  <c r="DR9" i="71"/>
  <c r="BP15" i="71"/>
  <c r="CQ26" i="71"/>
  <c r="DR6" i="71"/>
  <c r="CB28" i="71"/>
  <c r="DO16" i="71"/>
  <c r="DU23" i="71"/>
  <c r="EV26" i="71"/>
  <c r="EA12" i="71"/>
  <c r="Q27" i="71"/>
  <c r="DI18" i="71"/>
  <c r="Q6" i="71"/>
  <c r="DO10" i="71"/>
  <c r="EA15" i="71"/>
  <c r="CB17" i="71"/>
  <c r="DC5" i="71"/>
  <c r="FB25" i="71"/>
  <c r="DL31" i="71"/>
  <c r="DP38" i="71"/>
  <c r="CE28" i="71"/>
  <c r="CN32" i="71"/>
  <c r="DR5" i="71"/>
  <c r="BP28" i="71"/>
  <c r="B44" i="23"/>
  <c r="EA19" i="71"/>
  <c r="CK16" i="71"/>
  <c r="K57" i="23" a="1"/>
  <c r="K57" i="23" s="1"/>
  <c r="K35" i="23" s="1"/>
  <c r="DR15" i="71"/>
  <c r="G3" i="9"/>
  <c r="J564" i="15"/>
  <c r="C38" i="71"/>
  <c r="Q4" i="71"/>
  <c r="B31" i="71"/>
  <c r="EG35" i="71"/>
  <c r="E10" i="71"/>
  <c r="F47" i="14"/>
  <c r="P47" i="14" s="1"/>
  <c r="Z47" i="14" s="1"/>
  <c r="BP4" i="71"/>
  <c r="EA29" i="71"/>
  <c r="H27" i="71"/>
  <c r="DL23" i="71"/>
  <c r="J625" i="15"/>
  <c r="EY20" i="71"/>
  <c r="Z28" i="71"/>
  <c r="DO15" i="71"/>
  <c r="DF29" i="71"/>
  <c r="BM28" i="71"/>
  <c r="FB12" i="71"/>
  <c r="CQ14" i="71"/>
  <c r="DR28" i="71"/>
  <c r="J611" i="15"/>
  <c r="J626" i="15"/>
  <c r="EM36" i="71"/>
  <c r="FB32" i="71"/>
  <c r="BM34" i="71"/>
  <c r="CN34" i="71"/>
  <c r="DU26" i="71"/>
  <c r="J497" i="15"/>
  <c r="BD22" i="71"/>
  <c r="H6" i="71"/>
  <c r="CE14" i="71"/>
  <c r="BD28" i="71"/>
  <c r="DC19" i="71"/>
  <c r="CT33" i="71"/>
  <c r="EM19" i="71"/>
  <c r="EP21" i="71"/>
  <c r="DI7" i="71"/>
  <c r="EP28" i="71"/>
  <c r="E154" i="15"/>
  <c r="CK19" i="71"/>
  <c r="J549" i="15"/>
  <c r="DF28" i="71"/>
  <c r="DF7" i="71"/>
  <c r="FB18" i="71"/>
  <c r="BP9" i="71"/>
  <c r="EM12" i="71"/>
  <c r="EA18" i="71"/>
  <c r="Q30" i="71"/>
  <c r="EY16" i="71"/>
  <c r="H7" i="71"/>
  <c r="CE19" i="71"/>
  <c r="CE35" i="71"/>
  <c r="J520" i="15"/>
  <c r="CQ10" i="71"/>
  <c r="DU17" i="71"/>
  <c r="BD34" i="71"/>
  <c r="J507" i="15"/>
  <c r="B6" i="71"/>
  <c r="E371" i="15"/>
  <c r="B12" i="71"/>
  <c r="DF24" i="71"/>
  <c r="B13" i="71"/>
  <c r="B49" i="14"/>
  <c r="EY21" i="71"/>
  <c r="J600" i="15"/>
  <c r="H13" i="71"/>
  <c r="EP35" i="71"/>
  <c r="J641" i="15"/>
  <c r="CB36" i="71"/>
  <c r="DL22" i="71"/>
  <c r="DO9" i="71"/>
  <c r="EA34" i="71"/>
  <c r="EP10" i="71"/>
  <c r="CB9" i="71"/>
  <c r="EV6" i="71"/>
  <c r="CQ4" i="71"/>
  <c r="EP20" i="71"/>
  <c r="DO25" i="71"/>
  <c r="BM11" i="71"/>
  <c r="EP34" i="71"/>
  <c r="CK22" i="71"/>
  <c r="DR34" i="71"/>
  <c r="CT15" i="71"/>
  <c r="BP23" i="71"/>
  <c r="Q12" i="71"/>
  <c r="BD20" i="71"/>
  <c r="CE16" i="71"/>
  <c r="J577" i="15"/>
  <c r="DR29" i="71"/>
  <c r="CE23" i="71"/>
  <c r="EV24" i="71"/>
  <c r="BM30" i="71"/>
  <c r="FB16" i="71"/>
  <c r="EV10" i="71"/>
  <c r="EA13" i="71"/>
  <c r="CT29" i="71"/>
  <c r="FB6" i="71"/>
  <c r="DI32" i="71"/>
  <c r="DI12" i="71"/>
  <c r="DF23" i="71"/>
  <c r="DI31" i="71"/>
  <c r="DO27" i="71"/>
  <c r="BP27" i="71"/>
  <c r="CN24" i="71"/>
  <c r="CN25" i="71"/>
  <c r="EM35" i="71"/>
  <c r="EP13" i="71"/>
  <c r="DU12" i="71"/>
  <c r="J586" i="15"/>
  <c r="DF21" i="71"/>
  <c r="DU27" i="71"/>
  <c r="FB24" i="71"/>
  <c r="H23" i="71"/>
  <c r="CK5" i="71"/>
  <c r="Q19" i="71"/>
  <c r="CQ32" i="71"/>
  <c r="V57" i="14" a="1"/>
  <c r="V57" i="14" s="1"/>
  <c r="DL33" i="71"/>
  <c r="CQ27" i="71"/>
  <c r="DU35" i="71"/>
  <c r="BM15" i="71"/>
  <c r="EM20" i="71"/>
  <c r="U56" i="14" a="1"/>
  <c r="U56" i="14" s="1"/>
  <c r="CQ35" i="71"/>
  <c r="B47" i="23"/>
  <c r="M59" i="23" a="1"/>
  <c r="M59" i="23" s="1"/>
  <c r="J584" i="15"/>
  <c r="K11" i="27" a="1"/>
  <c r="K11" i="27" s="1"/>
  <c r="EP15" i="71"/>
  <c r="H36" i="71"/>
  <c r="EY7" i="71"/>
  <c r="FB10" i="71"/>
  <c r="CT21" i="71"/>
  <c r="N20" i="71"/>
  <c r="J638" i="15"/>
  <c r="B34" i="71"/>
  <c r="B28" i="71"/>
  <c r="B11" i="71"/>
  <c r="Z1502" i="13"/>
  <c r="N27" i="71"/>
  <c r="B4" i="71"/>
  <c r="F48" i="23"/>
  <c r="P48" i="23" s="1"/>
  <c r="Z48" i="23" s="1"/>
  <c r="CN8" i="71"/>
  <c r="EV31" i="71"/>
  <c r="BD27" i="71"/>
  <c r="J619" i="15"/>
  <c r="J530" i="15"/>
  <c r="BP22" i="71"/>
  <c r="DL5" i="71"/>
  <c r="E565" i="15"/>
  <c r="Z8" i="71"/>
  <c r="AI13" i="71"/>
  <c r="EA22" i="71"/>
  <c r="DO34" i="71"/>
  <c r="BM26" i="71"/>
  <c r="CE17" i="71"/>
  <c r="EA17" i="71"/>
  <c r="DI24" i="71"/>
  <c r="DL16" i="71"/>
  <c r="CK30" i="71"/>
  <c r="EN38" i="71"/>
  <c r="BP26" i="71"/>
  <c r="EV22" i="71"/>
  <c r="Q34" i="71"/>
  <c r="BD8" i="71"/>
  <c r="H31" i="71"/>
  <c r="H35" i="71"/>
  <c r="DC9" i="71"/>
  <c r="CQ34" i="71"/>
  <c r="DI25" i="71"/>
  <c r="BP31" i="71"/>
  <c r="DO30" i="71"/>
  <c r="DI17" i="71"/>
  <c r="EM33" i="71"/>
  <c r="DL6" i="71"/>
  <c r="DC35" i="71"/>
  <c r="CZ6" i="71"/>
  <c r="EV19" i="71"/>
  <c r="DU15" i="71"/>
  <c r="DF10" i="71"/>
  <c r="DU19" i="71"/>
  <c r="CT6" i="71"/>
  <c r="Q21" i="71"/>
  <c r="N21" i="71"/>
  <c r="J516" i="15"/>
  <c r="DC21" i="71"/>
  <c r="EP14" i="71"/>
  <c r="EP12" i="71"/>
  <c r="CF38" i="71"/>
  <c r="BD23" i="71"/>
  <c r="B47" i="14"/>
  <c r="BD17" i="71"/>
  <c r="Q35" i="71"/>
  <c r="DO13" i="71"/>
  <c r="F202" i="13" a="1"/>
  <c r="F202" i="13" s="1"/>
  <c r="EY35" i="71"/>
  <c r="FB11" i="71"/>
  <c r="B51" i="23"/>
  <c r="EB38" i="71"/>
  <c r="Z59" i="23" a="1"/>
  <c r="Z59" i="23" s="1"/>
  <c r="Q59" i="14" a="1"/>
  <c r="Q59" i="14" s="1"/>
  <c r="CB29" i="71"/>
  <c r="DF32" i="71"/>
  <c r="DI20" i="71"/>
  <c r="J602" i="15"/>
  <c r="CN31" i="71"/>
  <c r="DF22" i="71"/>
  <c r="DO23" i="71"/>
  <c r="AF35" i="71"/>
  <c r="AO15" i="71"/>
  <c r="AO18" i="71"/>
  <c r="AO7" i="71"/>
  <c r="Y58" i="23" a="1"/>
  <c r="Y58" i="23" s="1"/>
  <c r="Y36" i="23" s="1"/>
  <c r="CQ9" i="71"/>
  <c r="CZ22" i="71"/>
  <c r="B21" i="71"/>
  <c r="B25" i="71"/>
  <c r="D3" i="9"/>
  <c r="B15" i="71"/>
  <c r="E50" i="15"/>
  <c r="E23" i="71"/>
  <c r="B20" i="71"/>
  <c r="B49" i="23"/>
  <c r="CN13" i="71"/>
  <c r="H9" i="71"/>
  <c r="CB35" i="71"/>
  <c r="CZ11" i="71"/>
  <c r="DL36" i="71"/>
  <c r="EA31" i="71"/>
  <c r="H18" i="71"/>
  <c r="N30" i="71"/>
  <c r="K5" i="71"/>
  <c r="K36" i="71"/>
  <c r="EP29" i="71"/>
  <c r="DL24" i="71"/>
  <c r="CN23" i="71"/>
  <c r="DC36" i="71"/>
  <c r="DU6" i="71"/>
  <c r="DI29" i="71"/>
  <c r="DF9" i="71"/>
  <c r="CK26" i="71"/>
  <c r="EM16" i="71"/>
  <c r="EA11" i="71"/>
  <c r="EP19" i="71"/>
  <c r="Z31" i="71"/>
  <c r="CE22" i="71"/>
  <c r="H5" i="71"/>
  <c r="CE32" i="71"/>
  <c r="EP11" i="71"/>
  <c r="BM10" i="71"/>
  <c r="DC18" i="71"/>
  <c r="FB35" i="71"/>
  <c r="DF17" i="71"/>
  <c r="DC4" i="71"/>
  <c r="CK4" i="71"/>
  <c r="DL8" i="71"/>
  <c r="CZ36" i="71"/>
  <c r="FB15" i="71"/>
  <c r="FB5" i="71"/>
  <c r="DR19" i="71"/>
  <c r="EY30" i="71"/>
  <c r="FB29" i="71"/>
  <c r="CT24" i="71"/>
  <c r="EY23" i="71"/>
  <c r="H26" i="71"/>
  <c r="DO4" i="71"/>
  <c r="J573" i="15"/>
  <c r="DC8" i="71"/>
  <c r="EP32" i="71"/>
  <c r="EP24" i="71"/>
  <c r="BM35" i="71"/>
  <c r="CK10" i="71"/>
  <c r="DO24" i="71"/>
  <c r="EW38" i="71"/>
  <c r="DO14" i="71"/>
  <c r="AP1296" i="13" a="1"/>
  <c r="AP1296" i="13" s="1"/>
  <c r="BP30" i="71"/>
  <c r="CT26" i="71"/>
  <c r="S14" i="27" a="1"/>
  <c r="S14" i="27" s="1"/>
  <c r="CT14" i="71"/>
  <c r="AI22" i="71"/>
  <c r="Q12" i="27" a="1"/>
  <c r="Q12" i="27" s="1"/>
  <c r="BV35" i="71"/>
  <c r="B27" i="71"/>
  <c r="B33" i="71"/>
  <c r="I38" i="71"/>
  <c r="B32" i="71"/>
  <c r="AF32" i="71"/>
  <c r="E19" i="71"/>
  <c r="Z1801" i="13"/>
  <c r="B1801" i="13" s="1" a="1"/>
  <c r="B1801" i="13" s="1"/>
  <c r="F49" i="23"/>
  <c r="P49" i="23" s="1"/>
  <c r="Z49" i="23" s="1"/>
  <c r="DI30" i="71"/>
  <c r="BD5" i="71"/>
  <c r="CK27" i="71"/>
  <c r="EP5" i="71"/>
  <c r="DU21" i="71"/>
  <c r="CZ20" i="71"/>
  <c r="H24" i="71"/>
  <c r="BM13" i="71"/>
  <c r="Z12" i="71"/>
  <c r="K9" i="71"/>
  <c r="EV8" i="71"/>
  <c r="EV30" i="71"/>
  <c r="J494" i="15"/>
  <c r="BP13" i="71"/>
  <c r="FB17" i="71"/>
  <c r="BM14" i="71"/>
  <c r="DR27" i="71"/>
  <c r="CQ36" i="71"/>
  <c r="CN16" i="71"/>
  <c r="DL27" i="71"/>
  <c r="DC14" i="71"/>
  <c r="Z6" i="71"/>
  <c r="CE15" i="71"/>
  <c r="H21" i="71"/>
  <c r="CE20" i="71"/>
  <c r="EA16" i="71"/>
  <c r="EZ38" i="71"/>
  <c r="CK36" i="71"/>
  <c r="CT16" i="71"/>
  <c r="CZ18" i="71"/>
  <c r="CN21" i="71"/>
  <c r="CB32" i="71"/>
  <c r="CT8" i="71"/>
  <c r="EM7" i="71"/>
  <c r="E329" i="15"/>
  <c r="FB26" i="71"/>
  <c r="CZ24" i="71"/>
  <c r="CZ9" i="71"/>
  <c r="CQ13" i="71"/>
  <c r="EM34" i="71"/>
  <c r="DF34" i="71"/>
  <c r="H16" i="71"/>
  <c r="CN15" i="71"/>
  <c r="N32" i="71"/>
  <c r="BM36" i="71"/>
  <c r="CB16" i="71"/>
  <c r="FB30" i="71"/>
  <c r="FB14" i="71"/>
  <c r="F47" i="23"/>
  <c r="P47" i="23" s="1"/>
  <c r="Z47" i="23" s="1"/>
  <c r="B46" i="23"/>
  <c r="BD9" i="71"/>
  <c r="Q15" i="71"/>
  <c r="EP31" i="71"/>
  <c r="EP33" i="71"/>
  <c r="CE9" i="71"/>
  <c r="AH1197" i="13" a="1"/>
  <c r="AH1197" i="13" s="1"/>
  <c r="S12" i="27" a="1"/>
  <c r="S12" i="27" s="1"/>
  <c r="J57" i="23" a="1"/>
  <c r="J57" i="23" s="1"/>
  <c r="J35" i="23" s="1"/>
  <c r="BP6" i="71"/>
  <c r="BM33" i="71"/>
  <c r="DF11" i="71"/>
  <c r="DI26" i="71"/>
  <c r="CK31" i="71"/>
  <c r="I57" i="14" a="1"/>
  <c r="I57" i="14" s="1"/>
  <c r="J630" i="15"/>
  <c r="EY26" i="71"/>
  <c r="CN26" i="71"/>
  <c r="EY25" i="71"/>
  <c r="X56" i="14" a="1"/>
  <c r="X56" i="14" s="1"/>
  <c r="CN10" i="71"/>
  <c r="BP5" i="71"/>
  <c r="S56" i="14" a="1"/>
  <c r="S56" i="14" s="1"/>
  <c r="AR1197" i="13" a="1"/>
  <c r="AR1197" i="13" s="1"/>
  <c r="BY24" i="71"/>
  <c r="B29" i="71"/>
  <c r="Z30" i="71"/>
  <c r="E6" i="71"/>
  <c r="AV1497" i="13"/>
  <c r="B7" i="71"/>
  <c r="B36" i="71"/>
  <c r="B48" i="14"/>
  <c r="F48" i="14"/>
  <c r="P48" i="14" s="1"/>
  <c r="Z48" i="14" s="1"/>
  <c r="EM18" i="71"/>
  <c r="J574" i="15"/>
  <c r="CK6" i="71"/>
  <c r="EM15" i="71"/>
  <c r="CZ21" i="71"/>
  <c r="BM17" i="71"/>
  <c r="DO26" i="71"/>
  <c r="N18" i="71"/>
  <c r="CB18" i="71"/>
  <c r="J519" i="15"/>
  <c r="CB31" i="71"/>
  <c r="DI36" i="71"/>
  <c r="EV33" i="71"/>
  <c r="BP19" i="71"/>
  <c r="CQ21" i="71"/>
  <c r="EA25" i="71"/>
  <c r="CN35" i="71"/>
  <c r="DC11" i="71"/>
  <c r="J581" i="15"/>
  <c r="CK35" i="71"/>
  <c r="EP6" i="71"/>
  <c r="Z33" i="71"/>
  <c r="BE38" i="71"/>
  <c r="BD30" i="71"/>
  <c r="BD11" i="71"/>
  <c r="EA7" i="71"/>
  <c r="BM27" i="71"/>
  <c r="CZ17" i="71"/>
  <c r="CQ22" i="71"/>
  <c r="EA6" i="71"/>
  <c r="DR30" i="71"/>
  <c r="CB20" i="71"/>
  <c r="CQ7" i="71"/>
  <c r="J527" i="15"/>
  <c r="CQ20" i="71"/>
  <c r="CK8" i="71"/>
  <c r="EM4" i="71"/>
  <c r="CZ16" i="71"/>
  <c r="CZ8" i="71"/>
  <c r="DF12" i="71"/>
  <c r="EA36" i="71"/>
  <c r="CN30" i="71"/>
  <c r="Q10" i="71"/>
  <c r="J591" i="15"/>
  <c r="CT19" i="71"/>
  <c r="DU13" i="71"/>
  <c r="CQ18" i="71"/>
  <c r="DL28" i="71"/>
  <c r="Z4" i="71"/>
  <c r="DI4" i="71"/>
  <c r="CQ29" i="71"/>
  <c r="BM18" i="71"/>
  <c r="R57" i="23" a="1"/>
  <c r="R57" i="23" s="1"/>
  <c r="R35" i="23" s="1"/>
  <c r="I58" i="23" a="1"/>
  <c r="I58" i="23" s="1"/>
  <c r="I36" i="23" s="1"/>
  <c r="EV23" i="71"/>
  <c r="AI33" i="71"/>
  <c r="CK15" i="71"/>
  <c r="CT35" i="71"/>
  <c r="CQ6" i="71"/>
  <c r="CK25" i="71"/>
  <c r="CK34" i="71"/>
  <c r="EQ38" i="71"/>
  <c r="J515" i="15"/>
  <c r="E338" i="15"/>
  <c r="EY4" i="71"/>
  <c r="CN11" i="71"/>
  <c r="CE10" i="71"/>
  <c r="DR18" i="71"/>
  <c r="AM1296" i="13" a="1"/>
  <c r="AM1296" i="13" s="1"/>
  <c r="EV14" i="71"/>
  <c r="DL34" i="71"/>
  <c r="CB6" i="71"/>
  <c r="DX21" i="71"/>
  <c r="AI10" i="71"/>
  <c r="J578" i="15"/>
  <c r="E34" i="71"/>
  <c r="ES27" i="71"/>
  <c r="B24" i="71"/>
  <c r="B26" i="71"/>
  <c r="F44" i="14"/>
  <c r="P44" i="14" s="1"/>
  <c r="Z44" i="14" s="1"/>
  <c r="B48" i="23"/>
  <c r="J498" i="15"/>
  <c r="EA9" i="71"/>
  <c r="CB11" i="71"/>
  <c r="EP4" i="71"/>
  <c r="BP11" i="71"/>
  <c r="DR23" i="71"/>
  <c r="CN18" i="71"/>
  <c r="FB21" i="71"/>
  <c r="K19" i="71"/>
  <c r="AI30" i="71"/>
  <c r="CQ33" i="71"/>
  <c r="CB4" i="71"/>
  <c r="EM17" i="71"/>
  <c r="BP34" i="71"/>
  <c r="FB22" i="71"/>
  <c r="EA35" i="71"/>
  <c r="J644" i="15"/>
  <c r="BM21" i="71"/>
  <c r="CB14" i="71"/>
  <c r="CE13" i="71"/>
  <c r="J559" i="15"/>
  <c r="DO32" i="71"/>
  <c r="BD7" i="71"/>
  <c r="CE8" i="71"/>
  <c r="BD21" i="71"/>
  <c r="EY12" i="71"/>
  <c r="DL32" i="71"/>
  <c r="EM6" i="71"/>
  <c r="BP29" i="71"/>
  <c r="CZ34" i="71"/>
  <c r="EM25" i="71"/>
  <c r="J624" i="15"/>
  <c r="CN22" i="71"/>
  <c r="CZ25" i="71"/>
  <c r="CE25" i="71"/>
  <c r="DR35" i="71"/>
  <c r="BM25" i="71"/>
  <c r="EM30" i="71"/>
  <c r="EP27" i="71"/>
  <c r="CT25" i="71"/>
  <c r="DC30" i="71"/>
  <c r="CE12" i="71"/>
  <c r="Q32" i="71"/>
  <c r="N13" i="71"/>
  <c r="CZ29" i="71"/>
  <c r="CQ16" i="71"/>
  <c r="J598" i="15"/>
  <c r="B44" i="14"/>
  <c r="F45" i="23"/>
  <c r="P45" i="23" s="1"/>
  <c r="Z45" i="23" s="1"/>
  <c r="CK33" i="71"/>
  <c r="CK9" i="71"/>
  <c r="BD31" i="71"/>
  <c r="R57" i="14" a="1"/>
  <c r="R57" i="14" s="1"/>
  <c r="J636" i="15"/>
  <c r="F44" i="23"/>
  <c r="P44" i="23" s="1"/>
  <c r="P59" i="14" a="1"/>
  <c r="P59" i="14" s="1"/>
  <c r="CT23" i="71"/>
  <c r="CB33" i="71"/>
  <c r="CZ33" i="71"/>
  <c r="DL20" i="71"/>
  <c r="CZ30" i="71"/>
  <c r="EV16" i="71"/>
  <c r="J513" i="15"/>
  <c r="FB13" i="71"/>
  <c r="W56" i="23" a="1"/>
  <c r="W56" i="23" s="1"/>
  <c r="B56" i="23" s="1"/>
  <c r="EY15" i="71"/>
  <c r="DL15" i="71"/>
  <c r="CN9" i="71"/>
  <c r="CN33" i="71"/>
  <c r="AO24" i="71"/>
  <c r="Z1815" i="13"/>
  <c r="B1815" i="13" s="1" a="1"/>
  <c r="B1815" i="13" s="1"/>
  <c r="CZ14" i="71"/>
  <c r="H58" i="23" a="1"/>
  <c r="H58" i="23" s="1"/>
  <c r="H36" i="23" s="1"/>
  <c r="CB30" i="71"/>
  <c r="DX19" i="71"/>
  <c r="CW7" i="71"/>
  <c r="CW9" i="71"/>
  <c r="CH35" i="71"/>
  <c r="CH19" i="71"/>
  <c r="CH13" i="71"/>
  <c r="J631" i="15"/>
  <c r="CK23" i="71"/>
  <c r="DC22" i="71"/>
  <c r="Z1817" i="13"/>
  <c r="B1817" i="13" s="1" a="1"/>
  <c r="B1817" i="13" s="1"/>
  <c r="AQ1296" i="13" a="1"/>
  <c r="AQ1296" i="13" s="1"/>
  <c r="CT36" i="71"/>
  <c r="EP26" i="71"/>
  <c r="CK18" i="71"/>
  <c r="J568" i="15"/>
  <c r="AC19" i="71"/>
  <c r="AC14" i="71"/>
  <c r="J496" i="15"/>
  <c r="CW10" i="71"/>
  <c r="CW8" i="71"/>
  <c r="CH25" i="71"/>
  <c r="CH22" i="71"/>
  <c r="CH10" i="71"/>
  <c r="J642" i="15"/>
  <c r="U57" i="14" a="1"/>
  <c r="U57" i="14" s="1"/>
  <c r="H33" i="71"/>
  <c r="EM9" i="71"/>
  <c r="DL4" i="71"/>
  <c r="DU28" i="71"/>
  <c r="DG38" i="71"/>
  <c r="EV12" i="71"/>
  <c r="W202" i="13" a="1"/>
  <c r="W202" i="13" s="1"/>
  <c r="BV9" i="71"/>
  <c r="BV16" i="71"/>
  <c r="BV10" i="71"/>
  <c r="AC6" i="71"/>
  <c r="AC20" i="71"/>
  <c r="AC30" i="71"/>
  <c r="J606" i="15"/>
  <c r="CW23" i="71"/>
  <c r="CW12" i="71"/>
  <c r="CH23" i="71"/>
  <c r="CH18" i="71"/>
  <c r="CH24" i="71"/>
  <c r="J613" i="15"/>
  <c r="Z1814" i="13"/>
  <c r="B1814" i="13" s="1" a="1"/>
  <c r="B1814" i="13" s="1"/>
  <c r="R58" i="23" a="1"/>
  <c r="R58" i="23" s="1"/>
  <c r="R36" i="23" s="1"/>
  <c r="DU30" i="71"/>
  <c r="DL29" i="71"/>
  <c r="H14" i="71"/>
  <c r="FC38" i="71"/>
  <c r="K16" i="71"/>
  <c r="U12" i="27" a="1"/>
  <c r="U12" i="27" s="1"/>
  <c r="Z1824" i="13"/>
  <c r="B1824" i="13" s="1" a="1"/>
  <c r="B1824" i="13" s="1"/>
  <c r="CW20" i="71"/>
  <c r="CW30" i="71"/>
  <c r="CH6" i="71"/>
  <c r="CH33" i="71"/>
  <c r="CH31" i="71"/>
  <c r="J616" i="15"/>
  <c r="CT9" i="71"/>
  <c r="Z1828" i="13"/>
  <c r="B1828" i="13" s="1" a="1"/>
  <c r="B1828" i="13" s="1"/>
  <c r="DO7" i="71"/>
  <c r="N12" i="71"/>
  <c r="Q9" i="71"/>
  <c r="CZ35" i="71"/>
  <c r="K24" i="71"/>
  <c r="EM21" i="71"/>
  <c r="AC34" i="71"/>
  <c r="Z1874" i="13"/>
  <c r="B1874" i="13" s="1" a="1"/>
  <c r="B1874" i="13" s="1"/>
  <c r="CW26" i="71"/>
  <c r="CX38" i="71"/>
  <c r="CH30" i="71"/>
  <c r="CH21" i="71"/>
  <c r="J539" i="15"/>
  <c r="Z1843" i="13"/>
  <c r="B1843" i="13" s="1" a="1"/>
  <c r="B1843" i="13" s="1"/>
  <c r="X59" i="23" a="1"/>
  <c r="X59" i="23" s="1"/>
  <c r="H57" i="14" a="1"/>
  <c r="H57" i="14" s="1"/>
  <c r="DU31" i="71"/>
  <c r="N33" i="71"/>
  <c r="EY10" i="71"/>
  <c r="EY32" i="71"/>
  <c r="CE29" i="71"/>
  <c r="CT11" i="71"/>
  <c r="DI22" i="71"/>
  <c r="ES34" i="71"/>
  <c r="ES33" i="71"/>
  <c r="BY10" i="71"/>
  <c r="BY23" i="71"/>
  <c r="BV27" i="71"/>
  <c r="BV13" i="71"/>
  <c r="AC16" i="71"/>
  <c r="AC8" i="71"/>
  <c r="AC27" i="71"/>
  <c r="CW18" i="71"/>
  <c r="CW33" i="71"/>
  <c r="CW13" i="71"/>
  <c r="CH11" i="71"/>
  <c r="CH14" i="71"/>
  <c r="J562" i="15"/>
  <c r="DU24" i="71"/>
  <c r="DR33" i="71"/>
  <c r="J544" i="15"/>
  <c r="BD36" i="71"/>
  <c r="CC38" i="71"/>
  <c r="DC24" i="71"/>
  <c r="F58" i="23" a="1"/>
  <c r="F58" i="23" s="1"/>
  <c r="F36" i="23" s="1"/>
  <c r="ES10" i="71"/>
  <c r="ES5" i="71"/>
  <c r="BY29" i="71"/>
  <c r="BY26" i="71"/>
  <c r="Z1820" i="13"/>
  <c r="B1820" i="13" s="1" a="1"/>
  <c r="B1820" i="13" s="1"/>
  <c r="BV21" i="71"/>
  <c r="BV30" i="71"/>
  <c r="AC32" i="71"/>
  <c r="AC21" i="71"/>
  <c r="BG21" i="71"/>
  <c r="CW32" i="71"/>
  <c r="CW31" i="71"/>
  <c r="CW27" i="71"/>
  <c r="CH5" i="71"/>
  <c r="CH26" i="71"/>
  <c r="FB33" i="71"/>
  <c r="BP35" i="71"/>
  <c r="EY14" i="71"/>
  <c r="CE31" i="71"/>
  <c r="BM32" i="71"/>
  <c r="T14" i="27" a="1"/>
  <c r="T14" i="27" s="1"/>
  <c r="DR21" i="71"/>
  <c r="Q5" i="71"/>
  <c r="Z1804" i="13"/>
  <c r="B1804" i="13" s="1" a="1"/>
  <c r="B1804" i="13" s="1"/>
  <c r="DR16" i="71"/>
  <c r="DO31" i="71"/>
  <c r="Z1845" i="13"/>
  <c r="B1845" i="13" s="1" a="1"/>
  <c r="B1845" i="13" s="1"/>
  <c r="CK17" i="71"/>
  <c r="P202" i="13" a="1"/>
  <c r="P202" i="13" s="1"/>
  <c r="EY24" i="71"/>
  <c r="BP36" i="71"/>
  <c r="I56" i="14" a="1"/>
  <c r="I56" i="14" s="1"/>
  <c r="E179" i="15"/>
  <c r="DC29" i="71"/>
  <c r="Q14" i="71"/>
  <c r="BV36" i="71"/>
  <c r="BV20" i="71"/>
  <c r="BV28" i="71"/>
  <c r="AD38" i="71"/>
  <c r="AC12" i="71"/>
  <c r="AC31" i="71"/>
  <c r="CW5" i="71"/>
  <c r="CW29" i="71"/>
  <c r="CH12" i="71"/>
  <c r="CH9" i="71"/>
  <c r="J632" i="15"/>
  <c r="B46" i="14"/>
  <c r="S202" i="13" a="1"/>
  <c r="S202" i="13" s="1"/>
  <c r="J537" i="15"/>
  <c r="CK7" i="71"/>
  <c r="N15" i="71"/>
  <c r="J589" i="15"/>
  <c r="J489" i="15"/>
  <c r="DF20" i="71"/>
  <c r="BM7" i="71"/>
  <c r="BL3" i="4"/>
  <c r="G47" i="27"/>
  <c r="H47" i="27"/>
  <c r="I47" i="27"/>
  <c r="BG9" i="72"/>
  <c r="I29" i="27"/>
  <c r="I41" i="27"/>
  <c r="I31" i="27"/>
  <c r="I28" i="27"/>
  <c r="I43" i="27"/>
  <c r="I40" i="27"/>
  <c r="I30" i="27"/>
  <c r="AF31" i="27"/>
  <c r="G46" i="27"/>
  <c r="G42" i="27"/>
  <c r="G38" i="27"/>
  <c r="G34" i="27"/>
  <c r="G30" i="27"/>
  <c r="H38" i="27"/>
  <c r="H30" i="27"/>
  <c r="G41" i="27"/>
  <c r="G29" i="27"/>
  <c r="H45" i="27"/>
  <c r="H33" i="27"/>
  <c r="G44" i="27"/>
  <c r="G32" i="27"/>
  <c r="H36" i="27"/>
  <c r="G43" i="27"/>
  <c r="G31" i="27"/>
  <c r="H35" i="27"/>
  <c r="H46" i="27"/>
  <c r="H42" i="27"/>
  <c r="H34" i="27"/>
  <c r="G45" i="27"/>
  <c r="G33" i="27"/>
  <c r="H41" i="27"/>
  <c r="H29" i="27"/>
  <c r="G36" i="27"/>
  <c r="H40" i="27"/>
  <c r="H28" i="27"/>
  <c r="G39" i="27"/>
  <c r="H43" i="27"/>
  <c r="H31" i="27"/>
  <c r="G37" i="27"/>
  <c r="H37" i="27"/>
  <c r="G40" i="27"/>
  <c r="G28" i="27"/>
  <c r="H44" i="27"/>
  <c r="H32" i="27"/>
  <c r="G35" i="27"/>
  <c r="H39" i="27"/>
  <c r="I34" i="27"/>
  <c r="I32" i="27"/>
  <c r="I35" i="27"/>
  <c r="I38" i="27"/>
  <c r="I44" i="27"/>
  <c r="I33" i="27"/>
  <c r="I42" i="27"/>
  <c r="I45" i="27"/>
  <c r="I46" i="27"/>
  <c r="I37" i="27"/>
  <c r="I36" i="27"/>
  <c r="I39" i="27"/>
  <c r="BH9" i="69" a="1"/>
  <c r="BH9" i="69" s="1"/>
  <c r="BA9" i="69"/>
  <c r="CO91" i="4"/>
  <c r="CP91" i="4"/>
  <c r="CS23" i="4"/>
  <c r="CS28" i="4"/>
  <c r="CO23" i="4"/>
  <c r="CR23" i="4"/>
  <c r="CR28" i="4"/>
  <c r="CP23" i="4"/>
  <c r="CS60" i="4"/>
  <c r="CS34" i="4"/>
  <c r="CR60" i="4"/>
  <c r="CR34" i="4"/>
  <c r="CO60" i="4"/>
  <c r="CP60" i="4"/>
  <c r="H75" i="9"/>
  <c r="DE48" i="4"/>
  <c r="Z1883" i="13"/>
  <c r="B1883" i="13" s="1" a="1"/>
  <c r="B1883" i="13" s="1"/>
  <c r="IH35" i="71"/>
  <c r="J521" i="15"/>
  <c r="H88" i="9"/>
  <c r="Z1884" i="13"/>
  <c r="B1884" i="13" s="1" a="1"/>
  <c r="B1884" i="13" s="1"/>
  <c r="Z1866" i="13"/>
  <c r="B1866" i="13" s="1" a="1"/>
  <c r="B1866" i="13" s="1"/>
  <c r="HJ36" i="71"/>
  <c r="H79" i="9"/>
  <c r="DB63" i="4"/>
  <c r="GC11" i="71"/>
  <c r="Z1889" i="13"/>
  <c r="B1889" i="13" s="1" a="1"/>
  <c r="B1889" i="13" s="1"/>
  <c r="CW30" i="4"/>
  <c r="CX30" i="4" s="1"/>
  <c r="BO9" i="69"/>
  <c r="DA30" i="4" a="1"/>
  <c r="DA30" i="4" s="1"/>
  <c r="GX8" i="71"/>
  <c r="IQ25" i="71"/>
  <c r="H85" i="9"/>
  <c r="H60" i="9"/>
  <c r="E597" i="15"/>
  <c r="CW48" i="4"/>
  <c r="CX48" i="4" s="1"/>
  <c r="F358" i="15" a="1"/>
  <c r="F358" i="15" s="1"/>
  <c r="H59" i="9"/>
  <c r="Z1873" i="13"/>
  <c r="B1873" i="13" s="1" a="1"/>
  <c r="B1873" i="13" s="1"/>
  <c r="Z1876" i="13"/>
  <c r="B1876" i="13" s="1" a="1"/>
  <c r="B1876" i="13" s="1"/>
  <c r="DA31" i="4" a="1"/>
  <c r="DA31" i="4" s="1"/>
  <c r="HS13" i="71"/>
  <c r="H72" i="9"/>
  <c r="H66" i="9"/>
  <c r="HA34" i="71"/>
  <c r="GO20" i="71"/>
  <c r="H94" i="9"/>
  <c r="H65" i="9"/>
  <c r="GI24" i="71"/>
  <c r="CW46" i="4"/>
  <c r="CX46" i="4" s="1"/>
  <c r="H86" i="9"/>
  <c r="H70" i="9"/>
  <c r="GL21" i="71"/>
  <c r="FW28" i="71"/>
  <c r="FN29" i="71"/>
  <c r="H77" i="9"/>
  <c r="FZ30" i="71"/>
  <c r="JC20" i="71"/>
  <c r="Z1890" i="13"/>
  <c r="B1890" i="13" s="1" a="1"/>
  <c r="B1890" i="13" s="1"/>
  <c r="AI34" i="27"/>
  <c r="E41" i="4"/>
  <c r="BD41" i="4" s="1"/>
  <c r="DE43" i="4"/>
  <c r="E75" i="4"/>
  <c r="DE75" i="4"/>
  <c r="BJ31" i="71"/>
  <c r="AF32" i="27"/>
  <c r="AJ44" i="27"/>
  <c r="E40" i="4"/>
  <c r="BT40" i="4" s="1"/>
  <c r="AS61" i="4"/>
  <c r="AV663" i="13" s="1"/>
  <c r="BA75" i="4" a="1"/>
  <c r="BA75" i="4" s="1"/>
  <c r="BB75" i="4" s="1"/>
  <c r="AV177" i="13" s="1"/>
  <c r="H64" i="9"/>
  <c r="CW25" i="4"/>
  <c r="CX25" i="4" s="1"/>
  <c r="HJ33" i="71"/>
  <c r="E46" i="4"/>
  <c r="DA25" i="4" a="1"/>
  <c r="DA25" i="4" s="1"/>
  <c r="DB62" i="4"/>
  <c r="DA27" i="4" a="1"/>
  <c r="DA27" i="4" s="1"/>
  <c r="DA39" i="4" a="1"/>
  <c r="DA39" i="4" s="1"/>
  <c r="AS91" i="4"/>
  <c r="AV693" i="13" s="1"/>
  <c r="DB65" i="4"/>
  <c r="CW40" i="4"/>
  <c r="CX40" i="4" s="1"/>
  <c r="AS96" i="4"/>
  <c r="AV698" i="13" s="1"/>
  <c r="AU9" i="72" a="1"/>
  <c r="AU9" i="72" s="1"/>
  <c r="B4" i="69"/>
  <c r="S4" i="69"/>
  <c r="DA54" i="4" a="1"/>
  <c r="DA54" i="4" s="1"/>
  <c r="AF39" i="27"/>
  <c r="BW23" i="4"/>
  <c r="AE33" i="27"/>
  <c r="AJ40" i="27"/>
  <c r="AE30" i="27"/>
  <c r="AJ30" i="27"/>
  <c r="DA53" i="4" a="1"/>
  <c r="DA53" i="4" s="1"/>
  <c r="BO9" i="72" a="1"/>
  <c r="BO9" i="72" s="1"/>
  <c r="DA37" i="4" a="1"/>
  <c r="DA37" i="4" s="1"/>
  <c r="Z1881" i="13"/>
  <c r="B1881" i="13" s="1" a="1"/>
  <c r="B1881" i="13" s="1"/>
  <c r="DA44" i="4" a="1"/>
  <c r="DA44" i="4" s="1"/>
  <c r="CW34" i="4"/>
  <c r="CX34" i="4" s="1"/>
  <c r="BH4" i="4"/>
  <c r="AS71" i="4"/>
  <c r="AV673" i="13" s="1"/>
  <c r="CW54" i="4"/>
  <c r="CX54" i="4" s="1"/>
  <c r="CW44" i="4"/>
  <c r="CX44" i="4" s="1"/>
  <c r="AE35" i="27"/>
  <c r="AI38" i="27"/>
  <c r="I24" i="27"/>
  <c r="V701" i="13"/>
  <c r="AF34" i="27"/>
  <c r="AE36" i="27"/>
  <c r="AF29" i="27"/>
  <c r="AJ32" i="27"/>
  <c r="I26" i="27"/>
  <c r="S4" i="72"/>
  <c r="AF38" i="27"/>
  <c r="AJ22" i="27"/>
  <c r="AI23" i="27"/>
  <c r="AF35" i="27"/>
  <c r="Z1863" i="13"/>
  <c r="B1863" i="13" s="1" a="1"/>
  <c r="B1863" i="13" s="1"/>
  <c r="B65" i="4"/>
  <c r="F65" i="4" s="1"/>
  <c r="CW11" i="4"/>
  <c r="CX11" i="4" s="1"/>
  <c r="DA32" i="4" a="1"/>
  <c r="DA32" i="4" s="1"/>
  <c r="AI44" i="27"/>
  <c r="A15" i="27" a="1"/>
  <c r="A15" i="27" s="1"/>
  <c r="DA46" i="4" a="1"/>
  <c r="DA46" i="4" s="1"/>
  <c r="DA51" i="4" a="1"/>
  <c r="DA51" i="4" s="1"/>
  <c r="AS77" i="4"/>
  <c r="AV679" i="13" s="1"/>
  <c r="Z1872" i="13"/>
  <c r="B1872" i="13" s="1" a="1"/>
  <c r="B1872" i="13" s="1"/>
  <c r="AI29" i="27"/>
  <c r="AE24" i="27"/>
  <c r="AE38" i="27"/>
  <c r="Z1860" i="13"/>
  <c r="B1860" i="13" s="1" a="1"/>
  <c r="B1860" i="13" s="1"/>
  <c r="CW39" i="4"/>
  <c r="CX39" i="4" s="1"/>
  <c r="BT44" i="4"/>
  <c r="AU10" i="72" a="1"/>
  <c r="AU10" i="72" s="1"/>
  <c r="N574" i="15" a="1"/>
  <c r="N574" i="15" s="1"/>
  <c r="DA34" i="4" a="1"/>
  <c r="DA34" i="4" s="1"/>
  <c r="BT42" i="4"/>
  <c r="X10" i="4"/>
  <c r="AY3" i="72" a="1"/>
  <c r="AY3" i="72" s="1"/>
  <c r="AF22" i="27"/>
  <c r="AI43" i="27"/>
  <c r="AE22" i="27"/>
  <c r="DA22" i="4" a="1"/>
  <c r="DA22" i="4" s="1"/>
  <c r="Z1869" i="13"/>
  <c r="B1869" i="13" s="1" a="1"/>
  <c r="B1869" i="13" s="1"/>
  <c r="AS86" i="4"/>
  <c r="AV688" i="13" s="1"/>
  <c r="CW32" i="4"/>
  <c r="CX32" i="4" s="1"/>
  <c r="E614" i="15"/>
  <c r="BT4" i="72"/>
  <c r="CW14" i="4"/>
  <c r="CX14" i="4" s="1"/>
  <c r="DA29" i="4" a="1"/>
  <c r="DA29" i="4" s="1"/>
  <c r="M701" i="13"/>
  <c r="CW5" i="4"/>
  <c r="CX5" i="4" s="1"/>
  <c r="U701" i="13"/>
  <c r="CY25" i="4"/>
  <c r="CZ25" i="4" s="1"/>
  <c r="AI41" i="27"/>
  <c r="AE29" i="27"/>
  <c r="AI37" i="27"/>
  <c r="AJ42" i="27"/>
  <c r="Z1856" i="13"/>
  <c r="B1856" i="13" s="1" a="1"/>
  <c r="B1856" i="13" s="1"/>
  <c r="DE44" i="4"/>
  <c r="DE39" i="4"/>
  <c r="AS76" i="4"/>
  <c r="AV678" i="13" s="1"/>
  <c r="DE38" i="4"/>
  <c r="E38" i="4"/>
  <c r="BD38" i="4" s="1"/>
  <c r="DA38" i="4" a="1"/>
  <c r="DA38" i="4" s="1"/>
  <c r="AO10" i="69" a="1"/>
  <c r="AO10" i="69" s="1"/>
  <c r="CW53" i="4"/>
  <c r="CX53" i="4" s="1"/>
  <c r="AH26" i="4"/>
  <c r="AV1322" i="13" s="1"/>
  <c r="E27" i="4"/>
  <c r="BD27" i="4" s="1"/>
  <c r="E36" i="4"/>
  <c r="DA17" i="4" a="1"/>
  <c r="DA17" i="4" s="1"/>
  <c r="AX65" i="4"/>
  <c r="AS70" i="4"/>
  <c r="AV672" i="13" s="1"/>
  <c r="BD44" i="4"/>
  <c r="DA14" i="4" a="1"/>
  <c r="DA14" i="4" s="1"/>
  <c r="E18" i="27"/>
  <c r="I11" i="27" s="1"/>
  <c r="AJ29" i="27"/>
  <c r="I25" i="27"/>
  <c r="AI39" i="27"/>
  <c r="AI33" i="27"/>
  <c r="AI24" i="27"/>
  <c r="AF26" i="27"/>
  <c r="AJ38" i="27"/>
  <c r="AJ37" i="27"/>
  <c r="AJ36" i="27"/>
  <c r="CW24" i="4"/>
  <c r="CX24" i="4" s="1"/>
  <c r="H62" i="9"/>
  <c r="AS56" i="4"/>
  <c r="AV658" i="13" s="1"/>
  <c r="AS75" i="4"/>
  <c r="AV677" i="13" s="1"/>
  <c r="DA49" i="4" a="1"/>
  <c r="DA49" i="4" s="1"/>
  <c r="BC4" i="69"/>
  <c r="I27" i="27"/>
  <c r="AJ34" i="27"/>
  <c r="AI27" i="27"/>
  <c r="AF25" i="27"/>
  <c r="AJ24" i="27"/>
  <c r="AI36" i="27"/>
  <c r="AI40" i="27"/>
  <c r="AE26" i="27"/>
  <c r="AS87" i="4"/>
  <c r="AV689" i="13" s="1"/>
  <c r="AF27" i="27"/>
  <c r="AF36" i="27"/>
  <c r="A16" i="27" a="1"/>
  <c r="A16" i="27" s="1"/>
  <c r="AF33" i="27"/>
  <c r="AE28" i="27"/>
  <c r="AE41" i="27"/>
  <c r="AI28" i="27"/>
  <c r="E21" i="4"/>
  <c r="BT21" i="4" s="1"/>
  <c r="BW60" i="4"/>
  <c r="CW37" i="4"/>
  <c r="CX37" i="4" s="1"/>
  <c r="AE40" i="27"/>
  <c r="G15" i="27" a="1"/>
  <c r="G15" i="27" s="1"/>
  <c r="AI42" i="27"/>
  <c r="AF41" i="27"/>
  <c r="AE27" i="27"/>
  <c r="AF24" i="27"/>
  <c r="AF37" i="27"/>
  <c r="G16" i="27" a="1"/>
  <c r="G16" i="27" s="1"/>
  <c r="AJ27" i="27"/>
  <c r="AJ33" i="27"/>
  <c r="AI26" i="27"/>
  <c r="Z1858" i="13"/>
  <c r="B1858" i="13" s="1" a="1"/>
  <c r="B1858" i="13" s="1"/>
  <c r="BT22" i="4"/>
  <c r="E49" i="4"/>
  <c r="BT49" i="4" s="1"/>
  <c r="AS23" i="4"/>
  <c r="AV625" i="13" s="1"/>
  <c r="AI22" i="27"/>
  <c r="AE37" i="27"/>
  <c r="AJ35" i="27"/>
  <c r="AF23" i="27"/>
  <c r="AE25" i="27"/>
  <c r="AE23" i="27"/>
  <c r="AF40" i="27"/>
  <c r="AE34" i="27"/>
  <c r="AJ43" i="27"/>
  <c r="AJ25" i="27"/>
  <c r="AJ28" i="27"/>
  <c r="AE42" i="27"/>
  <c r="G701" i="13"/>
  <c r="CY38" i="4"/>
  <c r="CZ38" i="4" s="1"/>
  <c r="D56" i="23"/>
  <c r="AT4" i="69" a="1"/>
  <c r="AT4" i="69" s="1"/>
  <c r="H25" i="9"/>
  <c r="I23" i="27"/>
  <c r="AF42" i="27"/>
  <c r="B16" i="27" a="1"/>
  <c r="B16" i="27" s="1"/>
  <c r="AF28" i="27"/>
  <c r="AJ31" i="27"/>
  <c r="B15" i="27" a="1"/>
  <c r="B15" i="27" s="1"/>
  <c r="AE31" i="27"/>
  <c r="AI32" i="27"/>
  <c r="AS95" i="4"/>
  <c r="AV697" i="13" s="1"/>
  <c r="Z1867" i="13"/>
  <c r="B1867" i="13" s="1" a="1"/>
  <c r="B1867" i="13" s="1"/>
  <c r="AI30" i="27"/>
  <c r="I22" i="27"/>
  <c r="AJ41" i="27"/>
  <c r="AJ23" i="27"/>
  <c r="AI31" i="27"/>
  <c r="AE39" i="27"/>
  <c r="AS58" i="4"/>
  <c r="AV660" i="13" s="1"/>
  <c r="DE28" i="4"/>
  <c r="BI4" i="72"/>
  <c r="I21" i="27"/>
  <c r="AI25" i="27"/>
  <c r="AJ39" i="27"/>
  <c r="AF30" i="27"/>
  <c r="AE32" i="27"/>
  <c r="AJ26" i="27"/>
  <c r="AI35" i="27"/>
  <c r="AS62" i="4"/>
  <c r="AV664" i="13" s="1"/>
  <c r="BK52" i="4"/>
  <c r="DF52" i="4"/>
  <c r="BJ52" i="4"/>
  <c r="BI52" i="4"/>
  <c r="DF33" i="4"/>
  <c r="BI33" i="4"/>
  <c r="BK33" i="4"/>
  <c r="L33" i="4" s="1"/>
  <c r="BJ33" i="4"/>
  <c r="BI37" i="4"/>
  <c r="BK37" i="4"/>
  <c r="BJ37" i="4"/>
  <c r="DF37" i="4"/>
  <c r="BI43" i="4"/>
  <c r="DF43" i="4"/>
  <c r="BJ43" i="4"/>
  <c r="BK43" i="4"/>
  <c r="DF50" i="4"/>
  <c r="BI50" i="4"/>
  <c r="BF50" i="4" s="1"/>
  <c r="BJ50" i="4"/>
  <c r="BK50" i="4"/>
  <c r="BK45" i="4"/>
  <c r="DF45" i="4"/>
  <c r="BI45" i="4"/>
  <c r="BJ45" i="4"/>
  <c r="AI23" i="4"/>
  <c r="AJ23" i="4"/>
  <c r="AG60" i="4"/>
  <c r="AF60" i="4"/>
  <c r="BJ7" i="4"/>
  <c r="BI7" i="4"/>
  <c r="DF7" i="4"/>
  <c r="BK7" i="4"/>
  <c r="L7" i="4" s="1"/>
  <c r="CA7" i="4" s="1"/>
  <c r="BJ53" i="4"/>
  <c r="BK53" i="4"/>
  <c r="L53" i="4" s="1"/>
  <c r="CA53" i="4" s="1"/>
  <c r="DF53" i="4"/>
  <c r="BI53" i="4"/>
  <c r="BK19" i="4"/>
  <c r="BI19" i="4"/>
  <c r="DF19" i="4"/>
  <c r="BJ19" i="4"/>
  <c r="DF16" i="4"/>
  <c r="BJ16" i="4"/>
  <c r="BI16" i="4"/>
  <c r="BF16" i="4" s="1"/>
  <c r="BK16" i="4"/>
  <c r="L16" i="4" s="1"/>
  <c r="CA16" i="4" s="1"/>
  <c r="BI47" i="4"/>
  <c r="BJ47" i="4"/>
  <c r="BK47" i="4"/>
  <c r="DF47" i="4"/>
  <c r="DF31" i="4"/>
  <c r="BJ31" i="4"/>
  <c r="BK31" i="4"/>
  <c r="BI31" i="4"/>
  <c r="DF75" i="4"/>
  <c r="BI75" i="4"/>
  <c r="BK75" i="4"/>
  <c r="L75" i="4" s="1"/>
  <c r="CA75" i="4" s="1"/>
  <c r="BJ75" i="4"/>
  <c r="AJ60" i="4"/>
  <c r="AI60" i="4"/>
  <c r="BK24" i="4"/>
  <c r="BI24" i="4"/>
  <c r="BJ24" i="4"/>
  <c r="DF24" i="4"/>
  <c r="BJ11" i="4"/>
  <c r="BI11" i="4"/>
  <c r="DF11" i="4"/>
  <c r="BK11" i="4"/>
  <c r="L11" i="4" s="1"/>
  <c r="CA11" i="4" s="1"/>
  <c r="BK54" i="4"/>
  <c r="DF54" i="4"/>
  <c r="BI54" i="4"/>
  <c r="BJ54" i="4"/>
  <c r="BK32" i="4"/>
  <c r="L32" i="4" s="1"/>
  <c r="BJ32" i="4"/>
  <c r="DF32" i="4"/>
  <c r="BI32" i="4"/>
  <c r="BJ14" i="4"/>
  <c r="BK14" i="4"/>
  <c r="DF14" i="4"/>
  <c r="BI14" i="4"/>
  <c r="BJ15" i="4"/>
  <c r="BK15" i="4"/>
  <c r="BI15" i="4"/>
  <c r="BF15" i="4" s="1"/>
  <c r="DF15" i="4"/>
  <c r="BK28" i="4"/>
  <c r="BI28" i="4"/>
  <c r="BF28" i="4" s="1"/>
  <c r="DF28" i="4"/>
  <c r="BJ28" i="4"/>
  <c r="DF44" i="4"/>
  <c r="BI44" i="4"/>
  <c r="BF44" i="4" s="1"/>
  <c r="BJ44" i="4"/>
  <c r="BK44" i="4"/>
  <c r="L44" i="4" s="1"/>
  <c r="CA44" i="4" s="1"/>
  <c r="B60" i="1"/>
  <c r="DF51" i="4"/>
  <c r="BJ51" i="4"/>
  <c r="BK51" i="4"/>
  <c r="BI51" i="4"/>
  <c r="BF51" i="4" s="1"/>
  <c r="CB55" i="4"/>
  <c r="AC55" i="4"/>
  <c r="CI55" i="4"/>
  <c r="CC55" i="4"/>
  <c r="CT97" i="4"/>
  <c r="CD55" i="4"/>
  <c r="CN55" i="4"/>
  <c r="AM55" i="4"/>
  <c r="CM55" i="4"/>
  <c r="CL55" i="4"/>
  <c r="CF55" i="4"/>
  <c r="AE55" i="4"/>
  <c r="CG55" i="4"/>
  <c r="BN55" i="4"/>
  <c r="AK55" i="4"/>
  <c r="CE55" i="4"/>
  <c r="CJ55" i="4"/>
  <c r="CK55" i="4"/>
  <c r="BP55" i="4"/>
  <c r="BP97" i="4" s="1"/>
  <c r="BJ26" i="4"/>
  <c r="DF26" i="4"/>
  <c r="BI26" i="4"/>
  <c r="BK26" i="4"/>
  <c r="AG23" i="4"/>
  <c r="AF23" i="4"/>
  <c r="DF8" i="4"/>
  <c r="BK8" i="4"/>
  <c r="BJ8" i="4"/>
  <c r="BI8" i="4"/>
  <c r="BI6" i="4"/>
  <c r="BK6" i="4"/>
  <c r="BJ6" i="4"/>
  <c r="DF6" i="4"/>
  <c r="DF13" i="4"/>
  <c r="BI13" i="4"/>
  <c r="BJ13" i="4"/>
  <c r="BK13" i="4"/>
  <c r="DF5" i="4"/>
  <c r="BJ5" i="4"/>
  <c r="BI5" i="4"/>
  <c r="BK5" i="4"/>
  <c r="L5" i="4" s="1"/>
  <c r="DF34" i="4"/>
  <c r="BI34" i="4"/>
  <c r="BJ34" i="4"/>
  <c r="BK34" i="4"/>
  <c r="DF38" i="4"/>
  <c r="BI38" i="4"/>
  <c r="BK38" i="4"/>
  <c r="BJ38" i="4"/>
  <c r="BK41" i="4"/>
  <c r="L41" i="4" s="1"/>
  <c r="BJ41" i="4"/>
  <c r="BI41" i="4"/>
  <c r="BF41" i="4" s="1"/>
  <c r="DF41" i="4"/>
  <c r="BK30" i="4"/>
  <c r="BJ30" i="4"/>
  <c r="BI30" i="4"/>
  <c r="DF30" i="4"/>
  <c r="BK12" i="4"/>
  <c r="BI12" i="4"/>
  <c r="BJ12" i="4"/>
  <c r="DF12" i="4"/>
  <c r="BK17" i="4"/>
  <c r="DF17" i="4"/>
  <c r="BJ17" i="4"/>
  <c r="BI17" i="4"/>
  <c r="BI35" i="4"/>
  <c r="DF35" i="4"/>
  <c r="BK35" i="4"/>
  <c r="L35" i="4" s="1"/>
  <c r="CA35" i="4" s="1"/>
  <c r="BJ35" i="4"/>
  <c r="BJ36" i="4"/>
  <c r="BI36" i="4"/>
  <c r="BK36" i="4"/>
  <c r="DF36" i="4"/>
  <c r="BK18" i="4"/>
  <c r="L18" i="4" s="1"/>
  <c r="BJ18" i="4"/>
  <c r="BI18" i="4"/>
  <c r="DF18" i="4"/>
  <c r="DF39" i="4"/>
  <c r="BJ39" i="4"/>
  <c r="BK39" i="4"/>
  <c r="L39" i="4" s="1"/>
  <c r="BI39" i="4"/>
  <c r="BF39" i="4" s="1"/>
  <c r="BI21" i="4"/>
  <c r="DF21" i="4"/>
  <c r="BJ21" i="4"/>
  <c r="BK21" i="4"/>
  <c r="L21" i="4" s="1"/>
  <c r="CA21" i="4" s="1"/>
  <c r="BK20" i="4"/>
  <c r="BJ20" i="4"/>
  <c r="BI20" i="4"/>
  <c r="DF20" i="4"/>
  <c r="DF49" i="4"/>
  <c r="BI49" i="4"/>
  <c r="BK49" i="4"/>
  <c r="BJ49" i="4"/>
  <c r="B23" i="1"/>
  <c r="BK27" i="4"/>
  <c r="BI27" i="4"/>
  <c r="DF27" i="4"/>
  <c r="BJ27" i="4"/>
  <c r="AN23" i="4"/>
  <c r="AO23" i="4"/>
  <c r="BJ25" i="4"/>
  <c r="DF25" i="4"/>
  <c r="BK25" i="4"/>
  <c r="BI25" i="4"/>
  <c r="BF25" i="4" s="1"/>
  <c r="AN60" i="4"/>
  <c r="AO60" i="4"/>
  <c r="BJ29" i="4"/>
  <c r="DF29" i="4"/>
  <c r="BI29" i="4"/>
  <c r="BK29" i="4"/>
  <c r="BI42" i="4"/>
  <c r="BF42" i="4" s="1"/>
  <c r="BK42" i="4"/>
  <c r="BJ42" i="4"/>
  <c r="DF42" i="4"/>
  <c r="BI46" i="4"/>
  <c r="DF46" i="4"/>
  <c r="BK46" i="4"/>
  <c r="L46" i="4" s="1"/>
  <c r="BJ46" i="4"/>
  <c r="DF48" i="4"/>
  <c r="BJ48" i="4"/>
  <c r="BI48" i="4"/>
  <c r="BF48" i="4" s="1"/>
  <c r="BK48" i="4"/>
  <c r="AB60" i="4"/>
  <c r="AA60" i="4"/>
  <c r="DB60" i="4" s="1"/>
  <c r="BJ40" i="4"/>
  <c r="BK40" i="4"/>
  <c r="BI40" i="4"/>
  <c r="DF40" i="4"/>
  <c r="BJ22" i="4"/>
  <c r="BK22" i="4"/>
  <c r="DF22" i="4"/>
  <c r="BI22" i="4"/>
  <c r="BF22" i="4" s="1"/>
  <c r="AB23" i="4"/>
  <c r="AA23" i="4"/>
  <c r="DB23" i="4" s="1"/>
  <c r="BT39" i="4"/>
  <c r="BD39" i="4"/>
  <c r="BD51" i="4"/>
  <c r="BT51" i="4"/>
  <c r="BD25" i="4"/>
  <c r="BT25" i="4"/>
  <c r="AX1227" i="13"/>
  <c r="A1326" i="13"/>
  <c r="E151" i="15"/>
  <c r="E101" i="15"/>
  <c r="E310" i="15"/>
  <c r="E318" i="15"/>
  <c r="E513" i="15"/>
  <c r="E618" i="15"/>
  <c r="E296" i="15"/>
  <c r="E238" i="15"/>
  <c r="E602" i="15"/>
  <c r="E176" i="15"/>
  <c r="E624" i="15"/>
  <c r="E645" i="15"/>
  <c r="E629" i="15"/>
  <c r="E605" i="15"/>
  <c r="E303" i="15"/>
  <c r="E271" i="15"/>
  <c r="E384" i="15"/>
  <c r="E489" i="15"/>
  <c r="E428" i="15"/>
  <c r="E126" i="15"/>
  <c r="E628" i="15"/>
  <c r="E393" i="15"/>
  <c r="E403" i="15"/>
  <c r="E636" i="15"/>
  <c r="BM3" i="4"/>
  <c r="BJ3" i="72"/>
  <c r="BD3" i="69"/>
  <c r="AY33" i="4"/>
  <c r="Z1329" i="13"/>
  <c r="F33" i="4"/>
  <c r="AW33" i="4"/>
  <c r="AV35" i="13"/>
  <c r="AP33" i="4"/>
  <c r="AV335" i="13" s="1"/>
  <c r="AV435" i="13" s="1"/>
  <c r="V49" i="22"/>
  <c r="W49" i="22"/>
  <c r="Y49" i="22" s="1"/>
  <c r="J701" i="13"/>
  <c r="K701" i="13"/>
  <c r="V59" i="22"/>
  <c r="AW41" i="4"/>
  <c r="AV43" i="13"/>
  <c r="F41" i="4"/>
  <c r="Z1337" i="13"/>
  <c r="AY41" i="4"/>
  <c r="AP41" i="4"/>
  <c r="AV343" i="13" s="1"/>
  <c r="AV443" i="13" s="1"/>
  <c r="W59" i="22"/>
  <c r="Y59" i="22" s="1"/>
  <c r="CW29" i="4"/>
  <c r="CX29" i="4" s="1"/>
  <c r="AX1263" i="13"/>
  <c r="A1362" i="13"/>
  <c r="AX1285" i="13"/>
  <c r="A1384" i="13"/>
  <c r="AX1276" i="13"/>
  <c r="A1375" i="13"/>
  <c r="BD50" i="4"/>
  <c r="BT50" i="4"/>
  <c r="AV78" i="13"/>
  <c r="AY76" i="4"/>
  <c r="Z1372" i="13"/>
  <c r="AW76" i="4"/>
  <c r="DE37" i="4"/>
  <c r="E158" i="15"/>
  <c r="E118" i="15"/>
  <c r="E584" i="15"/>
  <c r="E517" i="15"/>
  <c r="AY47" i="4"/>
  <c r="Z1343" i="13"/>
  <c r="F47" i="4"/>
  <c r="AW47" i="4"/>
  <c r="AV49" i="13"/>
  <c r="AP47" i="4"/>
  <c r="AV349" i="13" s="1"/>
  <c r="AV449" i="13" s="1"/>
  <c r="W69" i="22"/>
  <c r="Y69" i="22" s="1"/>
  <c r="V69" i="22"/>
  <c r="V64" i="22"/>
  <c r="AY46" i="4"/>
  <c r="AV48" i="13"/>
  <c r="AW46" i="4"/>
  <c r="Z1342" i="13"/>
  <c r="F46" i="4"/>
  <c r="AP46" i="4"/>
  <c r="AV348" i="13" s="1"/>
  <c r="AV448" i="13" s="1"/>
  <c r="W64" i="22"/>
  <c r="Y64" i="22" s="1"/>
  <c r="Z1367" i="13"/>
  <c r="AV73" i="13"/>
  <c r="AW71" i="4"/>
  <c r="AY71" i="4"/>
  <c r="A368" i="13"/>
  <c r="AX368" i="13" s="1"/>
  <c r="AX268" i="13"/>
  <c r="I10" i="69"/>
  <c r="I10" i="72"/>
  <c r="A1310" i="13"/>
  <c r="AX1211" i="13"/>
  <c r="AY32" i="4"/>
  <c r="AW32" i="4"/>
  <c r="AV34" i="13"/>
  <c r="Z1328" i="13"/>
  <c r="F32" i="4"/>
  <c r="AP32" i="4"/>
  <c r="AV334" i="13" s="1"/>
  <c r="AV434" i="13" s="1"/>
  <c r="V50" i="22"/>
  <c r="W50" i="22"/>
  <c r="Y50" i="22" s="1"/>
  <c r="DE33" i="4"/>
  <c r="W94" i="22"/>
  <c r="Y94" i="22" s="1"/>
  <c r="AY62" i="4"/>
  <c r="AV64" i="13"/>
  <c r="AW62" i="4"/>
  <c r="Z1358" i="13"/>
  <c r="E43" i="4"/>
  <c r="E586" i="15"/>
  <c r="E626" i="15"/>
  <c r="E381" i="15"/>
  <c r="E102" i="15"/>
  <c r="E252" i="15"/>
  <c r="E648" i="15"/>
  <c r="E256" i="15"/>
  <c r="F256" i="15" s="1" a="1"/>
  <c r="F256" i="15" s="1"/>
  <c r="E277" i="15"/>
  <c r="E213" i="15"/>
  <c r="E630" i="15"/>
  <c r="E622" i="15"/>
  <c r="N620" i="15" s="1" a="1"/>
  <c r="N620" i="15" s="1"/>
  <c r="E520" i="15"/>
  <c r="E478" i="15"/>
  <c r="E641" i="15"/>
  <c r="E594" i="15"/>
  <c r="E351" i="15"/>
  <c r="E434" i="15"/>
  <c r="E425" i="15"/>
  <c r="E261" i="15"/>
  <c r="E538" i="15"/>
  <c r="E647" i="15"/>
  <c r="E497" i="15"/>
  <c r="F497" i="15" s="1" a="1"/>
  <c r="F497" i="15" s="1"/>
  <c r="E589" i="15"/>
  <c r="E257" i="15"/>
  <c r="E439" i="15"/>
  <c r="E229" i="15"/>
  <c r="E561" i="15"/>
  <c r="E304" i="15"/>
  <c r="E291" i="15"/>
  <c r="E119" i="15"/>
  <c r="E83" i="15"/>
  <c r="E120" i="15"/>
  <c r="E177" i="15"/>
  <c r="AX1212" i="13"/>
  <c r="A1311" i="13"/>
  <c r="CW27" i="4"/>
  <c r="CX27" i="4" s="1"/>
  <c r="B57" i="4"/>
  <c r="CW57" i="4" s="1"/>
  <c r="CX57" i="4" s="1"/>
  <c r="BA57" i="4" a="1"/>
  <c r="BA57" i="4" s="1"/>
  <c r="BB57" i="4" s="1"/>
  <c r="AV159" i="13" s="1"/>
  <c r="B95" i="4"/>
  <c r="Z95" i="4" s="1"/>
  <c r="BA95" i="4" a="1"/>
  <c r="BA95" i="4" s="1"/>
  <c r="BB95" i="4" s="1"/>
  <c r="AV197" i="13" s="1"/>
  <c r="BA96" i="4" a="1"/>
  <c r="BA96" i="4" s="1"/>
  <c r="BB96" i="4" s="1"/>
  <c r="AV198" i="13" s="1"/>
  <c r="B96" i="4"/>
  <c r="JO16" i="71"/>
  <c r="DB93" i="4"/>
  <c r="CU93" i="4"/>
  <c r="CV93" i="4" s="1"/>
  <c r="AX93" i="4"/>
  <c r="BA94" i="4" a="1"/>
  <c r="BA94" i="4" s="1"/>
  <c r="BB94" i="4" s="1"/>
  <c r="T94" i="69" s="1"/>
  <c r="B94" i="4"/>
  <c r="AS59" i="4"/>
  <c r="AV661" i="13" s="1"/>
  <c r="CU81" i="4"/>
  <c r="CV81" i="4" s="1"/>
  <c r="CY81" i="4"/>
  <c r="CZ81" i="4" s="1"/>
  <c r="AX81" i="4"/>
  <c r="DB81" i="4"/>
  <c r="DB90" i="4"/>
  <c r="AX90" i="4"/>
  <c r="CU90" i="4"/>
  <c r="CV90" i="4" s="1"/>
  <c r="IT7" i="71"/>
  <c r="DB86" i="4"/>
  <c r="CU86" i="4"/>
  <c r="CV86" i="4" s="1"/>
  <c r="AX86" i="4"/>
  <c r="HY15" i="71"/>
  <c r="CY79" i="4"/>
  <c r="CZ79" i="4" s="1"/>
  <c r="DB79" i="4"/>
  <c r="AX79" i="4"/>
  <c r="CU79" i="4"/>
  <c r="CV79" i="4" s="1"/>
  <c r="CU71" i="4"/>
  <c r="CV71" i="4" s="1"/>
  <c r="AX71" i="4"/>
  <c r="DB71" i="4"/>
  <c r="BT28" i="4"/>
  <c r="H67" i="9"/>
  <c r="X42" i="72"/>
  <c r="X42" i="69"/>
  <c r="Z18" i="4"/>
  <c r="AV1215" i="13" s="1"/>
  <c r="AL7" i="4"/>
  <c r="I7" i="69" s="1"/>
  <c r="X43" i="69"/>
  <c r="X43" i="72"/>
  <c r="X35" i="69"/>
  <c r="X35" i="72"/>
  <c r="Z32" i="4"/>
  <c r="AV1229" i="13" s="1"/>
  <c r="AH32" i="4"/>
  <c r="AV1328" i="13" s="1"/>
  <c r="Z43" i="4"/>
  <c r="AV1240" i="13" s="1"/>
  <c r="AD34" i="4"/>
  <c r="F34" i="69" s="1"/>
  <c r="AD30" i="4"/>
  <c r="F30" i="69" s="1"/>
  <c r="AH22" i="4"/>
  <c r="AV1318" i="13" s="1"/>
  <c r="X66" i="69"/>
  <c r="X66" i="72"/>
  <c r="Z12" i="4"/>
  <c r="AV1209" i="13" s="1"/>
  <c r="X86" i="69"/>
  <c r="X86" i="72"/>
  <c r="Z33" i="4"/>
  <c r="AV1230" i="13" s="1"/>
  <c r="AH37" i="4"/>
  <c r="T2" i="14"/>
  <c r="AL15" i="4"/>
  <c r="I15" i="69" s="1"/>
  <c r="X16" i="69"/>
  <c r="X16" i="72"/>
  <c r="X27" i="72"/>
  <c r="X27" i="69"/>
  <c r="X62" i="69"/>
  <c r="X62" i="72"/>
  <c r="AX220" i="13"/>
  <c r="A320" i="13"/>
  <c r="AX320" i="13" s="1"/>
  <c r="E453" i="15"/>
  <c r="I9" i="72"/>
  <c r="I9" i="69"/>
  <c r="Z1386" i="13"/>
  <c r="AY90" i="4"/>
  <c r="AW90" i="4"/>
  <c r="AV92" i="13"/>
  <c r="AW56" i="4"/>
  <c r="Z1352" i="13"/>
  <c r="AY56" i="4"/>
  <c r="AV58" i="13"/>
  <c r="AX251" i="13"/>
  <c r="A351" i="13"/>
  <c r="AX351" i="13" s="1"/>
  <c r="A358" i="13"/>
  <c r="AX358" i="13" s="1"/>
  <c r="AX258" i="13"/>
  <c r="Z1379" i="13"/>
  <c r="AV85" i="13"/>
  <c r="AY83" i="4"/>
  <c r="AW83" i="4"/>
  <c r="E226" i="15"/>
  <c r="E112" i="15"/>
  <c r="E142" i="15"/>
  <c r="E91" i="15"/>
  <c r="E195" i="15"/>
  <c r="E147" i="15"/>
  <c r="E527" i="15"/>
  <c r="E653" i="15"/>
  <c r="E651" i="15"/>
  <c r="E420" i="15"/>
  <c r="E634" i="15"/>
  <c r="E569" i="15"/>
  <c r="BJ4" i="72"/>
  <c r="DA42" i="4" a="1"/>
  <c r="DA42" i="4" s="1"/>
  <c r="A1383" i="13"/>
  <c r="AX1284" i="13"/>
  <c r="CY18" i="4"/>
  <c r="CZ18" i="4" s="1"/>
  <c r="Z1314" i="13"/>
  <c r="F18" i="4"/>
  <c r="AW18" i="4"/>
  <c r="AY18" i="4"/>
  <c r="AV20" i="13"/>
  <c r="AP18" i="4"/>
  <c r="AV320" i="13" s="1"/>
  <c r="AV420" i="13" s="1"/>
  <c r="V26" i="22"/>
  <c r="W26" i="22"/>
  <c r="Y26" i="22" s="1"/>
  <c r="AX226" i="13"/>
  <c r="A326" i="13"/>
  <c r="AX326" i="13" s="1"/>
  <c r="AX1229" i="13"/>
  <c r="A1328" i="13"/>
  <c r="A353" i="13"/>
  <c r="AX353" i="13" s="1"/>
  <c r="AX253" i="13"/>
  <c r="AV1306" i="13"/>
  <c r="G10" i="69"/>
  <c r="G10" i="72"/>
  <c r="AX256" i="13"/>
  <c r="A356" i="13"/>
  <c r="AX356" i="13" s="1"/>
  <c r="AW65" i="4"/>
  <c r="Z1361" i="13"/>
  <c r="AY65" i="4"/>
  <c r="AV67" i="13"/>
  <c r="AP65" i="4"/>
  <c r="AV367" i="13" s="1"/>
  <c r="AV467" i="13" s="1"/>
  <c r="DE16" i="4"/>
  <c r="E545" i="15"/>
  <c r="E553" i="15"/>
  <c r="E301" i="15"/>
  <c r="E186" i="15"/>
  <c r="E93" i="15"/>
  <c r="DE42" i="4"/>
  <c r="A1358" i="13"/>
  <c r="AX1259" i="13"/>
  <c r="AX1228" i="13"/>
  <c r="A1327" i="13"/>
  <c r="HJ5" i="71"/>
  <c r="DB74" i="4"/>
  <c r="CU74" i="4"/>
  <c r="CV74" i="4" s="1"/>
  <c r="CY74" i="4"/>
  <c r="CZ74" i="4" s="1"/>
  <c r="AX74" i="4"/>
  <c r="H80" i="9"/>
  <c r="CW26" i="4"/>
  <c r="CX26" i="4" s="1"/>
  <c r="AP9" i="69" a="1"/>
  <c r="AP9" i="69" s="1"/>
  <c r="AL9" i="69" a="1"/>
  <c r="AL9" i="69" s="1"/>
  <c r="AF9" i="69" a="1"/>
  <c r="AF9" i="69" s="1"/>
  <c r="AV9" i="69" a="1"/>
  <c r="AV9" i="69" s="1"/>
  <c r="AU9" i="69" a="1"/>
  <c r="AU9" i="69" s="1"/>
  <c r="AH9" i="69" a="1"/>
  <c r="AH9" i="69" s="1"/>
  <c r="AR9" i="69" a="1"/>
  <c r="AR9" i="69" s="1"/>
  <c r="AG9" i="69" a="1"/>
  <c r="AG9" i="69" s="1"/>
  <c r="AS9" i="69" a="1"/>
  <c r="AS9" i="69" s="1"/>
  <c r="E100" i="15"/>
  <c r="E193" i="15"/>
  <c r="E416" i="15"/>
  <c r="E184" i="15"/>
  <c r="E528" i="15"/>
  <c r="E246" i="15"/>
  <c r="E391" i="15"/>
  <c r="E579" i="15"/>
  <c r="E551" i="15"/>
  <c r="E275" i="15"/>
  <c r="E533" i="15"/>
  <c r="E201" i="15"/>
  <c r="E385" i="15"/>
  <c r="AI9" i="69" a="1"/>
  <c r="AI9" i="69" s="1"/>
  <c r="CU89" i="4"/>
  <c r="CV89" i="4" s="1"/>
  <c r="AX89" i="4"/>
  <c r="DB89" i="4"/>
  <c r="AX80" i="4"/>
  <c r="CU80" i="4"/>
  <c r="CV80" i="4" s="1"/>
  <c r="DB80" i="4"/>
  <c r="GR30" i="71"/>
  <c r="AX68" i="4"/>
  <c r="CU68" i="4"/>
  <c r="CV68" i="4" s="1"/>
  <c r="DB68" i="4"/>
  <c r="BA72" i="4" a="1"/>
  <c r="BA72" i="4" s="1"/>
  <c r="BB72" i="4" s="1"/>
  <c r="AV174" i="13" s="1"/>
  <c r="B72" i="4"/>
  <c r="DA72" i="4" s="1" a="1"/>
  <c r="DA72" i="4" s="1"/>
  <c r="AS68" i="4"/>
  <c r="AV670" i="13" s="1"/>
  <c r="BA67" i="4" a="1"/>
  <c r="BA67" i="4" s="1"/>
  <c r="BB67" i="4" s="1"/>
  <c r="AV169" i="13" s="1"/>
  <c r="B67" i="4"/>
  <c r="AD67" i="4" s="1"/>
  <c r="DB69" i="4"/>
  <c r="CU69" i="4"/>
  <c r="CV69" i="4" s="1"/>
  <c r="AX69" i="4"/>
  <c r="CY69" i="4"/>
  <c r="CZ69" i="4" s="1"/>
  <c r="DA75" i="4" a="1"/>
  <c r="DA75" i="4" s="1"/>
  <c r="BT10" i="72"/>
  <c r="AH27" i="4"/>
  <c r="AV1323" i="13" s="1"/>
  <c r="AH7" i="4"/>
  <c r="AV1303" i="13" s="1"/>
  <c r="Z47" i="4"/>
  <c r="AV1244" i="13" s="1"/>
  <c r="X59" i="69"/>
  <c r="X59" i="72"/>
  <c r="AD46" i="4"/>
  <c r="F46" i="69" s="1"/>
  <c r="X68" i="72"/>
  <c r="X68" i="69"/>
  <c r="AH14" i="4"/>
  <c r="AV1310" i="13" s="1"/>
  <c r="Z34" i="4"/>
  <c r="AV1231" i="13" s="1"/>
  <c r="BO23" i="4"/>
  <c r="G23" i="4"/>
  <c r="X93" i="72"/>
  <c r="X93" i="69"/>
  <c r="Z15" i="4"/>
  <c r="AV1212" i="13" s="1"/>
  <c r="AL14" i="4"/>
  <c r="I14" i="72" s="1"/>
  <c r="X21" i="69"/>
  <c r="X21" i="72"/>
  <c r="AH24" i="4"/>
  <c r="AV1320" i="13" s="1"/>
  <c r="AL5" i="4"/>
  <c r="I5" i="72" s="1"/>
  <c r="AD36" i="4"/>
  <c r="F36" i="72" s="1"/>
  <c r="AL47" i="4"/>
  <c r="I47" i="69" s="1"/>
  <c r="AD45" i="4"/>
  <c r="F45" i="72" s="1"/>
  <c r="AD38" i="4"/>
  <c r="F38" i="69" s="1"/>
  <c r="Z42" i="4"/>
  <c r="AV1239" i="13" s="1"/>
  <c r="X11" i="69"/>
  <c r="X11" i="72"/>
  <c r="X36" i="72"/>
  <c r="X36" i="69"/>
  <c r="X12" i="72"/>
  <c r="X12" i="69"/>
  <c r="V37" i="22"/>
  <c r="Z1331" i="13"/>
  <c r="AW35" i="4"/>
  <c r="AY35" i="4"/>
  <c r="AV37" i="13"/>
  <c r="F35" i="4"/>
  <c r="AP35" i="4"/>
  <c r="AV337" i="13" s="1"/>
  <c r="AV437" i="13" s="1"/>
  <c r="W37" i="22"/>
  <c r="Y37" i="22" s="1"/>
  <c r="E623" i="15"/>
  <c r="E187" i="15"/>
  <c r="E464" i="15"/>
  <c r="E54" i="15"/>
  <c r="E396" i="15"/>
  <c r="E239" i="15"/>
  <c r="E70" i="15"/>
  <c r="E600" i="15"/>
  <c r="E535" i="15"/>
  <c r="E494" i="15"/>
  <c r="E459" i="15"/>
  <c r="E471" i="15"/>
  <c r="E558" i="15"/>
  <c r="E84" i="15"/>
  <c r="AX273" i="13"/>
  <c r="A373" i="13"/>
  <c r="AX373" i="13" s="1"/>
  <c r="AY75" i="4"/>
  <c r="AW75" i="4"/>
  <c r="Z1371" i="13"/>
  <c r="AV77" i="13"/>
  <c r="F75" i="4"/>
  <c r="AP75" i="4"/>
  <c r="AV377" i="13" s="1"/>
  <c r="AV477" i="13" s="1"/>
  <c r="U16" i="27" a="1"/>
  <c r="U16" i="27" s="1"/>
  <c r="Z58" i="23" a="1"/>
  <c r="Z58" i="23" s="1"/>
  <c r="Z36" i="23" s="1"/>
  <c r="C36" i="23" s="1"/>
  <c r="E11" i="4"/>
  <c r="BT11" i="4" s="1"/>
  <c r="E576" i="15"/>
  <c r="E129" i="15"/>
  <c r="CW33" i="4"/>
  <c r="CX33" i="4" s="1"/>
  <c r="AX1225" i="13"/>
  <c r="A1324" i="13"/>
  <c r="F208" i="15" a="1"/>
  <c r="F208" i="15" s="1"/>
  <c r="E172" i="15"/>
  <c r="AX291" i="13"/>
  <c r="A391" i="13"/>
  <c r="AX391" i="13" s="1"/>
  <c r="A1348" i="13"/>
  <c r="AX1249" i="13"/>
  <c r="Y701" i="13"/>
  <c r="Z701" i="13"/>
  <c r="E570" i="15"/>
  <c r="DA35" i="4" a="1"/>
  <c r="DA35" i="4" s="1"/>
  <c r="AX1279" i="13"/>
  <c r="A1378" i="13"/>
  <c r="AX231" i="13"/>
  <c r="A331" i="13"/>
  <c r="AX331" i="13" s="1"/>
  <c r="E311" i="15"/>
  <c r="E544" i="15"/>
  <c r="E466" i="15"/>
  <c r="E529" i="15"/>
  <c r="E217" i="15"/>
  <c r="E168" i="15"/>
  <c r="E484" i="15"/>
  <c r="E458" i="15"/>
  <c r="E333" i="15"/>
  <c r="E633" i="15"/>
  <c r="E524" i="15"/>
  <c r="E138" i="15"/>
  <c r="E581" i="15"/>
  <c r="E165" i="15"/>
  <c r="E455" i="15"/>
  <c r="E46" i="15"/>
  <c r="E515" i="15"/>
  <c r="E96" i="15"/>
  <c r="E424" i="15"/>
  <c r="E319" i="15"/>
  <c r="E35" i="4"/>
  <c r="BT35" i="4" s="1"/>
  <c r="DA33" i="4" a="1"/>
  <c r="DA33" i="4" s="1"/>
  <c r="C56" i="23"/>
  <c r="A374" i="13"/>
  <c r="AX374" i="13" s="1"/>
  <c r="AX274" i="13"/>
  <c r="E14" i="4"/>
  <c r="E155" i="15"/>
  <c r="E106" i="15"/>
  <c r="E199" i="15"/>
  <c r="E387" i="15"/>
  <c r="E272" i="15"/>
  <c r="E526" i="15"/>
  <c r="E585" i="15"/>
  <c r="E51" i="15"/>
  <c r="E74" i="15"/>
  <c r="AN4" i="72"/>
  <c r="CW42" i="4"/>
  <c r="CX42" i="4" s="1"/>
  <c r="E317" i="15"/>
  <c r="E522" i="15"/>
  <c r="E325" i="15"/>
  <c r="E124" i="15"/>
  <c r="E117" i="15"/>
  <c r="AK3" i="69" a="1"/>
  <c r="AK3" i="69" s="1"/>
  <c r="AV3" i="69" a="1"/>
  <c r="AV3" i="69" s="1"/>
  <c r="AR3" i="69" a="1"/>
  <c r="AR3" i="69" s="1"/>
  <c r="AJ3" i="69" a="1"/>
  <c r="AJ3" i="69" s="1"/>
  <c r="AG3" i="69" a="1"/>
  <c r="AG3" i="69" s="1"/>
  <c r="AU3" i="69" a="1"/>
  <c r="AU3" i="69" s="1"/>
  <c r="AQ3" i="69" a="1"/>
  <c r="AQ3" i="69" s="1"/>
  <c r="AI3" i="69" a="1"/>
  <c r="AI3" i="69" s="1"/>
  <c r="AP3" i="69" a="1"/>
  <c r="AP3" i="69" s="1"/>
  <c r="AH3" i="69" a="1"/>
  <c r="AH3" i="69" s="1"/>
  <c r="AF3" i="69" a="1"/>
  <c r="AF3" i="69" s="1"/>
  <c r="AL3" i="69" a="1"/>
  <c r="AL3" i="69" s="1"/>
  <c r="AX218" i="13"/>
  <c r="A318" i="13"/>
  <c r="AX318" i="13" s="1"/>
  <c r="CW49" i="4"/>
  <c r="CX49" i="4" s="1"/>
  <c r="A387" i="13"/>
  <c r="AX387" i="13" s="1"/>
  <c r="AX287" i="13"/>
  <c r="BU3" i="72"/>
  <c r="DE32" i="4"/>
  <c r="AX272" i="13"/>
  <c r="A372" i="13"/>
  <c r="AX372" i="13" s="1"/>
  <c r="AS60" i="4"/>
  <c r="AV662" i="13" s="1"/>
  <c r="DA24" i="4" a="1"/>
  <c r="DA24" i="4" s="1"/>
  <c r="AX1288" i="13"/>
  <c r="A1387" i="13"/>
  <c r="A1350" i="13"/>
  <c r="AX1251" i="13"/>
  <c r="BD42" i="4"/>
  <c r="W36" i="22"/>
  <c r="Y36" i="22" s="1"/>
  <c r="AW53" i="4"/>
  <c r="AY53" i="4"/>
  <c r="F53" i="4"/>
  <c r="AV55" i="13"/>
  <c r="Z1349" i="13"/>
  <c r="AP53" i="4"/>
  <c r="AV355" i="13" s="1"/>
  <c r="AV455" i="13" s="1"/>
  <c r="V36" i="22"/>
  <c r="AX1269" i="13"/>
  <c r="A1368" i="13"/>
  <c r="CY5" i="4"/>
  <c r="CZ5" i="4" s="1"/>
  <c r="CW22" i="4"/>
  <c r="CX22" i="4" s="1"/>
  <c r="A317" i="13"/>
  <c r="AX317" i="13" s="1"/>
  <c r="AX217" i="13"/>
  <c r="CY65" i="4"/>
  <c r="CZ65" i="4" s="1"/>
  <c r="AQ10" i="72" a="1"/>
  <c r="AQ10" i="72" s="1"/>
  <c r="DE51" i="4"/>
  <c r="CY48" i="4"/>
  <c r="CZ48" i="4" s="1"/>
  <c r="A1308" i="13"/>
  <c r="AX1209" i="13"/>
  <c r="HS31" i="71"/>
  <c r="CU77" i="4"/>
  <c r="CV77" i="4" s="1"/>
  <c r="DB77" i="4"/>
  <c r="AX77" i="4"/>
  <c r="B85" i="4"/>
  <c r="Z85" i="4" s="1"/>
  <c r="AV1282" i="13" s="1"/>
  <c r="BA85" i="4" a="1"/>
  <c r="BA85" i="4" s="1"/>
  <c r="BB85" i="4" s="1"/>
  <c r="AV187" i="13" s="1"/>
  <c r="DB82" i="4"/>
  <c r="AX82" i="4"/>
  <c r="CU82" i="4"/>
  <c r="CV82" i="4" s="1"/>
  <c r="B56" i="4"/>
  <c r="AP56" i="4" s="1"/>
  <c r="AV358" i="13" s="1"/>
  <c r="AV458" i="13" s="1"/>
  <c r="BA56" i="4" a="1"/>
  <c r="BA56" i="4" s="1"/>
  <c r="BB56" i="4" s="1"/>
  <c r="AV158" i="13" s="1"/>
  <c r="JL4" i="71"/>
  <c r="DB92" i="4"/>
  <c r="CU92" i="4"/>
  <c r="CV92" i="4" s="1"/>
  <c r="AX92" i="4"/>
  <c r="CU73" i="4"/>
  <c r="CV73" i="4" s="1"/>
  <c r="AX73" i="4"/>
  <c r="DB73" i="4"/>
  <c r="CY73" i="4"/>
  <c r="CZ73" i="4" s="1"/>
  <c r="JU20" i="71"/>
  <c r="CU95" i="4"/>
  <c r="CV95" i="4" s="1"/>
  <c r="AX95" i="4"/>
  <c r="DB95" i="4"/>
  <c r="AM95" i="69" s="1"/>
  <c r="F95" i="4"/>
  <c r="B73" i="4"/>
  <c r="CW73" i="4" s="1"/>
  <c r="CX73" i="4" s="1"/>
  <c r="BA73" i="4" a="1"/>
  <c r="BA73" i="4" s="1"/>
  <c r="BB73" i="4" s="1"/>
  <c r="AV175" i="13" s="1"/>
  <c r="B64" i="4"/>
  <c r="BA64" i="4" a="1"/>
  <c r="BA64" i="4" s="1"/>
  <c r="BB64" i="4" s="1"/>
  <c r="AV166" i="13" s="1"/>
  <c r="AS89" i="4"/>
  <c r="AV691" i="13" s="1"/>
  <c r="AS73" i="4"/>
  <c r="AV675" i="13" s="1"/>
  <c r="B70" i="4"/>
  <c r="Z70" i="4" s="1"/>
  <c r="AV1267" i="13" s="1"/>
  <c r="BA70" i="4" a="1"/>
  <c r="BA70" i="4" s="1"/>
  <c r="BB70" i="4" s="1"/>
  <c r="AV172" i="13" s="1"/>
  <c r="AS81" i="4"/>
  <c r="AV683" i="13" s="1"/>
  <c r="AS57" i="4"/>
  <c r="AV659" i="13" s="1"/>
  <c r="BA86" i="4" a="1"/>
  <c r="BA86" i="4" s="1"/>
  <c r="BB86" i="4" s="1"/>
  <c r="AV188" i="13" s="1"/>
  <c r="B86" i="4"/>
  <c r="DA86" i="4" s="1" a="1"/>
  <c r="DA86" i="4" s="1"/>
  <c r="AQ9" i="69" a="1"/>
  <c r="AQ9" i="69" s="1"/>
  <c r="E47" i="4"/>
  <c r="BT47" i="4" s="1"/>
  <c r="DA36" i="4" a="1"/>
  <c r="DA36" i="4" s="1"/>
  <c r="CW31" i="4"/>
  <c r="CX31" i="4" s="1"/>
  <c r="B77" i="4"/>
  <c r="DA77" i="4" s="1" a="1"/>
  <c r="DA77" i="4" s="1"/>
  <c r="BA77" i="4" a="1"/>
  <c r="BA77" i="4" s="1"/>
  <c r="BB77" i="4" s="1"/>
  <c r="AV179" i="13" s="1"/>
  <c r="E26" i="4"/>
  <c r="AH15" i="4"/>
  <c r="AV1311" i="13" s="1"/>
  <c r="Z21" i="4"/>
  <c r="AV1218" i="13" s="1"/>
  <c r="X57" i="69"/>
  <c r="X57" i="72"/>
  <c r="AD27" i="4"/>
  <c r="F27" i="69" s="1"/>
  <c r="AD52" i="4"/>
  <c r="F52" i="69" s="1"/>
  <c r="AD5" i="4"/>
  <c r="F5" i="69" s="1"/>
  <c r="AH34" i="4"/>
  <c r="AV1330" i="13" s="1"/>
  <c r="X5" i="69"/>
  <c r="X5" i="72"/>
  <c r="AL49" i="4"/>
  <c r="I49" i="69" s="1"/>
  <c r="Z28" i="4"/>
  <c r="AV1225" i="13" s="1"/>
  <c r="X13" i="69"/>
  <c r="X13" i="72"/>
  <c r="AD42" i="4"/>
  <c r="F42" i="69" s="1"/>
  <c r="X17" i="72"/>
  <c r="X17" i="69"/>
  <c r="X32" i="69"/>
  <c r="X32" i="72"/>
  <c r="X44" i="69"/>
  <c r="X44" i="72"/>
  <c r="AD49" i="4"/>
  <c r="F49" i="69" s="1"/>
  <c r="AH13" i="4"/>
  <c r="AV1309" i="13" s="1"/>
  <c r="AH54" i="4"/>
  <c r="AV1350" i="13" s="1"/>
  <c r="Z51" i="4"/>
  <c r="AV1248" i="13" s="1"/>
  <c r="Z20" i="4"/>
  <c r="AV1217" i="13" s="1"/>
  <c r="X26" i="69"/>
  <c r="X26" i="72"/>
  <c r="X47" i="69"/>
  <c r="X47" i="72"/>
  <c r="AR3" i="4"/>
  <c r="AQ3" i="4"/>
  <c r="Z1377" i="13"/>
  <c r="AW81" i="4"/>
  <c r="AV83" i="13"/>
  <c r="AY81" i="4"/>
  <c r="AX237" i="13"/>
  <c r="A337" i="13"/>
  <c r="AX337" i="13" s="1"/>
  <c r="E24" i="4"/>
  <c r="A1369" i="13"/>
  <c r="AX1270" i="13"/>
  <c r="AX1203" i="13"/>
  <c r="A1302" i="13"/>
  <c r="F11" i="4"/>
  <c r="AW11" i="4"/>
  <c r="AV13" i="13"/>
  <c r="Z1307" i="13"/>
  <c r="AY11" i="4"/>
  <c r="AP11" i="4"/>
  <c r="AV313" i="13" s="1"/>
  <c r="AV413" i="13" s="1"/>
  <c r="W20" i="22"/>
  <c r="Y20" i="22" s="1"/>
  <c r="V20" i="22"/>
  <c r="DD7" i="4" a="1"/>
  <c r="DD7" i="4" s="1"/>
  <c r="DD17" i="4" a="1"/>
  <c r="DD17" i="4" s="1"/>
  <c r="DD21" i="4" a="1"/>
  <c r="DD21" i="4" s="1"/>
  <c r="DD19" i="4" a="1"/>
  <c r="DD19" i="4" s="1"/>
  <c r="DD20" i="4" a="1"/>
  <c r="DD20" i="4" s="1"/>
  <c r="DD13" i="4" a="1"/>
  <c r="DD13" i="4" s="1"/>
  <c r="DD5" i="4" a="1"/>
  <c r="DD5" i="4" s="1"/>
  <c r="DD16" i="4" a="1"/>
  <c r="DD16" i="4" s="1"/>
  <c r="DD14" i="4" a="1"/>
  <c r="DD14" i="4" s="1"/>
  <c r="DD8" i="4" a="1"/>
  <c r="DD8" i="4" s="1"/>
  <c r="DD15" i="4" a="1"/>
  <c r="DD15" i="4" s="1"/>
  <c r="DD10" i="4" a="1"/>
  <c r="DD10" i="4" s="1"/>
  <c r="DD9" i="4" a="1"/>
  <c r="DD9" i="4" s="1"/>
  <c r="DD18" i="4" a="1"/>
  <c r="DD18" i="4" s="1"/>
  <c r="DD6" i="4" a="1"/>
  <c r="DD6" i="4" s="1"/>
  <c r="DD11" i="4" a="1"/>
  <c r="DD11" i="4" s="1"/>
  <c r="DD22" i="4" a="1"/>
  <c r="DD22" i="4" s="1"/>
  <c r="DD12" i="4" a="1"/>
  <c r="DD12" i="4" s="1"/>
  <c r="A1315" i="13"/>
  <c r="AX1216" i="13"/>
  <c r="AX259" i="13"/>
  <c r="A359" i="13"/>
  <c r="AX359" i="13" s="1"/>
  <c r="AX244" i="13"/>
  <c r="A344" i="13"/>
  <c r="AX344" i="13" s="1"/>
  <c r="F701" i="13"/>
  <c r="N701" i="13"/>
  <c r="AR4" i="4"/>
  <c r="AQ4" i="4"/>
  <c r="AX1243" i="13"/>
  <c r="A1342" i="13"/>
  <c r="AX219" i="13"/>
  <c r="A319" i="13"/>
  <c r="AX319" i="13" s="1"/>
  <c r="AX1240" i="13"/>
  <c r="A1339" i="13"/>
  <c r="BD49" i="4"/>
  <c r="CY16" i="4"/>
  <c r="CZ16" i="4" s="1"/>
  <c r="AW16" i="4"/>
  <c r="AY16" i="4"/>
  <c r="F16" i="4"/>
  <c r="AV18" i="13"/>
  <c r="Z1312" i="13"/>
  <c r="AP16" i="4"/>
  <c r="AV318" i="13" s="1"/>
  <c r="AV418" i="13" s="1"/>
  <c r="W13" i="22"/>
  <c r="Y13" i="22" s="1"/>
  <c r="V13" i="22"/>
  <c r="CW35" i="4"/>
  <c r="CX35" i="4" s="1"/>
  <c r="A378" i="13"/>
  <c r="AX378" i="13" s="1"/>
  <c r="AX278" i="13"/>
  <c r="A1382" i="13"/>
  <c r="AX1283" i="13"/>
  <c r="AV17" i="13"/>
  <c r="F15" i="4"/>
  <c r="AY15" i="4"/>
  <c r="AW15" i="4"/>
  <c r="Z1311" i="13"/>
  <c r="L15" i="4"/>
  <c r="CA15" i="4" s="1"/>
  <c r="AP15" i="4"/>
  <c r="AV317" i="13" s="1"/>
  <c r="AV417" i="13" s="1"/>
  <c r="V25" i="22"/>
  <c r="W25" i="22"/>
  <c r="Y25" i="22" s="1"/>
  <c r="CY21" i="4"/>
  <c r="CZ21" i="4" s="1"/>
  <c r="Z1317" i="13"/>
  <c r="AV23" i="13"/>
  <c r="F21" i="4"/>
  <c r="AY21" i="4"/>
  <c r="AW21" i="4"/>
  <c r="AP21" i="4"/>
  <c r="AV323" i="13" s="1"/>
  <c r="AV423" i="13" s="1"/>
  <c r="W30" i="22"/>
  <c r="Y30" i="22" s="1"/>
  <c r="V30" i="22"/>
  <c r="V41" i="22"/>
  <c r="AV28" i="13"/>
  <c r="F26" i="4"/>
  <c r="Z1322" i="13"/>
  <c r="AW26" i="4"/>
  <c r="AY26" i="4"/>
  <c r="L26" i="4"/>
  <c r="CA26" i="4" s="1"/>
  <c r="AP26" i="4"/>
  <c r="AV328" i="13" s="1"/>
  <c r="AV428" i="13" s="1"/>
  <c r="I12" i="7" a="1"/>
  <c r="I12" i="7" s="1"/>
  <c r="H12" i="7" a="1"/>
  <c r="H12" i="7" s="1"/>
  <c r="W41" i="22"/>
  <c r="Y41" i="22" s="1"/>
  <c r="AX261" i="13"/>
  <c r="A361" i="13"/>
  <c r="AX361" i="13" s="1"/>
  <c r="Z1365" i="13"/>
  <c r="AV71" i="13"/>
  <c r="AW69" i="4"/>
  <c r="AY69" i="4"/>
  <c r="AW52" i="4"/>
  <c r="F52" i="4"/>
  <c r="L52" i="4"/>
  <c r="CA52" i="4" s="1"/>
  <c r="Z1348" i="13"/>
  <c r="AY52" i="4"/>
  <c r="AV54" i="13"/>
  <c r="AP52" i="4"/>
  <c r="AV354" i="13" s="1"/>
  <c r="AV454" i="13" s="1"/>
  <c r="W74" i="22"/>
  <c r="Y74" i="22" s="1"/>
  <c r="V74" i="22"/>
  <c r="DE40" i="4"/>
  <c r="AX1256" i="13"/>
  <c r="A1355" i="13"/>
  <c r="BQ4" i="69"/>
  <c r="Z44" i="23"/>
  <c r="AS3" i="69" a="1"/>
  <c r="AS3" i="69" s="1"/>
  <c r="E99" i="15"/>
  <c r="F44" i="4"/>
  <c r="AV46" i="13"/>
  <c r="Z1340" i="13"/>
  <c r="AY44" i="4"/>
  <c r="AW44" i="4"/>
  <c r="AP44" i="4"/>
  <c r="AV346" i="13" s="1"/>
  <c r="AV446" i="13" s="1"/>
  <c r="W63" i="22"/>
  <c r="Y63" i="22" s="1"/>
  <c r="V63" i="22"/>
  <c r="BO3" i="69"/>
  <c r="AX1246" i="13"/>
  <c r="A1345" i="13"/>
  <c r="DA52" i="4" a="1"/>
  <c r="DA52" i="4" s="1"/>
  <c r="CY39" i="4"/>
  <c r="CZ39" i="4" s="1"/>
  <c r="AW39" i="4"/>
  <c r="F39" i="4"/>
  <c r="AV41" i="13"/>
  <c r="AY39" i="4"/>
  <c r="Z1335" i="13"/>
  <c r="AP39" i="4"/>
  <c r="AV341" i="13" s="1"/>
  <c r="AV441" i="13" s="1"/>
  <c r="V55" i="22"/>
  <c r="W55" i="22"/>
  <c r="Y55" i="22" s="1"/>
  <c r="Z1381" i="13"/>
  <c r="AW85" i="4"/>
  <c r="AV87" i="13"/>
  <c r="AY85" i="4"/>
  <c r="AQ3" i="72" a="1"/>
  <c r="AQ3" i="72" s="1"/>
  <c r="BB3" i="72" a="1"/>
  <c r="BB3" i="72" s="1"/>
  <c r="AG3" i="72" a="1"/>
  <c r="AG3" i="72" s="1"/>
  <c r="AM3" i="72" a="1"/>
  <c r="AM3" i="72" s="1"/>
  <c r="AH3" i="72" a="1"/>
  <c r="AH3" i="72" s="1"/>
  <c r="BA3" i="72" a="1"/>
  <c r="BA3" i="72" s="1"/>
  <c r="AR3" i="72" a="1"/>
  <c r="AR3" i="72" s="1"/>
  <c r="AP3" i="72" a="1"/>
  <c r="AP3" i="72" s="1"/>
  <c r="AW3" i="72" a="1"/>
  <c r="AW3" i="72" s="1"/>
  <c r="AV3" i="72" a="1"/>
  <c r="AV3" i="72" s="1"/>
  <c r="AX3" i="72" a="1"/>
  <c r="AX3" i="72" s="1"/>
  <c r="CW16" i="4"/>
  <c r="CX16" i="4" s="1"/>
  <c r="E32" i="4"/>
  <c r="BT32" i="4" s="1"/>
  <c r="E383" i="15"/>
  <c r="AW88" i="4"/>
  <c r="Z1384" i="13"/>
  <c r="AY88" i="4"/>
  <c r="AV90" i="13"/>
  <c r="AV1206" i="13"/>
  <c r="B9" i="72"/>
  <c r="B9" i="69"/>
  <c r="S9" i="72"/>
  <c r="AJ9" i="72" s="1"/>
  <c r="S9" i="69"/>
  <c r="BA60" i="4" a="1"/>
  <c r="BA60" i="4" s="1"/>
  <c r="BB60" i="4" s="1"/>
  <c r="AV162" i="13" s="1"/>
  <c r="B60" i="4"/>
  <c r="E52" i="4"/>
  <c r="BT52" i="4" s="1"/>
  <c r="DA19" i="4" a="1"/>
  <c r="DA19" i="4" s="1"/>
  <c r="AW19" i="4"/>
  <c r="AV21" i="13"/>
  <c r="Z1315" i="13"/>
  <c r="F19" i="4"/>
  <c r="AY19" i="4"/>
  <c r="L19" i="4"/>
  <c r="AP19" i="4"/>
  <c r="AV321" i="13" s="1"/>
  <c r="AV421" i="13" s="1"/>
  <c r="W27" i="22"/>
  <c r="Y27" i="22" s="1"/>
  <c r="V27" i="22"/>
  <c r="AX1204" i="13"/>
  <c r="A1303" i="13"/>
  <c r="A1318" i="13"/>
  <c r="AX1219" i="13"/>
  <c r="BA87" i="4" a="1"/>
  <c r="BA87" i="4" s="1"/>
  <c r="BB87" i="4" s="1"/>
  <c r="AV189" i="13" s="1"/>
  <c r="B87" i="4"/>
  <c r="F87" i="4" s="1"/>
  <c r="HD5" i="71"/>
  <c r="DB72" i="4"/>
  <c r="CU72" i="4"/>
  <c r="CV72" i="4" s="1"/>
  <c r="AX72" i="4"/>
  <c r="CY70" i="4"/>
  <c r="CZ70" i="4" s="1"/>
  <c r="AX70" i="4"/>
  <c r="DB70" i="4"/>
  <c r="CU70" i="4"/>
  <c r="CV70" i="4" s="1"/>
  <c r="AS82" i="4"/>
  <c r="AV684" i="13" s="1"/>
  <c r="AX66" i="4"/>
  <c r="DB66" i="4"/>
  <c r="CU66" i="4"/>
  <c r="CV66" i="4" s="1"/>
  <c r="AX57" i="4"/>
  <c r="CY57" i="4"/>
  <c r="CZ57" i="4" s="1"/>
  <c r="CU57" i="4"/>
  <c r="CV57" i="4" s="1"/>
  <c r="DB57" i="4"/>
  <c r="A1054" i="13"/>
  <c r="K13" i="27" s="1" a="1"/>
  <c r="K13" i="27" s="1"/>
  <c r="AX457" i="13"/>
  <c r="A955" i="13"/>
  <c r="AX955" i="13" s="1"/>
  <c r="A657" i="13"/>
  <c r="A756" i="13"/>
  <c r="AX756" i="13" s="1"/>
  <c r="A1153" i="13"/>
  <c r="A557" i="13"/>
  <c r="AX557" i="13"/>
  <c r="A157" i="13"/>
  <c r="A1853" i="13"/>
  <c r="AX657" i="13"/>
  <c r="AX57" i="13"/>
  <c r="A856" i="13"/>
  <c r="AX856" i="13" s="1"/>
  <c r="A457" i="13"/>
  <c r="AX1054" i="13"/>
  <c r="AJ9" i="69" a="1"/>
  <c r="AJ9" i="69" s="1"/>
  <c r="AX1244" i="13"/>
  <c r="A1343" i="13"/>
  <c r="DE47" i="4"/>
  <c r="A347" i="13"/>
  <c r="AX347" i="13" s="1"/>
  <c r="AX247" i="13"/>
  <c r="Z1875" i="13"/>
  <c r="B1875" i="13" s="1" a="1"/>
  <c r="B1875" i="13" s="1"/>
  <c r="A1344" i="13"/>
  <c r="AX1245" i="13"/>
  <c r="AL27" i="4"/>
  <c r="I27" i="72" s="1"/>
  <c r="BG3" i="4"/>
  <c r="L3" i="4"/>
  <c r="X79" i="72"/>
  <c r="X79" i="69"/>
  <c r="Z8" i="4"/>
  <c r="AV1205" i="13" s="1"/>
  <c r="Z5" i="4"/>
  <c r="AD26" i="4"/>
  <c r="F26" i="69" s="1"/>
  <c r="AD41" i="4"/>
  <c r="F41" i="72" s="1"/>
  <c r="X91" i="69"/>
  <c r="X91" i="72"/>
  <c r="X24" i="72"/>
  <c r="X24" i="69"/>
  <c r="X50" i="72"/>
  <c r="X50" i="69"/>
  <c r="AD22" i="4"/>
  <c r="F22" i="69" s="1"/>
  <c r="X84" i="72"/>
  <c r="X84" i="69"/>
  <c r="Z29" i="4"/>
  <c r="AV1226" i="13" s="1"/>
  <c r="X71" i="72"/>
  <c r="X71" i="69"/>
  <c r="AL12" i="4"/>
  <c r="I12" i="72" s="1"/>
  <c r="AD43" i="4"/>
  <c r="F43" i="69" s="1"/>
  <c r="Z27" i="4"/>
  <c r="AV1224" i="13" s="1"/>
  <c r="BR10" i="4"/>
  <c r="BG10" i="4"/>
  <c r="AV1108" i="13" s="1"/>
  <c r="L10" i="4"/>
  <c r="X65" i="72"/>
  <c r="X65" i="69"/>
  <c r="X78" i="69"/>
  <c r="X78" i="72"/>
  <c r="A1335" i="13"/>
  <c r="AX1236" i="13"/>
  <c r="AX216" i="13"/>
  <c r="A316" i="13"/>
  <c r="AX316" i="13" s="1"/>
  <c r="DA5" i="4" a="1"/>
  <c r="DA5" i="4" s="1"/>
  <c r="AW5" i="4"/>
  <c r="AY5" i="4"/>
  <c r="Z1301" i="13"/>
  <c r="AV7" i="13"/>
  <c r="F5" i="4"/>
  <c r="AP5" i="4"/>
  <c r="AV307" i="13" s="1"/>
  <c r="AV407" i="13" s="1"/>
  <c r="V15" i="22"/>
  <c r="W15" i="22"/>
  <c r="Y15" i="22" s="1"/>
  <c r="L20" i="4"/>
  <c r="AW20" i="4"/>
  <c r="AY20" i="4"/>
  <c r="F20" i="4"/>
  <c r="Z1316" i="13"/>
  <c r="AV22" i="13"/>
  <c r="AP20" i="4"/>
  <c r="AV322" i="13" s="1"/>
  <c r="AV422" i="13" s="1"/>
  <c r="V29" i="22"/>
  <c r="W29" i="22"/>
  <c r="Y29" i="22" s="1"/>
  <c r="F10" i="69"/>
  <c r="F10" i="72"/>
  <c r="BL10" i="4"/>
  <c r="AV512" i="13"/>
  <c r="BH10" i="4"/>
  <c r="DV10" i="4"/>
  <c r="AV88" i="13"/>
  <c r="AW86" i="4"/>
  <c r="AY86" i="4"/>
  <c r="Z1382" i="13"/>
  <c r="BU4" i="72"/>
  <c r="BH4" i="72"/>
  <c r="BN4" i="72" a="1"/>
  <c r="BN4" i="72" s="1"/>
  <c r="BE4" i="72"/>
  <c r="AO4" i="72"/>
  <c r="R4" i="72"/>
  <c r="AJ4" i="72"/>
  <c r="AI4" i="72"/>
  <c r="DA43" i="4" a="1"/>
  <c r="DA43" i="4" s="1"/>
  <c r="F43" i="4"/>
  <c r="AV45" i="13"/>
  <c r="AW43" i="4"/>
  <c r="Z1339" i="13"/>
  <c r="AY43" i="4"/>
  <c r="L43" i="4"/>
  <c r="AP43" i="4"/>
  <c r="AV345" i="13" s="1"/>
  <c r="AV445" i="13" s="1"/>
  <c r="V61" i="22"/>
  <c r="W61" i="22"/>
  <c r="Y61" i="22" s="1"/>
  <c r="F368" i="15" a="1"/>
  <c r="F368" i="15" s="1"/>
  <c r="CW52" i="4"/>
  <c r="CX52" i="4" s="1"/>
  <c r="A381" i="13"/>
  <c r="AX381" i="13" s="1"/>
  <c r="AX281" i="13"/>
  <c r="DA16" i="4" a="1"/>
  <c r="DA16" i="4" s="1"/>
  <c r="AV89" i="13"/>
  <c r="AY87" i="4"/>
  <c r="Z1383" i="13"/>
  <c r="AW87" i="4"/>
  <c r="BD15" i="4"/>
  <c r="AX1226" i="13"/>
  <c r="A1325" i="13"/>
  <c r="AX236" i="13"/>
  <c r="A336" i="13"/>
  <c r="AX336" i="13" s="1"/>
  <c r="C60" i="1"/>
  <c r="DE52" i="4"/>
  <c r="AX1273" i="13"/>
  <c r="A1372" i="13"/>
  <c r="A354" i="13"/>
  <c r="AX354" i="13" s="1"/>
  <c r="AX254" i="13"/>
  <c r="AX255" i="13"/>
  <c r="A355" i="13"/>
  <c r="AX355" i="13" s="1"/>
  <c r="CY7" i="4"/>
  <c r="CZ7" i="4" s="1"/>
  <c r="AW7" i="4"/>
  <c r="Z1303" i="13"/>
  <c r="AY7" i="4"/>
  <c r="AV9" i="13"/>
  <c r="F7" i="4"/>
  <c r="AP7" i="4"/>
  <c r="AV309" i="13" s="1"/>
  <c r="AV409" i="13" s="1"/>
  <c r="V28" i="22"/>
  <c r="W28" i="22"/>
  <c r="Y28" i="22" s="1"/>
  <c r="N571" i="15" a="1"/>
  <c r="N571" i="15" s="1"/>
  <c r="E460" i="15"/>
  <c r="E467" i="15"/>
  <c r="E525" i="15"/>
  <c r="E334" i="15"/>
  <c r="E593" i="15"/>
  <c r="A1341" i="13"/>
  <c r="AX1242" i="13"/>
  <c r="DA65" i="4" a="1"/>
  <c r="DA65" i="4" s="1"/>
  <c r="BN10" i="72" a="1"/>
  <c r="BN10" i="72" s="1"/>
  <c r="A367" i="13"/>
  <c r="AX367" i="13" s="1"/>
  <c r="AX267" i="13"/>
  <c r="A333" i="13"/>
  <c r="AX333" i="13" s="1"/>
  <c r="AX233" i="13"/>
  <c r="AX224" i="13"/>
  <c r="A324" i="13"/>
  <c r="AX324" i="13" s="1"/>
  <c r="E31" i="4"/>
  <c r="BT31" i="4" s="1"/>
  <c r="AS79" i="4"/>
  <c r="AV681" i="13" s="1"/>
  <c r="AS84" i="4"/>
  <c r="AV686" i="13" s="1"/>
  <c r="B88" i="4"/>
  <c r="AP88" i="4" s="1"/>
  <c r="AV390" i="13" s="1"/>
  <c r="AV490" i="13" s="1"/>
  <c r="BA88" i="4" a="1"/>
  <c r="BA88" i="4" s="1"/>
  <c r="BB88" i="4" s="1"/>
  <c r="AV190" i="13" s="1"/>
  <c r="DB91" i="4"/>
  <c r="CY91" i="4"/>
  <c r="CZ91" i="4" s="1"/>
  <c r="AX91" i="4"/>
  <c r="CU91" i="4"/>
  <c r="CV91" i="4" s="1"/>
  <c r="IT33" i="71"/>
  <c r="A57" i="9"/>
  <c r="AZ55" i="4"/>
  <c r="M55" i="4"/>
  <c r="S87" i="22"/>
  <c r="D55" i="4"/>
  <c r="K55" i="4"/>
  <c r="C55" i="4"/>
  <c r="BC55" i="4" a="1"/>
  <c r="BC55" i="4" s="1"/>
  <c r="BC97" i="4" s="1"/>
  <c r="BU55" i="4" a="1"/>
  <c r="BU55" i="4" s="1"/>
  <c r="D55" i="1"/>
  <c r="K3" i="1" s="1" a="1"/>
  <c r="K3" i="1" s="1"/>
  <c r="K101" i="1" s="1"/>
  <c r="W98" i="22"/>
  <c r="Y98" i="22" s="1"/>
  <c r="I55" i="4"/>
  <c r="FE34" i="71" s="1"/>
  <c r="BS55" i="4"/>
  <c r="A55" i="4"/>
  <c r="BV55" i="4" a="1"/>
  <c r="BV55" i="4" s="1"/>
  <c r="A55" i="20"/>
  <c r="GU31" i="71"/>
  <c r="IT4" i="71"/>
  <c r="FZ31" i="71"/>
  <c r="M30" i="9"/>
  <c r="K88" i="9"/>
  <c r="IT5" i="71"/>
  <c r="GO11" i="71"/>
  <c r="IB32" i="71"/>
  <c r="HM23" i="71"/>
  <c r="JX29" i="71"/>
  <c r="E923" i="15"/>
  <c r="HV12" i="71"/>
  <c r="J962" i="15"/>
  <c r="J787" i="15"/>
  <c r="GC32" i="71"/>
  <c r="E835" i="15"/>
  <c r="J760" i="15"/>
  <c r="IB4" i="71"/>
  <c r="E659" i="15"/>
  <c r="K63" i="9"/>
  <c r="FT31" i="71"/>
  <c r="K93" i="9"/>
  <c r="P93" i="9" s="1"/>
  <c r="J604" i="15"/>
  <c r="K24" i="9"/>
  <c r="M34" i="9"/>
  <c r="GU4" i="71"/>
  <c r="J776" i="15"/>
  <c r="J886" i="15"/>
  <c r="IH7" i="71"/>
  <c r="E897" i="15"/>
  <c r="GL13" i="71"/>
  <c r="JC11" i="71"/>
  <c r="IT21" i="71"/>
  <c r="K49" i="9"/>
  <c r="FQ16" i="71"/>
  <c r="HS8" i="71"/>
  <c r="IB12" i="71"/>
  <c r="JI6" i="71"/>
  <c r="J919" i="15"/>
  <c r="J921" i="15"/>
  <c r="EJ4" i="71"/>
  <c r="HG8" i="71"/>
  <c r="M85" i="9"/>
  <c r="J663" i="15"/>
  <c r="HD34" i="71"/>
  <c r="HP6" i="71"/>
  <c r="IN5" i="71"/>
  <c r="IH28" i="71"/>
  <c r="FK33" i="71"/>
  <c r="GU21" i="71"/>
  <c r="E682" i="15"/>
  <c r="IB27" i="71"/>
  <c r="HJ19" i="71"/>
  <c r="K27" i="9"/>
  <c r="J728" i="15"/>
  <c r="HM28" i="71"/>
  <c r="IK16" i="71"/>
  <c r="J764" i="15"/>
  <c r="IN24" i="71"/>
  <c r="FZ26" i="71"/>
  <c r="JI14" i="71"/>
  <c r="IB30" i="71"/>
  <c r="JF10" i="71"/>
  <c r="E700" i="15"/>
  <c r="E762" i="15"/>
  <c r="J754" i="15"/>
  <c r="M8" i="9"/>
  <c r="EJ7" i="71"/>
  <c r="HZ38" i="71"/>
  <c r="E833" i="15"/>
  <c r="E852" i="15"/>
  <c r="IN6" i="71"/>
  <c r="H18" i="7" a="1"/>
  <c r="H18" i="7" s="1"/>
  <c r="IB18" i="71"/>
  <c r="GU26" i="71"/>
  <c r="FN6" i="71"/>
  <c r="HP31" i="71"/>
  <c r="J812" i="15"/>
  <c r="E848" i="15"/>
  <c r="M95" i="9"/>
  <c r="HP11" i="71"/>
  <c r="J843" i="15"/>
  <c r="E849" i="15"/>
  <c r="JF31" i="71"/>
  <c r="JX15" i="71"/>
  <c r="J792" i="15"/>
  <c r="JU19" i="71"/>
  <c r="IN22" i="71"/>
  <c r="JX28" i="71"/>
  <c r="J703" i="15"/>
  <c r="M41" i="9"/>
  <c r="FH25" i="71"/>
  <c r="E546" i="15"/>
  <c r="F15" i="15"/>
  <c r="M43" i="9"/>
  <c r="FW16" i="71"/>
  <c r="AW95" i="69"/>
  <c r="E875" i="15"/>
  <c r="E794" i="15"/>
  <c r="J903" i="15"/>
  <c r="GO34" i="71"/>
  <c r="E829" i="15"/>
  <c r="FW30" i="71"/>
  <c r="GC6" i="71"/>
  <c r="J930" i="15"/>
  <c r="JC35" i="71"/>
  <c r="E941" i="15"/>
  <c r="FT26" i="71"/>
  <c r="FT10" i="71"/>
  <c r="HA9" i="71"/>
  <c r="GC30" i="71"/>
  <c r="GF17" i="71"/>
  <c r="GL29" i="71"/>
  <c r="IB22" i="71"/>
  <c r="J951" i="15"/>
  <c r="J791" i="15"/>
  <c r="HS7" i="71"/>
  <c r="FH26" i="71"/>
  <c r="W58" i="22"/>
  <c r="Y58" i="22" s="1"/>
  <c r="JX21" i="71"/>
  <c r="JC6" i="71"/>
  <c r="HE38" i="71"/>
  <c r="IQ14" i="71"/>
  <c r="M96" i="69"/>
  <c r="HD24" i="71"/>
  <c r="J800" i="15"/>
  <c r="FH29" i="71"/>
  <c r="M50" i="9"/>
  <c r="E937" i="15"/>
  <c r="E792" i="15"/>
  <c r="J860" i="15"/>
  <c r="J680" i="15"/>
  <c r="IK36" i="71"/>
  <c r="HV24" i="71"/>
  <c r="HP34" i="71"/>
  <c r="J733" i="15"/>
  <c r="HD19" i="71"/>
  <c r="JR12" i="71"/>
  <c r="GO29" i="71"/>
  <c r="FZ10" i="71"/>
  <c r="J778" i="15"/>
  <c r="AC96" i="69"/>
  <c r="FW12" i="71"/>
  <c r="FH27" i="71"/>
  <c r="J990" i="15"/>
  <c r="GI4" i="71"/>
  <c r="JL16" i="71"/>
  <c r="HJ4" i="71"/>
  <c r="IQ31" i="71"/>
  <c r="GC10" i="71"/>
  <c r="L94" i="69"/>
  <c r="T96" i="72"/>
  <c r="N27" i="9"/>
  <c r="L27" i="9" s="1"/>
  <c r="JF27" i="71"/>
  <c r="J493" i="15"/>
  <c r="IZ24" i="71"/>
  <c r="E752" i="15"/>
  <c r="E676" i="15"/>
  <c r="GV38" i="71"/>
  <c r="JI32" i="71"/>
  <c r="J736" i="15"/>
  <c r="IK23" i="71"/>
  <c r="JU13" i="71"/>
  <c r="J804" i="15"/>
  <c r="E918" i="15"/>
  <c r="IK28" i="71"/>
  <c r="J543" i="15"/>
  <c r="GF12" i="71"/>
  <c r="GY38" i="71"/>
  <c r="IT20" i="71"/>
  <c r="K5" i="9"/>
  <c r="IT26" i="71"/>
  <c r="IQ8" i="71"/>
  <c r="M56" i="9"/>
  <c r="JU30" i="71"/>
  <c r="HJ31" i="71"/>
  <c r="E996" i="15"/>
  <c r="IT11" i="71"/>
  <c r="N24" i="9"/>
  <c r="L24" i="9" s="1"/>
  <c r="E945" i="15"/>
  <c r="HS21" i="71"/>
  <c r="H24" i="7" a="1"/>
  <c r="H24" i="7" s="1"/>
  <c r="EJ27" i="71"/>
  <c r="IN17" i="71"/>
  <c r="JU26" i="71"/>
  <c r="JL19" i="71"/>
  <c r="FK36" i="71"/>
  <c r="IQ24" i="71"/>
  <c r="FZ14" i="71"/>
  <c r="J950" i="15"/>
  <c r="I12" i="15" a="1"/>
  <c r="I12" i="15" s="1"/>
  <c r="IK14" i="71"/>
  <c r="J683" i="15"/>
  <c r="J813" i="15"/>
  <c r="GF6" i="71"/>
  <c r="IN13" i="71"/>
  <c r="K53" i="9"/>
  <c r="H21" i="7" a="1"/>
  <c r="H21" i="7" s="1"/>
  <c r="HS35" i="71"/>
  <c r="JL7" i="71"/>
  <c r="IZ35" i="71"/>
  <c r="GR36" i="71"/>
  <c r="J946" i="15"/>
  <c r="IE15" i="71"/>
  <c r="IN14" i="71"/>
  <c r="HA29" i="71"/>
  <c r="N13" i="9"/>
  <c r="L13" i="9" s="1"/>
  <c r="GX13" i="71"/>
  <c r="GF36" i="71"/>
  <c r="GI14" i="71"/>
  <c r="J695" i="15"/>
  <c r="JI8" i="71"/>
  <c r="GX11" i="71"/>
  <c r="FQ30" i="71"/>
  <c r="JC28" i="71"/>
  <c r="J637" i="15"/>
  <c r="GR20" i="71"/>
  <c r="HG15" i="71"/>
  <c r="IB26" i="71"/>
  <c r="J829" i="15"/>
  <c r="E853" i="15"/>
  <c r="E711" i="15"/>
  <c r="J482" i="15"/>
  <c r="K97" i="9"/>
  <c r="HD13" i="71"/>
  <c r="JL17" i="71"/>
  <c r="JF28" i="71"/>
  <c r="IW20" i="71"/>
  <c r="FK6" i="71"/>
  <c r="JU7" i="71"/>
  <c r="JI36" i="71"/>
  <c r="GX14" i="71"/>
  <c r="M22" i="9"/>
  <c r="HM36" i="71"/>
  <c r="JF23" i="71"/>
  <c r="IT13" i="71"/>
  <c r="JU22" i="71"/>
  <c r="J716" i="15"/>
  <c r="GX30" i="71"/>
  <c r="F13" i="15"/>
  <c r="J665" i="15"/>
  <c r="FW10" i="71"/>
  <c r="HS4" i="71"/>
  <c r="W32" i="22"/>
  <c r="Y32" i="22" s="1"/>
  <c r="E938" i="15"/>
  <c r="FK4" i="71"/>
  <c r="JF13" i="71"/>
  <c r="E799" i="15"/>
  <c r="IT23" i="71"/>
  <c r="IT35" i="71"/>
  <c r="GR4" i="71"/>
  <c r="EJ25" i="71"/>
  <c r="I8" i="15" a="1"/>
  <c r="I8" i="15" s="1"/>
  <c r="J814" i="15"/>
  <c r="FK35" i="71"/>
  <c r="J481" i="15"/>
  <c r="T94" i="72"/>
  <c r="JI24" i="71"/>
  <c r="J735" i="15"/>
  <c r="JX8" i="71"/>
  <c r="JX36" i="71"/>
  <c r="E914" i="15"/>
  <c r="M88" i="9"/>
  <c r="J658" i="15"/>
  <c r="E821" i="15"/>
  <c r="E501" i="15"/>
  <c r="AN94" i="69"/>
  <c r="Y95" i="72"/>
  <c r="GO4" i="71"/>
  <c r="E703" i="15"/>
  <c r="J714" i="15"/>
  <c r="E748" i="15"/>
  <c r="J899" i="15"/>
  <c r="J916" i="15"/>
  <c r="GC28" i="71"/>
  <c r="FW8" i="71"/>
  <c r="AB96" i="72" a="1"/>
  <c r="AB96" i="72" s="1"/>
  <c r="E697" i="15"/>
  <c r="GU24" i="71"/>
  <c r="IE17" i="71"/>
  <c r="GF29" i="71"/>
  <c r="K75" i="9"/>
  <c r="K84" i="9"/>
  <c r="JR10" i="71"/>
  <c r="IQ33" i="71"/>
  <c r="GX36" i="71"/>
  <c r="HY34" i="71"/>
  <c r="IH34" i="71"/>
  <c r="HD33" i="71"/>
  <c r="M92" i="9"/>
  <c r="N88" i="9"/>
  <c r="L88" i="9" s="1"/>
  <c r="IN21" i="71"/>
  <c r="W44" i="22"/>
  <c r="Y44" i="22" s="1"/>
  <c r="K12" i="9"/>
  <c r="E903" i="15"/>
  <c r="HD16" i="71"/>
  <c r="FT7" i="71"/>
  <c r="GU28" i="71"/>
  <c r="J877" i="15"/>
  <c r="HH38" i="71"/>
  <c r="JI33" i="71"/>
  <c r="J929" i="15"/>
  <c r="FW32" i="71"/>
  <c r="GL23" i="71"/>
  <c r="HJ15" i="71"/>
  <c r="E883" i="15"/>
  <c r="M62" i="9"/>
  <c r="FZ18" i="71"/>
  <c r="GU17" i="71"/>
  <c r="GO6" i="71"/>
  <c r="FT18" i="71"/>
  <c r="E783" i="15"/>
  <c r="GX32" i="71"/>
  <c r="N20" i="9"/>
  <c r="L20" i="9" s="1"/>
  <c r="GU27" i="71"/>
  <c r="GI27" i="71"/>
  <c r="IB29" i="71"/>
  <c r="GO7" i="71"/>
  <c r="J704" i="15"/>
  <c r="E951" i="15"/>
  <c r="J891" i="15"/>
  <c r="J914" i="15"/>
  <c r="J861" i="15"/>
  <c r="FQ24" i="71"/>
  <c r="E970" i="15"/>
  <c r="IB23" i="71"/>
  <c r="HA7" i="71"/>
  <c r="FZ27" i="71"/>
  <c r="N64" i="9"/>
  <c r="L64" i="9" s="1"/>
  <c r="JI18" i="71"/>
  <c r="HG36" i="71"/>
  <c r="J474" i="15"/>
  <c r="FK12" i="71"/>
  <c r="GL31" i="71"/>
  <c r="IN28" i="71"/>
  <c r="HJ35" i="71"/>
  <c r="FT20" i="71"/>
  <c r="J881" i="15"/>
  <c r="FQ19" i="71"/>
  <c r="EJ17" i="71"/>
  <c r="HJ30" i="71"/>
  <c r="K62" i="9"/>
  <c r="GC21" i="71"/>
  <c r="K91" i="9"/>
  <c r="N31" i="9"/>
  <c r="L31" i="9" s="1"/>
  <c r="K58" i="9"/>
  <c r="H13" i="7" a="1"/>
  <c r="H13" i="7" s="1"/>
  <c r="FH23" i="71"/>
  <c r="K18" i="9"/>
  <c r="E785" i="15"/>
  <c r="J945" i="15"/>
  <c r="IT8" i="71"/>
  <c r="N58" i="9"/>
  <c r="L58" i="9" s="1"/>
  <c r="N45" i="9"/>
  <c r="L45" i="9" s="1"/>
  <c r="JO27" i="71"/>
  <c r="GF9" i="71"/>
  <c r="HP35" i="71"/>
  <c r="JL33" i="71"/>
  <c r="HS18" i="71"/>
  <c r="E662" i="15"/>
  <c r="IQ20" i="71"/>
  <c r="JL9" i="71"/>
  <c r="HP20" i="71"/>
  <c r="I10" i="15" a="1"/>
  <c r="I10" i="15" s="1"/>
  <c r="HV19" i="71"/>
  <c r="J842" i="15"/>
  <c r="JC9" i="71"/>
  <c r="M40" i="9"/>
  <c r="IB16" i="71"/>
  <c r="M19" i="9"/>
  <c r="IW28" i="71"/>
  <c r="IZ8" i="71"/>
  <c r="FN17" i="71"/>
  <c r="K45" i="9"/>
  <c r="Z1893" i="13"/>
  <c r="B1893" i="13" s="1" a="1"/>
  <c r="B1893" i="13" s="1"/>
  <c r="HV10" i="71"/>
  <c r="J859" i="15"/>
  <c r="E961" i="15"/>
  <c r="GR26" i="71"/>
  <c r="E786" i="15"/>
  <c r="J774" i="15"/>
  <c r="JR8" i="71"/>
  <c r="J887" i="15"/>
  <c r="E846" i="15"/>
  <c r="E889" i="15"/>
  <c r="JO31" i="71"/>
  <c r="GI23" i="71"/>
  <c r="J518" i="15"/>
  <c r="HJ7" i="71"/>
  <c r="J815" i="15"/>
  <c r="IL38" i="71"/>
  <c r="FH19" i="71"/>
  <c r="E995" i="15"/>
  <c r="GC29" i="71"/>
  <c r="JR6" i="71"/>
  <c r="E946" i="15"/>
  <c r="FN33" i="71"/>
  <c r="N95" i="9"/>
  <c r="L95" i="9" s="1"/>
  <c r="FW34" i="71"/>
  <c r="J95" i="69"/>
  <c r="HV4" i="71"/>
  <c r="JF24" i="71"/>
  <c r="HP14" i="71"/>
  <c r="JO32" i="71"/>
  <c r="GF4" i="71"/>
  <c r="E747" i="15"/>
  <c r="GO30" i="71"/>
  <c r="JC31" i="71"/>
  <c r="J898" i="15"/>
  <c r="J555" i="15"/>
  <c r="J970" i="15"/>
  <c r="HG25" i="71"/>
  <c r="JF32" i="71"/>
  <c r="E654" i="15"/>
  <c r="J874" i="15"/>
  <c r="FQ28" i="71"/>
  <c r="GC8" i="71"/>
  <c r="JR24" i="71"/>
  <c r="J940" i="15"/>
  <c r="N33" i="9"/>
  <c r="L33" i="9" s="1"/>
  <c r="FQ23" i="71"/>
  <c r="E967" i="15"/>
  <c r="EJ32" i="71"/>
  <c r="I9" i="15" a="1"/>
  <c r="I9" i="15" s="1"/>
  <c r="M89" i="9"/>
  <c r="E685" i="15"/>
  <c r="J923" i="15"/>
  <c r="E920" i="15"/>
  <c r="JX6" i="71"/>
  <c r="F4" i="15"/>
  <c r="IZ16" i="71"/>
  <c r="J905" i="15"/>
  <c r="J847" i="15"/>
  <c r="AW94" i="69"/>
  <c r="Y96" i="69"/>
  <c r="GO27" i="71"/>
  <c r="JR20" i="71"/>
  <c r="J989" i="15"/>
  <c r="J928" i="15"/>
  <c r="GF7" i="71"/>
  <c r="EJ18" i="71"/>
  <c r="HV27" i="71"/>
  <c r="JO28" i="71"/>
  <c r="J925" i="15"/>
  <c r="IN33" i="71"/>
  <c r="HG13" i="71"/>
  <c r="E390" i="15"/>
  <c r="V53" i="22"/>
  <c r="FN15" i="71"/>
  <c r="HA15" i="71"/>
  <c r="E474" i="15"/>
  <c r="FT14" i="71"/>
  <c r="IQ11" i="71"/>
  <c r="N11" i="9"/>
  <c r="L11" i="9" s="1"/>
  <c r="J691" i="15"/>
  <c r="GF13" i="71"/>
  <c r="FZ23" i="71"/>
  <c r="FT5" i="71"/>
  <c r="IB17" i="71"/>
  <c r="HS24" i="71"/>
  <c r="FH9" i="71"/>
  <c r="HY5" i="71"/>
  <c r="E798" i="15"/>
  <c r="JC34" i="71"/>
  <c r="E742" i="15"/>
  <c r="GR22" i="71"/>
  <c r="E236" i="15"/>
  <c r="K56" i="9"/>
  <c r="HV9" i="71"/>
  <c r="E981" i="15"/>
  <c r="FK15" i="71"/>
  <c r="GF25" i="71"/>
  <c r="J788" i="15"/>
  <c r="N46" i="9"/>
  <c r="L46" i="9" s="1"/>
  <c r="J541" i="15"/>
  <c r="IW11" i="71"/>
  <c r="IN25" i="71"/>
  <c r="FQ35" i="71"/>
  <c r="HM5" i="71"/>
  <c r="FK17" i="71"/>
  <c r="FZ22" i="71"/>
  <c r="FH36" i="71"/>
  <c r="N61" i="9"/>
  <c r="L61" i="9" s="1"/>
  <c r="FN5" i="71"/>
  <c r="W51" i="22"/>
  <c r="Y51" i="22" s="1"/>
  <c r="JP38" i="71"/>
  <c r="J876" i="15"/>
  <c r="JO17" i="71"/>
  <c r="J765" i="15"/>
  <c r="J771" i="15"/>
  <c r="JU28" i="71"/>
  <c r="IN9" i="71"/>
  <c r="GJ38" i="71"/>
  <c r="K42" i="9"/>
  <c r="JA38" i="71"/>
  <c r="N48" i="9"/>
  <c r="L48" i="9" s="1"/>
  <c r="GL25" i="71"/>
  <c r="JO14" i="71"/>
  <c r="IE6" i="71"/>
  <c r="J748" i="15"/>
  <c r="E761" i="15"/>
  <c r="JC26" i="71"/>
  <c r="JO10" i="71"/>
  <c r="E982" i="15"/>
  <c r="Z1892" i="13"/>
  <c r="B1892" i="13" s="1" a="1"/>
  <c r="B1892" i="13" s="1"/>
  <c r="IK29" i="71"/>
  <c r="H16" i="7" a="1"/>
  <c r="H16" i="7" s="1"/>
  <c r="GC14" i="71"/>
  <c r="J685" i="15"/>
  <c r="F10" i="15"/>
  <c r="M12" i="9"/>
  <c r="GF31" i="71"/>
  <c r="E724" i="15"/>
  <c r="IH19" i="71"/>
  <c r="IZ31" i="71"/>
  <c r="J717" i="15"/>
  <c r="FN11" i="71"/>
  <c r="FN26" i="71"/>
  <c r="FK34" i="71"/>
  <c r="HQ38" i="71"/>
  <c r="N89" i="9"/>
  <c r="L89" i="9" s="1"/>
  <c r="GX23" i="71"/>
  <c r="IE36" i="71"/>
  <c r="M57" i="9"/>
  <c r="HJ8" i="71"/>
  <c r="IK11" i="71"/>
  <c r="E657" i="15"/>
  <c r="FZ8" i="71"/>
  <c r="E934" i="15"/>
  <c r="IZ34" i="71"/>
  <c r="E985" i="15"/>
  <c r="E947" i="15"/>
  <c r="IK24" i="71"/>
  <c r="HJ6" i="71"/>
  <c r="IE33" i="71"/>
  <c r="M73" i="9"/>
  <c r="GX20" i="71"/>
  <c r="E892" i="15"/>
  <c r="J888" i="15"/>
  <c r="HA10" i="71"/>
  <c r="K39" i="9"/>
  <c r="JO5" i="71"/>
  <c r="JL27" i="71"/>
  <c r="HA22" i="71"/>
  <c r="HV32" i="71"/>
  <c r="JI35" i="71"/>
  <c r="GL9" i="71"/>
  <c r="J732" i="15"/>
  <c r="IK12" i="71"/>
  <c r="IW15" i="71"/>
  <c r="IN4" i="71"/>
  <c r="FH34" i="71"/>
  <c r="JL24" i="71"/>
  <c r="J676" i="15"/>
  <c r="GX6" i="71"/>
  <c r="HV25" i="71"/>
  <c r="E704" i="15"/>
  <c r="N98" i="9"/>
  <c r="L98" i="9" s="1"/>
  <c r="K80" i="9"/>
  <c r="J719" i="15"/>
  <c r="J801" i="15"/>
  <c r="E864" i="15"/>
  <c r="E933" i="15"/>
  <c r="HG32" i="71"/>
  <c r="JR9" i="71"/>
  <c r="J884" i="15"/>
  <c r="E706" i="15"/>
  <c r="FN20" i="71"/>
  <c r="JI20" i="71"/>
  <c r="E935" i="15"/>
  <c r="GR15" i="71"/>
  <c r="JR23" i="71"/>
  <c r="IN26" i="71"/>
  <c r="JF7" i="71"/>
  <c r="N17" i="9"/>
  <c r="L17" i="9" s="1"/>
  <c r="IH26" i="71"/>
  <c r="M49" i="9"/>
  <c r="N85" i="9"/>
  <c r="L85" i="9" s="1"/>
  <c r="J721" i="15"/>
  <c r="IE27" i="71"/>
  <c r="IQ5" i="71"/>
  <c r="K83" i="9"/>
  <c r="J988" i="15"/>
  <c r="M67" i="9"/>
  <c r="K10" i="9"/>
  <c r="E716" i="15"/>
  <c r="JX4" i="71"/>
  <c r="JF14" i="71"/>
  <c r="J941" i="15"/>
  <c r="FT35" i="71"/>
  <c r="JC5" i="71"/>
  <c r="IW24" i="71"/>
  <c r="E94" i="15"/>
  <c r="HY27" i="71"/>
  <c r="E784" i="15"/>
  <c r="HJ9" i="71"/>
  <c r="HM15" i="71"/>
  <c r="E695" i="15"/>
  <c r="M91" i="9"/>
  <c r="E850" i="15"/>
  <c r="IH32" i="71"/>
  <c r="J705" i="15"/>
  <c r="FN36" i="71"/>
  <c r="GR32" i="71"/>
  <c r="HP32" i="71"/>
  <c r="GL32" i="71"/>
  <c r="HG12" i="71"/>
  <c r="M44" i="9"/>
  <c r="J889" i="15"/>
  <c r="GF26" i="71"/>
  <c r="E755" i="15"/>
  <c r="E879" i="15"/>
  <c r="EJ16" i="71"/>
  <c r="IQ13" i="71"/>
  <c r="FE8" i="71"/>
  <c r="JF5" i="71"/>
  <c r="K65" i="9"/>
  <c r="GR27" i="71"/>
  <c r="IB5" i="71"/>
  <c r="E714" i="15"/>
  <c r="HS15" i="71"/>
  <c r="HM30" i="71"/>
  <c r="GC9" i="71"/>
  <c r="J769" i="15"/>
  <c r="HP28" i="71"/>
  <c r="GI16" i="71"/>
  <c r="E687" i="15"/>
  <c r="E815" i="15"/>
  <c r="HM21" i="71"/>
  <c r="F11" i="15"/>
  <c r="JI27" i="71"/>
  <c r="FZ34" i="71"/>
  <c r="E858" i="15"/>
  <c r="JF15" i="71"/>
  <c r="J709" i="15"/>
  <c r="HA26" i="71"/>
  <c r="HJ28" i="71"/>
  <c r="J756" i="15"/>
  <c r="GU19" i="71"/>
  <c r="K73" i="9"/>
  <c r="FH35" i="71"/>
  <c r="IQ29" i="71"/>
  <c r="JI31" i="71"/>
  <c r="JC27" i="71"/>
  <c r="HT38" i="71"/>
  <c r="N84" i="9"/>
  <c r="L84" i="9" s="1"/>
  <c r="IH14" i="71"/>
  <c r="J849" i="15"/>
  <c r="K98" i="9"/>
  <c r="F12" i="15"/>
  <c r="FN30" i="71"/>
  <c r="J768" i="15"/>
  <c r="HA4" i="71"/>
  <c r="N16" i="9"/>
  <c r="L16" i="9" s="1"/>
  <c r="HM4" i="71"/>
  <c r="E740" i="15"/>
  <c r="E655" i="15"/>
  <c r="IZ26" i="71"/>
  <c r="HA25" i="71"/>
  <c r="FN31" i="71"/>
  <c r="HS28" i="71"/>
  <c r="M52" i="9"/>
  <c r="N29" i="9"/>
  <c r="L29" i="9" s="1"/>
  <c r="GO24" i="71"/>
  <c r="FK16" i="71"/>
  <c r="JI25" i="71"/>
  <c r="FK8" i="71"/>
  <c r="E948" i="15"/>
  <c r="J674" i="15"/>
  <c r="HJ11" i="71"/>
  <c r="E976" i="15"/>
  <c r="JL26" i="71"/>
  <c r="E658" i="15"/>
  <c r="JX25" i="71"/>
  <c r="JU17" i="71"/>
  <c r="J932" i="15"/>
  <c r="N8" i="9"/>
  <c r="L8" i="9" s="1"/>
  <c r="E878" i="15"/>
  <c r="E974" i="15"/>
  <c r="GI10" i="71"/>
  <c r="GM38" i="71"/>
  <c r="HA17" i="71"/>
  <c r="IN10" i="71"/>
  <c r="JC18" i="71"/>
  <c r="E710" i="15"/>
  <c r="J810" i="15"/>
  <c r="K41" i="9"/>
  <c r="E681" i="15"/>
  <c r="JC15" i="71"/>
  <c r="M61" i="9"/>
  <c r="J808" i="15"/>
  <c r="E998" i="15"/>
  <c r="K81" i="9"/>
  <c r="J610" i="15"/>
  <c r="J823" i="15"/>
  <c r="E908" i="15"/>
  <c r="E983" i="15"/>
  <c r="J698" i="15"/>
  <c r="E500" i="15"/>
  <c r="M55" i="9"/>
  <c r="J973" i="15"/>
  <c r="HJ29" i="71"/>
  <c r="N32" i="9"/>
  <c r="L32" i="9" s="1"/>
  <c r="JC22" i="71"/>
  <c r="HM13" i="71"/>
  <c r="IQ21" i="71"/>
  <c r="E726" i="15"/>
  <c r="GO12" i="71"/>
  <c r="GP38" i="71"/>
  <c r="J969" i="15"/>
  <c r="E80" i="15"/>
  <c r="J679" i="15"/>
  <c r="E680" i="15"/>
  <c r="E789" i="15"/>
  <c r="GU23" i="71"/>
  <c r="AX95" i="69"/>
  <c r="IZ22" i="71"/>
  <c r="I4" i="15" a="1"/>
  <c r="I4" i="15" s="1"/>
  <c r="N73" i="9"/>
  <c r="L73" i="9" s="1"/>
  <c r="JL12" i="71"/>
  <c r="GC25" i="71"/>
  <c r="E994" i="15"/>
  <c r="JX23" i="71"/>
  <c r="GC34" i="71"/>
  <c r="N5" i="9"/>
  <c r="L5" i="9" s="1"/>
  <c r="JX14" i="71"/>
  <c r="IW33" i="71"/>
  <c r="E992" i="15"/>
  <c r="E901" i="15"/>
  <c r="HG18" i="71"/>
  <c r="E963" i="15"/>
  <c r="HV14" i="71"/>
  <c r="HY4" i="71"/>
  <c r="JF22" i="71"/>
  <c r="HS20" i="71"/>
  <c r="HP15" i="71"/>
  <c r="HD7" i="71"/>
  <c r="GI7" i="71"/>
  <c r="GI8" i="71"/>
  <c r="HM14" i="71"/>
  <c r="FQ4" i="71"/>
  <c r="E756" i="15"/>
  <c r="JL23" i="71"/>
  <c r="FK18" i="71"/>
  <c r="K82" i="9"/>
  <c r="HV22" i="71"/>
  <c r="M25" i="9"/>
  <c r="FQ13" i="71"/>
  <c r="M33" i="9"/>
  <c r="IK6" i="71"/>
  <c r="J786" i="15"/>
  <c r="FK22" i="71"/>
  <c r="E674" i="15"/>
  <c r="FZ24" i="71"/>
  <c r="J686" i="15"/>
  <c r="J779" i="15"/>
  <c r="J667" i="15"/>
  <c r="GI6" i="71"/>
  <c r="EJ28" i="71"/>
  <c r="FK24" i="71"/>
  <c r="IN34" i="71"/>
  <c r="N18" i="9"/>
  <c r="L18" i="9" s="1"/>
  <c r="FQ22" i="71"/>
  <c r="E422" i="15"/>
  <c r="IB13" i="71"/>
  <c r="J894" i="15"/>
  <c r="GU6" i="71"/>
  <c r="IT10" i="71"/>
  <c r="IK9" i="71"/>
  <c r="E952" i="15"/>
  <c r="JR25" i="71"/>
  <c r="IH9" i="71"/>
  <c r="E870" i="15"/>
  <c r="GO32" i="71"/>
  <c r="FW36" i="71"/>
  <c r="E739" i="15"/>
  <c r="IK20" i="71"/>
  <c r="E826" i="15"/>
  <c r="J739" i="15"/>
  <c r="IT36" i="71"/>
  <c r="J956" i="15"/>
  <c r="J868" i="15"/>
  <c r="E699" i="15"/>
  <c r="J750" i="15"/>
  <c r="M60" i="9"/>
  <c r="FK29" i="71"/>
  <c r="E989" i="15"/>
  <c r="JC23" i="71"/>
  <c r="J730" i="15"/>
  <c r="IQ26" i="71"/>
  <c r="HY33" i="71"/>
  <c r="J836" i="15"/>
  <c r="IB35" i="71"/>
  <c r="M63" i="9"/>
  <c r="K55" i="9"/>
  <c r="K14" i="9"/>
  <c r="K15" i="9"/>
  <c r="E745" i="15"/>
  <c r="HN38" i="71"/>
  <c r="IK27" i="71"/>
  <c r="GC13" i="71"/>
  <c r="FN13" i="71"/>
  <c r="GI18" i="71"/>
  <c r="J822" i="15"/>
  <c r="GC5" i="71"/>
  <c r="IH21" i="71"/>
  <c r="IH22" i="71"/>
  <c r="HD11" i="71"/>
  <c r="E709" i="15"/>
  <c r="I14" i="15" a="1"/>
  <c r="I14" i="15" s="1"/>
  <c r="IT19" i="71"/>
  <c r="E919" i="15"/>
  <c r="E940" i="15"/>
  <c r="HA11" i="71"/>
  <c r="HY14" i="71"/>
  <c r="IZ17" i="71"/>
  <c r="E805" i="15"/>
  <c r="JU15" i="71"/>
  <c r="Z1501" i="13"/>
  <c r="FN34" i="71"/>
  <c r="E877" i="15"/>
  <c r="EJ35" i="71"/>
  <c r="N79" i="9"/>
  <c r="L79" i="9" s="1"/>
  <c r="FQ12" i="71"/>
  <c r="K8" i="9"/>
  <c r="E771" i="15"/>
  <c r="IQ16" i="71"/>
  <c r="HV26" i="71"/>
  <c r="BD96" i="72"/>
  <c r="EJ6" i="71"/>
  <c r="J926" i="15"/>
  <c r="HM24" i="71"/>
  <c r="M9" i="9"/>
  <c r="J793" i="15"/>
  <c r="M72" i="9"/>
  <c r="J831" i="15"/>
  <c r="FH30" i="71"/>
  <c r="J690" i="15"/>
  <c r="J900" i="15"/>
  <c r="JO7" i="71"/>
  <c r="IH11" i="71"/>
  <c r="HS36" i="71"/>
  <c r="IN12" i="71"/>
  <c r="N87" i="9"/>
  <c r="L87" i="9" s="1"/>
  <c r="M31" i="9"/>
  <c r="IB28" i="71"/>
  <c r="JM38" i="71"/>
  <c r="E881" i="15"/>
  <c r="FE9" i="71"/>
  <c r="E925" i="15"/>
  <c r="J979" i="15"/>
  <c r="E810" i="15"/>
  <c r="W94" i="72"/>
  <c r="IQ35" i="71"/>
  <c r="HM33" i="71"/>
  <c r="EJ12" i="71"/>
  <c r="JF16" i="71"/>
  <c r="JU31" i="71"/>
  <c r="N7" i="9"/>
  <c r="L7" i="9" s="1"/>
  <c r="V31" i="22"/>
  <c r="JO22" i="71"/>
  <c r="E859" i="15"/>
  <c r="AT94" i="72"/>
  <c r="J936" i="15"/>
  <c r="E777" i="15"/>
  <c r="JR26" i="71"/>
  <c r="JO36" i="71"/>
  <c r="IE9" i="71"/>
  <c r="J915" i="15"/>
  <c r="K74" i="9"/>
  <c r="I7" i="15" a="1"/>
  <c r="I7" i="15" s="1"/>
  <c r="FE10" i="71"/>
  <c r="E746" i="15"/>
  <c r="J880" i="15"/>
  <c r="IZ13" i="71"/>
  <c r="HV29" i="71"/>
  <c r="GF20" i="71"/>
  <c r="E758" i="15"/>
  <c r="HS29" i="71"/>
  <c r="FH5" i="71"/>
  <c r="FK25" i="71"/>
  <c r="GO8" i="71"/>
  <c r="J931" i="15"/>
  <c r="JS38" i="71"/>
  <c r="IW19" i="71"/>
  <c r="J909" i="15"/>
  <c r="HM8" i="71"/>
  <c r="GX22" i="71"/>
  <c r="E986" i="15"/>
  <c r="HD8" i="71"/>
  <c r="E843" i="15"/>
  <c r="IK32" i="71"/>
  <c r="HG6" i="71"/>
  <c r="HS27" i="71"/>
  <c r="HG29" i="71"/>
  <c r="JC30" i="71"/>
  <c r="HY7" i="71"/>
  <c r="J963" i="15"/>
  <c r="HG24" i="71"/>
  <c r="E763" i="15"/>
  <c r="J713" i="15"/>
  <c r="FH28" i="71"/>
  <c r="J724" i="15"/>
  <c r="E902" i="15"/>
  <c r="FZ5" i="71"/>
  <c r="GC20" i="71"/>
  <c r="FK23" i="71"/>
  <c r="J952" i="15"/>
  <c r="JF36" i="71"/>
  <c r="E907" i="15"/>
  <c r="IT24" i="71"/>
  <c r="M5" i="9"/>
  <c r="J954" i="15"/>
  <c r="HJ16" i="71"/>
  <c r="FH22" i="71"/>
  <c r="GL26" i="71"/>
  <c r="JL22" i="71"/>
  <c r="JI12" i="71"/>
  <c r="J901" i="15"/>
  <c r="J949" i="15"/>
  <c r="E906" i="15"/>
  <c r="FW17" i="71"/>
  <c r="M14" i="9"/>
  <c r="J718" i="15"/>
  <c r="K90" i="9"/>
  <c r="GU16" i="71"/>
  <c r="HS34" i="71"/>
  <c r="GX28" i="71"/>
  <c r="E797" i="15"/>
  <c r="HY28" i="71"/>
  <c r="E891" i="15"/>
  <c r="K35" i="9"/>
  <c r="IZ27" i="71"/>
  <c r="GL7" i="71"/>
  <c r="FN19" i="71"/>
  <c r="IN18" i="71"/>
  <c r="JF21" i="71"/>
  <c r="FK11" i="71"/>
  <c r="IH17" i="71"/>
  <c r="IZ33" i="71"/>
  <c r="JD38" i="71"/>
  <c r="E824" i="15"/>
  <c r="E802" i="15"/>
  <c r="E683" i="15"/>
  <c r="GR13" i="71"/>
  <c r="E725" i="15"/>
  <c r="FH11" i="71"/>
  <c r="J825" i="15"/>
  <c r="J752" i="15"/>
  <c r="JF34" i="71"/>
  <c r="IH27" i="71"/>
  <c r="GX4" i="71"/>
  <c r="JC17" i="71"/>
  <c r="HM31" i="71"/>
  <c r="J655" i="15"/>
  <c r="IC38" i="71"/>
  <c r="GO26" i="71"/>
  <c r="IZ30" i="71"/>
  <c r="IK13" i="71"/>
  <c r="E749" i="15"/>
  <c r="E751" i="15"/>
  <c r="E836" i="15"/>
  <c r="IQ32" i="71"/>
  <c r="HG5" i="71"/>
  <c r="FQ18" i="71"/>
  <c r="IB33" i="71"/>
  <c r="GX34" i="71"/>
  <c r="HG20" i="71"/>
  <c r="J675" i="15"/>
  <c r="IH16" i="71"/>
  <c r="HG17" i="71"/>
  <c r="IT9" i="71"/>
  <c r="JL34" i="71"/>
  <c r="M87" i="9"/>
  <c r="IB7" i="71"/>
  <c r="IW4" i="71"/>
  <c r="IE10" i="71"/>
  <c r="J550" i="15"/>
  <c r="JY38" i="71"/>
  <c r="J961" i="15"/>
  <c r="JR19" i="71"/>
  <c r="E979" i="15"/>
  <c r="E773" i="15"/>
  <c r="J781" i="15"/>
  <c r="FX38" i="71"/>
  <c r="JR22" i="71"/>
  <c r="IH36" i="71"/>
  <c r="E862" i="15"/>
  <c r="W90" i="22"/>
  <c r="Z90" i="22" s="1"/>
  <c r="FQ5" i="71"/>
  <c r="J806" i="15"/>
  <c r="K37" i="9"/>
  <c r="GL30" i="71"/>
  <c r="JL5" i="71"/>
  <c r="N6" i="9"/>
  <c r="L6" i="9" s="1"/>
  <c r="IZ20" i="71"/>
  <c r="E679" i="15"/>
  <c r="GU34" i="71"/>
  <c r="GR31" i="71"/>
  <c r="E672" i="15"/>
  <c r="FZ13" i="71"/>
  <c r="HA12" i="71"/>
  <c r="K29" i="9"/>
  <c r="GR25" i="71"/>
  <c r="JC14" i="71"/>
  <c r="E715" i="15"/>
  <c r="J934" i="15"/>
  <c r="E800" i="15"/>
  <c r="FR38" i="71"/>
  <c r="HM29" i="71"/>
  <c r="M84" i="9"/>
  <c r="FK31" i="71"/>
  <c r="FN4" i="71"/>
  <c r="J592" i="15"/>
  <c r="E664" i="15"/>
  <c r="HV6" i="71"/>
  <c r="HD29" i="71"/>
  <c r="J958" i="15"/>
  <c r="W11" i="22"/>
  <c r="Y11" i="22" s="1"/>
  <c r="E822" i="15"/>
  <c r="IR38" i="71"/>
  <c r="FW31" i="71"/>
  <c r="E668" i="15"/>
  <c r="K22" i="9"/>
  <c r="GR16" i="71"/>
  <c r="FZ9" i="71"/>
  <c r="FN35" i="71"/>
  <c r="GU33" i="71"/>
  <c r="GI25" i="71"/>
  <c r="J912" i="15"/>
  <c r="IW23" i="71"/>
  <c r="E913" i="15"/>
  <c r="HV5" i="71"/>
  <c r="J700" i="15"/>
  <c r="GR34" i="71"/>
  <c r="GR14" i="71"/>
  <c r="I5" i="15" a="1"/>
  <c r="I5" i="15" s="1"/>
  <c r="GX18" i="71"/>
  <c r="FH14" i="71"/>
  <c r="K95" i="9"/>
  <c r="W12" i="22"/>
  <c r="Y12" i="22" s="1"/>
  <c r="IZ12" i="71"/>
  <c r="HD14" i="71"/>
  <c r="IB21" i="71"/>
  <c r="GI17" i="71"/>
  <c r="K33" i="9"/>
  <c r="FQ14" i="71"/>
  <c r="JU35" i="71"/>
  <c r="HA33" i="71"/>
  <c r="J955" i="15"/>
  <c r="E997" i="15"/>
  <c r="JU8" i="71"/>
  <c r="JI19" i="71"/>
  <c r="N92" i="9"/>
  <c r="L92" i="9" s="1"/>
  <c r="JU10" i="71"/>
  <c r="E730" i="15"/>
  <c r="IZ11" i="71"/>
  <c r="HJ22" i="71"/>
  <c r="GF33" i="71"/>
  <c r="GF34" i="71"/>
  <c r="GC7" i="71"/>
  <c r="E713" i="15"/>
  <c r="HA5" i="71"/>
  <c r="IB31" i="71"/>
  <c r="FT12" i="71"/>
  <c r="M81" i="9"/>
  <c r="GO25" i="71"/>
  <c r="GI12" i="71"/>
  <c r="N90" i="9"/>
  <c r="L90" i="9" s="1"/>
  <c r="J701" i="15"/>
  <c r="HG19" i="71"/>
  <c r="J907" i="15"/>
  <c r="FN23" i="71"/>
  <c r="HJ26" i="71"/>
  <c r="HA27" i="71"/>
  <c r="E893" i="15"/>
  <c r="GX29" i="71"/>
  <c r="K71" i="9"/>
  <c r="JO4" i="71"/>
  <c r="FK7" i="71"/>
  <c r="GO17" i="71"/>
  <c r="IW26" i="71"/>
  <c r="HK38" i="71"/>
  <c r="FQ33" i="71"/>
  <c r="HV11" i="71"/>
  <c r="HD10" i="71"/>
  <c r="GU14" i="71"/>
  <c r="FF38" i="71"/>
  <c r="GU15" i="71"/>
  <c r="V46" i="22"/>
  <c r="L95" i="69"/>
  <c r="H17" i="7" a="1"/>
  <c r="H17" i="7" s="1"/>
  <c r="FH13" i="71"/>
  <c r="J862" i="15"/>
  <c r="E876" i="15"/>
  <c r="HJ23" i="71"/>
  <c r="JO23" i="71"/>
  <c r="IT15" i="71"/>
  <c r="JU27" i="71"/>
  <c r="K47" i="9"/>
  <c r="JR16" i="71"/>
  <c r="W62" i="22"/>
  <c r="Y62" i="22" s="1"/>
  <c r="H19" i="7" a="1"/>
  <c r="H19" i="7" s="1"/>
  <c r="FN21" i="71"/>
  <c r="E801" i="15"/>
  <c r="HS33" i="71"/>
  <c r="FK19" i="71"/>
  <c r="GL4" i="71"/>
  <c r="HP17" i="71"/>
  <c r="GR17" i="71"/>
  <c r="HY26" i="71"/>
  <c r="V67" i="22"/>
  <c r="E860" i="15"/>
  <c r="JR34" i="71"/>
  <c r="JF11" i="71"/>
  <c r="K79" i="9"/>
  <c r="IH12" i="71"/>
  <c r="E767" i="15"/>
  <c r="IN36" i="71"/>
  <c r="GL6" i="71"/>
  <c r="JR28" i="71"/>
  <c r="FW20" i="71"/>
  <c r="IX38" i="71"/>
  <c r="E993" i="15"/>
  <c r="E823" i="15"/>
  <c r="JG38" i="71"/>
  <c r="JF4" i="71"/>
  <c r="IK25" i="71"/>
  <c r="HY13" i="71"/>
  <c r="J696" i="15"/>
  <c r="IT28" i="71"/>
  <c r="JU16" i="71"/>
  <c r="E692" i="15"/>
  <c r="JU4" i="71"/>
  <c r="E720" i="15"/>
  <c r="GI21" i="71"/>
  <c r="HD25" i="71"/>
  <c r="E885" i="15"/>
  <c r="JC32" i="71"/>
  <c r="K57" i="9"/>
  <c r="HG35" i="71"/>
  <c r="IQ22" i="71"/>
  <c r="IW29" i="71"/>
  <c r="FK5" i="71"/>
  <c r="HP22" i="71"/>
  <c r="GU20" i="71"/>
  <c r="JI10" i="71"/>
  <c r="J490" i="15"/>
  <c r="GF27" i="71"/>
  <c r="GR35" i="71"/>
  <c r="IW6" i="71"/>
  <c r="JU14" i="71"/>
  <c r="IB8" i="71"/>
  <c r="J820" i="15"/>
  <c r="J863" i="15"/>
  <c r="JC12" i="71"/>
  <c r="FT36" i="71"/>
  <c r="W67" i="22"/>
  <c r="Y67" i="22" s="1"/>
  <c r="FH33" i="71"/>
  <c r="E772" i="15"/>
  <c r="HG21" i="71"/>
  <c r="IE35" i="71"/>
  <c r="IQ23" i="71"/>
  <c r="FW24" i="71"/>
  <c r="IE14" i="71"/>
  <c r="IZ10" i="71"/>
  <c r="E743" i="15"/>
  <c r="IT16" i="71"/>
  <c r="EJ10" i="71"/>
  <c r="IB9" i="71"/>
  <c r="FW6" i="71"/>
  <c r="HY31" i="71"/>
  <c r="J745" i="15"/>
  <c r="H20" i="7" a="1"/>
  <c r="H20" i="7" s="1"/>
  <c r="HY30" i="71"/>
  <c r="J933" i="15"/>
  <c r="E732" i="15"/>
  <c r="E926" i="15"/>
  <c r="J948" i="15"/>
  <c r="J897" i="15"/>
  <c r="JU18" i="71"/>
  <c r="E804" i="15"/>
  <c r="N50" i="9"/>
  <c r="L50" i="9" s="1"/>
  <c r="IW12" i="71"/>
  <c r="IZ21" i="71"/>
  <c r="HG16" i="71"/>
  <c r="N71" i="9"/>
  <c r="L71" i="9" s="1"/>
  <c r="GR8" i="71"/>
  <c r="JO19" i="71"/>
  <c r="N14" i="9"/>
  <c r="L14" i="9" s="1"/>
  <c r="E433" i="15"/>
  <c r="E402" i="15"/>
  <c r="J854" i="15"/>
  <c r="J95" i="72"/>
  <c r="J852" i="15"/>
  <c r="E723" i="15"/>
  <c r="FZ32" i="71"/>
  <c r="FE21" i="71"/>
  <c r="J966" i="15"/>
  <c r="E910" i="15"/>
  <c r="IE22" i="71"/>
  <c r="JO29" i="71"/>
  <c r="EJ20" i="71"/>
  <c r="M83" i="9"/>
  <c r="IB15" i="71"/>
  <c r="J500" i="15"/>
  <c r="T95" i="69"/>
  <c r="N42" i="9"/>
  <c r="L42" i="9" s="1"/>
  <c r="J910" i="15"/>
  <c r="GX16" i="71"/>
  <c r="J654" i="15"/>
  <c r="J911" i="15"/>
  <c r="HS6" i="71"/>
  <c r="J650" i="15"/>
  <c r="J684" i="15"/>
  <c r="FW33" i="71"/>
  <c r="E81" i="15"/>
  <c r="W96" i="72"/>
  <c r="JO25" i="71"/>
  <c r="IN35" i="71"/>
  <c r="E470" i="15"/>
  <c r="JX27" i="71"/>
  <c r="E922" i="15"/>
  <c r="IW8" i="71"/>
  <c r="HS19" i="71"/>
  <c r="J737" i="15"/>
  <c r="IE11" i="71"/>
  <c r="J845" i="15"/>
  <c r="IK31" i="71"/>
  <c r="E866" i="15"/>
  <c r="J668" i="15"/>
  <c r="AC94" i="69"/>
  <c r="J762" i="15"/>
  <c r="M35" i="9"/>
  <c r="EJ24" i="71"/>
  <c r="GC27" i="71"/>
  <c r="FZ4" i="71"/>
  <c r="F8" i="15"/>
  <c r="J772" i="15"/>
  <c r="E899" i="15"/>
  <c r="JO11" i="71"/>
  <c r="E671" i="15"/>
  <c r="FW9" i="71"/>
  <c r="J766" i="15"/>
  <c r="E931" i="15"/>
  <c r="HM11" i="71"/>
  <c r="JX7" i="71"/>
  <c r="FH15" i="71"/>
  <c r="HY9" i="71"/>
  <c r="E666" i="15"/>
  <c r="JX19" i="71"/>
  <c r="P96" i="69"/>
  <c r="E921" i="15"/>
  <c r="HD20" i="71"/>
  <c r="J943" i="15"/>
  <c r="E957" i="15"/>
  <c r="GL24" i="71"/>
  <c r="IN27" i="71"/>
  <c r="JO20" i="71"/>
  <c r="EJ34" i="71"/>
  <c r="IK5" i="71"/>
  <c r="HJ13" i="71"/>
  <c r="IT32" i="71"/>
  <c r="HY32" i="71"/>
  <c r="HJ34" i="71"/>
  <c r="GO23" i="71"/>
  <c r="N35" i="9"/>
  <c r="L35" i="9" s="1"/>
  <c r="GU22" i="71"/>
  <c r="FZ35" i="71"/>
  <c r="IK33" i="71"/>
  <c r="GL19" i="71"/>
  <c r="E855" i="15"/>
  <c r="HY10" i="71"/>
  <c r="GO18" i="71"/>
  <c r="JU33" i="71"/>
  <c r="GU36" i="71"/>
  <c r="FN18" i="71"/>
  <c r="JF33" i="71"/>
  <c r="GU29" i="71"/>
  <c r="GR28" i="71"/>
  <c r="N97" i="9"/>
  <c r="L97" i="9" s="1"/>
  <c r="HP21" i="71"/>
  <c r="E880" i="15"/>
  <c r="GR19" i="71"/>
  <c r="E719" i="15"/>
  <c r="GF35" i="71"/>
  <c r="M96" i="9"/>
  <c r="N80" i="9"/>
  <c r="L80" i="9" s="1"/>
  <c r="J758" i="15"/>
  <c r="HP10" i="71"/>
  <c r="HV21" i="71"/>
  <c r="JX12" i="71"/>
  <c r="E930" i="15"/>
  <c r="N81" i="9"/>
  <c r="L81" i="9" s="1"/>
  <c r="GF28" i="71"/>
  <c r="IT12" i="71"/>
  <c r="EJ8" i="71"/>
  <c r="J757" i="15"/>
  <c r="IH10" i="71"/>
  <c r="HG34" i="71"/>
  <c r="HD23" i="71"/>
  <c r="E678" i="15"/>
  <c r="J974" i="15"/>
  <c r="J947" i="15"/>
  <c r="J783" i="15"/>
  <c r="GL15" i="71"/>
  <c r="J978" i="15"/>
  <c r="J971" i="15"/>
  <c r="J789" i="15"/>
  <c r="J832" i="15"/>
  <c r="J669" i="15"/>
  <c r="FH6" i="71"/>
  <c r="HJ32" i="71"/>
  <c r="FZ7" i="71"/>
  <c r="JC16" i="71"/>
  <c r="FH21" i="71"/>
  <c r="J851" i="15"/>
  <c r="HG27" i="71"/>
  <c r="E820" i="15"/>
  <c r="I3" i="15" a="1"/>
  <c r="I3" i="15" s="1"/>
  <c r="E781" i="15"/>
  <c r="N21" i="9"/>
  <c r="L21" i="9" s="1"/>
  <c r="GO14" i="71"/>
  <c r="GR33" i="71"/>
  <c r="JI9" i="71"/>
  <c r="J984" i="15"/>
  <c r="J985" i="15"/>
  <c r="IT22" i="71"/>
  <c r="E959" i="15"/>
  <c r="FW23" i="71"/>
  <c r="IH4" i="71"/>
  <c r="E954" i="15"/>
  <c r="IT6" i="71"/>
  <c r="J828" i="15"/>
  <c r="JF6" i="71"/>
  <c r="W35" i="22"/>
  <c r="Y35" i="22" s="1"/>
  <c r="E768" i="15"/>
  <c r="JU6" i="71"/>
  <c r="JI34" i="71"/>
  <c r="JX24" i="71"/>
  <c r="E844" i="15"/>
  <c r="IK15" i="71"/>
  <c r="JI15" i="71"/>
  <c r="GR7" i="71"/>
  <c r="I6" i="15" a="1"/>
  <c r="I6" i="15" s="1"/>
  <c r="K44" i="9"/>
  <c r="J687" i="15"/>
  <c r="E808" i="15"/>
  <c r="J560" i="15"/>
  <c r="IK17" i="71"/>
  <c r="HS12" i="71"/>
  <c r="FE13" i="71"/>
  <c r="E991" i="15"/>
  <c r="JL15" i="71"/>
  <c r="E225" i="15"/>
  <c r="GL35" i="71"/>
  <c r="HG28" i="71"/>
  <c r="IT29" i="71"/>
  <c r="J904" i="15"/>
  <c r="AN95" i="69"/>
  <c r="HD18" i="71"/>
  <c r="E909" i="15"/>
  <c r="HV7" i="71"/>
  <c r="E776" i="15"/>
  <c r="M42" i="9"/>
  <c r="JI29" i="71"/>
  <c r="M11" i="9"/>
  <c r="J870" i="15"/>
  <c r="JR5" i="71"/>
  <c r="J964" i="15"/>
  <c r="E131" i="15"/>
  <c r="AB94" i="72" a="1"/>
  <c r="AB94" i="72" s="1"/>
  <c r="M95" i="69"/>
  <c r="FL38" i="71"/>
  <c r="E831" i="15"/>
  <c r="E966" i="15"/>
  <c r="FT24" i="71"/>
  <c r="N37" i="9"/>
  <c r="L37" i="9" s="1"/>
  <c r="M36" i="9"/>
  <c r="P36" i="9" s="1"/>
  <c r="J906" i="15"/>
  <c r="JL10" i="71"/>
  <c r="K30" i="9"/>
  <c r="J694" i="15"/>
  <c r="AD96" i="72"/>
  <c r="E812" i="15"/>
  <c r="JI16" i="71"/>
  <c r="J878" i="15"/>
  <c r="GF22" i="71"/>
  <c r="GO35" i="71"/>
  <c r="E712" i="15"/>
  <c r="E809" i="15"/>
  <c r="E904" i="15"/>
  <c r="K11" i="9"/>
  <c r="J763" i="15"/>
  <c r="J707" i="15"/>
  <c r="GU12" i="71"/>
  <c r="M97" i="9"/>
  <c r="FW11" i="71"/>
  <c r="J959" i="15"/>
  <c r="FZ36" i="71"/>
  <c r="J980" i="15"/>
  <c r="J839" i="15"/>
  <c r="FZ12" i="71"/>
  <c r="IN32" i="71"/>
  <c r="IZ9" i="71"/>
  <c r="E840" i="15"/>
  <c r="JL8" i="71"/>
  <c r="E663" i="15"/>
  <c r="GR9" i="71"/>
  <c r="IZ29" i="71"/>
  <c r="E705" i="15"/>
  <c r="E669" i="15"/>
  <c r="FZ21" i="71"/>
  <c r="E718" i="15"/>
  <c r="V65" i="22"/>
  <c r="GL8" i="71"/>
  <c r="J960" i="15"/>
  <c r="J599" i="15"/>
  <c r="HV23" i="71"/>
  <c r="JR17" i="71"/>
  <c r="J767" i="15"/>
  <c r="JX22" i="71"/>
  <c r="JX11" i="71"/>
  <c r="N86" i="9"/>
  <c r="L86" i="9" s="1"/>
  <c r="HA23" i="71"/>
  <c r="GL28" i="71"/>
  <c r="IN7" i="71"/>
  <c r="E722" i="15"/>
  <c r="FN32" i="71"/>
  <c r="E871" i="15"/>
  <c r="J890" i="15"/>
  <c r="IB24" i="71"/>
  <c r="GU25" i="71"/>
  <c r="J727" i="15"/>
  <c r="IW25" i="71"/>
  <c r="J892" i="15"/>
  <c r="E689" i="15"/>
  <c r="IK26" i="71"/>
  <c r="GI33" i="71"/>
  <c r="FQ9" i="71"/>
  <c r="IQ12" i="71"/>
  <c r="GU7" i="71"/>
  <c r="K40" i="9"/>
  <c r="GU8" i="71"/>
  <c r="J587" i="15"/>
  <c r="GO33" i="71"/>
  <c r="J826" i="15"/>
  <c r="E779" i="15"/>
  <c r="IW32" i="71"/>
  <c r="E953" i="15"/>
  <c r="JL29" i="71"/>
  <c r="J902" i="15"/>
  <c r="JO26" i="71"/>
  <c r="E813" i="15"/>
  <c r="K13" i="9"/>
  <c r="E811" i="15"/>
  <c r="GX7" i="71"/>
  <c r="E806" i="15"/>
  <c r="J557" i="15"/>
  <c r="J895" i="15"/>
  <c r="IQ6" i="71"/>
  <c r="FK20" i="71"/>
  <c r="J846" i="15"/>
  <c r="IH8" i="71"/>
  <c r="E990" i="15"/>
  <c r="E818" i="15"/>
  <c r="E845" i="15"/>
  <c r="JC21" i="71"/>
  <c r="HA32" i="71"/>
  <c r="V11" i="22"/>
  <c r="E728" i="15"/>
  <c r="HD30" i="71"/>
  <c r="GA38" i="71"/>
  <c r="M78" i="9"/>
  <c r="J506" i="15"/>
  <c r="H15" i="7" a="1"/>
  <c r="H15" i="7" s="1"/>
  <c r="V62" i="22"/>
  <c r="M94" i="9"/>
  <c r="JI22" i="71"/>
  <c r="FK9" i="71"/>
  <c r="J858" i="15"/>
  <c r="GF24" i="71"/>
  <c r="J867" i="15"/>
  <c r="GL14" i="71"/>
  <c r="GL27" i="71"/>
  <c r="HD26" i="71"/>
  <c r="HA16" i="71"/>
  <c r="FQ32" i="71"/>
  <c r="IN15" i="71"/>
  <c r="JL14" i="71"/>
  <c r="M10" i="9"/>
  <c r="GF21" i="71"/>
  <c r="J677" i="15"/>
  <c r="HA36" i="71"/>
  <c r="HY12" i="71"/>
  <c r="K28" i="9"/>
  <c r="HY23" i="71"/>
  <c r="IB20" i="71"/>
  <c r="E378" i="15"/>
  <c r="E757" i="15"/>
  <c r="N47" i="9"/>
  <c r="L47" i="9" s="1"/>
  <c r="E944" i="15"/>
  <c r="JC7" i="71"/>
  <c r="M58" i="9"/>
  <c r="J818" i="15"/>
  <c r="J896" i="15"/>
  <c r="JF29" i="71"/>
  <c r="GX33" i="71"/>
  <c r="N19" i="9"/>
  <c r="L19" i="9" s="1"/>
  <c r="HA14" i="71"/>
  <c r="J759" i="15"/>
  <c r="E760" i="15"/>
  <c r="E111" i="15"/>
  <c r="E769" i="15"/>
  <c r="E819" i="15"/>
  <c r="FH8" i="71"/>
  <c r="Y94" i="72"/>
  <c r="L96" i="72"/>
  <c r="GR11" i="71"/>
  <c r="E677" i="15"/>
  <c r="E949" i="15"/>
  <c r="E222" i="15"/>
  <c r="J773" i="15"/>
  <c r="N78" i="9"/>
  <c r="L78" i="9" s="1"/>
  <c r="GX24" i="71"/>
  <c r="IZ32" i="71"/>
  <c r="FT8" i="71"/>
  <c r="P94" i="72"/>
  <c r="K92" i="9"/>
  <c r="GO19" i="71"/>
  <c r="N65" i="9"/>
  <c r="L65" i="9" s="1"/>
  <c r="J761" i="15"/>
  <c r="JC19" i="71"/>
  <c r="N77" i="9"/>
  <c r="L77" i="9" s="1"/>
  <c r="HY24" i="71"/>
  <c r="AT96" i="72"/>
  <c r="HV34" i="71"/>
  <c r="FH18" i="71"/>
  <c r="E673" i="15"/>
  <c r="J841" i="15"/>
  <c r="E163" i="15"/>
  <c r="HV18" i="71"/>
  <c r="GR21" i="71"/>
  <c r="J944" i="15"/>
  <c r="E894" i="15"/>
  <c r="JC8" i="71"/>
  <c r="HV36" i="71"/>
  <c r="EJ11" i="71"/>
  <c r="HP12" i="71"/>
  <c r="E795" i="15"/>
  <c r="N63" i="9"/>
  <c r="L63" i="9" s="1"/>
  <c r="FT25" i="71"/>
  <c r="K86" i="9"/>
  <c r="IZ6" i="71"/>
  <c r="N70" i="9"/>
  <c r="L70" i="9" s="1"/>
  <c r="IW22" i="71"/>
  <c r="N41" i="9"/>
  <c r="L41" i="9" s="1"/>
  <c r="GI22" i="71"/>
  <c r="K20" i="9"/>
  <c r="M28" i="9"/>
  <c r="K64" i="9"/>
  <c r="JO15" i="71"/>
  <c r="HY22" i="71"/>
  <c r="E969" i="15"/>
  <c r="JL36" i="71"/>
  <c r="IT25" i="71"/>
  <c r="GI19" i="71"/>
  <c r="E191" i="15"/>
  <c r="JL20" i="71"/>
  <c r="W65" i="22"/>
  <c r="Y65" i="22" s="1"/>
  <c r="J968" i="15"/>
  <c r="IQ34" i="71"/>
  <c r="IT14" i="71"/>
  <c r="J871" i="15"/>
  <c r="E839" i="15"/>
  <c r="GF32" i="71"/>
  <c r="J660" i="15"/>
  <c r="GI9" i="71"/>
  <c r="GO36" i="71"/>
  <c r="JU21" i="71"/>
  <c r="K48" i="9"/>
  <c r="HD22" i="71"/>
  <c r="FW5" i="71"/>
  <c r="JU29" i="71"/>
  <c r="M15" i="9"/>
  <c r="IE29" i="71"/>
  <c r="IZ18" i="71"/>
  <c r="J531" i="15"/>
  <c r="HG23" i="71"/>
  <c r="E999" i="15"/>
  <c r="J479" i="15"/>
  <c r="GR5" i="71"/>
  <c r="N91" i="9"/>
  <c r="L91" i="9" s="1"/>
  <c r="E736" i="15"/>
  <c r="HP24" i="71"/>
  <c r="JR13" i="71"/>
  <c r="FN9" i="71"/>
  <c r="JR27" i="71"/>
  <c r="J666" i="15"/>
  <c r="II38" i="71"/>
  <c r="N74" i="9"/>
  <c r="L74" i="9" s="1"/>
  <c r="IW27" i="71"/>
  <c r="HS26" i="71"/>
  <c r="E691" i="15"/>
  <c r="HP4" i="71"/>
  <c r="JX35" i="71"/>
  <c r="J824" i="15"/>
  <c r="HJ14" i="71"/>
  <c r="HP27" i="71"/>
  <c r="HP18" i="71"/>
  <c r="N69" i="9"/>
  <c r="L69" i="9" s="1"/>
  <c r="FK27" i="71"/>
  <c r="J830" i="15"/>
  <c r="W53" i="22"/>
  <c r="Y53" i="22" s="1"/>
  <c r="HS23" i="71"/>
  <c r="GI30" i="71"/>
  <c r="N23" i="9"/>
  <c r="L23" i="9" s="1"/>
  <c r="J514" i="15"/>
  <c r="GL22" i="71"/>
  <c r="E874" i="15"/>
  <c r="JC24" i="71"/>
  <c r="IZ14" i="71"/>
  <c r="GF30" i="71"/>
  <c r="E816" i="15"/>
  <c r="E825" i="15"/>
  <c r="J939" i="15"/>
  <c r="GC23" i="71"/>
  <c r="Z1497" i="13"/>
  <c r="I1702" i="13" s="1"/>
  <c r="JV38" i="71"/>
  <c r="GU30" i="71"/>
  <c r="GX25" i="71"/>
  <c r="IN20" i="71"/>
  <c r="HS17" i="71"/>
  <c r="FQ7" i="71"/>
  <c r="JO24" i="71"/>
  <c r="GI15" i="71"/>
  <c r="J726" i="15"/>
  <c r="EJ36" i="71"/>
  <c r="E912" i="15"/>
  <c r="J864" i="15"/>
  <c r="J965" i="15"/>
  <c r="GC26" i="71"/>
  <c r="E750" i="15"/>
  <c r="JX30" i="71"/>
  <c r="J991" i="15"/>
  <c r="HP30" i="71"/>
  <c r="IK34" i="71"/>
  <c r="IQ7" i="71"/>
  <c r="E355" i="15"/>
  <c r="K32" i="9"/>
  <c r="K76" i="9"/>
  <c r="Q94" i="69"/>
  <c r="AB96" i="69" a="1"/>
  <c r="AB96" i="69" s="1"/>
  <c r="IQ28" i="71"/>
  <c r="FW25" i="71"/>
  <c r="E916" i="15"/>
  <c r="J983" i="15"/>
  <c r="JI17" i="71"/>
  <c r="E782" i="15"/>
  <c r="FZ25" i="71"/>
  <c r="JX34" i="71"/>
  <c r="FK28" i="71"/>
  <c r="E765" i="15"/>
  <c r="GX10" i="71"/>
  <c r="J879" i="15"/>
  <c r="IN11" i="71"/>
  <c r="J918" i="15"/>
  <c r="J740" i="15"/>
  <c r="E775" i="15"/>
  <c r="HD28" i="71"/>
  <c r="IH13" i="71"/>
  <c r="FU38" i="71"/>
  <c r="E731" i="15"/>
  <c r="J855" i="15"/>
  <c r="HY36" i="71"/>
  <c r="GC18" i="71"/>
  <c r="FN12" i="71"/>
  <c r="FT27" i="71"/>
  <c r="AD95" i="72"/>
  <c r="HJ17" i="71"/>
  <c r="HY16" i="71"/>
  <c r="JR30" i="71"/>
  <c r="IE7" i="71"/>
  <c r="HV16" i="71"/>
  <c r="IH5" i="71"/>
  <c r="EJ13" i="71"/>
  <c r="J866" i="15"/>
  <c r="HS5" i="71"/>
  <c r="FE7" i="71"/>
  <c r="IZ28" i="71"/>
  <c r="HM6" i="71"/>
  <c r="E656" i="15"/>
  <c r="M39" i="9"/>
  <c r="E958" i="15"/>
  <c r="JF19" i="71"/>
  <c r="K16" i="9"/>
  <c r="HM34" i="71"/>
  <c r="JC4" i="71"/>
  <c r="E790" i="15"/>
  <c r="HP36" i="71"/>
  <c r="E932" i="15"/>
  <c r="GC31" i="71"/>
  <c r="J802" i="15"/>
  <c r="J741" i="15"/>
  <c r="J546" i="15"/>
  <c r="L536" i="15" s="1" a="1"/>
  <c r="L536" i="15" s="1"/>
  <c r="J711" i="15"/>
  <c r="Q95" i="72"/>
  <c r="E837" i="15"/>
  <c r="FQ6" i="71"/>
  <c r="FT32" i="71"/>
  <c r="E830" i="15"/>
  <c r="J993" i="15"/>
  <c r="E233" i="15"/>
  <c r="J753" i="15"/>
  <c r="E911" i="15"/>
  <c r="J975" i="15"/>
  <c r="M23" i="9"/>
  <c r="T96" i="69"/>
  <c r="HA13" i="71"/>
  <c r="E972" i="15"/>
  <c r="E842" i="15"/>
  <c r="K26" i="9"/>
  <c r="GF23" i="71"/>
  <c r="HJ24" i="71"/>
  <c r="K69" i="9"/>
  <c r="GR10" i="71"/>
  <c r="M79" i="9"/>
  <c r="AV1590" i="13"/>
  <c r="AV1689" i="13" s="1"/>
  <c r="J770" i="15"/>
  <c r="V9" i="22"/>
  <c r="M17" i="9"/>
  <c r="E856" i="15"/>
  <c r="JR11" i="71"/>
  <c r="HG9" i="71"/>
  <c r="E667" i="15"/>
  <c r="GX15" i="71"/>
  <c r="GL20" i="71"/>
  <c r="J502" i="15"/>
  <c r="L94" i="72"/>
  <c r="J853" i="15"/>
  <c r="JR7" i="71"/>
  <c r="FT15" i="71"/>
  <c r="JX32" i="71"/>
  <c r="FH7" i="71"/>
  <c r="M32" i="9"/>
  <c r="J976" i="15"/>
  <c r="M27" i="9"/>
  <c r="P27" i="9" s="1"/>
  <c r="GI11" i="71"/>
  <c r="HM12" i="71"/>
  <c r="JI4" i="71"/>
  <c r="JF18" i="71"/>
  <c r="K87" i="9"/>
  <c r="N60" i="9"/>
  <c r="L60" i="9" s="1"/>
  <c r="J924" i="15"/>
  <c r="K6" i="9"/>
  <c r="J837" i="15"/>
  <c r="J715" i="15"/>
  <c r="P96" i="72"/>
  <c r="IE16" i="71"/>
  <c r="E928" i="15"/>
  <c r="E153" i="15"/>
  <c r="E733" i="15"/>
  <c r="JU36" i="71"/>
  <c r="EJ19" i="71"/>
  <c r="E882" i="15"/>
  <c r="HM10" i="71"/>
  <c r="FZ29" i="71"/>
  <c r="JF17" i="71"/>
  <c r="IE23" i="71"/>
  <c r="I11" i="15" a="1"/>
  <c r="I11" i="15" s="1"/>
  <c r="E807" i="15"/>
  <c r="E314" i="15"/>
  <c r="K67" i="9"/>
  <c r="A95" i="69"/>
  <c r="JL18" i="71"/>
  <c r="V35" i="22"/>
  <c r="J885" i="15"/>
  <c r="GC35" i="71"/>
  <c r="N96" i="9"/>
  <c r="L96" i="9" s="1"/>
  <c r="M68" i="9"/>
  <c r="JL6" i="71"/>
  <c r="HG7" i="71"/>
  <c r="HD12" i="71"/>
  <c r="GX27" i="71"/>
  <c r="JC33" i="71"/>
  <c r="E702" i="15"/>
  <c r="HJ25" i="71"/>
  <c r="JF8" i="71"/>
  <c r="IB25" i="71"/>
  <c r="JI26" i="71"/>
  <c r="HM16" i="71"/>
  <c r="GX31" i="71"/>
  <c r="FZ6" i="71"/>
  <c r="Y96" i="72"/>
  <c r="J869" i="15"/>
  <c r="IF38" i="71"/>
  <c r="E857" i="15"/>
  <c r="N34" i="9"/>
  <c r="L34" i="9" s="1"/>
  <c r="N82" i="9"/>
  <c r="L82" i="9" s="1"/>
  <c r="IQ17" i="71"/>
  <c r="V51" i="22"/>
  <c r="HG33" i="71"/>
  <c r="IO38" i="71"/>
  <c r="JI28" i="71"/>
  <c r="FT11" i="71"/>
  <c r="M70" i="9"/>
  <c r="M53" i="9"/>
  <c r="IK10" i="71"/>
  <c r="N55" i="9"/>
  <c r="L55" i="9" s="1"/>
  <c r="N57" i="9"/>
  <c r="L57" i="9" s="1"/>
  <c r="E774" i="15"/>
  <c r="K96" i="9"/>
  <c r="J850" i="15"/>
  <c r="FO38" i="71"/>
  <c r="AX96" i="69"/>
  <c r="HG22" i="71"/>
  <c r="IQ27" i="71"/>
  <c r="JX33" i="71"/>
  <c r="H22" i="7" a="1"/>
  <c r="H22" i="7" s="1"/>
  <c r="JL13" i="71"/>
  <c r="JX5" i="71"/>
  <c r="J967" i="15"/>
  <c r="IT34" i="71"/>
  <c r="E865" i="15"/>
  <c r="FW21" i="71"/>
  <c r="JR29" i="71"/>
  <c r="HA6" i="71"/>
  <c r="J927" i="15"/>
  <c r="AB94" i="69" a="1"/>
  <c r="AB94" i="69" s="1"/>
  <c r="A96" i="72"/>
  <c r="E817" i="15"/>
  <c r="FE15" i="71"/>
  <c r="M20" i="9"/>
  <c r="J938" i="15"/>
  <c r="FN25" i="71"/>
  <c r="GF14" i="71"/>
  <c r="IQ30" i="71"/>
  <c r="HG10" i="71"/>
  <c r="HM17" i="71"/>
  <c r="IQ4" i="71"/>
  <c r="J797" i="15"/>
  <c r="HM27" i="71"/>
  <c r="FH17" i="71"/>
  <c r="EJ33" i="71"/>
  <c r="FQ17" i="71"/>
  <c r="K60" i="9"/>
  <c r="GC36" i="71"/>
  <c r="M74" i="9"/>
  <c r="M38" i="9"/>
  <c r="E684" i="15"/>
  <c r="GI13" i="71"/>
  <c r="J747" i="15"/>
  <c r="J913" i="15"/>
  <c r="E905" i="15"/>
  <c r="E861" i="15"/>
  <c r="E707" i="15"/>
  <c r="HV17" i="71"/>
  <c r="HA24" i="71"/>
  <c r="FW29" i="71"/>
  <c r="E834" i="15"/>
  <c r="GR18" i="71"/>
  <c r="W94" i="69"/>
  <c r="AV1491" i="13"/>
  <c r="HM35" i="71"/>
  <c r="FW22" i="71"/>
  <c r="FT21" i="71"/>
  <c r="GC33" i="71"/>
  <c r="IE30" i="71"/>
  <c r="IB36" i="71"/>
  <c r="FE28" i="71"/>
  <c r="FW26" i="71"/>
  <c r="K52" i="9"/>
  <c r="Q96" i="72"/>
  <c r="HG31" i="71"/>
  <c r="E788" i="15"/>
  <c r="GC4" i="71"/>
  <c r="IE24" i="71"/>
  <c r="E828" i="15"/>
  <c r="HA19" i="71"/>
  <c r="HS16" i="71"/>
  <c r="IE18" i="71"/>
  <c r="E693" i="15"/>
  <c r="Z1894" i="13"/>
  <c r="B1894" i="13" s="1" a="1"/>
  <c r="B1894" i="13" s="1"/>
  <c r="IW18" i="71"/>
  <c r="GF19" i="71"/>
  <c r="J699" i="15"/>
  <c r="JO13" i="71"/>
  <c r="E796" i="15"/>
  <c r="FN8" i="71"/>
  <c r="IN31" i="71"/>
  <c r="EJ30" i="71"/>
  <c r="FZ16" i="71"/>
  <c r="J511" i="15"/>
  <c r="AD94" i="72"/>
  <c r="T95" i="72"/>
  <c r="HY19" i="71"/>
  <c r="AX94" i="69"/>
  <c r="HP13" i="71"/>
  <c r="J835" i="15"/>
  <c r="HS14" i="71"/>
  <c r="HY8" i="71"/>
  <c r="JR15" i="71"/>
  <c r="J942" i="15"/>
  <c r="M47" i="9"/>
  <c r="L96" i="69"/>
  <c r="HG4" i="71"/>
  <c r="JL31" i="71"/>
  <c r="HA21" i="71"/>
  <c r="FQ29" i="71"/>
  <c r="IT27" i="71"/>
  <c r="V58" i="22"/>
  <c r="J780" i="15"/>
  <c r="J725" i="15"/>
  <c r="HA20" i="71"/>
  <c r="J882" i="15"/>
  <c r="GO9" i="71"/>
  <c r="E780" i="15"/>
  <c r="J865" i="15"/>
  <c r="JR31" i="71"/>
  <c r="IK22" i="71"/>
  <c r="E79" i="15"/>
  <c r="E942" i="15"/>
  <c r="GU18" i="71"/>
  <c r="IH31" i="71"/>
  <c r="E341" i="15"/>
  <c r="E962" i="15"/>
  <c r="GD38" i="71"/>
  <c r="E886" i="15"/>
  <c r="JR36" i="71"/>
  <c r="W10" i="22"/>
  <c r="Y10" i="22" s="1"/>
  <c r="GO13" i="71"/>
  <c r="GO15" i="71"/>
  <c r="IZ15" i="71"/>
  <c r="KB38" i="71"/>
  <c r="IT30" i="71"/>
  <c r="E675" i="15"/>
  <c r="FT23" i="71"/>
  <c r="J475" i="15"/>
  <c r="FN28" i="71"/>
  <c r="J817" i="15"/>
  <c r="HJ27" i="71"/>
  <c r="J738" i="15"/>
  <c r="HA30" i="71"/>
  <c r="FW13" i="71"/>
  <c r="E832" i="15"/>
  <c r="AT95" i="72"/>
  <c r="GL17" i="71"/>
  <c r="IW36" i="71"/>
  <c r="E264" i="15"/>
  <c r="GI32" i="71"/>
  <c r="HY20" i="71"/>
  <c r="HY6" i="71"/>
  <c r="J844" i="15"/>
  <c r="JO21" i="71"/>
  <c r="J662" i="15"/>
  <c r="GO16" i="71"/>
  <c r="N94" i="72" a="1"/>
  <c r="N94" i="72" s="1"/>
  <c r="W96" i="69"/>
  <c r="IB6" i="71"/>
  <c r="N66" i="9"/>
  <c r="L66" i="9" s="1"/>
  <c r="EJ22" i="71"/>
  <c r="GC16" i="71"/>
  <c r="IE34" i="71"/>
  <c r="K43" i="9"/>
  <c r="J987" i="15"/>
  <c r="N49" i="9"/>
  <c r="L49" i="9" s="1"/>
  <c r="HY29" i="71"/>
  <c r="E604" i="15"/>
  <c r="FE18" i="71"/>
  <c r="E888" i="15"/>
  <c r="AV1588" i="13"/>
  <c r="AV1687" i="13" s="1"/>
  <c r="Q96" i="69"/>
  <c r="GI35" i="71"/>
  <c r="JU9" i="71"/>
  <c r="IN29" i="71"/>
  <c r="GL12" i="71"/>
  <c r="FT17" i="71"/>
  <c r="IW21" i="71"/>
  <c r="J96" i="72"/>
  <c r="JX18" i="71"/>
  <c r="HS30" i="71"/>
  <c r="E300" i="15"/>
  <c r="W9" i="22"/>
  <c r="Y9" i="22" s="1"/>
  <c r="HD17" i="71"/>
  <c r="AW96" i="69"/>
  <c r="FN16" i="71"/>
  <c r="FK10" i="71"/>
  <c r="E205" i="15"/>
  <c r="J661" i="15"/>
  <c r="JO6" i="71"/>
  <c r="IE31" i="71"/>
  <c r="GL5" i="71"/>
  <c r="E787" i="15"/>
  <c r="EK38" i="71"/>
  <c r="W33" i="22"/>
  <c r="Y33" i="22" s="1"/>
  <c r="HV35" i="71"/>
  <c r="J872" i="15"/>
  <c r="IB34" i="71"/>
  <c r="IK18" i="71"/>
  <c r="FZ19" i="71"/>
  <c r="JR18" i="71"/>
  <c r="JC25" i="71"/>
  <c r="GX21" i="71"/>
  <c r="J729" i="15"/>
  <c r="K46" i="9"/>
  <c r="IE19" i="71"/>
  <c r="IH20" i="71"/>
  <c r="JU24" i="71"/>
  <c r="JX10" i="71"/>
  <c r="GI28" i="71"/>
  <c r="IW13" i="71"/>
  <c r="GO31" i="71"/>
  <c r="HJ20" i="71"/>
  <c r="HS10" i="71"/>
  <c r="N67" i="9"/>
  <c r="L67" i="9" s="1"/>
  <c r="JX9" i="71"/>
  <c r="J487" i="15"/>
  <c r="J917" i="15"/>
  <c r="BC94" i="72"/>
  <c r="IQ36" i="71"/>
  <c r="FT33" i="71"/>
  <c r="E924" i="15"/>
  <c r="E661" i="15"/>
  <c r="K25" i="9"/>
  <c r="K9" i="9"/>
  <c r="M16" i="9"/>
  <c r="W95" i="72"/>
  <c r="HP33" i="71"/>
  <c r="HY25" i="71"/>
  <c r="E365" i="15"/>
  <c r="E698" i="15"/>
  <c r="JX13" i="71"/>
  <c r="IK4" i="71"/>
  <c r="FW35" i="71"/>
  <c r="JO12" i="71"/>
  <c r="FW18" i="71"/>
  <c r="FT22" i="71"/>
  <c r="W46" i="22"/>
  <c r="Y46" i="22" s="1"/>
  <c r="N10" i="9"/>
  <c r="L10" i="9" s="1"/>
  <c r="HY17" i="71"/>
  <c r="J922" i="15"/>
  <c r="K50" i="9"/>
  <c r="JO33" i="71"/>
  <c r="IH25" i="71"/>
  <c r="FK13" i="71"/>
  <c r="HG26" i="71"/>
  <c r="FN27" i="71"/>
  <c r="Y95" i="69"/>
  <c r="K78" i="9"/>
  <c r="J548" i="15"/>
  <c r="N68" i="9"/>
  <c r="L68" i="9" s="1"/>
  <c r="GI34" i="71"/>
  <c r="H14" i="7" a="1"/>
  <c r="H14" i="7" s="1"/>
  <c r="HG14" i="71"/>
  <c r="E287" i="15"/>
  <c r="E770" i="15"/>
  <c r="J977" i="15"/>
  <c r="HJ21" i="71"/>
  <c r="BC96" i="72"/>
  <c r="IZ23" i="71"/>
  <c r="N51" i="9"/>
  <c r="L51" i="9" s="1"/>
  <c r="FH24" i="71"/>
  <c r="M54" i="9"/>
  <c r="K66" i="9"/>
  <c r="GU10" i="71"/>
  <c r="V32" i="22"/>
  <c r="FQ21" i="71"/>
  <c r="HA8" i="71"/>
  <c r="FQ25" i="71"/>
  <c r="J678" i="15"/>
  <c r="N28" i="9"/>
  <c r="L28" i="9" s="1"/>
  <c r="M29" i="9"/>
  <c r="P29" i="9" s="1"/>
  <c r="J775" i="15"/>
  <c r="E803" i="15"/>
  <c r="E838" i="15"/>
  <c r="AC94" i="72"/>
  <c r="J656" i="15"/>
  <c r="JL35" i="71"/>
  <c r="JX31" i="71"/>
  <c r="M48" i="9"/>
  <c r="J681" i="15"/>
  <c r="FT28" i="71"/>
  <c r="FT16" i="71"/>
  <c r="P94" i="69"/>
  <c r="FE25" i="71"/>
  <c r="FT13" i="71"/>
  <c r="IU38" i="71"/>
  <c r="J953" i="15"/>
  <c r="J856" i="15"/>
  <c r="E741" i="15"/>
  <c r="V12" i="22"/>
  <c r="AC95" i="72"/>
  <c r="M26" i="9"/>
  <c r="J827" i="15"/>
  <c r="HJ10" i="71"/>
  <c r="GU32" i="71"/>
  <c r="IE32" i="71"/>
  <c r="GX35" i="71"/>
  <c r="M75" i="9"/>
  <c r="FN22" i="71"/>
  <c r="GL11" i="71"/>
  <c r="FZ33" i="71"/>
  <c r="HD27" i="71"/>
  <c r="IW17" i="71"/>
  <c r="E330" i="15"/>
  <c r="GX12" i="71"/>
  <c r="M71" i="9"/>
  <c r="P71" i="9" s="1"/>
  <c r="GX19" i="71"/>
  <c r="F16" i="15"/>
  <c r="GI26" i="71"/>
  <c r="H96" i="9"/>
  <c r="K59" i="9"/>
  <c r="E793" i="15"/>
  <c r="J819" i="15"/>
  <c r="AC95" i="69"/>
  <c r="J998" i="15"/>
  <c r="N30" i="9"/>
  <c r="L30" i="9" s="1"/>
  <c r="IK7" i="71"/>
  <c r="M13" i="9"/>
  <c r="E814" i="15"/>
  <c r="HY18" i="71"/>
  <c r="J682" i="15"/>
  <c r="HG11" i="71"/>
  <c r="HD32" i="71"/>
  <c r="K38" i="9"/>
  <c r="FH32" i="71"/>
  <c r="V44" i="22"/>
  <c r="N38" i="9"/>
  <c r="L38" i="9" s="1"/>
  <c r="HY35" i="71"/>
  <c r="E917" i="15"/>
  <c r="HJ18" i="71"/>
  <c r="FE27" i="71"/>
  <c r="IB19" i="71"/>
  <c r="J790" i="15"/>
  <c r="E660" i="15"/>
  <c r="HD21" i="71"/>
  <c r="J755" i="15"/>
  <c r="E171" i="15"/>
  <c r="HV15" i="71"/>
  <c r="E729" i="15"/>
  <c r="EJ14" i="71"/>
  <c r="HS25" i="71"/>
  <c r="J834" i="15"/>
  <c r="E399" i="15"/>
  <c r="GI20" i="71"/>
  <c r="E960" i="15"/>
  <c r="J796" i="15"/>
  <c r="E978" i="15"/>
  <c r="J751" i="15"/>
  <c r="JO18" i="71"/>
  <c r="HP23" i="71"/>
  <c r="E900" i="15"/>
  <c r="J785" i="15"/>
  <c r="W95" i="69"/>
  <c r="E973" i="15"/>
  <c r="V33" i="22"/>
  <c r="E690" i="15"/>
  <c r="E884" i="15"/>
  <c r="E744" i="15"/>
  <c r="JU34" i="71"/>
  <c r="IE28" i="71"/>
  <c r="J501" i="15"/>
  <c r="IE26" i="71"/>
  <c r="E968" i="15"/>
  <c r="P95" i="69"/>
  <c r="J935" i="15"/>
  <c r="FE36" i="71"/>
  <c r="E521" i="15"/>
  <c r="E686" i="15"/>
  <c r="Z1499" i="13"/>
  <c r="FE32" i="71"/>
  <c r="JL21" i="71"/>
  <c r="E721" i="15"/>
  <c r="EJ21" i="71"/>
  <c r="GI31" i="71"/>
  <c r="J523" i="15"/>
  <c r="N519" i="15" s="1" a="1"/>
  <c r="N519" i="15" s="1"/>
  <c r="E956" i="15"/>
  <c r="Y94" i="69"/>
  <c r="BD95" i="72"/>
  <c r="K72" i="9"/>
  <c r="HP5" i="71"/>
  <c r="J982" i="15"/>
  <c r="Z1500" i="13"/>
  <c r="JX17" i="71"/>
  <c r="JL30" i="71"/>
  <c r="FH16" i="71"/>
  <c r="K77" i="9"/>
  <c r="E984" i="15"/>
  <c r="FT6" i="71"/>
  <c r="E737" i="15"/>
  <c r="N96" i="72" a="1"/>
  <c r="N96" i="72" s="1"/>
  <c r="IQ18" i="71"/>
  <c r="FQ11" i="71"/>
  <c r="E665" i="15"/>
  <c r="JI30" i="71"/>
  <c r="FQ10" i="71"/>
  <c r="HS22" i="71"/>
  <c r="IN16" i="71"/>
  <c r="E58" i="15"/>
  <c r="HP7" i="71"/>
  <c r="K85" i="9"/>
  <c r="P85" i="9" s="1"/>
  <c r="N9" i="9"/>
  <c r="L9" i="9" s="1"/>
  <c r="GC12" i="71"/>
  <c r="FE14" i="71"/>
  <c r="IE5" i="71"/>
  <c r="GC15" i="71"/>
  <c r="E173" i="15"/>
  <c r="FQ15" i="71"/>
  <c r="JF26" i="71"/>
  <c r="JO30" i="71"/>
  <c r="GC22" i="71"/>
  <c r="E327" i="15"/>
  <c r="J981" i="15"/>
  <c r="J673" i="15"/>
  <c r="N43" i="9"/>
  <c r="L43" i="9" s="1"/>
  <c r="HP16" i="71"/>
  <c r="FH12" i="71"/>
  <c r="FW7" i="71"/>
  <c r="GI5" i="71"/>
  <c r="E827" i="15"/>
  <c r="GX17" i="71"/>
  <c r="K61" i="9"/>
  <c r="E929" i="15"/>
  <c r="HV13" i="71"/>
  <c r="GS38" i="71"/>
  <c r="E114" i="15"/>
  <c r="E868" i="15"/>
  <c r="HD36" i="71"/>
  <c r="Q95" i="69"/>
  <c r="J664" i="15"/>
  <c r="F6" i="15"/>
  <c r="E964" i="15"/>
  <c r="IE21" i="71"/>
  <c r="K31" i="9"/>
  <c r="E898" i="15"/>
  <c r="FT19" i="71"/>
  <c r="GL16" i="71"/>
  <c r="JO34" i="71"/>
  <c r="J708" i="15"/>
  <c r="E253" i="15"/>
  <c r="E759" i="15"/>
  <c r="N54" i="9"/>
  <c r="L54" i="9" s="1"/>
  <c r="HV33" i="71"/>
  <c r="GL33" i="71"/>
  <c r="J809" i="15"/>
  <c r="E987" i="15"/>
  <c r="GI29" i="71"/>
  <c r="HA28" i="71"/>
  <c r="E975" i="15"/>
  <c r="A96" i="69"/>
  <c r="E950" i="15"/>
  <c r="JO9" i="71"/>
  <c r="J505" i="15"/>
  <c r="IH33" i="71"/>
  <c r="J706" i="15"/>
  <c r="M59" i="9"/>
  <c r="IN23" i="71"/>
  <c r="J744" i="15"/>
  <c r="J996" i="15"/>
  <c r="E734" i="15"/>
  <c r="AV1589" i="13"/>
  <c r="AV1688" i="13" s="1"/>
  <c r="W76" i="22"/>
  <c r="Y76" i="22" s="1"/>
  <c r="H23" i="7" a="1"/>
  <c r="H23" i="7" s="1"/>
  <c r="E887" i="15"/>
  <c r="FT29" i="71"/>
  <c r="HA31" i="71"/>
  <c r="JI21" i="71"/>
  <c r="J734" i="15"/>
  <c r="GU13" i="71"/>
  <c r="J920" i="15"/>
  <c r="JI5" i="71"/>
  <c r="IT17" i="71"/>
  <c r="IQ9" i="71"/>
  <c r="IH6" i="71"/>
  <c r="JU25" i="71"/>
  <c r="E717" i="15"/>
  <c r="JL25" i="71"/>
  <c r="IW14" i="71"/>
  <c r="GF8" i="71"/>
  <c r="Q94" i="72"/>
  <c r="H97" i="9"/>
  <c r="J657" i="15"/>
  <c r="J994" i="15"/>
  <c r="N95" i="72" a="1"/>
  <c r="N95" i="72" s="1"/>
  <c r="FW14" i="71"/>
  <c r="GF15" i="71"/>
  <c r="W31" i="22"/>
  <c r="Y31" i="22" s="1"/>
  <c r="V76" i="22"/>
  <c r="JL11" i="71"/>
  <c r="IK8" i="71"/>
  <c r="IQ10" i="71"/>
  <c r="E955" i="15"/>
  <c r="K17" i="9"/>
  <c r="IW35" i="71"/>
  <c r="E896" i="15"/>
  <c r="FZ11" i="71"/>
  <c r="I16" i="15" a="1"/>
  <c r="I16" i="15" s="1"/>
  <c r="J908" i="15"/>
  <c r="M24" i="9"/>
  <c r="JX20" i="71"/>
  <c r="M96" i="72"/>
  <c r="FW19" i="71"/>
  <c r="J803" i="15"/>
  <c r="M37" i="9"/>
  <c r="HD9" i="71"/>
  <c r="IE4" i="71"/>
  <c r="E379" i="15"/>
  <c r="K89" i="9"/>
  <c r="N15" i="9"/>
  <c r="L15" i="9" s="1"/>
  <c r="J710" i="15"/>
  <c r="J742" i="15"/>
  <c r="J746" i="15"/>
  <c r="GL34" i="71"/>
  <c r="JF9" i="71"/>
  <c r="IN19" i="71"/>
  <c r="FT4" i="71"/>
  <c r="J883" i="15"/>
  <c r="HV28" i="71"/>
  <c r="FZ20" i="71"/>
  <c r="IQ19" i="71"/>
  <c r="HY21" i="71"/>
  <c r="GG38" i="71"/>
  <c r="K68" i="9"/>
  <c r="J670" i="15"/>
  <c r="IB10" i="71"/>
  <c r="I15" i="15" a="1"/>
  <c r="I15" i="15" s="1"/>
  <c r="J799" i="15"/>
  <c r="FH10" i="71"/>
  <c r="E490" i="15"/>
  <c r="F7" i="15"/>
  <c r="JX26" i="71"/>
  <c r="AC96" i="72"/>
  <c r="M69" i="9"/>
  <c r="JU23" i="71"/>
  <c r="J893" i="15"/>
  <c r="JR35" i="71"/>
  <c r="J795" i="15"/>
  <c r="E841" i="15"/>
  <c r="N44" i="9"/>
  <c r="L44" i="9" s="1"/>
  <c r="K54" i="9"/>
  <c r="HD15" i="71"/>
  <c r="E943" i="15"/>
  <c r="J672" i="15"/>
  <c r="E753" i="15"/>
  <c r="HM19" i="71"/>
  <c r="EJ29" i="71"/>
  <c r="J972" i="15"/>
  <c r="IH18" i="71"/>
  <c r="E637" i="15"/>
  <c r="K634" i="15" s="1" a="1"/>
  <c r="K634" i="15" s="1"/>
  <c r="FE12" i="71"/>
  <c r="IE12" i="71"/>
  <c r="M66" i="9"/>
  <c r="BD94" i="72"/>
  <c r="AB95" i="72" a="1"/>
  <c r="AB95" i="72" s="1"/>
  <c r="JU32" i="71"/>
  <c r="IE8" i="71"/>
  <c r="E766" i="15"/>
  <c r="J807" i="15"/>
  <c r="IK19" i="71"/>
  <c r="GR23" i="71"/>
  <c r="M21" i="9"/>
  <c r="EJ15" i="71"/>
  <c r="J838" i="15"/>
  <c r="N72" i="9"/>
  <c r="L72" i="9" s="1"/>
  <c r="N94" i="69" a="1"/>
  <c r="N94" i="69" s="1"/>
  <c r="J995" i="15"/>
  <c r="FW27" i="71"/>
  <c r="M64" i="9"/>
  <c r="M77" i="9"/>
  <c r="N62" i="9"/>
  <c r="L62" i="9" s="1"/>
  <c r="N95" i="69" a="1"/>
  <c r="N95" i="69" s="1"/>
  <c r="E294" i="15"/>
  <c r="J805" i="15"/>
  <c r="HP19" i="71"/>
  <c r="FQ36" i="71"/>
  <c r="FE20" i="71"/>
  <c r="J702" i="15"/>
  <c r="GO10" i="71"/>
  <c r="E411" i="15"/>
  <c r="E927" i="15"/>
  <c r="E872" i="15"/>
  <c r="N40" i="9"/>
  <c r="L40" i="9" s="1"/>
  <c r="E754" i="15"/>
  <c r="E735" i="15"/>
  <c r="I13" i="15" a="1"/>
  <c r="I13" i="15" s="1"/>
  <c r="HS32" i="71"/>
  <c r="E895" i="15"/>
  <c r="BC95" i="72"/>
  <c r="N25" i="9"/>
  <c r="L25" i="9" s="1"/>
  <c r="FN24" i="71"/>
  <c r="J840" i="15"/>
  <c r="J688" i="15"/>
  <c r="E915" i="15"/>
  <c r="N22" i="9"/>
  <c r="L22" i="9" s="1"/>
  <c r="M76" i="9"/>
  <c r="JI23" i="71"/>
  <c r="J798" i="15"/>
  <c r="E463" i="15"/>
  <c r="M6" i="9"/>
  <c r="J743" i="15"/>
  <c r="J997" i="15"/>
  <c r="N12" i="9"/>
  <c r="L12" i="9" s="1"/>
  <c r="E688" i="15"/>
  <c r="E936" i="15"/>
  <c r="IW7" i="71"/>
  <c r="IH24" i="71"/>
  <c r="AV1490" i="13"/>
  <c r="N83" i="9"/>
  <c r="L83" i="9" s="1"/>
  <c r="FH20" i="71"/>
  <c r="E778" i="15"/>
  <c r="GR12" i="71"/>
  <c r="E971" i="15"/>
  <c r="J689" i="15"/>
  <c r="J875" i="15"/>
  <c r="JF20" i="71"/>
  <c r="FK21" i="71"/>
  <c r="FT30" i="71"/>
  <c r="A94" i="69"/>
  <c r="GO21" i="71"/>
  <c r="IK30" i="71"/>
  <c r="J692" i="15"/>
  <c r="E696" i="15"/>
  <c r="HB38" i="71"/>
  <c r="GR6" i="71"/>
  <c r="HM22" i="71"/>
  <c r="H98" i="9"/>
  <c r="J937" i="15"/>
  <c r="JR21" i="71"/>
  <c r="FQ8" i="71"/>
  <c r="FH4" i="71"/>
  <c r="GU35" i="71"/>
  <c r="E68" i="15"/>
  <c r="IZ4" i="71"/>
  <c r="J873" i="15"/>
  <c r="JC29" i="71"/>
  <c r="IH30" i="71"/>
  <c r="FE4" i="71"/>
  <c r="J693" i="15"/>
  <c r="HY11" i="71"/>
  <c r="GR24" i="71"/>
  <c r="J821" i="15"/>
  <c r="M46" i="9"/>
  <c r="FE35" i="71"/>
  <c r="M82" i="9"/>
  <c r="M18" i="9"/>
  <c r="W77" i="22"/>
  <c r="Y77" i="22" s="1"/>
  <c r="J659" i="15"/>
  <c r="J96" i="69"/>
  <c r="FZ28" i="71"/>
  <c r="K21" i="9"/>
  <c r="GC17" i="71"/>
  <c r="J749" i="15"/>
  <c r="IK21" i="71"/>
  <c r="F5" i="15"/>
  <c r="HS9" i="71"/>
  <c r="JJ38" i="71"/>
  <c r="JO8" i="71"/>
  <c r="GX5" i="71"/>
  <c r="HA35" i="71"/>
  <c r="E190" i="15"/>
  <c r="JI7" i="71"/>
  <c r="IZ7" i="71"/>
  <c r="FK32" i="71"/>
  <c r="JO35" i="71"/>
  <c r="JF12" i="71"/>
  <c r="J712" i="15"/>
  <c r="FN7" i="71"/>
  <c r="JU5" i="71"/>
  <c r="AB95" i="69" a="1"/>
  <c r="AB95" i="69" s="1"/>
  <c r="JL32" i="71"/>
  <c r="M98" i="9"/>
  <c r="IW31" i="71"/>
  <c r="JU12" i="71"/>
  <c r="J857" i="15"/>
  <c r="FW4" i="71"/>
  <c r="E738" i="15"/>
  <c r="J777" i="15"/>
  <c r="E764" i="15"/>
  <c r="AV1489" i="13"/>
  <c r="E727" i="15"/>
  <c r="N76" i="9"/>
  <c r="L76" i="9" s="1"/>
  <c r="J671" i="15"/>
  <c r="J595" i="15"/>
  <c r="M594" i="15" s="1" a="1"/>
  <c r="M594" i="15" s="1"/>
  <c r="JF30" i="71"/>
  <c r="HD35" i="71"/>
  <c r="EJ9" i="71"/>
  <c r="FE16" i="71"/>
  <c r="E214" i="15"/>
  <c r="HP26" i="71"/>
  <c r="IQ15" i="71"/>
  <c r="J811" i="15"/>
  <c r="F14" i="15"/>
  <c r="E847" i="15"/>
  <c r="EJ31" i="71"/>
  <c r="GL36" i="71"/>
  <c r="J552" i="15"/>
  <c r="IB11" i="71"/>
  <c r="JR33" i="71"/>
  <c r="L95" i="72"/>
  <c r="HV8" i="71"/>
  <c r="J722" i="15"/>
  <c r="N56" i="9"/>
  <c r="L56" i="9" s="1"/>
  <c r="IW10" i="71"/>
  <c r="M90" i="9"/>
  <c r="FI38" i="71"/>
  <c r="F3" i="15"/>
  <c r="FQ31" i="71"/>
  <c r="GU11" i="71"/>
  <c r="M95" i="72"/>
  <c r="HM20" i="71"/>
  <c r="EJ23" i="71"/>
  <c r="EJ26" i="71"/>
  <c r="K70" i="9"/>
  <c r="IZ25" i="71"/>
  <c r="E939" i="15"/>
  <c r="J503" i="15"/>
  <c r="N39" i="9"/>
  <c r="L39" i="9" s="1"/>
  <c r="IZ5" i="71"/>
  <c r="K7" i="9"/>
  <c r="N96" i="69" a="1"/>
  <c r="N96" i="69" s="1"/>
  <c r="E965" i="15"/>
  <c r="E543" i="15"/>
  <c r="FQ34" i="71"/>
  <c r="GR29" i="71"/>
  <c r="J848" i="15"/>
  <c r="J697" i="15"/>
  <c r="N26" i="9"/>
  <c r="L26" i="9" s="1"/>
  <c r="E867" i="15"/>
  <c r="J816" i="15"/>
  <c r="A94" i="72"/>
  <c r="AN96" i="69"/>
  <c r="GO28" i="71"/>
  <c r="GU9" i="71"/>
  <c r="IW9" i="71"/>
  <c r="E482" i="15"/>
  <c r="J986" i="15"/>
  <c r="N94" i="9"/>
  <c r="L94" i="9" s="1"/>
  <c r="K23" i="9"/>
  <c r="IW30" i="71"/>
  <c r="K19" i="9"/>
  <c r="P19" i="9" s="1"/>
  <c r="N52" i="9"/>
  <c r="L52" i="9" s="1"/>
  <c r="JI11" i="71"/>
  <c r="E339" i="15"/>
  <c r="N75" i="9"/>
  <c r="L75" i="9" s="1"/>
  <c r="E873" i="15"/>
  <c r="IH29" i="71"/>
  <c r="FZ15" i="71"/>
  <c r="FE31" i="71"/>
  <c r="IW34" i="71"/>
  <c r="FE26" i="71"/>
  <c r="GC19" i="71"/>
  <c r="E292" i="15"/>
  <c r="V10" i="22"/>
  <c r="HV31" i="71"/>
  <c r="E988" i="15"/>
  <c r="JF35" i="71"/>
  <c r="IE20" i="71"/>
  <c r="IE13" i="71"/>
  <c r="GF10" i="71"/>
  <c r="HD31" i="71"/>
  <c r="M45" i="9"/>
  <c r="GO22" i="71"/>
  <c r="E322" i="15"/>
  <c r="M7" i="9"/>
  <c r="GF11" i="71"/>
  <c r="IN8" i="71"/>
  <c r="M51" i="9"/>
  <c r="HJ12" i="71"/>
  <c r="GI36" i="71"/>
  <c r="J508" i="15"/>
  <c r="GX26" i="71"/>
  <c r="GL10" i="71"/>
  <c r="M94" i="72"/>
  <c r="J833" i="15"/>
  <c r="JC36" i="71"/>
  <c r="IZ36" i="71"/>
  <c r="HM32" i="71"/>
  <c r="FQ20" i="71"/>
  <c r="J999" i="15"/>
  <c r="E348" i="15"/>
  <c r="J992" i="15"/>
  <c r="P95" i="72"/>
  <c r="FN14" i="71"/>
  <c r="J720" i="15"/>
  <c r="E278" i="15"/>
  <c r="JL28" i="71"/>
  <c r="E694" i="15"/>
  <c r="FE30" i="71"/>
  <c r="K94" i="9"/>
  <c r="E708" i="15"/>
  <c r="HM26" i="71"/>
  <c r="IW5" i="71"/>
  <c r="IT31" i="71"/>
  <c r="J608" i="15"/>
  <c r="JC13" i="71"/>
  <c r="J782" i="15"/>
  <c r="HD6" i="71"/>
  <c r="FN10" i="71"/>
  <c r="IH15" i="71"/>
  <c r="EJ5" i="71"/>
  <c r="F9" i="15"/>
  <c r="GF16" i="71"/>
  <c r="N59" i="9"/>
  <c r="L59" i="9" s="1"/>
  <c r="E415" i="15"/>
  <c r="A95" i="72"/>
  <c r="FH31" i="71"/>
  <c r="FE29" i="71"/>
  <c r="E977" i="15"/>
  <c r="HV20" i="71"/>
  <c r="HM9" i="71"/>
  <c r="JR32" i="71"/>
  <c r="FE11" i="71"/>
  <c r="IE25" i="71"/>
  <c r="IZ19" i="71"/>
  <c r="GF18" i="71"/>
  <c r="JR14" i="71"/>
  <c r="A377" i="13"/>
  <c r="AX377" i="13" s="1"/>
  <c r="AX277" i="13"/>
  <c r="BG10" i="72"/>
  <c r="W97" i="22"/>
  <c r="Y97" i="22" s="1"/>
  <c r="AQ10" i="69" a="1"/>
  <c r="AQ10" i="69" s="1"/>
  <c r="CU75" i="4"/>
  <c r="CV75" i="4" s="1"/>
  <c r="DB75" i="4"/>
  <c r="AX75" i="4"/>
  <c r="CW75" i="4"/>
  <c r="CX75" i="4" s="1"/>
  <c r="E404" i="15"/>
  <c r="E539" i="15"/>
  <c r="E620" i="15"/>
  <c r="M620" i="15" s="1" a="1"/>
  <c r="M620" i="15" s="1"/>
  <c r="E196" i="15"/>
  <c r="E631" i="15"/>
  <c r="E332" i="15"/>
  <c r="E401" i="15"/>
  <c r="E642" i="15"/>
  <c r="E200" i="15"/>
  <c r="E389" i="15"/>
  <c r="E408" i="15"/>
  <c r="E398" i="15"/>
  <c r="E284" i="15"/>
  <c r="E242" i="15"/>
  <c r="E109" i="15"/>
  <c r="E215" i="15"/>
  <c r="E141" i="15"/>
  <c r="E95" i="15"/>
  <c r="E609" i="15"/>
  <c r="E362" i="15"/>
  <c r="E309" i="15"/>
  <c r="E632" i="15"/>
  <c r="M632" i="15" s="1" a="1"/>
  <c r="M632" i="15" s="1"/>
  <c r="E562" i="15"/>
  <c r="E627" i="15"/>
  <c r="M625" i="15" s="1" a="1"/>
  <c r="M625" i="15" s="1"/>
  <c r="E336" i="15"/>
  <c r="E230" i="15"/>
  <c r="E251" i="15"/>
  <c r="E211" i="15"/>
  <c r="E613" i="15"/>
  <c r="M613" i="15" s="1" a="1"/>
  <c r="M613" i="15" s="1"/>
  <c r="E266" i="15"/>
  <c r="E194" i="15"/>
  <c r="E145" i="15"/>
  <c r="E554" i="15"/>
  <c r="E616" i="15"/>
  <c r="M615" i="15" s="1" a="1"/>
  <c r="M615" i="15" s="1"/>
  <c r="E182" i="15"/>
  <c r="E397" i="15"/>
  <c r="AL65" i="4"/>
  <c r="I65" i="69" s="1"/>
  <c r="AL29" i="4"/>
  <c r="I29" i="69" s="1"/>
  <c r="AL86" i="4"/>
  <c r="I86" i="69" s="1"/>
  <c r="AH44" i="4"/>
  <c r="AV1340" i="13" s="1"/>
  <c r="AD33" i="4"/>
  <c r="F33" i="69" s="1"/>
  <c r="AL22" i="4"/>
  <c r="I22" i="69" s="1"/>
  <c r="X30" i="69"/>
  <c r="X30" i="72"/>
  <c r="AD6" i="4"/>
  <c r="F6" i="69" s="1"/>
  <c r="AH19" i="4"/>
  <c r="AV1315" i="13" s="1"/>
  <c r="AL39" i="4"/>
  <c r="I39" i="72" s="1"/>
  <c r="Z86" i="4"/>
  <c r="AV1283" i="13" s="1"/>
  <c r="AD72" i="4"/>
  <c r="F72" i="69" s="1"/>
  <c r="AH70" i="4"/>
  <c r="AV1366" i="13" s="1"/>
  <c r="AH5" i="4"/>
  <c r="Z75" i="4"/>
  <c r="AV1272" i="13" s="1"/>
  <c r="AL25" i="4"/>
  <c r="I25" i="69" s="1"/>
  <c r="Z72" i="4"/>
  <c r="AV1269" i="13" s="1"/>
  <c r="X40" i="72"/>
  <c r="X40" i="69"/>
  <c r="X52" i="69"/>
  <c r="X52" i="72"/>
  <c r="AH65" i="4"/>
  <c r="AV1361" i="13" s="1"/>
  <c r="AH48" i="4"/>
  <c r="AV1344" i="13" s="1"/>
  <c r="X82" i="72"/>
  <c r="X82" i="69"/>
  <c r="AL41" i="4"/>
  <c r="I41" i="69" s="1"/>
  <c r="X48" i="69"/>
  <c r="X48" i="72"/>
  <c r="B36" i="23"/>
  <c r="AV311" i="13"/>
  <c r="AV411" i="13" s="1"/>
  <c r="U9" i="69" a="1"/>
  <c r="U9" i="69" s="1"/>
  <c r="U9" i="72" a="1"/>
  <c r="U9" i="72" s="1"/>
  <c r="A392" i="13"/>
  <c r="AX392" i="13" s="1"/>
  <c r="AX292" i="13"/>
  <c r="AV305" i="13"/>
  <c r="U3" i="69" a="1"/>
  <c r="U3" i="69" s="1"/>
  <c r="U3" i="72" a="1"/>
  <c r="U3" i="72" s="1"/>
  <c r="H701" i="13"/>
  <c r="A1380" i="13"/>
  <c r="AX1281" i="13"/>
  <c r="A345" i="13"/>
  <c r="AX345" i="13" s="1"/>
  <c r="AX245" i="13"/>
  <c r="AX1237" i="13"/>
  <c r="A1336" i="13"/>
  <c r="E588" i="15"/>
  <c r="E413" i="15"/>
  <c r="E452" i="15"/>
  <c r="E498" i="15"/>
  <c r="E210" i="15"/>
  <c r="E577" i="15"/>
  <c r="E167" i="15"/>
  <c r="E421" i="15"/>
  <c r="E269" i="15"/>
  <c r="E615" i="15"/>
  <c r="K615" i="15" s="1" a="1"/>
  <c r="K615" i="15" s="1"/>
  <c r="E44" i="15"/>
  <c r="E512" i="15"/>
  <c r="E519" i="15"/>
  <c r="E181" i="15"/>
  <c r="E414" i="15"/>
  <c r="E438" i="15"/>
  <c r="E480" i="15"/>
  <c r="E504" i="15"/>
  <c r="E542" i="15"/>
  <c r="E509" i="15"/>
  <c r="E492" i="15"/>
  <c r="E621" i="15"/>
  <c r="K620" i="15" s="1" a="1"/>
  <c r="K620" i="15" s="1"/>
  <c r="E121" i="15"/>
  <c r="E228" i="15"/>
  <c r="E148" i="15"/>
  <c r="E377" i="15"/>
  <c r="E516" i="15"/>
  <c r="E596" i="15"/>
  <c r="E536" i="15"/>
  <c r="E451" i="15"/>
  <c r="E477" i="15"/>
  <c r="E241" i="15"/>
  <c r="BA4" i="69"/>
  <c r="AZ4" i="69"/>
  <c r="AX215" i="13"/>
  <c r="A315" i="13"/>
  <c r="AX315" i="13" s="1"/>
  <c r="A366" i="13"/>
  <c r="AX366" i="13" s="1"/>
  <c r="AX266" i="13"/>
  <c r="A395" i="13"/>
  <c r="AX395" i="13" s="1"/>
  <c r="AX295" i="13"/>
  <c r="AV15" i="13"/>
  <c r="F13" i="4"/>
  <c r="AY13" i="4"/>
  <c r="Z1309" i="13"/>
  <c r="AW13" i="4"/>
  <c r="L13" i="4"/>
  <c r="CA13" i="4" s="1"/>
  <c r="AP13" i="4"/>
  <c r="AV315" i="13" s="1"/>
  <c r="AV415" i="13" s="1"/>
  <c r="V24" i="22"/>
  <c r="W24" i="22"/>
  <c r="Y24" i="22" s="1"/>
  <c r="AX293" i="13"/>
  <c r="A393" i="13"/>
  <c r="AX393" i="13" s="1"/>
  <c r="E53" i="4"/>
  <c r="BT15" i="4"/>
  <c r="AX270" i="13"/>
  <c r="A370" i="13"/>
  <c r="AX370" i="13" s="1"/>
  <c r="E137" i="15"/>
  <c r="E436" i="15"/>
  <c r="E249" i="15"/>
  <c r="E267" i="15"/>
  <c r="E166" i="15"/>
  <c r="E356" i="15"/>
  <c r="E85" i="15"/>
  <c r="E532" i="15"/>
  <c r="E105" i="15"/>
  <c r="E308" i="15"/>
  <c r="E376" i="15"/>
  <c r="F375" i="15" s="1" a="1"/>
  <c r="F375" i="15" s="1"/>
  <c r="E150" i="15"/>
  <c r="E183" i="15"/>
  <c r="E128" i="15"/>
  <c r="E107" i="15"/>
  <c r="DE60" i="4"/>
  <c r="E60" i="4"/>
  <c r="BD60" i="4" s="1"/>
  <c r="AX1221" i="13"/>
  <c r="A1320" i="13"/>
  <c r="E37" i="4"/>
  <c r="E6" i="4"/>
  <c r="BT6" i="4" s="1"/>
  <c r="AX1261" i="13"/>
  <c r="A1360" i="13"/>
  <c r="AX214" i="13"/>
  <c r="A314" i="13"/>
  <c r="AX314" i="13" s="1"/>
  <c r="CY28" i="4"/>
  <c r="CZ28" i="4" s="1"/>
  <c r="B63" i="4"/>
  <c r="BA63" i="4" a="1"/>
  <c r="BA63" i="4" s="1"/>
  <c r="BB63" i="4" s="1"/>
  <c r="AV165" i="13" s="1"/>
  <c r="Z58" i="14" s="1" a="1"/>
  <c r="Z58" i="14" s="1"/>
  <c r="B58" i="14" s="1"/>
  <c r="A1371" i="13"/>
  <c r="AX1272" i="13"/>
  <c r="DE31" i="4"/>
  <c r="B93" i="4"/>
  <c r="AD93" i="4" s="1"/>
  <c r="F93" i="69" s="1"/>
  <c r="BA93" i="4" a="1"/>
  <c r="BA93" i="4" s="1"/>
  <c r="BB93" i="4" s="1"/>
  <c r="AV195" i="13" s="1"/>
  <c r="AS85" i="4"/>
  <c r="AV687" i="13" s="1"/>
  <c r="BA83" i="4" a="1"/>
  <c r="BA83" i="4" s="1"/>
  <c r="BB83" i="4" s="1"/>
  <c r="AV185" i="13" s="1"/>
  <c r="B83" i="4"/>
  <c r="F83" i="4" s="1"/>
  <c r="B61" i="4"/>
  <c r="E159" i="15" s="1"/>
  <c r="BA61" i="4" a="1"/>
  <c r="BA61" i="4" s="1"/>
  <c r="BB61" i="4" s="1"/>
  <c r="AV163" i="13" s="1"/>
  <c r="HP9" i="71"/>
  <c r="AX76" i="4"/>
  <c r="DB76" i="4"/>
  <c r="CU76" i="4"/>
  <c r="CV76" i="4" s="1"/>
  <c r="AX250" i="13"/>
  <c r="A350" i="13"/>
  <c r="AX350" i="13" s="1"/>
  <c r="L632" i="15" a="1"/>
  <c r="L632" i="15" s="1"/>
  <c r="K632" i="15" a="1"/>
  <c r="K632" i="15" s="1"/>
  <c r="N632" i="15" a="1"/>
  <c r="N632" i="15" s="1"/>
  <c r="A349" i="13"/>
  <c r="AX349" i="13" s="1"/>
  <c r="AX249" i="13"/>
  <c r="BB65" i="4"/>
  <c r="AV167" i="13" s="1"/>
  <c r="AH6" i="4"/>
  <c r="AV1302" i="13" s="1"/>
  <c r="AL26" i="4"/>
  <c r="I26" i="72" s="1"/>
  <c r="AD70" i="4"/>
  <c r="F70" i="72" s="1"/>
  <c r="Z56" i="4"/>
  <c r="AV1253" i="13" s="1"/>
  <c r="AL64" i="4"/>
  <c r="I64" i="72" s="1"/>
  <c r="BF3" i="4"/>
  <c r="AH25" i="4"/>
  <c r="AV1321" i="13" s="1"/>
  <c r="AL52" i="4"/>
  <c r="I52" i="69" s="1"/>
  <c r="AH47" i="4"/>
  <c r="AV1343" i="13" s="1"/>
  <c r="AD8" i="4"/>
  <c r="F8" i="69" s="1"/>
  <c r="Z37" i="4"/>
  <c r="U2" i="14"/>
  <c r="BF9" i="4"/>
  <c r="AH28" i="4"/>
  <c r="AV1324" i="13" s="1"/>
  <c r="X25" i="72"/>
  <c r="X25" i="69"/>
  <c r="AL73" i="4"/>
  <c r="I73" i="69" s="1"/>
  <c r="AD50" i="4"/>
  <c r="F50" i="69" s="1"/>
  <c r="AL77" i="4"/>
  <c r="I77" i="69" s="1"/>
  <c r="X69" i="72"/>
  <c r="X69" i="69"/>
  <c r="BO60" i="4"/>
  <c r="G60" i="4"/>
  <c r="DA60" i="4" s="1" a="1"/>
  <c r="DA60" i="4" s="1"/>
  <c r="AL38" i="4"/>
  <c r="I38" i="69" s="1"/>
  <c r="AH49" i="4"/>
  <c r="AV1345" i="13" s="1"/>
  <c r="X89" i="72"/>
  <c r="X89" i="69"/>
  <c r="AH75" i="4"/>
  <c r="AV1371" i="13" s="1"/>
  <c r="BF10" i="4"/>
  <c r="X74" i="69"/>
  <c r="X74" i="72"/>
  <c r="AX1282" i="13"/>
  <c r="A1381" i="13"/>
  <c r="AX1210" i="13"/>
  <c r="A1309" i="13"/>
  <c r="AW59" i="4"/>
  <c r="AY59" i="4"/>
  <c r="Z1355" i="13"/>
  <c r="AV61" i="13"/>
  <c r="A327" i="13"/>
  <c r="AX327" i="13" s="1"/>
  <c r="AX227" i="13"/>
  <c r="B23" i="4"/>
  <c r="E23" i="4" s="1"/>
  <c r="BA23" i="4" a="1"/>
  <c r="BA23" i="4" s="1"/>
  <c r="BB23" i="4" s="1"/>
  <c r="AV125" i="13" s="1"/>
  <c r="AX229" i="13"/>
  <c r="A329" i="13"/>
  <c r="AX329" i="13" s="1"/>
  <c r="BA3" i="69"/>
  <c r="BN3" i="69"/>
  <c r="A1340" i="13"/>
  <c r="AX1241" i="13"/>
  <c r="A323" i="13"/>
  <c r="AX323" i="13" s="1"/>
  <c r="AX223" i="13"/>
  <c r="E209" i="15"/>
  <c r="DA6" i="4" a="1"/>
  <c r="DA6" i="4" s="1"/>
  <c r="AY6" i="4"/>
  <c r="F6" i="4"/>
  <c r="AW6" i="4"/>
  <c r="AV8" i="13"/>
  <c r="L6" i="4"/>
  <c r="Z1302" i="13"/>
  <c r="AP6" i="4"/>
  <c r="AV308" i="13" s="1"/>
  <c r="AV408" i="13" s="1"/>
  <c r="V16" i="22"/>
  <c r="W16" i="22"/>
  <c r="Y16" i="22" s="1"/>
  <c r="BT3" i="4"/>
  <c r="AX1208" i="13"/>
  <c r="A1307" i="13"/>
  <c r="E13" i="4"/>
  <c r="E315" i="15"/>
  <c r="E274" i="15"/>
  <c r="E323" i="15"/>
  <c r="E483" i="15"/>
  <c r="E640" i="15"/>
  <c r="E65" i="15"/>
  <c r="E388" i="15"/>
  <c r="I701" i="13"/>
  <c r="T701" i="13"/>
  <c r="W52" i="22"/>
  <c r="Y52" i="22" s="1"/>
  <c r="L36" i="4"/>
  <c r="AY36" i="4"/>
  <c r="AW36" i="4"/>
  <c r="Z1332" i="13"/>
  <c r="AV38" i="13"/>
  <c r="F36" i="4"/>
  <c r="AP36" i="4"/>
  <c r="AV338" i="13" s="1"/>
  <c r="AV438" i="13" s="1"/>
  <c r="V52" i="22"/>
  <c r="AX1213" i="13"/>
  <c r="A1312" i="13"/>
  <c r="E5" i="4"/>
  <c r="E235" i="15"/>
  <c r="E573" i="15"/>
  <c r="E564" i="15"/>
  <c r="E149" i="15"/>
  <c r="E104" i="15"/>
  <c r="E369" i="15"/>
  <c r="E572" i="15"/>
  <c r="M571" i="15" s="1" a="1"/>
  <c r="M571" i="15" s="1"/>
  <c r="E232" i="15"/>
  <c r="AW17" i="4"/>
  <c r="AV19" i="13"/>
  <c r="AY17" i="4"/>
  <c r="L17" i="4"/>
  <c r="F17" i="4"/>
  <c r="Z1313" i="13"/>
  <c r="AP17" i="4"/>
  <c r="AV319" i="13" s="1"/>
  <c r="AV419" i="13" s="1"/>
  <c r="W68" i="22"/>
  <c r="Y68" i="22" s="1"/>
  <c r="V68" i="22"/>
  <c r="BD16" i="4"/>
  <c r="BT16" i="4"/>
  <c r="E591" i="15"/>
  <c r="E360" i="15"/>
  <c r="E611" i="15"/>
  <c r="E598" i="15"/>
  <c r="E352" i="15"/>
  <c r="E417" i="15"/>
  <c r="E282" i="15"/>
  <c r="E619" i="15"/>
  <c r="E547" i="15"/>
  <c r="E567" i="15"/>
  <c r="E202" i="15"/>
  <c r="A332" i="13"/>
  <c r="AX332" i="13" s="1"/>
  <c r="AX232" i="13"/>
  <c r="Z1346" i="13"/>
  <c r="F50" i="4"/>
  <c r="AW50" i="4"/>
  <c r="AY50" i="4"/>
  <c r="AV52" i="13"/>
  <c r="L50" i="4"/>
  <c r="CA50" i="4" s="1"/>
  <c r="AP50" i="4"/>
  <c r="AV352" i="13" s="1"/>
  <c r="AV452" i="13" s="1"/>
  <c r="H11" i="7" a="1"/>
  <c r="H11" i="7" s="1"/>
  <c r="I11" i="7" a="1"/>
  <c r="I11" i="7" s="1"/>
  <c r="V73" i="22"/>
  <c r="W73" i="22"/>
  <c r="Y73" i="22" s="1"/>
  <c r="CY12" i="4"/>
  <c r="CZ12" i="4" s="1"/>
  <c r="AV14" i="13"/>
  <c r="Z1308" i="13"/>
  <c r="F12" i="4"/>
  <c r="L12" i="4"/>
  <c r="CA12" i="4" s="1"/>
  <c r="AY12" i="4"/>
  <c r="AW12" i="4"/>
  <c r="AP12" i="4"/>
  <c r="AV314" i="13" s="1"/>
  <c r="AV414" i="13" s="1"/>
  <c r="V21" i="22"/>
  <c r="W21" i="22"/>
  <c r="Y21" i="22" s="1"/>
  <c r="AX289" i="13"/>
  <c r="A389" i="13"/>
  <c r="AX389" i="13" s="1"/>
  <c r="E34" i="4"/>
  <c r="F38" i="4"/>
  <c r="AY38" i="4"/>
  <c r="AV40" i="13"/>
  <c r="AW38" i="4"/>
  <c r="Z1334" i="13"/>
  <c r="L38" i="4"/>
  <c r="AP38" i="4"/>
  <c r="AV340" i="13" s="1"/>
  <c r="AV440" i="13" s="1"/>
  <c r="W54" i="22"/>
  <c r="Y54" i="22" s="1"/>
  <c r="V54" i="22"/>
  <c r="AE4" i="69" a="1"/>
  <c r="AE4" i="69" s="1"/>
  <c r="AO4" i="69" s="1" a="1"/>
  <c r="AO4" i="69" s="1"/>
  <c r="B53" i="23"/>
  <c r="AY84" i="4"/>
  <c r="AV86" i="13"/>
  <c r="Z1380" i="13"/>
  <c r="AW84" i="4"/>
  <c r="AX1215" i="13"/>
  <c r="A1314" i="13"/>
  <c r="E382" i="15"/>
  <c r="E406" i="15"/>
  <c r="E203" i="15"/>
  <c r="E559" i="15"/>
  <c r="E549" i="15"/>
  <c r="E4" i="72"/>
  <c r="AW93" i="4"/>
  <c r="Z1389" i="13"/>
  <c r="AY93" i="4"/>
  <c r="AV95" i="13"/>
  <c r="AO3" i="69" a="1"/>
  <c r="AO3" i="69" s="1"/>
  <c r="A1352" i="13"/>
  <c r="AX1253" i="13"/>
  <c r="U20" i="27" a="1"/>
  <c r="Z20" i="27"/>
  <c r="A1364" i="13"/>
  <c r="AX1265" i="13"/>
  <c r="DE53" i="4"/>
  <c r="E122" i="15"/>
  <c r="E350" i="15"/>
  <c r="E63" i="15"/>
  <c r="E98" i="15"/>
  <c r="E320" i="15"/>
  <c r="E188" i="15"/>
  <c r="E331" i="15"/>
  <c r="E285" i="15"/>
  <c r="E312" i="15"/>
  <c r="Z1320" i="13"/>
  <c r="AV26" i="13"/>
  <c r="L24" i="4"/>
  <c r="F24" i="4"/>
  <c r="AY24" i="4"/>
  <c r="AW24" i="4"/>
  <c r="AP24" i="4"/>
  <c r="AV326" i="13" s="1"/>
  <c r="AV426" i="13" s="1"/>
  <c r="W39" i="22"/>
  <c r="Y39" i="22" s="1"/>
  <c r="V39" i="22"/>
  <c r="V71" i="22"/>
  <c r="Z1347" i="13"/>
  <c r="AV53" i="13"/>
  <c r="F51" i="4"/>
  <c r="AW51" i="4"/>
  <c r="AY51" i="4"/>
  <c r="L51" i="4"/>
  <c r="CA51" i="4" s="1"/>
  <c r="AP51" i="4"/>
  <c r="AV353" i="13" s="1"/>
  <c r="AV453" i="13" s="1"/>
  <c r="W71" i="22"/>
  <c r="Y71" i="22" s="1"/>
  <c r="DE15" i="4"/>
  <c r="DA21" i="4" a="1"/>
  <c r="DA21" i="4" s="1"/>
  <c r="DA40" i="4" a="1"/>
  <c r="DA40" i="4" s="1"/>
  <c r="Z1336" i="13"/>
  <c r="F40" i="4"/>
  <c r="AY40" i="4"/>
  <c r="AV42" i="13"/>
  <c r="AW40" i="4"/>
  <c r="L40" i="4"/>
  <c r="CA40" i="4" s="1"/>
  <c r="AP40" i="4"/>
  <c r="AV342" i="13" s="1"/>
  <c r="AV442" i="13" s="1"/>
  <c r="V57" i="22"/>
  <c r="W57" i="22"/>
  <c r="Y57" i="22" s="1"/>
  <c r="AV511" i="13"/>
  <c r="DV9" i="4"/>
  <c r="BL9" i="4"/>
  <c r="BH9" i="4"/>
  <c r="W91" i="22"/>
  <c r="Y91" i="22" s="1"/>
  <c r="AX1277" i="13"/>
  <c r="A1376" i="13"/>
  <c r="E30" i="4"/>
  <c r="E67" i="15"/>
  <c r="AV50" i="13"/>
  <c r="Z1344" i="13"/>
  <c r="AY48" i="4"/>
  <c r="AW48" i="4"/>
  <c r="F48" i="4"/>
  <c r="L48" i="4"/>
  <c r="CA48" i="4" s="1"/>
  <c r="AP48" i="4"/>
  <c r="AV350" i="13" s="1"/>
  <c r="AV450" i="13" s="1"/>
  <c r="W70" i="22"/>
  <c r="Y70" i="22" s="1"/>
  <c r="V70" i="22"/>
  <c r="A1316" i="13"/>
  <c r="AX1217" i="13"/>
  <c r="BA74" i="4" a="1"/>
  <c r="BA74" i="4" s="1"/>
  <c r="BB74" i="4" s="1"/>
  <c r="AV176" i="13" s="1"/>
  <c r="B74" i="4"/>
  <c r="DA74" i="4" s="1" a="1"/>
  <c r="DA74" i="4" s="1"/>
  <c r="DE12" i="4"/>
  <c r="BD22" i="4"/>
  <c r="A352" i="13"/>
  <c r="AX352" i="13" s="1"/>
  <c r="AX252" i="13"/>
  <c r="A1361" i="13"/>
  <c r="AX1262" i="13"/>
  <c r="AS10" i="69" a="1"/>
  <c r="AS10" i="69" s="1"/>
  <c r="AF10" i="69" a="1"/>
  <c r="AF10" i="69" s="1"/>
  <c r="AV10" i="69" a="1"/>
  <c r="AV10" i="69" s="1"/>
  <c r="AU10" i="69" a="1"/>
  <c r="AU10" i="69" s="1"/>
  <c r="AL10" i="69" a="1"/>
  <c r="AL10" i="69" s="1"/>
  <c r="AH10" i="69" a="1"/>
  <c r="AH10" i="69" s="1"/>
  <c r="AP10" i="69" a="1"/>
  <c r="AP10" i="69" s="1"/>
  <c r="AJ10" i="69" a="1"/>
  <c r="AJ10" i="69" s="1"/>
  <c r="AG10" i="69" a="1"/>
  <c r="AG10" i="69" s="1"/>
  <c r="AI10" i="69" a="1"/>
  <c r="AI10" i="69" s="1"/>
  <c r="AR10" i="69" a="1"/>
  <c r="AR10" i="69" s="1"/>
  <c r="BD75" i="4"/>
  <c r="X75" i="4" s="1"/>
  <c r="AS92" i="4"/>
  <c r="AV694" i="13" s="1"/>
  <c r="BA90" i="4" a="1"/>
  <c r="BA90" i="4" s="1"/>
  <c r="BB90" i="4" s="1"/>
  <c r="AV192" i="13" s="1"/>
  <c r="B90" i="4"/>
  <c r="AP90" i="4" s="1"/>
  <c r="AV392" i="13" s="1"/>
  <c r="AV492" i="13" s="1"/>
  <c r="AS88" i="4"/>
  <c r="AV690" i="13" s="1"/>
  <c r="DB61" i="4"/>
  <c r="AX61" i="4"/>
  <c r="CU61" i="4"/>
  <c r="CV61" i="4" s="1"/>
  <c r="DE45" i="4"/>
  <c r="AX285" i="13"/>
  <c r="A385" i="13"/>
  <c r="AX385" i="13" s="1"/>
  <c r="AH38" i="4"/>
  <c r="AV1334" i="13" s="1"/>
  <c r="X70" i="69"/>
  <c r="X70" i="72"/>
  <c r="AH86" i="4"/>
  <c r="AV1382" i="13" s="1"/>
  <c r="AH12" i="4"/>
  <c r="AV1308" i="13" s="1"/>
  <c r="X54" i="72"/>
  <c r="X54" i="69"/>
  <c r="AH56" i="4"/>
  <c r="AV1352" i="13" s="1"/>
  <c r="AH51" i="4"/>
  <c r="AV1347" i="13" s="1"/>
  <c r="Z36" i="4"/>
  <c r="AV1233" i="13" s="1"/>
  <c r="Z46" i="4"/>
  <c r="AV1243" i="13" s="1"/>
  <c r="AD16" i="4"/>
  <c r="F16" i="72" s="1"/>
  <c r="AD7" i="4"/>
  <c r="F7" i="69" s="1"/>
  <c r="AL45" i="4"/>
  <c r="I45" i="69" s="1"/>
  <c r="X33" i="69"/>
  <c r="X33" i="72"/>
  <c r="AD75" i="4"/>
  <c r="F75" i="69" s="1"/>
  <c r="AL19" i="4"/>
  <c r="I19" i="72" s="1"/>
  <c r="AH77" i="4"/>
  <c r="AV1373" i="13" s="1"/>
  <c r="X76" i="69"/>
  <c r="X76" i="72"/>
  <c r="AD19" i="4"/>
  <c r="F19" i="69" s="1"/>
  <c r="AL75" i="4"/>
  <c r="I75" i="72" s="1"/>
  <c r="X29" i="69"/>
  <c r="X29" i="72"/>
  <c r="AD15" i="4"/>
  <c r="F15" i="72" s="1"/>
  <c r="AL67" i="4"/>
  <c r="I67" i="69" s="1"/>
  <c r="X38" i="72"/>
  <c r="X38" i="69"/>
  <c r="AH18" i="4"/>
  <c r="AV1314" i="13" s="1"/>
  <c r="AD86" i="4"/>
  <c r="F86" i="69" s="1"/>
  <c r="Z41" i="4"/>
  <c r="AV1238" i="13" s="1"/>
  <c r="X64" i="72"/>
  <c r="X64" i="69"/>
  <c r="X77" i="72"/>
  <c r="X77" i="69"/>
  <c r="AX210" i="13"/>
  <c r="A310" i="13"/>
  <c r="AX310" i="13" s="1"/>
  <c r="AX207" i="13"/>
  <c r="A307" i="13"/>
  <c r="AX307" i="13" s="1"/>
  <c r="Z1325" i="13"/>
  <c r="F29" i="4"/>
  <c r="L29" i="4"/>
  <c r="AW29" i="4"/>
  <c r="AY29" i="4"/>
  <c r="AV31" i="13"/>
  <c r="AP29" i="4"/>
  <c r="AV331" i="13" s="1"/>
  <c r="AV431" i="13" s="1"/>
  <c r="V43" i="22"/>
  <c r="W43" i="22"/>
  <c r="Y43" i="22" s="1"/>
  <c r="CW17" i="4"/>
  <c r="CX17" i="4" s="1"/>
  <c r="E47" i="15"/>
  <c r="E156" i="15"/>
  <c r="E485" i="15"/>
  <c r="E370" i="15"/>
  <c r="E134" i="15"/>
  <c r="E144" i="15"/>
  <c r="E386" i="15"/>
  <c r="AV1305" i="13"/>
  <c r="G9" i="72"/>
  <c r="G9" i="69"/>
  <c r="O701" i="13"/>
  <c r="AW79" i="4"/>
  <c r="AV81" i="13"/>
  <c r="AY79" i="4"/>
  <c r="Z1375" i="13"/>
  <c r="BT3" i="72"/>
  <c r="BG3" i="72"/>
  <c r="AX239" i="13"/>
  <c r="A339" i="13"/>
  <c r="AX339" i="13" s="1"/>
  <c r="AX1205" i="13"/>
  <c r="A1304" i="13"/>
  <c r="A335" i="13"/>
  <c r="AX335" i="13" s="1"/>
  <c r="AX235" i="13"/>
  <c r="A1323" i="13"/>
  <c r="AX1224" i="13"/>
  <c r="AW68" i="4"/>
  <c r="AV70" i="13"/>
  <c r="AY68" i="4"/>
  <c r="Z1364" i="13"/>
  <c r="E116" i="15"/>
  <c r="E55" i="15"/>
  <c r="E443" i="15"/>
  <c r="E295" i="15"/>
  <c r="F295" i="15" s="1" a="1"/>
  <c r="F295" i="15" s="1"/>
  <c r="E248" i="15"/>
  <c r="E258" i="15"/>
  <c r="E140" i="15"/>
  <c r="E219" i="15"/>
  <c r="E245" i="15"/>
  <c r="E468" i="15"/>
  <c r="E461" i="15"/>
  <c r="E364" i="15"/>
  <c r="E135" i="15"/>
  <c r="E206" i="15"/>
  <c r="E259" i="15"/>
  <c r="BN4" i="69"/>
  <c r="B4" i="72"/>
  <c r="AX263" i="13"/>
  <c r="A363" i="13"/>
  <c r="AX363" i="13" s="1"/>
  <c r="AW70" i="4"/>
  <c r="Z1366" i="13"/>
  <c r="AV72" i="13"/>
  <c r="AY70" i="4"/>
  <c r="F70" i="4"/>
  <c r="AP70" i="4"/>
  <c r="AV372" i="13" s="1"/>
  <c r="AV472" i="13" s="1"/>
  <c r="AW14" i="4"/>
  <c r="Z1310" i="13"/>
  <c r="F14" i="4"/>
  <c r="L14" i="4"/>
  <c r="CA14" i="4" s="1"/>
  <c r="AV16" i="13"/>
  <c r="AY14" i="4"/>
  <c r="AP14" i="4"/>
  <c r="AV316" i="13" s="1"/>
  <c r="AV416" i="13" s="1"/>
  <c r="V23" i="22"/>
  <c r="W23" i="22"/>
  <c r="Y23" i="22" s="1"/>
  <c r="AX288" i="13"/>
  <c r="A388" i="13"/>
  <c r="AX388" i="13" s="1"/>
  <c r="B54" i="23"/>
  <c r="A1346" i="13"/>
  <c r="AX1247" i="13"/>
  <c r="AX1274" i="13"/>
  <c r="A1373" i="13"/>
  <c r="BD48" i="4"/>
  <c r="BT48" i="4"/>
  <c r="A376" i="13"/>
  <c r="AX376" i="13" s="1"/>
  <c r="AX276" i="13"/>
  <c r="CU56" i="4"/>
  <c r="CV56" i="4" s="1"/>
  <c r="AX56" i="4"/>
  <c r="CY56" i="4"/>
  <c r="CZ56" i="4" s="1"/>
  <c r="DB56" i="4"/>
  <c r="DA56" i="4" a="1"/>
  <c r="DA56" i="4" s="1"/>
  <c r="CW56" i="4"/>
  <c r="CX56" i="4" s="1"/>
  <c r="B59" i="4"/>
  <c r="AP59" i="4" s="1"/>
  <c r="AV361" i="13" s="1"/>
  <c r="AV461" i="13" s="1"/>
  <c r="BA59" i="4" a="1"/>
  <c r="BA59" i="4" s="1"/>
  <c r="BB59" i="4" s="1"/>
  <c r="AV161" i="13" s="1"/>
  <c r="JX16" i="71"/>
  <c r="DB96" i="4"/>
  <c r="AM96" i="69" s="1"/>
  <c r="DA96" i="4" a="1"/>
  <c r="DA96" i="4" s="1"/>
  <c r="CU96" i="4"/>
  <c r="CV96" i="4" s="1"/>
  <c r="AX96" i="4"/>
  <c r="Z96" i="4"/>
  <c r="B96" i="69" s="1"/>
  <c r="AL96" i="4"/>
  <c r="I96" i="72" s="1"/>
  <c r="F96" i="4"/>
  <c r="AH96" i="4"/>
  <c r="AV1392" i="13" s="1"/>
  <c r="AD96" i="4"/>
  <c r="F96" i="72" s="1"/>
  <c r="AP96" i="4"/>
  <c r="BA76" i="4" a="1"/>
  <c r="BA76" i="4" s="1"/>
  <c r="BB76" i="4" s="1"/>
  <c r="AV178" i="13" s="1"/>
  <c r="B76" i="4"/>
  <c r="DA76" i="4" s="1" a="1"/>
  <c r="DA76" i="4" s="1"/>
  <c r="GO5" i="71"/>
  <c r="CU67" i="4"/>
  <c r="CV67" i="4" s="1"/>
  <c r="DB67" i="4"/>
  <c r="AX67" i="4"/>
  <c r="DA67" i="4" a="1"/>
  <c r="DA67" i="4" s="1"/>
  <c r="CW67" i="4"/>
  <c r="CX67" i="4" s="1"/>
  <c r="AS90" i="4"/>
  <c r="AV692" i="13" s="1"/>
  <c r="GF5" i="71"/>
  <c r="CU64" i="4"/>
  <c r="CV64" i="4" s="1"/>
  <c r="AX64" i="4"/>
  <c r="DB64" i="4"/>
  <c r="CY64" i="4"/>
  <c r="CZ64" i="4" s="1"/>
  <c r="DA64" i="4" a="1"/>
  <c r="DA64" i="4" s="1"/>
  <c r="CW64" i="4"/>
  <c r="CX64" i="4" s="1"/>
  <c r="AS67" i="4"/>
  <c r="AV669" i="13" s="1"/>
  <c r="AS93" i="4"/>
  <c r="AV695" i="13" s="1"/>
  <c r="E449" i="15"/>
  <c r="E534" i="15"/>
  <c r="E606" i="15"/>
  <c r="E127" i="15"/>
  <c r="E454" i="15"/>
  <c r="E496" i="15"/>
  <c r="E297" i="15"/>
  <c r="E243" i="15"/>
  <c r="E395" i="15"/>
  <c r="E157" i="15"/>
  <c r="AK10" i="69" a="1"/>
  <c r="AK10" i="69" s="1"/>
  <c r="L620" i="15" a="1"/>
  <c r="L620" i="15" s="1"/>
  <c r="AH39" i="4"/>
  <c r="AV1335" i="13" s="1"/>
  <c r="AL53" i="4"/>
  <c r="I53" i="72" s="1"/>
  <c r="AH50" i="4"/>
  <c r="AV1346" i="13" s="1"/>
  <c r="X90" i="69"/>
  <c r="X90" i="72"/>
  <c r="AL24" i="4"/>
  <c r="I24" i="72" s="1"/>
  <c r="Z16" i="4"/>
  <c r="AV1213" i="13" s="1"/>
  <c r="AD21" i="4"/>
  <c r="F21" i="72" s="1"/>
  <c r="AL48" i="4"/>
  <c r="I48" i="72" s="1"/>
  <c r="AD37" i="4"/>
  <c r="F37" i="69" s="1"/>
  <c r="Z31" i="4"/>
  <c r="AV1228" i="13" s="1"/>
  <c r="AD20" i="4"/>
  <c r="F20" i="69" s="1"/>
  <c r="AL54" i="4"/>
  <c r="I54" i="69" s="1"/>
  <c r="X46" i="69"/>
  <c r="X46" i="72"/>
  <c r="AL46" i="4"/>
  <c r="I46" i="69" s="1"/>
  <c r="Z6" i="4"/>
  <c r="AV1203" i="13" s="1"/>
  <c r="Z24" i="4"/>
  <c r="AV1221" i="13" s="1"/>
  <c r="AD12" i="4"/>
  <c r="F12" i="69" s="1"/>
  <c r="BG9" i="4"/>
  <c r="AV1107" i="13" s="1"/>
  <c r="L9" i="4"/>
  <c r="X6" i="69"/>
  <c r="X6" i="72"/>
  <c r="AH72" i="4"/>
  <c r="AV1368" i="13" s="1"/>
  <c r="AL42" i="4"/>
  <c r="I42" i="69" s="1"/>
  <c r="AH57" i="4"/>
  <c r="AV1353" i="13" s="1"/>
  <c r="X81" i="69"/>
  <c r="X81" i="72"/>
  <c r="AH43" i="4"/>
  <c r="AV1339" i="13" s="1"/>
  <c r="AH53" i="4"/>
  <c r="AV1349" i="13" s="1"/>
  <c r="X73" i="72"/>
  <c r="X73" i="69"/>
  <c r="X67" i="69"/>
  <c r="X67" i="72"/>
  <c r="X31" i="72"/>
  <c r="X31" i="69"/>
  <c r="A382" i="13"/>
  <c r="AX382" i="13" s="1"/>
  <c r="AX282" i="13"/>
  <c r="V45" i="22"/>
  <c r="AV33" i="13"/>
  <c r="Z1327" i="13"/>
  <c r="L31" i="4"/>
  <c r="AY31" i="4"/>
  <c r="F31" i="4"/>
  <c r="AW31" i="4"/>
  <c r="AP31" i="4"/>
  <c r="AV333" i="13" s="1"/>
  <c r="AV433" i="13" s="1"/>
  <c r="W45" i="22"/>
  <c r="Y45" i="22" s="1"/>
  <c r="A340" i="13"/>
  <c r="AX340" i="13" s="1"/>
  <c r="AX240" i="13"/>
  <c r="E4" i="69"/>
  <c r="AX1233" i="13"/>
  <c r="A1332" i="13"/>
  <c r="DE18" i="4"/>
  <c r="E340" i="15"/>
  <c r="E227" i="15"/>
  <c r="E90" i="15"/>
  <c r="E234" i="15"/>
  <c r="E110" i="15"/>
  <c r="E77" i="15"/>
  <c r="E254" i="15"/>
  <c r="E361" i="15"/>
  <c r="E445" i="15"/>
  <c r="E78" i="15"/>
  <c r="E43" i="15"/>
  <c r="E82" i="15"/>
  <c r="E367" i="15"/>
  <c r="E556" i="15"/>
  <c r="A375" i="13"/>
  <c r="AX375" i="13" s="1"/>
  <c r="AX275" i="13"/>
  <c r="I358" i="15" a="1"/>
  <c r="I358" i="15" s="1"/>
  <c r="R701" i="13"/>
  <c r="AX1218" i="13"/>
  <c r="A1317" i="13"/>
  <c r="Z1388" i="13"/>
  <c r="AV94" i="13"/>
  <c r="AY92" i="4"/>
  <c r="AW92" i="4"/>
  <c r="DE19" i="4"/>
  <c r="AX284" i="13"/>
  <c r="A384" i="13"/>
  <c r="AX384" i="13" s="1"/>
  <c r="DA18" i="4" a="1"/>
  <c r="DA18" i="4" s="1"/>
  <c r="C35" i="23"/>
  <c r="AW82" i="4"/>
  <c r="AV84" i="13"/>
  <c r="Z1378" i="13"/>
  <c r="AY82" i="4"/>
  <c r="V60" i="22"/>
  <c r="AV44" i="13"/>
  <c r="Z1338" i="13"/>
  <c r="F42" i="4"/>
  <c r="AW42" i="4"/>
  <c r="AY42" i="4"/>
  <c r="L42" i="4"/>
  <c r="AP42" i="4"/>
  <c r="AV344" i="13" s="1"/>
  <c r="AV444" i="13" s="1"/>
  <c r="W60" i="22"/>
  <c r="Y60" i="22" s="1"/>
  <c r="DE21" i="4"/>
  <c r="E476" i="15"/>
  <c r="E290" i="15"/>
  <c r="E247" i="15"/>
  <c r="E643" i="15"/>
  <c r="K641" i="15" s="1" a="1"/>
  <c r="K641" i="15" s="1"/>
  <c r="E103" i="15"/>
  <c r="E223" i="15"/>
  <c r="E491" i="15"/>
  <c r="E299" i="15"/>
  <c r="E174" i="15"/>
  <c r="E407" i="15"/>
  <c r="E250" i="15"/>
  <c r="E488" i="15"/>
  <c r="E335" i="15"/>
  <c r="E440" i="15"/>
  <c r="E540" i="15"/>
  <c r="CY30" i="4"/>
  <c r="CZ30" i="4" s="1"/>
  <c r="AV32" i="13"/>
  <c r="Z1326" i="13"/>
  <c r="AY30" i="4"/>
  <c r="AW30" i="4"/>
  <c r="F30" i="4"/>
  <c r="AP30" i="4"/>
  <c r="AV332" i="13" s="1"/>
  <c r="AV432" i="13" s="1"/>
  <c r="W47" i="22"/>
  <c r="Y47" i="22" s="1"/>
  <c r="V47" i="22"/>
  <c r="CW20" i="4"/>
  <c r="CX20" i="4" s="1"/>
  <c r="E419" i="15"/>
  <c r="E625" i="15"/>
  <c r="E125" i="15"/>
  <c r="A383" i="13"/>
  <c r="AX383" i="13" s="1"/>
  <c r="AX283" i="13"/>
  <c r="E54" i="4"/>
  <c r="BT54" i="4" s="1"/>
  <c r="AX1399" i="13"/>
  <c r="AV1399" i="13"/>
  <c r="A1498" i="13"/>
  <c r="Z1503" i="13"/>
  <c r="AX125" i="13"/>
  <c r="DD27" i="4" s="1" a="1"/>
  <c r="DD27" i="4" s="1"/>
  <c r="A225" i="13"/>
  <c r="W40" i="22"/>
  <c r="Y40" i="22" s="1"/>
  <c r="F25" i="4"/>
  <c r="AV27" i="13"/>
  <c r="AW25" i="4"/>
  <c r="L25" i="4"/>
  <c r="Z1321" i="13"/>
  <c r="AY25" i="4"/>
  <c r="AP25" i="4"/>
  <c r="AV327" i="13" s="1"/>
  <c r="AV427" i="13" s="1"/>
  <c r="V40" i="22"/>
  <c r="BD4" i="69"/>
  <c r="C23" i="1"/>
  <c r="AC3" i="1" a="1"/>
  <c r="AC3" i="1" s="1"/>
  <c r="AC101" i="1" s="1"/>
  <c r="C53" i="23"/>
  <c r="AY80" i="4"/>
  <c r="AW80" i="4"/>
  <c r="AV82" i="13"/>
  <c r="Z1376" i="13"/>
  <c r="AX248" i="13"/>
  <c r="A348" i="13"/>
  <c r="AX348" i="13" s="1"/>
  <c r="AF4" i="72" a="1"/>
  <c r="AF4" i="72" s="1"/>
  <c r="AU4" i="72" s="1" a="1"/>
  <c r="AU4" i="72" s="1"/>
  <c r="DA50" i="4" a="1"/>
  <c r="DA50" i="4" s="1"/>
  <c r="DA41" i="4" a="1"/>
  <c r="DA41" i="4" s="1"/>
  <c r="AV1207" i="13"/>
  <c r="B10" i="72"/>
  <c r="S10" i="72"/>
  <c r="AJ10" i="72" s="1"/>
  <c r="B10" i="69"/>
  <c r="S10" i="69"/>
  <c r="Z1362" i="13"/>
  <c r="AW66" i="4"/>
  <c r="AY66" i="4"/>
  <c r="AV68" i="13"/>
  <c r="F34" i="4"/>
  <c r="AV36" i="13"/>
  <c r="AW34" i="4"/>
  <c r="L34" i="4"/>
  <c r="Z1330" i="13"/>
  <c r="AY34" i="4"/>
  <c r="AP34" i="4"/>
  <c r="AV336" i="13" s="1"/>
  <c r="AV436" i="13" s="1"/>
  <c r="V48" i="22"/>
  <c r="W48" i="22"/>
  <c r="Y48" i="22" s="1"/>
  <c r="F9" i="72"/>
  <c r="F9" i="69"/>
  <c r="I48" i="27"/>
  <c r="I19" i="27" s="1"/>
  <c r="A1321" i="13"/>
  <c r="AX1222" i="13"/>
  <c r="CW6" i="4"/>
  <c r="CX6" i="4" s="1"/>
  <c r="AX1268" i="13"/>
  <c r="A1367" i="13"/>
  <c r="DA28" i="4" a="1"/>
  <c r="DA28" i="4" s="1"/>
  <c r="AW28" i="4"/>
  <c r="AY28" i="4"/>
  <c r="F28" i="4"/>
  <c r="AV30" i="13"/>
  <c r="L28" i="4"/>
  <c r="Z1324" i="13"/>
  <c r="AP28" i="4"/>
  <c r="AV330" i="13" s="1"/>
  <c r="AV430" i="13" s="1"/>
  <c r="E20" i="4"/>
  <c r="BT20" i="4" s="1"/>
  <c r="DA8" i="4" a="1"/>
  <c r="DA8" i="4" s="1"/>
  <c r="Z1304" i="13"/>
  <c r="F8" i="4"/>
  <c r="AV10" i="13"/>
  <c r="AW8" i="4"/>
  <c r="AY8" i="4"/>
  <c r="L8" i="4"/>
  <c r="CA8" i="4" s="1"/>
  <c r="AP8" i="4"/>
  <c r="AV310" i="13" s="1"/>
  <c r="AV410" i="13" s="1"/>
  <c r="W18" i="22"/>
  <c r="Y18" i="22" s="1"/>
  <c r="V18" i="22"/>
  <c r="A1386" i="13"/>
  <c r="AX1287" i="13"/>
  <c r="CY22" i="4"/>
  <c r="CZ22" i="4" s="1"/>
  <c r="AY22" i="4"/>
  <c r="AV24" i="13"/>
  <c r="F22" i="4"/>
  <c r="AW22" i="4"/>
  <c r="L22" i="4"/>
  <c r="Z1318" i="13"/>
  <c r="AP22" i="4"/>
  <c r="AV324" i="13" s="1"/>
  <c r="AV424" i="13" s="1"/>
  <c r="V34" i="22"/>
  <c r="W34" i="22"/>
  <c r="Y34" i="22" s="1"/>
  <c r="H76" i="9"/>
  <c r="BA62" i="4" a="1"/>
  <c r="BA62" i="4" s="1"/>
  <c r="BB62" i="4" s="1"/>
  <c r="AV164" i="13" s="1"/>
  <c r="B62" i="4"/>
  <c r="AP62" i="4" s="1"/>
  <c r="AV364" i="13" s="1"/>
  <c r="AV464" i="13" s="1"/>
  <c r="E346" i="15"/>
  <c r="E472" i="15"/>
  <c r="E652" i="15"/>
  <c r="E372" i="15"/>
  <c r="E617" i="15"/>
  <c r="E635" i="15"/>
  <c r="E601" i="15"/>
  <c r="E52" i="15"/>
  <c r="E86" i="15"/>
  <c r="AG10" i="72" a="1"/>
  <c r="AG10" i="72" s="1"/>
  <c r="BB10" i="72" a="1"/>
  <c r="BB10" i="72" s="1"/>
  <c r="AW10" i="72" a="1"/>
  <c r="AW10" i="72" s="1"/>
  <c r="AH10" i="72" a="1"/>
  <c r="AH10" i="72" s="1"/>
  <c r="AX10" i="72" a="1"/>
  <c r="AX10" i="72" s="1"/>
  <c r="AV10" i="72" a="1"/>
  <c r="AV10" i="72" s="1"/>
  <c r="AP10" i="72" a="1"/>
  <c r="AP10" i="72" s="1"/>
  <c r="BA10" i="72" a="1"/>
  <c r="BA10" i="72" s="1"/>
  <c r="AM10" i="72" a="1"/>
  <c r="AM10" i="72" s="1"/>
  <c r="AR10" i="72" a="1"/>
  <c r="AR10" i="72" s="1"/>
  <c r="AY10" i="72" a="1"/>
  <c r="AY10" i="72" s="1"/>
  <c r="B78" i="4"/>
  <c r="Z78" i="4" s="1"/>
  <c r="AV1275" i="13" s="1"/>
  <c r="BA78" i="4" a="1"/>
  <c r="BA78" i="4" s="1"/>
  <c r="BB78" i="4" s="1"/>
  <c r="AV180" i="13" s="1"/>
  <c r="A1370" i="13"/>
  <c r="AX1271" i="13"/>
  <c r="BT75" i="4"/>
  <c r="DA12" i="4" a="1"/>
  <c r="DA12" i="4" s="1"/>
  <c r="AS94" i="4"/>
  <c r="AV696" i="13" s="1"/>
  <c r="CY87" i="4"/>
  <c r="CZ87" i="4" s="1"/>
  <c r="CU87" i="4"/>
  <c r="CV87" i="4" s="1"/>
  <c r="AX87" i="4"/>
  <c r="DA87" i="4" a="1"/>
  <c r="DA87" i="4" s="1"/>
  <c r="CW87" i="4"/>
  <c r="CX87" i="4" s="1"/>
  <c r="AS69" i="4"/>
  <c r="AV671" i="13" s="1"/>
  <c r="BA69" i="4" a="1"/>
  <c r="BA69" i="4" s="1"/>
  <c r="BB69" i="4" s="1"/>
  <c r="AV171" i="13" s="1"/>
  <c r="B69" i="4"/>
  <c r="E87" i="15" s="1"/>
  <c r="B71" i="4"/>
  <c r="F71" i="4" s="1"/>
  <c r="BA71" i="4" a="1"/>
  <c r="BA71" i="4" s="1"/>
  <c r="BB71" i="4" s="1"/>
  <c r="AV173" i="13" s="1"/>
  <c r="AS66" i="4"/>
  <c r="AV668" i="13" s="1"/>
  <c r="A1453" i="13"/>
  <c r="AX1354" i="13"/>
  <c r="E45" i="4"/>
  <c r="BT45" i="4" s="1"/>
  <c r="A379" i="13"/>
  <c r="AX379" i="13" s="1"/>
  <c r="AX279" i="13"/>
  <c r="E12" i="4"/>
  <c r="BT12" i="4" s="1"/>
  <c r="AD18" i="4"/>
  <c r="F18" i="72" s="1"/>
  <c r="AL13" i="4"/>
  <c r="I13" i="69" s="1"/>
  <c r="X61" i="72"/>
  <c r="X61" i="69"/>
  <c r="AH64" i="4"/>
  <c r="AV1360" i="13" s="1"/>
  <c r="AL50" i="4"/>
  <c r="I50" i="69" s="1"/>
  <c r="AD13" i="4"/>
  <c r="F13" i="72" s="1"/>
  <c r="X39" i="72"/>
  <c r="X39" i="69"/>
  <c r="Z49" i="4"/>
  <c r="AV1246" i="13" s="1"/>
  <c r="AL31" i="4"/>
  <c r="I31" i="69" s="1"/>
  <c r="AH46" i="4"/>
  <c r="AV1342" i="13" s="1"/>
  <c r="X7" i="72"/>
  <c r="X7" i="69"/>
  <c r="AD39" i="4"/>
  <c r="F39" i="69" s="1"/>
  <c r="AL33" i="4"/>
  <c r="I33" i="72" s="1"/>
  <c r="AH31" i="4"/>
  <c r="AV1327" i="13" s="1"/>
  <c r="BF4" i="4"/>
  <c r="AL8" i="4"/>
  <c r="I8" i="69" s="1"/>
  <c r="AH30" i="4"/>
  <c r="AV1326" i="13" s="1"/>
  <c r="Z45" i="4"/>
  <c r="AV1242" i="13" s="1"/>
  <c r="X14" i="69"/>
  <c r="X14" i="72"/>
  <c r="AD88" i="4"/>
  <c r="F88" i="69" s="1"/>
  <c r="X53" i="69"/>
  <c r="X53" i="72"/>
  <c r="AH8" i="4"/>
  <c r="AV1304" i="13" s="1"/>
  <c r="AD65" i="4"/>
  <c r="F65" i="69" s="1"/>
  <c r="X85" i="72"/>
  <c r="X85" i="69"/>
  <c r="X75" i="69"/>
  <c r="X75" i="72"/>
  <c r="A313" i="13"/>
  <c r="AX313" i="13" s="1"/>
  <c r="AX213" i="13"/>
  <c r="AX1264" i="13"/>
  <c r="A1363" i="13"/>
  <c r="E8" i="4"/>
  <c r="BT8" i="4" s="1"/>
  <c r="W701" i="13"/>
  <c r="AX1289" i="13"/>
  <c r="A1388" i="13"/>
  <c r="X41" i="4"/>
  <c r="AV69" i="13"/>
  <c r="Z1363" i="13"/>
  <c r="AY67" i="4"/>
  <c r="AW67" i="4"/>
  <c r="F67" i="4"/>
  <c r="AP67" i="4"/>
  <c r="AV369" i="13" s="1"/>
  <c r="AV469" i="13" s="1"/>
  <c r="A386" i="13"/>
  <c r="AX386" i="13" s="1"/>
  <c r="AX286" i="13"/>
  <c r="AX1239" i="13"/>
  <c r="A1338" i="13"/>
  <c r="Z1368" i="13"/>
  <c r="AY72" i="4"/>
  <c r="AV74" i="13"/>
  <c r="AW72" i="4"/>
  <c r="F72" i="4"/>
  <c r="AP72" i="4"/>
  <c r="AV374" i="13" s="1"/>
  <c r="AV474" i="13" s="1"/>
  <c r="DA20" i="4" a="1"/>
  <c r="DA20" i="4" s="1"/>
  <c r="A1389" i="13"/>
  <c r="AX1290" i="13"/>
  <c r="X701" i="13"/>
  <c r="E19" i="4"/>
  <c r="CW18" i="4"/>
  <c r="CX18" i="4" s="1"/>
  <c r="A308" i="13"/>
  <c r="AX308" i="13" s="1"/>
  <c r="AX208" i="13"/>
  <c r="W88" i="22"/>
  <c r="AX1278" i="13"/>
  <c r="A1377" i="13"/>
  <c r="D58" i="14"/>
  <c r="DA45" i="4" a="1"/>
  <c r="DA45" i="4" s="1"/>
  <c r="AW45" i="4"/>
  <c r="Z1341" i="13"/>
  <c r="L45" i="4"/>
  <c r="CA45" i="4" s="1"/>
  <c r="F45" i="4"/>
  <c r="AY45" i="4"/>
  <c r="AV47" i="13"/>
  <c r="AP45" i="4"/>
  <c r="AV347" i="13" s="1"/>
  <c r="AV447" i="13" s="1"/>
  <c r="W66" i="22"/>
  <c r="Y66" i="22" s="1"/>
  <c r="V66" i="22"/>
  <c r="DE54" i="4"/>
  <c r="Z1821" i="13"/>
  <c r="B1821" i="13" s="1" a="1"/>
  <c r="B1821" i="13" s="1"/>
  <c r="BT41" i="4"/>
  <c r="AY49" i="4"/>
  <c r="AW49" i="4"/>
  <c r="F49" i="4"/>
  <c r="AV51" i="13"/>
  <c r="Z1345" i="13"/>
  <c r="AP49" i="4"/>
  <c r="AV351" i="13" s="1"/>
  <c r="AV451" i="13" s="1"/>
  <c r="W72" i="22"/>
  <c r="Y72" i="22" s="1"/>
  <c r="V72" i="22"/>
  <c r="E448" i="15"/>
  <c r="E48" i="15"/>
  <c r="E324" i="15"/>
  <c r="E583" i="15"/>
  <c r="E305" i="15"/>
  <c r="E590" i="15"/>
  <c r="E316" i="15"/>
  <c r="E345" i="15"/>
  <c r="E574" i="15"/>
  <c r="BJ33" i="71"/>
  <c r="AX23" i="4"/>
  <c r="CU23" i="4"/>
  <c r="CV23" i="4" s="1"/>
  <c r="BJ26" i="71"/>
  <c r="BJ9" i="71"/>
  <c r="BJ34" i="71"/>
  <c r="BJ8" i="71"/>
  <c r="BJ15" i="71"/>
  <c r="BJ35" i="71"/>
  <c r="BJ18" i="71"/>
  <c r="BJ21" i="71"/>
  <c r="BJ4" i="71"/>
  <c r="BJ17" i="71"/>
  <c r="BJ36" i="71"/>
  <c r="BJ5" i="71"/>
  <c r="BJ22" i="71"/>
  <c r="BJ11" i="71"/>
  <c r="BJ24" i="71"/>
  <c r="BJ6" i="71"/>
  <c r="BJ23" i="71"/>
  <c r="BJ10" i="71"/>
  <c r="BJ32" i="71"/>
  <c r="BJ20" i="71"/>
  <c r="BJ27" i="71"/>
  <c r="BJ7" i="71"/>
  <c r="BJ14" i="71"/>
  <c r="BK38" i="71"/>
  <c r="BJ28" i="71"/>
  <c r="BJ16" i="71"/>
  <c r="BJ30" i="71"/>
  <c r="BJ19" i="71"/>
  <c r="BJ25" i="71"/>
  <c r="BJ29" i="71"/>
  <c r="BJ12" i="71"/>
  <c r="AY78" i="4"/>
  <c r="Z1374" i="13"/>
  <c r="AV80" i="13"/>
  <c r="AW78" i="4"/>
  <c r="DE25" i="4"/>
  <c r="AZ4" i="72" a="1"/>
  <c r="AZ4" i="72" s="1"/>
  <c r="BF4" i="72"/>
  <c r="AL4" i="72" s="1"/>
  <c r="BG4" i="72"/>
  <c r="AK4" i="72"/>
  <c r="CW41" i="4"/>
  <c r="CX41" i="4" s="1"/>
  <c r="A1366" i="13"/>
  <c r="AX1267" i="13"/>
  <c r="A343" i="13"/>
  <c r="AX343" i="13" s="1"/>
  <c r="AX243" i="13"/>
  <c r="D57" i="14"/>
  <c r="AJ20" i="27"/>
  <c r="AU3" i="72" a="1"/>
  <c r="AU3" i="72" s="1"/>
  <c r="AX1238" i="13"/>
  <c r="A1337" i="13"/>
  <c r="AX230" i="13"/>
  <c r="A330" i="13"/>
  <c r="AX330" i="13" s="1"/>
  <c r="Z1369" i="13"/>
  <c r="AY73" i="4"/>
  <c r="AV75" i="13"/>
  <c r="AW73" i="4"/>
  <c r="F73" i="4"/>
  <c r="AP73" i="4"/>
  <c r="AV375" i="13" s="1"/>
  <c r="AV475" i="13" s="1"/>
  <c r="N58" i="69" a="1"/>
  <c r="N58" i="69" s="1"/>
  <c r="W58" i="69"/>
  <c r="BL58" i="69" s="1" a="1"/>
  <c r="BL58" i="69" s="1"/>
  <c r="Z58" i="69"/>
  <c r="BP58" i="69"/>
  <c r="AA58" i="69"/>
  <c r="A58" i="69"/>
  <c r="Y58" i="69"/>
  <c r="V58" i="69"/>
  <c r="AN58" i="69"/>
  <c r="P58" i="69"/>
  <c r="AC58" i="69"/>
  <c r="L58" i="69"/>
  <c r="AW58" i="69"/>
  <c r="Q58" i="69"/>
  <c r="AX58" i="69"/>
  <c r="J58" i="69"/>
  <c r="AB58" i="69" a="1"/>
  <c r="AB58" i="69" s="1"/>
  <c r="DE20" i="4"/>
  <c r="AX1214" i="13"/>
  <c r="A1313" i="13"/>
  <c r="A1353" i="13"/>
  <c r="AX1254" i="13"/>
  <c r="FT9" i="71"/>
  <c r="CU60" i="4"/>
  <c r="CV60" i="4" s="1"/>
  <c r="AX60" i="4"/>
  <c r="W95" i="22"/>
  <c r="Y95" i="22" s="1"/>
  <c r="Z1359" i="13"/>
  <c r="AV65" i="13"/>
  <c r="AW63" i="4"/>
  <c r="AY63" i="4"/>
  <c r="CW15" i="4"/>
  <c r="CX15" i="4" s="1"/>
  <c r="H22" i="27"/>
  <c r="F16" i="27" a="1"/>
  <c r="F16" i="27" s="1"/>
  <c r="H24" i="27"/>
  <c r="G27" i="27"/>
  <c r="G22" i="27"/>
  <c r="H23" i="27"/>
  <c r="H15" i="27"/>
  <c r="I15" i="27" s="1"/>
  <c r="G21" i="27"/>
  <c r="G23" i="27"/>
  <c r="H27" i="27"/>
  <c r="H21" i="27"/>
  <c r="G26" i="27"/>
  <c r="G24" i="27"/>
  <c r="H25" i="27"/>
  <c r="F15" i="27" a="1"/>
  <c r="F15" i="27" s="1"/>
  <c r="G25" i="27"/>
  <c r="H26" i="27"/>
  <c r="DA13" i="4" a="1"/>
  <c r="DA13" i="4" s="1"/>
  <c r="AY91" i="4"/>
  <c r="Z1387" i="13"/>
  <c r="AW91" i="4"/>
  <c r="AV93" i="13"/>
  <c r="CW19" i="4"/>
  <c r="CX19" i="4" s="1"/>
  <c r="BD3" i="4"/>
  <c r="X3" i="4" s="1"/>
  <c r="AX1250" i="13"/>
  <c r="A1349" i="13"/>
  <c r="A1322" i="13"/>
  <c r="AX1223" i="13"/>
  <c r="AX1280" i="13"/>
  <c r="A1379" i="13"/>
  <c r="BS194" i="4"/>
  <c r="AX1275" i="13"/>
  <c r="A1374" i="13"/>
  <c r="K535" i="15" a="1"/>
  <c r="K535" i="15" s="1"/>
  <c r="CW12" i="4"/>
  <c r="CX12" i="4" s="1"/>
  <c r="BA89" i="4" a="1"/>
  <c r="BA89" i="4" s="1"/>
  <c r="BB89" i="4" s="1"/>
  <c r="AV191" i="13" s="1"/>
  <c r="B89" i="4"/>
  <c r="DA89" i="4" s="1" a="1"/>
  <c r="DA89" i="4" s="1"/>
  <c r="B91" i="4"/>
  <c r="E505" i="15" s="1"/>
  <c r="BA91" i="4" a="1"/>
  <c r="BA91" i="4" s="1"/>
  <c r="BB91" i="4" s="1"/>
  <c r="AV193" i="13" s="1"/>
  <c r="B58" i="4"/>
  <c r="E170" i="15" s="1"/>
  <c r="BA58" i="4" a="1"/>
  <c r="BA58" i="4" s="1"/>
  <c r="BB58" i="4" s="1"/>
  <c r="AV160" i="13" s="1"/>
  <c r="B68" i="4"/>
  <c r="AH68" i="4" s="1"/>
  <c r="AV1364" i="13" s="1"/>
  <c r="BA68" i="4" a="1"/>
  <c r="BA68" i="4" s="1"/>
  <c r="BB68" i="4" s="1"/>
  <c r="AV170" i="13" s="1"/>
  <c r="AS72" i="4"/>
  <c r="AV674" i="13" s="1"/>
  <c r="IK35" i="71"/>
  <c r="CU83" i="4"/>
  <c r="CV83" i="4" s="1"/>
  <c r="AX83" i="4"/>
  <c r="CY83" i="4"/>
  <c r="CZ83" i="4" s="1"/>
  <c r="DB83" i="4"/>
  <c r="AX58" i="4"/>
  <c r="DB58" i="4"/>
  <c r="AS58" i="72" s="1"/>
  <c r="CU58" i="4"/>
  <c r="CV58" i="4" s="1"/>
  <c r="AS64" i="4"/>
  <c r="AV666" i="13" s="1"/>
  <c r="AS83" i="4"/>
  <c r="AV685" i="13" s="1"/>
  <c r="AS74" i="4"/>
  <c r="AV676" i="13" s="1"/>
  <c r="Z7" i="4"/>
  <c r="AV1204" i="13" s="1"/>
  <c r="AH42" i="4"/>
  <c r="AV1338" i="13" s="1"/>
  <c r="X37" i="69"/>
  <c r="X37" i="72"/>
  <c r="Z52" i="4"/>
  <c r="AV1249" i="13" s="1"/>
  <c r="AD32" i="4"/>
  <c r="F32" i="72" s="1"/>
  <c r="AL20" i="4"/>
  <c r="I20" i="72" s="1"/>
  <c r="AH21" i="4"/>
  <c r="AV1317" i="13" s="1"/>
  <c r="X49" i="69"/>
  <c r="X49" i="72"/>
  <c r="Z44" i="4"/>
  <c r="AV1241" i="13" s="1"/>
  <c r="AH11" i="4"/>
  <c r="AV1307" i="13" s="1"/>
  <c r="AH33" i="4"/>
  <c r="AV1329" i="13" s="1"/>
  <c r="AL44" i="4"/>
  <c r="I44" i="69" s="1"/>
  <c r="AL6" i="4"/>
  <c r="I6" i="72" s="1"/>
  <c r="X88" i="72"/>
  <c r="X88" i="69"/>
  <c r="Z26" i="4"/>
  <c r="AV1223" i="13" s="1"/>
  <c r="AL70" i="4"/>
  <c r="I70" i="69" s="1"/>
  <c r="AD73" i="4"/>
  <c r="F73" i="72" s="1"/>
  <c r="AL34" i="4"/>
  <c r="I34" i="69" s="1"/>
  <c r="Z77" i="4"/>
  <c r="AV1274" i="13" s="1"/>
  <c r="X72" i="69"/>
  <c r="X72" i="72"/>
  <c r="Z40" i="4"/>
  <c r="AV1237" i="13" s="1"/>
  <c r="X83" i="69"/>
  <c r="X83" i="72"/>
  <c r="X92" i="69"/>
  <c r="X92" i="72"/>
  <c r="X28" i="69"/>
  <c r="X28" i="72"/>
  <c r="A1331" i="13"/>
  <c r="AX1232" i="13"/>
  <c r="AX290" i="13"/>
  <c r="A390" i="13"/>
  <c r="AX390" i="13" s="1"/>
  <c r="AW37" i="4"/>
  <c r="Z1333" i="13"/>
  <c r="AV39" i="13"/>
  <c r="F37" i="4"/>
  <c r="AY37" i="4"/>
  <c r="L37" i="4"/>
  <c r="AP37" i="4"/>
  <c r="AV339" i="13" s="1"/>
  <c r="AV439" i="13" s="1"/>
  <c r="V56" i="22"/>
  <c r="W1" i="14"/>
  <c r="W56" i="22"/>
  <c r="Y56" i="22" s="1"/>
  <c r="S2" i="14"/>
  <c r="AX1286" i="13"/>
  <c r="A1385" i="13"/>
  <c r="E29" i="4"/>
  <c r="BT29" i="4" s="1"/>
  <c r="E53" i="15"/>
  <c r="E495" i="15"/>
  <c r="E216" i="15"/>
  <c r="E568" i="15"/>
  <c r="P34" i="9"/>
  <c r="CY20" i="4"/>
  <c r="CZ20" i="4" s="1"/>
  <c r="F578" i="15" a="1"/>
  <c r="F578" i="15" s="1"/>
  <c r="Q701" i="13"/>
  <c r="L701" i="13"/>
  <c r="E409" i="15"/>
  <c r="E231" i="15"/>
  <c r="E571" i="15"/>
  <c r="E313" i="15"/>
  <c r="E374" i="15"/>
  <c r="E354" i="15"/>
  <c r="F354" i="15" s="1" a="1"/>
  <c r="F354" i="15" s="1"/>
  <c r="E537" i="15"/>
  <c r="E321" i="15"/>
  <c r="E237" i="15"/>
  <c r="E293" i="15"/>
  <c r="E508" i="15"/>
  <c r="E423" i="15"/>
  <c r="E373" i="15"/>
  <c r="E442" i="15"/>
  <c r="E286" i="15"/>
  <c r="BD46" i="4"/>
  <c r="BT46" i="4"/>
  <c r="DA11" i="4" a="1"/>
  <c r="DA11" i="4" s="1"/>
  <c r="A309" i="13"/>
  <c r="AX309" i="13" s="1"/>
  <c r="AX209" i="13"/>
  <c r="A1329" i="13"/>
  <c r="AX1230" i="13"/>
  <c r="W93" i="22"/>
  <c r="Y93" i="22" s="1"/>
  <c r="AW61" i="4"/>
  <c r="Z1357" i="13"/>
  <c r="AY61" i="4"/>
  <c r="AV63" i="13"/>
  <c r="A346" i="13"/>
  <c r="AX346" i="13" s="1"/>
  <c r="AX246" i="13"/>
  <c r="DA7" i="4" a="1"/>
  <c r="DA7" i="4" s="1"/>
  <c r="A1220" i="13"/>
  <c r="AX1121" i="13"/>
  <c r="A1330" i="13"/>
  <c r="AX1231" i="13"/>
  <c r="CW8" i="4"/>
  <c r="CX8" i="4" s="1"/>
  <c r="BK4" i="69"/>
  <c r="BJ4" i="69" s="1"/>
  <c r="BM4" i="69" s="1"/>
  <c r="BO4" i="69"/>
  <c r="AY4" i="69"/>
  <c r="BB4" i="69"/>
  <c r="BH4" i="69" a="1"/>
  <c r="BH4" i="69" s="1"/>
  <c r="R4" i="69"/>
  <c r="AV312" i="13"/>
  <c r="AV412" i="13" s="1"/>
  <c r="U10" i="69" a="1"/>
  <c r="U10" i="69" s="1"/>
  <c r="U10" i="72" a="1"/>
  <c r="U10" i="72" s="1"/>
  <c r="CY43" i="4"/>
  <c r="CZ43" i="4" s="1"/>
  <c r="BQ4" i="72"/>
  <c r="BP4" i="72" s="1"/>
  <c r="BS4" i="72" s="1"/>
  <c r="AW77" i="4"/>
  <c r="AV79" i="13"/>
  <c r="Z1373" i="13"/>
  <c r="AY77" i="4"/>
  <c r="F77" i="4"/>
  <c r="A1334" i="13"/>
  <c r="AX1235" i="13"/>
  <c r="BD4" i="4"/>
  <c r="BR4" i="4" s="1"/>
  <c r="AD4" i="69" s="1"/>
  <c r="W96" i="22"/>
  <c r="Y96" i="22" s="1"/>
  <c r="Z1360" i="13"/>
  <c r="AV66" i="13"/>
  <c r="AW64" i="4"/>
  <c r="AY64" i="4"/>
  <c r="F64" i="4"/>
  <c r="AP64" i="4"/>
  <c r="AV366" i="13" s="1"/>
  <c r="AV466" i="13" s="1"/>
  <c r="AX238" i="13"/>
  <c r="A338" i="13"/>
  <c r="AX338" i="13" s="1"/>
  <c r="E646" i="15"/>
  <c r="E45" i="15"/>
  <c r="E499" i="15"/>
  <c r="E276" i="15"/>
  <c r="E437" i="15"/>
  <c r="E207" i="15"/>
  <c r="E612" i="15"/>
  <c r="E260" i="15"/>
  <c r="E394" i="15"/>
  <c r="E410" i="15"/>
  <c r="E418" i="15"/>
  <c r="E220" i="15"/>
  <c r="AX1234" i="13"/>
  <c r="A1333" i="13"/>
  <c r="BD21" i="4"/>
  <c r="X21" i="4" s="1"/>
  <c r="D57" i="23"/>
  <c r="V75" i="22"/>
  <c r="F54" i="4"/>
  <c r="AW54" i="4"/>
  <c r="AV56" i="13"/>
  <c r="L54" i="4"/>
  <c r="AY54" i="4"/>
  <c r="Z1350" i="13"/>
  <c r="AP54" i="4"/>
  <c r="AV356" i="13" s="1"/>
  <c r="AV456" i="13" s="1"/>
  <c r="W75" i="22"/>
  <c r="Y58" i="72"/>
  <c r="Z58" i="72"/>
  <c r="AD58" i="72"/>
  <c r="AA58" i="72"/>
  <c r="BC58" i="72"/>
  <c r="AT58" i="72"/>
  <c r="L58" i="72"/>
  <c r="W58" i="72"/>
  <c r="BR58" i="72" s="1" a="1"/>
  <c r="BR58" i="72" s="1"/>
  <c r="BV58" i="72"/>
  <c r="BD58" i="72"/>
  <c r="V58" i="72"/>
  <c r="A58" i="72"/>
  <c r="J58" i="72"/>
  <c r="AB58" i="72" a="1"/>
  <c r="AB58" i="72" s="1"/>
  <c r="N58" i="72" a="1"/>
  <c r="N58" i="72" s="1"/>
  <c r="Q58" i="72"/>
  <c r="P58" i="72"/>
  <c r="AC58" i="72"/>
  <c r="A334" i="13"/>
  <c r="AX334" i="13" s="1"/>
  <c r="AX234" i="13"/>
  <c r="DA15" i="4" a="1"/>
  <c r="DA15" i="4" s="1"/>
  <c r="A322" i="13"/>
  <c r="AX322" i="13" s="1"/>
  <c r="AX222" i="13"/>
  <c r="CW13" i="4"/>
  <c r="CX13" i="4" s="1"/>
  <c r="AX162" i="13"/>
  <c r="A262" i="13"/>
  <c r="E7" i="4"/>
  <c r="AX294" i="13"/>
  <c r="A394" i="13"/>
  <c r="AX394" i="13" s="1"/>
  <c r="AX228" i="13"/>
  <c r="A328" i="13"/>
  <c r="AX328" i="13" s="1"/>
  <c r="CY47" i="4"/>
  <c r="CZ47" i="4" s="1"/>
  <c r="AG9" i="72" a="1"/>
  <c r="AG9" i="72" s="1"/>
  <c r="AX9" i="72" a="1"/>
  <c r="AX9" i="72" s="1"/>
  <c r="BA9" i="72" a="1"/>
  <c r="BA9" i="72" s="1"/>
  <c r="AP9" i="72" a="1"/>
  <c r="AP9" i="72" s="1"/>
  <c r="BB9" i="72" a="1"/>
  <c r="BB9" i="72" s="1"/>
  <c r="AH9" i="72" a="1"/>
  <c r="AH9" i="72" s="1"/>
  <c r="AW9" i="72" a="1"/>
  <c r="AW9" i="72" s="1"/>
  <c r="AR9" i="72" a="1"/>
  <c r="AR9" i="72" s="1"/>
  <c r="AM9" i="72" a="1"/>
  <c r="AM9" i="72" s="1"/>
  <c r="AV9" i="72" a="1"/>
  <c r="AV9" i="72" s="1"/>
  <c r="AY9" i="72" a="1"/>
  <c r="AY9" i="72" s="1"/>
  <c r="CW63" i="4"/>
  <c r="CX63" i="4" s="1"/>
  <c r="M535" i="15" a="1"/>
  <c r="M535" i="15" s="1"/>
  <c r="Z1861" i="13"/>
  <c r="B1861" i="13" s="1" a="1"/>
  <c r="B1861" i="13" s="1"/>
  <c r="AS63" i="4"/>
  <c r="AV665" i="13" s="1"/>
  <c r="BA79" i="4" a="1"/>
  <c r="BA79" i="4" s="1"/>
  <c r="BB79" i="4" s="1"/>
  <c r="AV181" i="13" s="1"/>
  <c r="B79" i="4"/>
  <c r="E469" i="15" s="1"/>
  <c r="BA92" i="4" a="1"/>
  <c r="BA92" i="4" s="1"/>
  <c r="BB92" i="4" s="1"/>
  <c r="AV194" i="13" s="1"/>
  <c r="B92" i="4"/>
  <c r="E69" i="15" s="1"/>
  <c r="CU84" i="4"/>
  <c r="CV84" i="4" s="1"/>
  <c r="AX84" i="4"/>
  <c r="CY84" i="4"/>
  <c r="CZ84" i="4" s="1"/>
  <c r="BA66" i="4" a="1"/>
  <c r="BA66" i="4" s="1"/>
  <c r="BB66" i="4" s="1"/>
  <c r="AV168" i="13" s="1"/>
  <c r="B66" i="4"/>
  <c r="E550" i="15" s="1"/>
  <c r="JR4" i="71"/>
  <c r="DB94" i="4"/>
  <c r="AS94" i="72" s="1"/>
  <c r="AX94" i="4"/>
  <c r="CU94" i="4"/>
  <c r="CV94" i="4" s="1"/>
  <c r="DA94" i="4" a="1"/>
  <c r="DA94" i="4" s="1"/>
  <c r="Z94" i="4"/>
  <c r="B94" i="69" s="1"/>
  <c r="F94" i="4"/>
  <c r="AD94" i="4"/>
  <c r="AP94" i="4"/>
  <c r="AV396" i="13" s="1"/>
  <c r="AV496" i="13" s="1"/>
  <c r="AL94" i="4"/>
  <c r="AH94" i="4"/>
  <c r="AV1390" i="13" s="1"/>
  <c r="B82" i="4"/>
  <c r="E244" i="15" s="1"/>
  <c r="BA82" i="4" a="1"/>
  <c r="BA82" i="4" s="1"/>
  <c r="BB82" i="4" s="1"/>
  <c r="AV184" i="13" s="1"/>
  <c r="AO9" i="69" a="1"/>
  <c r="AO9" i="69" s="1"/>
  <c r="BD36" i="4"/>
  <c r="BT36" i="4"/>
  <c r="E218" i="15"/>
  <c r="Z67" i="4"/>
  <c r="AV1264" i="13" s="1"/>
  <c r="X56" i="69"/>
  <c r="X56" i="72"/>
  <c r="Z38" i="4"/>
  <c r="AV1235" i="13" s="1"/>
  <c r="AD29" i="4"/>
  <c r="F29" i="72" s="1"/>
  <c r="Z65" i="4"/>
  <c r="AV1262" i="13" s="1"/>
  <c r="AD56" i="4"/>
  <c r="F56" i="69" s="1"/>
  <c r="AD54" i="4"/>
  <c r="F54" i="69" s="1"/>
  <c r="Z30" i="4"/>
  <c r="AV1227" i="13" s="1"/>
  <c r="AL11" i="4"/>
  <c r="I11" i="72" s="1"/>
  <c r="AD47" i="4"/>
  <c r="F47" i="69" s="1"/>
  <c r="X34" i="72"/>
  <c r="X34" i="69"/>
  <c r="Z93" i="4"/>
  <c r="AV1290" i="13" s="1"/>
  <c r="Z14" i="4"/>
  <c r="AV1211" i="13" s="1"/>
  <c r="AL36" i="4"/>
  <c r="I36" i="69" s="1"/>
  <c r="Z13" i="4"/>
  <c r="AV1210" i="13" s="1"/>
  <c r="AL32" i="4"/>
  <c r="I32" i="72" s="1"/>
  <c r="BG4" i="4"/>
  <c r="AV1102" i="13" s="1"/>
  <c r="L4" i="4"/>
  <c r="AD24" i="4"/>
  <c r="F24" i="69" s="1"/>
  <c r="AL37" i="4"/>
  <c r="I37" i="69" s="1"/>
  <c r="Z54" i="4"/>
  <c r="AV1251" i="13" s="1"/>
  <c r="AH41" i="4"/>
  <c r="AV1337" i="13" s="1"/>
  <c r="AL18" i="4"/>
  <c r="I18" i="69" s="1"/>
  <c r="AD14" i="4"/>
  <c r="F14" i="69" s="1"/>
  <c r="AH45" i="4"/>
  <c r="AV1341" i="13" s="1"/>
  <c r="AL85" i="4"/>
  <c r="I85" i="72" s="1"/>
  <c r="X8" i="69"/>
  <c r="X8" i="72"/>
  <c r="AL21" i="4"/>
  <c r="I21" i="72" s="1"/>
  <c r="AD51" i="4"/>
  <c r="F51" i="69" s="1"/>
  <c r="X87" i="72"/>
  <c r="X87" i="69"/>
  <c r="X51" i="72"/>
  <c r="X51" i="69"/>
  <c r="X45" i="72"/>
  <c r="X45" i="69"/>
  <c r="AY74" i="4"/>
  <c r="Z1370" i="13"/>
  <c r="AV76" i="13"/>
  <c r="AW74" i="4"/>
  <c r="E17" i="4"/>
  <c r="BT17" i="4" s="1"/>
  <c r="AX1258" i="13"/>
  <c r="A1357" i="13"/>
  <c r="CW7" i="4"/>
  <c r="CX7" i="4" s="1"/>
  <c r="AX269" i="13"/>
  <c r="A369" i="13"/>
  <c r="AX369" i="13" s="1"/>
  <c r="BY23" i="4" a="1"/>
  <c r="BY23" i="4" s="1"/>
  <c r="BZ23" i="4" a="1"/>
  <c r="BZ23" i="4" s="1"/>
  <c r="BX23" i="4" s="1" a="1"/>
  <c r="BX23" i="4" s="1"/>
  <c r="AX242" i="13"/>
  <c r="A342" i="13"/>
  <c r="AX342" i="13" s="1"/>
  <c r="BW4" i="72"/>
  <c r="L27" i="4"/>
  <c r="Z1323" i="13"/>
  <c r="AY27" i="4"/>
  <c r="F27" i="4"/>
  <c r="AV29" i="13"/>
  <c r="AW27" i="4"/>
  <c r="AP27" i="4"/>
  <c r="AV329" i="13" s="1"/>
  <c r="AV429" i="13" s="1"/>
  <c r="V42" i="22"/>
  <c r="W42" i="22"/>
  <c r="Y42" i="22" s="1"/>
  <c r="A1301" i="13"/>
  <c r="AX1202" i="13"/>
  <c r="C57" i="14"/>
  <c r="Z1385" i="13"/>
  <c r="AW89" i="4"/>
  <c r="AV91" i="13"/>
  <c r="AY89" i="4"/>
  <c r="AE20" i="27"/>
  <c r="E18" i="4"/>
  <c r="BT18" i="4" s="1"/>
  <c r="B35" i="23"/>
  <c r="AX221" i="13"/>
  <c r="A321" i="13"/>
  <c r="AX321" i="13" s="1"/>
  <c r="E644" i="15"/>
  <c r="E444" i="15"/>
  <c r="E441" i="15"/>
  <c r="F441" i="15" s="1" a="1"/>
  <c r="F441" i="15" s="1"/>
  <c r="E473" i="15"/>
  <c r="E639" i="15"/>
  <c r="E456" i="15"/>
  <c r="E530" i="15"/>
  <c r="E139" i="15"/>
  <c r="E457" i="15"/>
  <c r="E465" i="15"/>
  <c r="E607" i="15"/>
  <c r="E347" i="15"/>
  <c r="BY60" i="4" a="1"/>
  <c r="BY60" i="4" s="1"/>
  <c r="BZ60" i="4" a="1"/>
  <c r="BZ60" i="4" s="1"/>
  <c r="BX60" i="4" s="1" a="1"/>
  <c r="BX60" i="4" s="1"/>
  <c r="E33" i="4"/>
  <c r="BT33" i="4" s="1"/>
  <c r="AX241" i="13"/>
  <c r="A341" i="13"/>
  <c r="AX341" i="13" s="1"/>
  <c r="A1257" i="13"/>
  <c r="AX1158" i="13"/>
  <c r="DE7" i="4"/>
  <c r="AX1248" i="13"/>
  <c r="A1347" i="13"/>
  <c r="W89" i="22"/>
  <c r="Y89" i="22" s="1"/>
  <c r="AV59" i="13"/>
  <c r="AY57" i="4"/>
  <c r="Z1353" i="13"/>
  <c r="AW57" i="4"/>
  <c r="F57" i="4"/>
  <c r="AP57" i="4"/>
  <c r="AV359" i="13" s="1"/>
  <c r="AV459" i="13" s="1"/>
  <c r="CW45" i="4"/>
  <c r="CX45" i="4" s="1"/>
  <c r="AX265" i="13"/>
  <c r="A365" i="13"/>
  <c r="AX365" i="13" s="1"/>
  <c r="AX1266" i="13"/>
  <c r="A1365" i="13"/>
  <c r="DA47" i="4" a="1"/>
  <c r="DA47" i="4" s="1"/>
  <c r="AX1260" i="13"/>
  <c r="A1359" i="13"/>
  <c r="CW51" i="4"/>
  <c r="CX51" i="4" s="1"/>
  <c r="BD9" i="4"/>
  <c r="X9" i="4" s="1"/>
  <c r="DE22" i="4"/>
  <c r="E66" i="15"/>
  <c r="E108" i="15"/>
  <c r="HW38" i="71"/>
  <c r="CY78" i="4"/>
  <c r="CZ78" i="4" s="1"/>
  <c r="AX78" i="4"/>
  <c r="CU78" i="4"/>
  <c r="CV78" i="4" s="1"/>
  <c r="DB78" i="4"/>
  <c r="AX280" i="13"/>
  <c r="A380" i="13"/>
  <c r="AX380" i="13" s="1"/>
  <c r="CY27" i="4"/>
  <c r="CZ27" i="4" s="1"/>
  <c r="FQ26" i="71"/>
  <c r="DB59" i="4"/>
  <c r="AX59" i="4"/>
  <c r="CU59" i="4"/>
  <c r="CV59" i="4" s="1"/>
  <c r="DB85" i="4"/>
  <c r="CY85" i="4"/>
  <c r="CZ85" i="4" s="1"/>
  <c r="DA85" i="4" a="1"/>
  <c r="DA85" i="4" s="1"/>
  <c r="CW85" i="4"/>
  <c r="CX85" i="4" s="1"/>
  <c r="AX85" i="4"/>
  <c r="CU85" i="4"/>
  <c r="CV85" i="4" s="1"/>
  <c r="AX88" i="4"/>
  <c r="DB88" i="4"/>
  <c r="CU88" i="4"/>
  <c r="CV88" i="4" s="1"/>
  <c r="CW88" i="4"/>
  <c r="CX88" i="4" s="1"/>
  <c r="DA88" i="4" a="1"/>
  <c r="DA88" i="4" s="1"/>
  <c r="B81" i="4"/>
  <c r="Z81" i="4" s="1"/>
  <c r="AV1278" i="13" s="1"/>
  <c r="BA81" i="4" a="1"/>
  <c r="BA81" i="4" s="1"/>
  <c r="BB81" i="4" s="1"/>
  <c r="AV183" i="13" s="1"/>
  <c r="BA84" i="4" a="1"/>
  <c r="BA84" i="4" s="1"/>
  <c r="BB84" i="4" s="1"/>
  <c r="AV186" i="13" s="1"/>
  <c r="B84" i="4"/>
  <c r="B80" i="4"/>
  <c r="Z80" i="4" s="1"/>
  <c r="AV1277" i="13" s="1"/>
  <c r="BA80" i="4" a="1"/>
  <c r="BA80" i="4" s="1"/>
  <c r="BB80" i="4" s="1"/>
  <c r="AV182" i="13" s="1"/>
  <c r="AX264" i="13"/>
  <c r="A364" i="13"/>
  <c r="AX364" i="13" s="1"/>
  <c r="BI9" i="69" a="1"/>
  <c r="BI9" i="69" s="1"/>
  <c r="AX271" i="13"/>
  <c r="A371" i="13"/>
  <c r="AX371" i="13" s="1"/>
  <c r="K613" i="15" a="1"/>
  <c r="K613" i="15" s="1"/>
  <c r="N613" i="15" a="1"/>
  <c r="N613" i="15" s="1"/>
  <c r="AH20" i="4"/>
  <c r="AV1316" i="13" s="1"/>
  <c r="AL16" i="4"/>
  <c r="I16" i="69" s="1"/>
  <c r="AL51" i="4"/>
  <c r="I51" i="69" s="1"/>
  <c r="X80" i="69"/>
  <c r="X80" i="72"/>
  <c r="I7" i="72"/>
  <c r="X19" i="69"/>
  <c r="X19" i="72"/>
  <c r="AH16" i="4"/>
  <c r="AV1312" i="13" s="1"/>
  <c r="AL30" i="4"/>
  <c r="I30" i="69" s="1"/>
  <c r="X15" i="72"/>
  <c r="X15" i="69"/>
  <c r="AD31" i="4"/>
  <c r="F31" i="69" s="1"/>
  <c r="X41" i="69"/>
  <c r="X41" i="72"/>
  <c r="Z63" i="4"/>
  <c r="AV1260" i="13" s="1"/>
  <c r="AD28" i="4"/>
  <c r="F28" i="69" s="1"/>
  <c r="AL43" i="4"/>
  <c r="I43" i="69" s="1"/>
  <c r="Z39" i="4"/>
  <c r="AV1236" i="13" s="1"/>
  <c r="X20" i="69"/>
  <c r="X20" i="72"/>
  <c r="AH36" i="4"/>
  <c r="AV1332" i="13" s="1"/>
  <c r="Z19" i="4"/>
  <c r="AV1216" i="13" s="1"/>
  <c r="Z22" i="4"/>
  <c r="AV1219" i="13" s="1"/>
  <c r="AL35" i="4"/>
  <c r="I35" i="69" s="1"/>
  <c r="AD25" i="4"/>
  <c r="F25" i="69" s="1"/>
  <c r="AL72" i="4"/>
  <c r="I72" i="69" s="1"/>
  <c r="AD77" i="4"/>
  <c r="F77" i="69" s="1"/>
  <c r="I15" i="72"/>
  <c r="AD44" i="4"/>
  <c r="F44" i="69" s="1"/>
  <c r="Z25" i="4"/>
  <c r="AV1222" i="13" s="1"/>
  <c r="Z50" i="4"/>
  <c r="AV1247" i="13" s="1"/>
  <c r="X18" i="69"/>
  <c r="X18" i="72"/>
  <c r="X22" i="72"/>
  <c r="X22" i="69"/>
  <c r="X63" i="69"/>
  <c r="X63" i="72"/>
  <c r="AF40" i="4" a="1"/>
  <c r="AF87" i="4" a="1"/>
  <c r="AJ63" i="4" a="1"/>
  <c r="BJ73" i="4" a="1"/>
  <c r="DF93" i="4" a="1"/>
  <c r="CR55" i="4" a="1"/>
  <c r="B55" i="1" a="1"/>
  <c r="BK85" i="4" a="1"/>
  <c r="DF84" i="4" a="1"/>
  <c r="DF76" i="4" a="1"/>
  <c r="BK95" i="4" a="1"/>
  <c r="AF55" i="4" a="1"/>
  <c r="BI93" i="4" a="1"/>
  <c r="BI90" i="4" a="1"/>
  <c r="BK96" i="4" a="1"/>
  <c r="BJ81" i="4" a="1"/>
  <c r="BJ79" i="4" a="1"/>
  <c r="BJ67" i="4" a="1"/>
  <c r="BI60" i="4" a="1"/>
  <c r="BK90" i="4" a="1"/>
  <c r="BK59" i="4" a="1"/>
  <c r="AJ91" i="4" a="1"/>
  <c r="AN91" i="4" a="1"/>
  <c r="DF60" i="4" a="1"/>
  <c r="DF78" i="4" a="1"/>
  <c r="BI94" i="4" a="1"/>
  <c r="BJ93" i="4" a="1"/>
  <c r="BJ96" i="4" a="1"/>
  <c r="BJ83" i="4" a="1"/>
  <c r="DF87" i="4" a="1"/>
  <c r="BK83" i="4" a="1"/>
  <c r="DF65" i="4" a="1"/>
  <c r="BI95" i="4" a="1"/>
  <c r="BI77" i="4" a="1"/>
  <c r="BI74" i="4" a="1"/>
  <c r="DF62" i="4" a="1"/>
  <c r="BJ60" i="4" a="1"/>
  <c r="AI29" i="4" a="1"/>
  <c r="BK62" i="4" a="1"/>
  <c r="AG11" i="4" a="1"/>
  <c r="DF89" i="4" a="1"/>
  <c r="BK89" i="4" a="1"/>
  <c r="BK72" i="4" a="1"/>
  <c r="BK58" i="4" a="1"/>
  <c r="BK67" i="4" a="1"/>
  <c r="BK64" i="4" a="1"/>
  <c r="CS55" i="4" a="1"/>
  <c r="BJ61" i="4" a="1"/>
  <c r="AG55" i="4" a="1"/>
  <c r="DF23" i="4" a="1"/>
  <c r="BJ74" i="4" a="1"/>
  <c r="BI69" i="4" a="1"/>
  <c r="AO91" i="4" a="1"/>
  <c r="BK78" i="4" a="1"/>
  <c r="BI71" i="4" a="1"/>
  <c r="BJ71" i="4" a="1"/>
  <c r="BJ70" i="4" a="1"/>
  <c r="BK68" i="4" a="1"/>
  <c r="AN17" i="4" a="1"/>
  <c r="AO40" i="4" a="1"/>
  <c r="AB55" i="4" a="1"/>
  <c r="AB84" i="4" a="1"/>
  <c r="BJ90" i="4" a="1"/>
  <c r="AA48" i="4" a="1"/>
  <c r="BK86" i="4" a="1"/>
  <c r="BK76" i="4" a="1"/>
  <c r="BJ66" i="4" a="1"/>
  <c r="BK70" i="4" a="1"/>
  <c r="DF71" i="4" a="1"/>
  <c r="AI55" i="4" a="1"/>
  <c r="AF53" i="4" a="1"/>
  <c r="BI83" i="4" a="1"/>
  <c r="AO28" i="4" a="1"/>
  <c r="BI58" i="4" a="1"/>
  <c r="BJ91" i="4" a="1"/>
  <c r="BI73" i="4" a="1"/>
  <c r="DF82" i="4" a="1"/>
  <c r="BK84" i="4" a="1"/>
  <c r="AO17" i="4" a="1"/>
  <c r="AN40" i="4" a="1"/>
  <c r="BI96" i="4" a="1"/>
  <c r="AA53" i="4" a="1"/>
  <c r="AG35" i="4" a="1"/>
  <c r="BI61" i="4" a="1"/>
  <c r="DF67" i="4" a="1"/>
  <c r="BK60" i="4" a="1"/>
  <c r="AF48" i="4" a="1"/>
  <c r="AG53" i="4" a="1"/>
  <c r="AB11" i="4" a="1"/>
  <c r="DF73" i="4" a="1"/>
  <c r="BJ64" i="4" a="1"/>
  <c r="AJ85" i="4" a="1"/>
  <c r="BK79" i="4" a="1"/>
  <c r="AB53" i="4" a="1"/>
  <c r="AF35" i="4" a="1"/>
  <c r="BI79" i="4" a="1"/>
  <c r="BK77" i="4" a="1"/>
  <c r="BK66" i="4" a="1"/>
  <c r="DF64" i="4" a="1"/>
  <c r="AJ55" i="4" a="1"/>
  <c r="AB48" i="4" a="1"/>
  <c r="BK74" i="4" a="1"/>
  <c r="BI89" i="4" a="1"/>
  <c r="BI65" i="4" a="1"/>
  <c r="DF58" i="4" a="1"/>
  <c r="BJ88" i="4" a="1"/>
  <c r="AF17" i="4" a="1"/>
  <c r="AB35" i="4" a="1"/>
  <c r="AA17" i="4" a="1"/>
  <c r="AG17" i="4" a="1"/>
  <c r="AA35" i="4" a="1"/>
  <c r="AB17" i="4" a="1"/>
  <c r="DF77" i="4" a="1"/>
  <c r="BJ23" i="4" a="1"/>
  <c r="AA84" i="4" a="1"/>
  <c r="BI68" i="4" a="1"/>
  <c r="BJ69" i="4" a="1"/>
  <c r="AF11" i="4" a="1"/>
  <c r="DF90" i="4" a="1"/>
  <c r="AA11" i="4" a="1"/>
  <c r="BI57" i="4" a="1"/>
  <c r="DF79" i="4" a="1"/>
  <c r="BJ57" i="4" a="1"/>
  <c r="DF61" i="4" a="1"/>
  <c r="BI72" i="4" a="1"/>
  <c r="AO55" i="4" a="1"/>
  <c r="BK23" i="4" a="1"/>
  <c r="DF88" i="4" a="1"/>
  <c r="BK92" i="4" a="1"/>
  <c r="AA87" i="4" a="1"/>
  <c r="AI17" i="4" a="1"/>
  <c r="AI40" i="4" a="1"/>
  <c r="AB87" i="4" a="1"/>
  <c r="AJ17" i="4" a="1"/>
  <c r="AJ40" i="4" a="1"/>
  <c r="AI91" i="4" a="1"/>
  <c r="BI23" i="4" a="1"/>
  <c r="DF92" i="4" a="1"/>
  <c r="CO55" i="4" a="1"/>
  <c r="BI80" i="4" a="1"/>
  <c r="BJ68" i="4" a="1"/>
  <c r="AJ84" i="4" a="1"/>
  <c r="BJ89" i="4" a="1"/>
  <c r="AI85" i="4" a="1"/>
  <c r="BK56" i="4" a="1"/>
  <c r="BJ82" i="4" a="1"/>
  <c r="BI56" i="4" a="1"/>
  <c r="BK71" i="4" a="1"/>
  <c r="BJ59" i="4" a="1"/>
  <c r="BK87" i="4" a="1"/>
  <c r="DF70" i="4" a="1"/>
  <c r="BI84" i="4" a="1"/>
  <c r="DF96" i="4" a="1"/>
  <c r="AJ29" i="4" a="1"/>
  <c r="BI82" i="4" a="1"/>
  <c r="BJ62" i="4" a="1"/>
  <c r="AG48" i="4" a="1"/>
  <c r="BI92" i="4" a="1"/>
  <c r="BK88" i="4" a="1"/>
  <c r="BI64" i="4" a="1"/>
  <c r="DF69" i="4" a="1"/>
  <c r="AF91" i="4" a="1"/>
  <c r="BK81" i="4" a="1"/>
  <c r="DF85" i="4" a="1"/>
  <c r="DF81" i="4" a="1"/>
  <c r="BK57" i="4" a="1"/>
  <c r="AA55" i="4" a="1"/>
  <c r="DF86" i="4" a="1"/>
  <c r="BI85" i="4" a="1"/>
  <c r="DF94" i="4" a="1"/>
  <c r="BJ87" i="4" a="1"/>
  <c r="DF59" i="4" a="1"/>
  <c r="BI62" i="4" a="1"/>
  <c r="AN28" i="4" a="1"/>
  <c r="BK69" i="4" a="1"/>
  <c r="BK82" i="4" a="1"/>
  <c r="DF66" i="4" a="1"/>
  <c r="BJ58" i="4" a="1"/>
  <c r="BK63" i="4" a="1"/>
  <c r="BK93" i="4" a="1"/>
  <c r="AO87" i="4" a="1"/>
  <c r="AI35" i="4" a="1"/>
  <c r="AI87" i="4" a="1"/>
  <c r="BJ86" i="4" a="1"/>
  <c r="AN55" i="4" a="1"/>
  <c r="BJ94" i="4" a="1"/>
  <c r="BJ78" i="4" a="1"/>
  <c r="BK94" i="4" a="1"/>
  <c r="BJ92" i="4" a="1"/>
  <c r="DF56" i="4" a="1"/>
  <c r="BJ72" i="4" a="1"/>
  <c r="BI76" i="4" a="1"/>
  <c r="DF72" i="4" a="1"/>
  <c r="BJ76" i="4" a="1"/>
  <c r="BJ56" i="4" a="1"/>
  <c r="DF91" i="4" a="1"/>
  <c r="BI59" i="4" a="1"/>
  <c r="BI86" i="4" a="1"/>
  <c r="BI78" i="4" a="1"/>
  <c r="BK91" i="4" a="1"/>
  <c r="BI66" i="4" a="1"/>
  <c r="CP55" i="4" a="1"/>
  <c r="DF74" i="4" a="1"/>
  <c r="AI52" i="4" a="1"/>
  <c r="AI84" i="4" a="1"/>
  <c r="BI91" i="4" a="1"/>
  <c r="DF83" i="4" a="1"/>
  <c r="BJ77" i="4" a="1"/>
  <c r="DF68" i="4" a="1"/>
  <c r="AN87" i="4" a="1"/>
  <c r="AJ35" i="4" a="1"/>
  <c r="AJ87" i="4" a="1"/>
  <c r="BI70" i="4" a="1"/>
  <c r="BJ80" i="4" a="1"/>
  <c r="AJ52" i="4" a="1"/>
  <c r="BJ84" i="4" a="1"/>
  <c r="BK80" i="4" a="1"/>
  <c r="BJ63" i="4" a="1"/>
  <c r="DF57" i="4" a="1"/>
  <c r="BK65" i="4" a="1"/>
  <c r="BJ95" i="4" a="1"/>
  <c r="BJ65" i="4" a="1"/>
  <c r="DF95" i="4" a="1"/>
  <c r="BI63" i="4" a="1"/>
  <c r="BK61" i="4" a="1"/>
  <c r="BK73" i="4" a="1"/>
  <c r="BI87" i="4" a="1"/>
  <c r="BJ85" i="4" a="1"/>
  <c r="BI67" i="4" a="1"/>
  <c r="AG40" i="4" a="1"/>
  <c r="AG87" i="4" a="1"/>
  <c r="AI63" i="4" a="1"/>
  <c r="BI81" i="4" a="1"/>
  <c r="AG91" i="4" a="1"/>
  <c r="BI88" i="4" a="1"/>
  <c r="DF63" i="4" a="1"/>
  <c r="DF80" i="4" a="1"/>
  <c r="K37" i="71" l="1"/>
  <c r="D56" i="14"/>
  <c r="F38" i="14"/>
  <c r="P38" i="14" s="1"/>
  <c r="BT27" i="4"/>
  <c r="E599" i="15"/>
  <c r="D58" i="23"/>
  <c r="E58" i="23" s="1"/>
  <c r="B57" i="23"/>
  <c r="C54" i="23"/>
  <c r="C56" i="14"/>
  <c r="B57" i="14"/>
  <c r="N615" i="15" a="1"/>
  <c r="N615" i="15" s="1"/>
  <c r="C52" i="23"/>
  <c r="H37" i="71"/>
  <c r="E531" i="15"/>
  <c r="B52" i="23"/>
  <c r="AF20" i="27"/>
  <c r="N37" i="71"/>
  <c r="Z38" i="14"/>
  <c r="B56" i="14"/>
  <c r="N625" i="15" a="1"/>
  <c r="N625" i="15" s="1"/>
  <c r="B37" i="71"/>
  <c r="L613" i="15" a="1"/>
  <c r="L613" i="15" s="1"/>
  <c r="K625" i="15" a="1"/>
  <c r="K625" i="15" s="1"/>
  <c r="E37" i="71"/>
  <c r="Q37" i="71"/>
  <c r="AI63" i="4"/>
  <c r="AG87" i="4"/>
  <c r="AG40" i="4"/>
  <c r="AJ87" i="4"/>
  <c r="AH87" i="4" s="1"/>
  <c r="AJ35" i="4"/>
  <c r="AH35" i="4" s="1"/>
  <c r="AV1331" i="13" s="1"/>
  <c r="AN87" i="4"/>
  <c r="AI87" i="4"/>
  <c r="AI35" i="4"/>
  <c r="AO87" i="4"/>
  <c r="AJ40" i="4"/>
  <c r="AH40" i="4" s="1"/>
  <c r="AV1336" i="13" s="1"/>
  <c r="AJ17" i="4"/>
  <c r="AH17" i="4" s="1"/>
  <c r="AV1313" i="13" s="1"/>
  <c r="AB87" i="4"/>
  <c r="Z87" i="4" s="1"/>
  <c r="AV1284" i="13" s="1"/>
  <c r="AI40" i="4"/>
  <c r="AI17" i="4"/>
  <c r="AA87" i="4"/>
  <c r="DB87" i="4" s="1"/>
  <c r="AB17" i="4"/>
  <c r="Z17" i="4" s="1"/>
  <c r="AV1214" i="13" s="1"/>
  <c r="AA35" i="4"/>
  <c r="DB35" i="4" s="1"/>
  <c r="AG17" i="4"/>
  <c r="AA17" i="4"/>
  <c r="DB17" i="4" s="1"/>
  <c r="AB35" i="4"/>
  <c r="Z35" i="4" s="1"/>
  <c r="AV1232" i="13" s="1"/>
  <c r="AF17" i="4"/>
  <c r="AF35" i="4"/>
  <c r="AB53" i="4"/>
  <c r="Z53" i="4" s="1"/>
  <c r="AV1250" i="13" s="1"/>
  <c r="AG35" i="4"/>
  <c r="AA53" i="4"/>
  <c r="DB53" i="4" s="1"/>
  <c r="AN40" i="4"/>
  <c r="AO17" i="4"/>
  <c r="AO40" i="4"/>
  <c r="AN17" i="4"/>
  <c r="AJ63" i="4"/>
  <c r="AF87" i="4"/>
  <c r="AF40" i="4"/>
  <c r="AD40" i="4" s="1"/>
  <c r="F40" i="69" s="1"/>
  <c r="N573" i="15" a="1"/>
  <c r="N573" i="15" s="1"/>
  <c r="S17" i="4"/>
  <c r="T17" i="4"/>
  <c r="Z1609" i="13"/>
  <c r="B52" i="14"/>
  <c r="C54" i="14"/>
  <c r="C53" i="14"/>
  <c r="B54" i="14"/>
  <c r="C52" i="14"/>
  <c r="B53" i="14"/>
  <c r="K623" i="15" a="1"/>
  <c r="K623" i="15" s="1"/>
  <c r="M623" i="15" a="1"/>
  <c r="M623" i="15" s="1"/>
  <c r="N623" i="15" a="1"/>
  <c r="N623" i="15" s="1"/>
  <c r="Z57" i="4"/>
  <c r="AV1254" i="13" s="1"/>
  <c r="Z1602" i="13"/>
  <c r="S8" i="4"/>
  <c r="T8" i="4"/>
  <c r="B51" i="14"/>
  <c r="O1" i="14" s="1"/>
  <c r="F51" i="23"/>
  <c r="AG1" i="23"/>
  <c r="S16" i="4"/>
  <c r="T16" i="4"/>
  <c r="Z1608" i="13"/>
  <c r="AH63" i="4"/>
  <c r="AV1359" i="13" s="1"/>
  <c r="P23" i="9"/>
  <c r="P89" i="9"/>
  <c r="BQ75" i="4"/>
  <c r="P31" i="9"/>
  <c r="P61" i="9"/>
  <c r="CY75" i="4"/>
  <c r="CZ75" i="4" s="1"/>
  <c r="AG91" i="4"/>
  <c r="AJ85" i="4"/>
  <c r="AH85" i="4" s="1"/>
  <c r="AV1381" i="13" s="1"/>
  <c r="AF91" i="4"/>
  <c r="AI85" i="4"/>
  <c r="AO28" i="4"/>
  <c r="AA11" i="4"/>
  <c r="DB11" i="4" s="1"/>
  <c r="AB48" i="4"/>
  <c r="Z48" i="4" s="1"/>
  <c r="AV1245" i="13" s="1"/>
  <c r="AN28" i="4"/>
  <c r="AB11" i="4"/>
  <c r="Z11" i="4" s="1"/>
  <c r="AV1208" i="13" s="1"/>
  <c r="AA48" i="4"/>
  <c r="DB48" i="4" s="1"/>
  <c r="AI84" i="4"/>
  <c r="AG53" i="4"/>
  <c r="AG11" i="4"/>
  <c r="AJ84" i="4"/>
  <c r="AF53" i="4"/>
  <c r="AF11" i="4"/>
  <c r="AI52" i="4"/>
  <c r="AF48" i="4"/>
  <c r="AJ52" i="4"/>
  <c r="AH52" i="4" s="1"/>
  <c r="AV1348" i="13" s="1"/>
  <c r="AG48" i="4"/>
  <c r="CO55" i="4"/>
  <c r="AA84" i="4"/>
  <c r="DB84" i="4" s="1"/>
  <c r="AO91" i="4"/>
  <c r="CP55" i="4"/>
  <c r="CS55" i="4"/>
  <c r="AB84" i="4"/>
  <c r="Z84" i="4" s="1"/>
  <c r="AN91" i="4"/>
  <c r="CR55" i="4"/>
  <c r="AI29" i="4"/>
  <c r="AJ91" i="4"/>
  <c r="AJ29" i="4"/>
  <c r="AH29" i="4" s="1"/>
  <c r="AV1325" i="13" s="1"/>
  <c r="AI91" i="4"/>
  <c r="P50" i="9"/>
  <c r="L498" i="15" a="1"/>
  <c r="L498" i="15" s="1"/>
  <c r="AP95" i="4"/>
  <c r="U95" i="72" s="1" a="1"/>
  <c r="U95" i="72" s="1"/>
  <c r="BF46" i="4"/>
  <c r="N540" i="15" a="1"/>
  <c r="N540" i="15" s="1"/>
  <c r="E61" i="15"/>
  <c r="M540" i="15" a="1"/>
  <c r="M540" i="15" s="1"/>
  <c r="AD63" i="4"/>
  <c r="F63" i="72" s="1"/>
  <c r="P51" i="9"/>
  <c r="DA57" i="4" a="1"/>
  <c r="DA57" i="4" s="1"/>
  <c r="AL57" i="4"/>
  <c r="I57" i="69" s="1"/>
  <c r="AH83" i="4"/>
  <c r="AV1379" i="13" s="1"/>
  <c r="CW72" i="4"/>
  <c r="CX72" i="4" s="1"/>
  <c r="CW83" i="4"/>
  <c r="CX83" i="4" s="1"/>
  <c r="FE6" i="71"/>
  <c r="CW95" i="4"/>
  <c r="CX95" i="4" s="1"/>
  <c r="DA70" i="4" a="1"/>
  <c r="DA70" i="4" s="1"/>
  <c r="AP63" i="4"/>
  <c r="AV365" i="13" s="1"/>
  <c r="AV465" i="13" s="1"/>
  <c r="BF75" i="4"/>
  <c r="BF21" i="4"/>
  <c r="F63" i="4"/>
  <c r="BD40" i="4"/>
  <c r="CW59" i="4"/>
  <c r="CX59" i="4" s="1"/>
  <c r="BF40" i="4"/>
  <c r="DA59" i="4" a="1"/>
  <c r="DA59" i="4" s="1"/>
  <c r="AL59" i="4"/>
  <c r="I59" i="72" s="1"/>
  <c r="I65" i="72"/>
  <c r="FE5" i="71"/>
  <c r="BT38" i="4"/>
  <c r="AJ4" i="69" a="1"/>
  <c r="AJ4" i="69" s="1"/>
  <c r="AP86" i="4"/>
  <c r="AV388" i="13" s="1"/>
  <c r="AV488" i="13" s="1"/>
  <c r="N535" i="15" a="1"/>
  <c r="N535" i="15" s="1"/>
  <c r="AP74" i="4"/>
  <c r="AV376" i="13" s="1"/>
  <c r="AV476" i="13" s="1"/>
  <c r="JR37" i="71"/>
  <c r="AD90" i="4"/>
  <c r="F90" i="72" s="1"/>
  <c r="AK4" i="69" a="1"/>
  <c r="AK4" i="69" s="1"/>
  <c r="P33" i="9"/>
  <c r="BF27" i="4"/>
  <c r="F85" i="4"/>
  <c r="BF49" i="4"/>
  <c r="CW78" i="4"/>
  <c r="CX78" i="4" s="1"/>
  <c r="F74" i="4"/>
  <c r="P17" i="9"/>
  <c r="P87" i="9"/>
  <c r="BI4" i="69" a="1"/>
  <c r="BI4" i="69" s="1"/>
  <c r="BT23" i="4"/>
  <c r="F26" i="72"/>
  <c r="F52" i="72"/>
  <c r="BN94" i="69"/>
  <c r="F30" i="72"/>
  <c r="F43" i="72"/>
  <c r="BT94" i="72"/>
  <c r="I67" i="72"/>
  <c r="AS95" i="72"/>
  <c r="BI94" i="72"/>
  <c r="BI96" i="72"/>
  <c r="M58" i="72"/>
  <c r="F61" i="4"/>
  <c r="P92" i="9"/>
  <c r="AD83" i="4"/>
  <c r="F83" i="72" s="1"/>
  <c r="F20" i="72"/>
  <c r="CW70" i="4"/>
  <c r="CX70" i="4" s="1"/>
  <c r="BF36" i="4"/>
  <c r="P68" i="9"/>
  <c r="AI95" i="72"/>
  <c r="I19" i="69"/>
  <c r="I32" i="69"/>
  <c r="AQ4" i="69" a="1"/>
  <c r="AQ4" i="69" s="1"/>
  <c r="DA83" i="4" a="1"/>
  <c r="DA83" i="4" s="1"/>
  <c r="BI65" i="4"/>
  <c r="BK65" i="4"/>
  <c r="L65" i="4" s="1"/>
  <c r="CA65" i="4" s="1"/>
  <c r="DF65" i="4"/>
  <c r="BJ65" i="4"/>
  <c r="AE94" i="69" a="1"/>
  <c r="AE94" i="69" s="1"/>
  <c r="AS94" i="69" s="1" a="1"/>
  <c r="AS94" i="69" s="1"/>
  <c r="W92" i="22"/>
  <c r="Y92" i="22" s="1"/>
  <c r="F307" i="15" a="1"/>
  <c r="F307" i="15" s="1"/>
  <c r="I307" i="15" s="1" a="1"/>
  <c r="I307" i="15" s="1"/>
  <c r="DE65" i="4"/>
  <c r="CW65" i="4"/>
  <c r="CX65" i="4" s="1"/>
  <c r="E65" i="4"/>
  <c r="AP61" i="4"/>
  <c r="AV363" i="13" s="1"/>
  <c r="AV463" i="13" s="1"/>
  <c r="AD78" i="4"/>
  <c r="F78" i="69" s="1"/>
  <c r="AV1292" i="13"/>
  <c r="S95" i="69"/>
  <c r="B95" i="69"/>
  <c r="B95" i="72"/>
  <c r="S95" i="72"/>
  <c r="AH95" i="4"/>
  <c r="G14" i="27"/>
  <c r="CW58" i="4"/>
  <c r="CX58" i="4" s="1"/>
  <c r="I24" i="69"/>
  <c r="I70" i="72"/>
  <c r="F39" i="72"/>
  <c r="Z74" i="4"/>
  <c r="AV1271" i="13" s="1"/>
  <c r="CY60" i="4"/>
  <c r="CZ60" i="4" s="1"/>
  <c r="DA23" i="4" a="1"/>
  <c r="DA23" i="4" s="1"/>
  <c r="I47" i="72"/>
  <c r="I37" i="72"/>
  <c r="BC95" i="69"/>
  <c r="AD95" i="4"/>
  <c r="X4" i="4"/>
  <c r="P21" i="9"/>
  <c r="P8" i="9"/>
  <c r="AL95" i="4"/>
  <c r="BW58" i="72"/>
  <c r="E58" i="72"/>
  <c r="I54" i="72"/>
  <c r="F72" i="72"/>
  <c r="F373" i="15" a="1"/>
  <c r="F373" i="15" s="1"/>
  <c r="F88" i="72"/>
  <c r="C58" i="14"/>
  <c r="F50" i="72"/>
  <c r="BT95" i="72"/>
  <c r="P54" i="9"/>
  <c r="F21" i="69"/>
  <c r="BQ58" i="72"/>
  <c r="F15" i="69"/>
  <c r="Z83" i="4"/>
  <c r="AV1280" i="13" s="1"/>
  <c r="F228" i="15" a="1"/>
  <c r="F228" i="15" s="1"/>
  <c r="I38" i="72"/>
  <c r="BF38" i="4"/>
  <c r="AD84" i="4"/>
  <c r="F84" i="69" s="1"/>
  <c r="F16" i="69"/>
  <c r="AD74" i="4"/>
  <c r="F74" i="69" s="1"/>
  <c r="F86" i="4"/>
  <c r="I13" i="72"/>
  <c r="BN96" i="69"/>
  <c r="BD17" i="4"/>
  <c r="F18" i="69"/>
  <c r="I64" i="69"/>
  <c r="I85" i="69"/>
  <c r="AH92" i="4"/>
  <c r="AV1388" i="13" s="1"/>
  <c r="I51" i="72"/>
  <c r="I33" i="69"/>
  <c r="AH66" i="4"/>
  <c r="AV1362" i="13" s="1"/>
  <c r="P96" i="9"/>
  <c r="AN58" i="72"/>
  <c r="I11" i="69"/>
  <c r="Z61" i="4"/>
  <c r="AV1258" i="13" s="1"/>
  <c r="AP87" i="4"/>
  <c r="AV389" i="13" s="1"/>
  <c r="AV489" i="13" s="1"/>
  <c r="F40" i="72"/>
  <c r="F38" i="72"/>
  <c r="F34" i="72"/>
  <c r="I14" i="69"/>
  <c r="AP66" i="4"/>
  <c r="AV368" i="13" s="1"/>
  <c r="AV468" i="13" s="1"/>
  <c r="I45" i="72"/>
  <c r="AT95" i="69" a="1"/>
  <c r="AT95" i="69" s="1"/>
  <c r="AP78" i="4"/>
  <c r="AV380" i="13" s="1"/>
  <c r="AV480" i="13" s="1"/>
  <c r="F448" i="15" a="1"/>
  <c r="F448" i="15" s="1"/>
  <c r="I73" i="72"/>
  <c r="F12" i="72"/>
  <c r="CW61" i="4"/>
  <c r="CX61" i="4" s="1"/>
  <c r="P7" i="9"/>
  <c r="AL74" i="4"/>
  <c r="L615" i="15" a="1"/>
  <c r="L615" i="15" s="1"/>
  <c r="AL61" i="4"/>
  <c r="I61" i="72" s="1"/>
  <c r="AH61" i="4"/>
  <c r="AV1357" i="13" s="1"/>
  <c r="DA61" i="4" a="1"/>
  <c r="DA61" i="4" s="1"/>
  <c r="Z79" i="4"/>
  <c r="AV1276" i="13" s="1"/>
  <c r="M554" i="15" a="1"/>
  <c r="M554" i="15" s="1"/>
  <c r="F24" i="72"/>
  <c r="F102" i="15" a="1"/>
  <c r="F102" i="15" s="1"/>
  <c r="I102" i="15" s="1" a="1"/>
  <c r="I102" i="15" s="1"/>
  <c r="I53" i="69"/>
  <c r="F89" i="4"/>
  <c r="AL89" i="4"/>
  <c r="I89" i="69" s="1"/>
  <c r="F32" i="69"/>
  <c r="AL92" i="4"/>
  <c r="I92" i="72" s="1"/>
  <c r="DA63" i="4" a="1"/>
  <c r="DA63" i="4" s="1"/>
  <c r="F91" i="4"/>
  <c r="F78" i="4"/>
  <c r="CW23" i="4"/>
  <c r="CX23" i="4" s="1"/>
  <c r="F19" i="72"/>
  <c r="F8" i="72"/>
  <c r="P77" i="9"/>
  <c r="L494" i="15" a="1"/>
  <c r="L494" i="15" s="1"/>
  <c r="FE33" i="71"/>
  <c r="H368" i="15" a="1"/>
  <c r="H368" i="15" s="1"/>
  <c r="I49" i="72"/>
  <c r="BD33" i="4"/>
  <c r="X33" i="4" s="1"/>
  <c r="DA58" i="4" a="1"/>
  <c r="DA58" i="4" s="1"/>
  <c r="AE58" i="69" a="1"/>
  <c r="AE58" i="69" s="1"/>
  <c r="AP58" i="69" s="1" a="1"/>
  <c r="AP58" i="69" s="1"/>
  <c r="I34" i="72"/>
  <c r="M498" i="15" a="1"/>
  <c r="M498" i="15" s="1"/>
  <c r="JU37" i="71"/>
  <c r="K648" i="15" a="1"/>
  <c r="K648" i="15" s="1"/>
  <c r="AF94" i="72" a="1"/>
  <c r="AF94" i="72" s="1"/>
  <c r="BB94" i="72" s="1" a="1"/>
  <c r="BB94" i="72" s="1"/>
  <c r="F36" i="69"/>
  <c r="P73" i="9"/>
  <c r="F49" i="72"/>
  <c r="AZ96" i="72" a="1"/>
  <c r="AZ96" i="72" s="1"/>
  <c r="AM58" i="69"/>
  <c r="H76" i="15" a="1"/>
  <c r="H76" i="15" s="1"/>
  <c r="F13" i="69"/>
  <c r="BI95" i="72"/>
  <c r="F603" i="15" a="1"/>
  <c r="F603" i="15" s="1"/>
  <c r="I603" i="15" s="1" a="1"/>
  <c r="I603" i="15" s="1"/>
  <c r="HD37" i="71"/>
  <c r="E73" i="15"/>
  <c r="FE17" i="71"/>
  <c r="AI20" i="27"/>
  <c r="AJ21" i="27" s="1"/>
  <c r="I72" i="72"/>
  <c r="T58" i="69"/>
  <c r="BA58" i="69" s="1"/>
  <c r="AH76" i="4"/>
  <c r="AV1372" i="13" s="1"/>
  <c r="AP89" i="4"/>
  <c r="AV391" i="13" s="1"/>
  <c r="AV491" i="13" s="1"/>
  <c r="F25" i="72"/>
  <c r="I8" i="72"/>
  <c r="E58" i="69"/>
  <c r="AD82" i="4"/>
  <c r="F82" i="72" s="1"/>
  <c r="I48" i="69"/>
  <c r="AT94" i="69" a="1"/>
  <c r="AT94" i="69" s="1"/>
  <c r="P78" i="9"/>
  <c r="P9" i="9"/>
  <c r="FE22" i="71"/>
  <c r="AH90" i="4"/>
  <c r="AV1386" i="13" s="1"/>
  <c r="F86" i="72"/>
  <c r="DF93" i="4"/>
  <c r="BK93" i="4"/>
  <c r="BI93" i="4"/>
  <c r="BJ93" i="4"/>
  <c r="BK96" i="4"/>
  <c r="BJ96" i="4"/>
  <c r="DF96" i="4"/>
  <c r="BI96" i="4"/>
  <c r="BK85" i="4"/>
  <c r="BJ85" i="4"/>
  <c r="DF85" i="4"/>
  <c r="BI85" i="4"/>
  <c r="AN55" i="4"/>
  <c r="AO55" i="4"/>
  <c r="BI76" i="4"/>
  <c r="BK76" i="4"/>
  <c r="BJ76" i="4"/>
  <c r="DF76" i="4"/>
  <c r="BJ94" i="4"/>
  <c r="BI94" i="4"/>
  <c r="BK94" i="4"/>
  <c r="DF94" i="4"/>
  <c r="BK70" i="4"/>
  <c r="DF70" i="4"/>
  <c r="BI70" i="4"/>
  <c r="BJ70" i="4"/>
  <c r="BJ95" i="4"/>
  <c r="BI95" i="4"/>
  <c r="DF95" i="4"/>
  <c r="BK95" i="4"/>
  <c r="BK84" i="4"/>
  <c r="DF84" i="4"/>
  <c r="BJ84" i="4"/>
  <c r="BI84" i="4"/>
  <c r="BJ82" i="4"/>
  <c r="DF82" i="4"/>
  <c r="BI82" i="4"/>
  <c r="BK82" i="4"/>
  <c r="BK81" i="4"/>
  <c r="BJ81" i="4"/>
  <c r="DF81" i="4"/>
  <c r="BI81" i="4"/>
  <c r="BK92" i="4"/>
  <c r="BJ92" i="4"/>
  <c r="BI92" i="4"/>
  <c r="DF92" i="4"/>
  <c r="BJ23" i="4"/>
  <c r="BK23" i="4"/>
  <c r="BI23" i="4"/>
  <c r="DF23" i="4"/>
  <c r="BK56" i="4"/>
  <c r="BJ56" i="4"/>
  <c r="BI56" i="4"/>
  <c r="DF56" i="4"/>
  <c r="BJ80" i="4"/>
  <c r="BK80" i="4"/>
  <c r="BI80" i="4"/>
  <c r="DF80" i="4"/>
  <c r="BI58" i="4"/>
  <c r="DF58" i="4"/>
  <c r="BJ58" i="4"/>
  <c r="BK58" i="4"/>
  <c r="BK63" i="4"/>
  <c r="BI63" i="4"/>
  <c r="DF63" i="4"/>
  <c r="BJ63" i="4"/>
  <c r="BJ88" i="4"/>
  <c r="BK88" i="4"/>
  <c r="BI88" i="4"/>
  <c r="DF88" i="4"/>
  <c r="BK77" i="4"/>
  <c r="BL77" i="4" s="1"/>
  <c r="BJ77" i="4"/>
  <c r="DF77" i="4"/>
  <c r="BI77" i="4"/>
  <c r="BI57" i="4"/>
  <c r="BK57" i="4"/>
  <c r="BJ57" i="4"/>
  <c r="DF57" i="4"/>
  <c r="DF68" i="4"/>
  <c r="BJ68" i="4"/>
  <c r="BI68" i="4"/>
  <c r="BK68" i="4"/>
  <c r="DF79" i="4"/>
  <c r="BK79" i="4"/>
  <c r="BI79" i="4"/>
  <c r="BJ79" i="4"/>
  <c r="BI71" i="4"/>
  <c r="BK71" i="4"/>
  <c r="BL71" i="4" s="1"/>
  <c r="BJ71" i="4"/>
  <c r="DF71" i="4"/>
  <c r="AJ55" i="4"/>
  <c r="AI55" i="4"/>
  <c r="BK66" i="4"/>
  <c r="DF66" i="4"/>
  <c r="BI66" i="4"/>
  <c r="BJ66" i="4"/>
  <c r="BK91" i="4"/>
  <c r="DF91" i="4"/>
  <c r="BI91" i="4"/>
  <c r="BJ91" i="4"/>
  <c r="BK69" i="4"/>
  <c r="DF69" i="4"/>
  <c r="BI69" i="4"/>
  <c r="BJ69" i="4"/>
  <c r="DF74" i="4"/>
  <c r="BJ74" i="4"/>
  <c r="BK74" i="4"/>
  <c r="BI74" i="4"/>
  <c r="BI61" i="4"/>
  <c r="BK61" i="4"/>
  <c r="BJ61" i="4"/>
  <c r="DF61" i="4"/>
  <c r="BJ64" i="4"/>
  <c r="BI64" i="4"/>
  <c r="BK64" i="4"/>
  <c r="DF64" i="4"/>
  <c r="DF67" i="4"/>
  <c r="BK67" i="4"/>
  <c r="BI67" i="4"/>
  <c r="BJ67" i="4"/>
  <c r="AB55" i="4"/>
  <c r="AA55" i="4"/>
  <c r="DB55" i="4" s="1"/>
  <c r="DF89" i="4"/>
  <c r="BI89" i="4"/>
  <c r="BK89" i="4"/>
  <c r="BJ89" i="4"/>
  <c r="BJ62" i="4"/>
  <c r="BI62" i="4"/>
  <c r="BK62" i="4"/>
  <c r="DF62" i="4"/>
  <c r="DF59" i="4"/>
  <c r="BI59" i="4"/>
  <c r="BK59" i="4"/>
  <c r="BJ59" i="4"/>
  <c r="BJ83" i="4"/>
  <c r="DF83" i="4"/>
  <c r="BK83" i="4"/>
  <c r="BL83" i="4" s="1"/>
  <c r="BI83" i="4"/>
  <c r="BJ60" i="4"/>
  <c r="BK60" i="4"/>
  <c r="DF60" i="4"/>
  <c r="BI60" i="4"/>
  <c r="BF60" i="4" s="1"/>
  <c r="DF73" i="4"/>
  <c r="BK73" i="4"/>
  <c r="BJ73" i="4"/>
  <c r="BI73" i="4"/>
  <c r="AF55" i="4"/>
  <c r="AG55" i="4"/>
  <c r="BI90" i="4"/>
  <c r="DF90" i="4"/>
  <c r="BK90" i="4"/>
  <c r="BJ90" i="4"/>
  <c r="B55" i="1"/>
  <c r="B101" i="1" s="1"/>
  <c r="BI86" i="4"/>
  <c r="BK86" i="4"/>
  <c r="DF86" i="4"/>
  <c r="BJ86" i="4"/>
  <c r="BI72" i="4"/>
  <c r="BJ72" i="4"/>
  <c r="BK72" i="4"/>
  <c r="DF72" i="4"/>
  <c r="BK78" i="4"/>
  <c r="BI78" i="4"/>
  <c r="DF78" i="4"/>
  <c r="BJ78" i="4"/>
  <c r="BI87" i="4"/>
  <c r="DF87" i="4"/>
  <c r="BK87" i="4"/>
  <c r="BJ87" i="4"/>
  <c r="F67" i="72"/>
  <c r="F67" i="69"/>
  <c r="AV573" i="13"/>
  <c r="DV71" i="4"/>
  <c r="DV83" i="4"/>
  <c r="AV585" i="13"/>
  <c r="AV579" i="13"/>
  <c r="DV77" i="4"/>
  <c r="H571" i="15" a="1"/>
  <c r="H571" i="15" s="1"/>
  <c r="F571" i="15" a="1"/>
  <c r="F571" i="15" s="1"/>
  <c r="BL37" i="4"/>
  <c r="BM37" i="4" s="1"/>
  <c r="BE37" i="4" s="1" a="1"/>
  <c r="BE37" i="4" s="1"/>
  <c r="DV37" i="4"/>
  <c r="AV539" i="13"/>
  <c r="BH37" i="4"/>
  <c r="M83" i="72"/>
  <c r="BC83" i="72"/>
  <c r="N83" i="72" a="1"/>
  <c r="N83" i="72" s="1"/>
  <c r="J83" i="72"/>
  <c r="V83" i="72"/>
  <c r="AD83" i="72"/>
  <c r="L83" i="72"/>
  <c r="A83" i="72"/>
  <c r="Z83" i="72"/>
  <c r="AT83" i="72"/>
  <c r="Q83" i="72"/>
  <c r="P83" i="72"/>
  <c r="Y83" i="72"/>
  <c r="W83" i="72"/>
  <c r="BQ83" i="72" s="1"/>
  <c r="BV83" i="72"/>
  <c r="AC83" i="72"/>
  <c r="BD83" i="72"/>
  <c r="AA83" i="72"/>
  <c r="AS83" i="72"/>
  <c r="T83" i="72"/>
  <c r="AB83" i="72" a="1"/>
  <c r="AB83" i="72" s="1"/>
  <c r="H48" i="27"/>
  <c r="H19" i="27" s="1"/>
  <c r="AZ58" i="69"/>
  <c r="F76" i="15" a="1"/>
  <c r="F76" i="15" s="1"/>
  <c r="Q53" i="69"/>
  <c r="V53" i="69"/>
  <c r="B53" i="69" s="1"/>
  <c r="AA53" i="69"/>
  <c r="W53" i="69"/>
  <c r="BK53" i="69" s="1"/>
  <c r="G53" i="69"/>
  <c r="N53" i="69" a="1"/>
  <c r="N53" i="69" s="1"/>
  <c r="A53" i="69"/>
  <c r="M53" i="69"/>
  <c r="AX53" i="69"/>
  <c r="S53" i="69"/>
  <c r="U53" i="69" a="1"/>
  <c r="U53" i="69" s="1"/>
  <c r="P53" i="69"/>
  <c r="AN53" i="69"/>
  <c r="AB53" i="69" a="1"/>
  <c r="AB53" i="69" s="1"/>
  <c r="Y53" i="69"/>
  <c r="BP53" i="69"/>
  <c r="J53" i="69"/>
  <c r="Z53" i="69"/>
  <c r="AC53" i="69"/>
  <c r="AM53" i="69"/>
  <c r="T53" i="69"/>
  <c r="AW53" i="69"/>
  <c r="CA25" i="4"/>
  <c r="AU25" i="4"/>
  <c r="AT25" i="4" a="1"/>
  <c r="AT25" i="4" s="1"/>
  <c r="AV25" i="4" a="1"/>
  <c r="AV25" i="4" s="1"/>
  <c r="Y25" i="4"/>
  <c r="BQ25" i="4"/>
  <c r="Y42" i="4"/>
  <c r="AT42" i="4" a="1"/>
  <c r="AT42" i="4" s="1"/>
  <c r="H42" i="69" s="1"/>
  <c r="AU42" i="4"/>
  <c r="AV42" i="4" a="1"/>
  <c r="AV42" i="4" s="1"/>
  <c r="C42" i="69" s="1"/>
  <c r="BQ42" i="4"/>
  <c r="AM67" i="69"/>
  <c r="P67" i="69"/>
  <c r="N67" i="69" a="1"/>
  <c r="N67" i="69" s="1"/>
  <c r="A67" i="69"/>
  <c r="M67" i="69"/>
  <c r="W67" i="69"/>
  <c r="BL67" i="69" s="1" a="1"/>
  <c r="BL67" i="69" s="1"/>
  <c r="J67" i="69"/>
  <c r="V67" i="69"/>
  <c r="B67" i="69" s="1"/>
  <c r="Q67" i="69"/>
  <c r="AW67" i="69"/>
  <c r="AN67" i="69"/>
  <c r="AA67" i="69"/>
  <c r="Y67" i="69"/>
  <c r="AB67" i="69" a="1"/>
  <c r="AB67" i="69" s="1"/>
  <c r="AC67" i="69"/>
  <c r="T67" i="69"/>
  <c r="BP67" i="69"/>
  <c r="Z67" i="69"/>
  <c r="L67" i="69"/>
  <c r="AX67" i="69"/>
  <c r="U67" i="69" a="1"/>
  <c r="U67" i="69" s="1"/>
  <c r="S67" i="69"/>
  <c r="Z90" i="69"/>
  <c r="V90" i="69"/>
  <c r="W90" i="69"/>
  <c r="BK90" i="69" s="1"/>
  <c r="L90" i="69"/>
  <c r="AM90" i="69"/>
  <c r="BP90" i="69"/>
  <c r="Q90" i="69"/>
  <c r="AC90" i="69"/>
  <c r="AB90" i="69" a="1"/>
  <c r="AB90" i="69" s="1"/>
  <c r="P90" i="69"/>
  <c r="A90" i="69"/>
  <c r="T90" i="69"/>
  <c r="N90" i="69" a="1"/>
  <c r="N90" i="69" s="1"/>
  <c r="J90" i="69"/>
  <c r="AW90" i="69"/>
  <c r="AN90" i="69"/>
  <c r="U90" i="69" a="1"/>
  <c r="U90" i="69" s="1"/>
  <c r="AX90" i="69"/>
  <c r="AA90" i="69"/>
  <c r="M90" i="69"/>
  <c r="Y90" i="69"/>
  <c r="AA33" i="69"/>
  <c r="W33" i="69"/>
  <c r="BL33" i="69" s="1" a="1"/>
  <c r="BL33" i="69" s="1"/>
  <c r="J33" i="69"/>
  <c r="Q33" i="69"/>
  <c r="P33" i="69"/>
  <c r="A33" i="69"/>
  <c r="N33" i="69" a="1"/>
  <c r="N33" i="69" s="1"/>
  <c r="BP33" i="69"/>
  <c r="Y33" i="69"/>
  <c r="S33" i="69"/>
  <c r="AW33" i="69"/>
  <c r="M33" i="69"/>
  <c r="G33" i="69"/>
  <c r="AC33" i="69"/>
  <c r="T33" i="69"/>
  <c r="Z33" i="69"/>
  <c r="AB33" i="69" a="1"/>
  <c r="AB33" i="69" s="1"/>
  <c r="V33" i="69"/>
  <c r="B33" i="69" s="1"/>
  <c r="AN33" i="69"/>
  <c r="AX33" i="69"/>
  <c r="U33" i="69" a="1"/>
  <c r="U33" i="69" s="1"/>
  <c r="AM33" i="69"/>
  <c r="AC54" i="72"/>
  <c r="AD54" i="72"/>
  <c r="AB54" i="72" a="1"/>
  <c r="AB54" i="72" s="1"/>
  <c r="AT54" i="72"/>
  <c r="A54" i="72"/>
  <c r="M54" i="72"/>
  <c r="T54" i="72"/>
  <c r="G54" i="72"/>
  <c r="J54" i="72"/>
  <c r="Q54" i="72"/>
  <c r="S54" i="72"/>
  <c r="U54" i="72" a="1"/>
  <c r="U54" i="72" s="1"/>
  <c r="AS54" i="72"/>
  <c r="N54" i="72" a="1"/>
  <c r="N54" i="72" s="1"/>
  <c r="BD54" i="72"/>
  <c r="AA54" i="72"/>
  <c r="P54" i="72"/>
  <c r="W54" i="72"/>
  <c r="BR54" i="72" s="1" a="1"/>
  <c r="BR54" i="72" s="1"/>
  <c r="BV54" i="72"/>
  <c r="V54" i="72"/>
  <c r="B54" i="72" s="1"/>
  <c r="Y54" i="72"/>
  <c r="Z54" i="72"/>
  <c r="BC54" i="72"/>
  <c r="AV24" i="4" a="1"/>
  <c r="AV24" i="4" s="1"/>
  <c r="C24" i="69" s="1"/>
  <c r="AT24" i="4" a="1"/>
  <c r="AT24" i="4" s="1"/>
  <c r="H24" i="69" s="1"/>
  <c r="Y24" i="4"/>
  <c r="AU24" i="4"/>
  <c r="BQ24" i="4"/>
  <c r="CY24" i="4"/>
  <c r="CZ24" i="4" s="1"/>
  <c r="CA38" i="4"/>
  <c r="Y38" i="4"/>
  <c r="AT38" i="4" a="1"/>
  <c r="AT38" i="4" s="1"/>
  <c r="H38" i="72" s="1"/>
  <c r="AV38" i="4" a="1"/>
  <c r="AV38" i="4" s="1"/>
  <c r="C38" i="72" s="1"/>
  <c r="AU38" i="4"/>
  <c r="BQ38" i="4"/>
  <c r="F274" i="15" a="1"/>
  <c r="F274" i="15" s="1"/>
  <c r="AL80" i="4"/>
  <c r="Z69" i="4"/>
  <c r="AV1266" i="13" s="1"/>
  <c r="AP93" i="4"/>
  <c r="AV395" i="13" s="1"/>
  <c r="AV495" i="13" s="1"/>
  <c r="DE93" i="4"/>
  <c r="E93" i="4"/>
  <c r="BT93" i="4" s="1"/>
  <c r="BT37" i="4"/>
  <c r="AD17" i="27"/>
  <c r="BD53" i="4"/>
  <c r="BT53" i="4"/>
  <c r="F241" i="15" a="1"/>
  <c r="F241" i="15" s="1"/>
  <c r="H241" i="15" a="1"/>
  <c r="H241" i="15" s="1"/>
  <c r="F421" i="15" a="1"/>
  <c r="F421" i="15" s="1"/>
  <c r="AD71" i="4"/>
  <c r="N40" i="72" a="1"/>
  <c r="N40" i="72" s="1"/>
  <c r="M40" i="72"/>
  <c r="G40" i="72"/>
  <c r="AS40" i="72"/>
  <c r="S40" i="72"/>
  <c r="AT40" i="72"/>
  <c r="BC40" i="72"/>
  <c r="AD40" i="72"/>
  <c r="BD40" i="72"/>
  <c r="AA40" i="72"/>
  <c r="BV40" i="72"/>
  <c r="W40" i="72"/>
  <c r="BR40" i="72" s="1" a="1"/>
  <c r="BR40" i="72" s="1"/>
  <c r="L40" i="72"/>
  <c r="J40" i="72"/>
  <c r="AC40" i="72"/>
  <c r="Z40" i="72"/>
  <c r="V40" i="72"/>
  <c r="B40" i="72" s="1"/>
  <c r="P40" i="72"/>
  <c r="AB40" i="72" a="1"/>
  <c r="AB40" i="72" s="1"/>
  <c r="Y40" i="72"/>
  <c r="A40" i="72"/>
  <c r="U40" i="72" a="1"/>
  <c r="U40" i="72" s="1"/>
  <c r="T40" i="72"/>
  <c r="Q40" i="72"/>
  <c r="AH79" i="4"/>
  <c r="AV1375" i="13" s="1"/>
  <c r="E430" i="15"/>
  <c r="F482" i="15" a="1"/>
  <c r="F482" i="15" s="1"/>
  <c r="AI94" i="72"/>
  <c r="AN94" i="72"/>
  <c r="P66" i="9"/>
  <c r="S94" i="69"/>
  <c r="E255" i="15"/>
  <c r="F254" i="15" s="1" a="1"/>
  <c r="F254" i="15" s="1"/>
  <c r="E400" i="15"/>
  <c r="G96" i="72"/>
  <c r="JF37" i="71"/>
  <c r="JO37" i="71"/>
  <c r="P41" i="9"/>
  <c r="HA37" i="71"/>
  <c r="E555" i="15"/>
  <c r="K554" i="15" s="1" a="1"/>
  <c r="K554" i="15" s="1"/>
  <c r="J94" i="72"/>
  <c r="E431" i="15"/>
  <c r="E518" i="15"/>
  <c r="F516" i="15" s="1" a="1"/>
  <c r="F516" i="15" s="1"/>
  <c r="AX1325" i="13"/>
  <c r="A1424" i="13"/>
  <c r="BM10" i="4"/>
  <c r="BE10" i="4" s="1" a="1"/>
  <c r="BE10" i="4" s="1"/>
  <c r="BJ10" i="72"/>
  <c r="BD10" i="69"/>
  <c r="AE10" i="72"/>
  <c r="AD10" i="69"/>
  <c r="BF10" i="69"/>
  <c r="O10" i="72"/>
  <c r="BL10" i="72"/>
  <c r="O10" i="69"/>
  <c r="AL84" i="4"/>
  <c r="Z91" i="4"/>
  <c r="AV1288" i="13" s="1"/>
  <c r="AL76" i="4"/>
  <c r="AU19" i="4"/>
  <c r="AT19" i="4" a="1"/>
  <c r="AT19" i="4" s="1"/>
  <c r="Y19" i="4"/>
  <c r="AV19" i="4" a="1"/>
  <c r="AV19" i="4" s="1"/>
  <c r="CY19" i="4"/>
  <c r="CZ19" i="4" s="1"/>
  <c r="BQ19" i="4"/>
  <c r="DD46" i="4" a="1"/>
  <c r="DD46" i="4" s="1"/>
  <c r="DD43" i="4" a="1"/>
  <c r="DD43" i="4" s="1"/>
  <c r="DD32" i="4" a="1"/>
  <c r="DD32" i="4" s="1"/>
  <c r="DD25" i="4" a="1"/>
  <c r="DD25" i="4" s="1"/>
  <c r="AX1369" i="13"/>
  <c r="A1468" i="13"/>
  <c r="AD32" i="72"/>
  <c r="T32" i="72"/>
  <c r="BV32" i="72"/>
  <c r="BC32" i="72"/>
  <c r="AC32" i="72"/>
  <c r="Z32" i="72"/>
  <c r="AS32" i="72"/>
  <c r="W32" i="72"/>
  <c r="A32" i="72"/>
  <c r="Q32" i="72"/>
  <c r="U32" i="72" a="1"/>
  <c r="U32" i="72" s="1"/>
  <c r="N32" i="72" a="1"/>
  <c r="N32" i="72" s="1"/>
  <c r="J32" i="72"/>
  <c r="S32" i="72"/>
  <c r="BD32" i="72"/>
  <c r="AB32" i="72" a="1"/>
  <c r="AB32" i="72" s="1"/>
  <c r="M32" i="72"/>
  <c r="V32" i="72"/>
  <c r="B32" i="72" s="1"/>
  <c r="Y32" i="72"/>
  <c r="P32" i="72"/>
  <c r="AT32" i="72"/>
  <c r="G32" i="72"/>
  <c r="L32" i="72"/>
  <c r="AA32" i="72"/>
  <c r="AL93" i="4"/>
  <c r="I27" i="69"/>
  <c r="F95" i="69"/>
  <c r="F95" i="72"/>
  <c r="AX1387" i="13"/>
  <c r="A1486" i="13"/>
  <c r="AX12" i="69"/>
  <c r="BP12" i="69"/>
  <c r="J12" i="69"/>
  <c r="U12" i="69" a="1"/>
  <c r="U12" i="69" s="1"/>
  <c r="AM12" i="69"/>
  <c r="L12" i="69"/>
  <c r="AB12" i="69" a="1"/>
  <c r="AB12" i="69" s="1"/>
  <c r="AC12" i="69"/>
  <c r="V12" i="69"/>
  <c r="B12" i="69" s="1"/>
  <c r="AN12" i="69"/>
  <c r="A12" i="69"/>
  <c r="S12" i="69"/>
  <c r="W12" i="69"/>
  <c r="BL12" i="69" s="1" a="1"/>
  <c r="BL12" i="69" s="1"/>
  <c r="N12" i="69" a="1"/>
  <c r="N12" i="69" s="1"/>
  <c r="AW12" i="69"/>
  <c r="G12" i="69"/>
  <c r="P12" i="69"/>
  <c r="Z12" i="69"/>
  <c r="K12" i="69" a="1"/>
  <c r="K12" i="69" s="1"/>
  <c r="Y12" i="69"/>
  <c r="T12" i="69"/>
  <c r="M12" i="69"/>
  <c r="AA12" i="69"/>
  <c r="Q12" i="69"/>
  <c r="P59" i="72"/>
  <c r="Q59" i="72"/>
  <c r="BC59" i="72"/>
  <c r="Z59" i="72"/>
  <c r="M59" i="72"/>
  <c r="N59" i="72" a="1"/>
  <c r="N59" i="72" s="1"/>
  <c r="T59" i="72"/>
  <c r="AS59" i="72"/>
  <c r="AT59" i="72"/>
  <c r="J59" i="72"/>
  <c r="V59" i="72"/>
  <c r="A59" i="72"/>
  <c r="BV59" i="72"/>
  <c r="AC59" i="72"/>
  <c r="W59" i="72"/>
  <c r="BQ59" i="72" s="1"/>
  <c r="U59" i="72" a="1"/>
  <c r="U59" i="72" s="1"/>
  <c r="AB59" i="72" a="1"/>
  <c r="AB59" i="72" s="1"/>
  <c r="Y59" i="72"/>
  <c r="AA59" i="72"/>
  <c r="BD59" i="72"/>
  <c r="AD59" i="72"/>
  <c r="AX1358" i="13"/>
  <c r="A1457" i="13"/>
  <c r="Y18" i="4"/>
  <c r="AU18" i="4"/>
  <c r="AT18" i="4" a="1"/>
  <c r="AT18" i="4" s="1"/>
  <c r="H18" i="72" s="1"/>
  <c r="AV18" i="4" a="1"/>
  <c r="AV18" i="4" s="1"/>
  <c r="C18" i="72" s="1"/>
  <c r="BQ18" i="4"/>
  <c r="F226" i="15" a="1"/>
  <c r="F226" i="15" s="1"/>
  <c r="H226" i="15" a="1"/>
  <c r="H226" i="15" s="1"/>
  <c r="S27" i="72"/>
  <c r="AC27" i="72"/>
  <c r="N27" i="72" a="1"/>
  <c r="N27" i="72" s="1"/>
  <c r="BD27" i="72"/>
  <c r="AA27" i="72"/>
  <c r="AD27" i="72"/>
  <c r="AB27" i="72" a="1"/>
  <c r="AB27" i="72" s="1"/>
  <c r="M27" i="72"/>
  <c r="AT27" i="72"/>
  <c r="A27" i="72"/>
  <c r="G27" i="72"/>
  <c r="P27" i="72"/>
  <c r="Q27" i="72"/>
  <c r="J27" i="72"/>
  <c r="BC27" i="72"/>
  <c r="Z27" i="72"/>
  <c r="Y27" i="72"/>
  <c r="BV27" i="72"/>
  <c r="AS27" i="72"/>
  <c r="U27" i="72" a="1"/>
  <c r="U27" i="72" s="1"/>
  <c r="W27" i="72"/>
  <c r="BR27" i="72" s="1" a="1"/>
  <c r="BR27" i="72" s="1"/>
  <c r="T27" i="72"/>
  <c r="V27" i="72"/>
  <c r="B27" i="72" s="1"/>
  <c r="AV1333" i="13"/>
  <c r="AV1296" i="13" s="1" a="1"/>
  <c r="AV1296" i="13" s="1"/>
  <c r="I9" i="27"/>
  <c r="CW96" i="4"/>
  <c r="CX96" i="4" s="1"/>
  <c r="E96" i="4"/>
  <c r="DE96" i="4"/>
  <c r="AV32" i="4" a="1"/>
  <c r="AV32" i="4" s="1"/>
  <c r="C32" i="69" s="1"/>
  <c r="AU32" i="4"/>
  <c r="AT32" i="4" a="1"/>
  <c r="AT32" i="4" s="1"/>
  <c r="H32" i="72" s="1"/>
  <c r="Y32" i="4"/>
  <c r="BQ32" i="4"/>
  <c r="CY32" i="4"/>
  <c r="CZ32" i="4" s="1"/>
  <c r="AV548" i="13"/>
  <c r="DV46" i="4"/>
  <c r="BL46" i="4"/>
  <c r="BM46" i="4" s="1"/>
  <c r="BE46" i="4" s="1" a="1"/>
  <c r="BE46" i="4" s="1"/>
  <c r="BH46" i="4"/>
  <c r="A1474" i="13"/>
  <c r="AX1375" i="13"/>
  <c r="F238" i="15" a="1"/>
  <c r="F238" i="15" s="1"/>
  <c r="BF17" i="4"/>
  <c r="BG5" i="4"/>
  <c r="AV1103" i="13" s="1"/>
  <c r="BR194" i="4"/>
  <c r="BF8" i="4"/>
  <c r="BG15" i="4"/>
  <c r="AV1113" i="13" s="1"/>
  <c r="X15" i="4"/>
  <c r="BR15" i="4"/>
  <c r="BF15" i="69" s="1"/>
  <c r="BG16" i="4"/>
  <c r="AV1114" i="13" s="1"/>
  <c r="X16" i="4"/>
  <c r="BR16" i="4"/>
  <c r="O16" i="72" s="1"/>
  <c r="BG7" i="4"/>
  <c r="AV1105" i="13" s="1"/>
  <c r="X50" i="4"/>
  <c r="BR50" i="4"/>
  <c r="O50" i="69" s="1"/>
  <c r="BG50" i="4"/>
  <c r="AV1148" i="13" s="1"/>
  <c r="F108" i="15" a="1"/>
  <c r="F108" i="15" s="1"/>
  <c r="AI58" i="72"/>
  <c r="G83" i="69"/>
  <c r="N83" i="69" a="1"/>
  <c r="N83" i="69" s="1"/>
  <c r="Q83" i="69"/>
  <c r="AC83" i="69"/>
  <c r="S83" i="69"/>
  <c r="T83" i="69"/>
  <c r="A83" i="69"/>
  <c r="AB83" i="69" a="1"/>
  <c r="AB83" i="69" s="1"/>
  <c r="W83" i="69"/>
  <c r="BK83" i="69" s="1"/>
  <c r="AA83" i="69"/>
  <c r="AW83" i="69"/>
  <c r="BP83" i="69"/>
  <c r="J83" i="69"/>
  <c r="Y83" i="69"/>
  <c r="P83" i="69"/>
  <c r="L83" i="69"/>
  <c r="M83" i="69"/>
  <c r="AM83" i="69"/>
  <c r="V83" i="69"/>
  <c r="B83" i="69" s="1"/>
  <c r="AN83" i="69"/>
  <c r="AX83" i="69"/>
  <c r="Z83" i="69"/>
  <c r="I448" i="15" a="1"/>
  <c r="I448" i="15" s="1"/>
  <c r="A1420" i="13"/>
  <c r="AX1321" i="13"/>
  <c r="BH34" i="4"/>
  <c r="BL34" i="4"/>
  <c r="BM34" i="4" s="1"/>
  <c r="BE34" i="4" s="1" a="1"/>
  <c r="BE34" i="4" s="1"/>
  <c r="AV536" i="13"/>
  <c r="DV34" i="4"/>
  <c r="AV533" i="13"/>
  <c r="DV31" i="4"/>
  <c r="BH31" i="4"/>
  <c r="BL31" i="4"/>
  <c r="BM31" i="4" s="1"/>
  <c r="BE31" i="4" s="1" a="1"/>
  <c r="BE31" i="4" s="1"/>
  <c r="F65" i="72"/>
  <c r="AA81" i="72"/>
  <c r="T81" i="72"/>
  <c r="Y81" i="72"/>
  <c r="BC81" i="72"/>
  <c r="AD81" i="72"/>
  <c r="AS81" i="72"/>
  <c r="Q81" i="72"/>
  <c r="AC81" i="72"/>
  <c r="J81" i="72"/>
  <c r="Z81" i="72"/>
  <c r="V81" i="72"/>
  <c r="B81" i="72" s="1"/>
  <c r="P81" i="72"/>
  <c r="M81" i="72"/>
  <c r="BD81" i="72"/>
  <c r="W81" i="72"/>
  <c r="L81" i="72" s="1"/>
  <c r="A81" i="72"/>
  <c r="BV81" i="72"/>
  <c r="AT81" i="72"/>
  <c r="AB81" i="72" a="1"/>
  <c r="AB81" i="72" s="1"/>
  <c r="N81" i="72" a="1"/>
  <c r="N81" i="72" s="1"/>
  <c r="S81" i="72"/>
  <c r="N6" i="72" a="1"/>
  <c r="N6" i="72" s="1"/>
  <c r="A6" i="72"/>
  <c r="P6" i="72"/>
  <c r="Z6" i="72"/>
  <c r="AT6" i="72"/>
  <c r="U6" i="72" a="1"/>
  <c r="U6" i="72" s="1"/>
  <c r="T6" i="72"/>
  <c r="AB6" i="72" a="1"/>
  <c r="AB6" i="72" s="1"/>
  <c r="K6" i="72" a="1"/>
  <c r="K6" i="72" s="1"/>
  <c r="Y6" i="72"/>
  <c r="AC6" i="72"/>
  <c r="M6" i="72"/>
  <c r="V6" i="72"/>
  <c r="B6" i="72" s="1"/>
  <c r="BC6" i="72"/>
  <c r="AS6" i="72"/>
  <c r="Q6" i="72"/>
  <c r="J6" i="72"/>
  <c r="G6" i="72"/>
  <c r="AA6" i="72"/>
  <c r="S6" i="72"/>
  <c r="BV6" i="72"/>
  <c r="AD6" i="72"/>
  <c r="BD6" i="72"/>
  <c r="W6" i="72"/>
  <c r="AA76" i="72"/>
  <c r="Z76" i="72"/>
  <c r="AB76" i="72" a="1"/>
  <c r="AB76" i="72" s="1"/>
  <c r="M76" i="72"/>
  <c r="BV76" i="72"/>
  <c r="G76" i="72"/>
  <c r="P76" i="72"/>
  <c r="Q76" i="72"/>
  <c r="N76" i="72" a="1"/>
  <c r="N76" i="72" s="1"/>
  <c r="J76" i="72"/>
  <c r="V76" i="72"/>
  <c r="Y76" i="72"/>
  <c r="AT76" i="72"/>
  <c r="W76" i="72"/>
  <c r="BR76" i="72" s="1" a="1"/>
  <c r="BR76" i="72" s="1"/>
  <c r="AC76" i="72"/>
  <c r="AD76" i="72"/>
  <c r="T76" i="72"/>
  <c r="BC76" i="72"/>
  <c r="A76" i="72"/>
  <c r="BD76" i="72"/>
  <c r="AS76" i="72"/>
  <c r="BL51" i="4"/>
  <c r="BM51" i="4" s="1"/>
  <c r="BE51" i="4" s="1" a="1"/>
  <c r="BE51" i="4" s="1"/>
  <c r="AV553" i="13"/>
  <c r="DV51" i="4"/>
  <c r="BH51" i="4"/>
  <c r="F75" i="72"/>
  <c r="AH89" i="4"/>
  <c r="AV1385" i="13" s="1"/>
  <c r="AX1320" i="13"/>
  <c r="A1419" i="13"/>
  <c r="AX1380" i="13"/>
  <c r="A1479" i="13"/>
  <c r="BV48" i="72"/>
  <c r="AD48" i="72"/>
  <c r="S48" i="72"/>
  <c r="J48" i="72"/>
  <c r="Z48" i="72"/>
  <c r="U48" i="72" a="1"/>
  <c r="U48" i="72" s="1"/>
  <c r="Q48" i="72"/>
  <c r="BC48" i="72"/>
  <c r="Y48" i="72"/>
  <c r="AT48" i="72"/>
  <c r="P48" i="72"/>
  <c r="M48" i="72"/>
  <c r="BD48" i="72"/>
  <c r="G48" i="72"/>
  <c r="AC48" i="72"/>
  <c r="T48" i="72"/>
  <c r="AS48" i="72"/>
  <c r="AA48" i="72"/>
  <c r="N48" i="72" a="1"/>
  <c r="N48" i="72" s="1"/>
  <c r="W48" i="72"/>
  <c r="V48" i="72"/>
  <c r="B48" i="72" s="1"/>
  <c r="A48" i="72"/>
  <c r="AB48" i="72" a="1"/>
  <c r="AB48" i="72" s="1"/>
  <c r="BW94" i="72"/>
  <c r="AU94" i="72" a="1"/>
  <c r="AU94" i="72" s="1"/>
  <c r="E180" i="15"/>
  <c r="E240" i="15"/>
  <c r="H238" i="15" s="1" a="1"/>
  <c r="H238" i="15" s="1"/>
  <c r="JI37" i="71"/>
  <c r="E608" i="15"/>
  <c r="E328" i="15"/>
  <c r="P20" i="9"/>
  <c r="P13" i="9"/>
  <c r="P44" i="9"/>
  <c r="P90" i="9"/>
  <c r="E506" i="15"/>
  <c r="E481" i="15"/>
  <c r="P65" i="9"/>
  <c r="P10" i="9"/>
  <c r="E349" i="15"/>
  <c r="P45" i="9"/>
  <c r="AZ95" i="69"/>
  <c r="BA95" i="69"/>
  <c r="GU37" i="71"/>
  <c r="IT37" i="71"/>
  <c r="AV20" i="4" a="1"/>
  <c r="AV20" i="4" s="1"/>
  <c r="C20" i="72" s="1"/>
  <c r="Y20" i="4"/>
  <c r="AU20" i="4"/>
  <c r="AT20" i="4" a="1"/>
  <c r="AT20" i="4" s="1"/>
  <c r="H20" i="69" s="1"/>
  <c r="BQ20" i="4"/>
  <c r="AD89" i="4"/>
  <c r="AD68" i="4"/>
  <c r="BD31" i="4"/>
  <c r="AF21" i="27"/>
  <c r="CA39" i="4"/>
  <c r="AU39" i="4"/>
  <c r="AT39" i="4" a="1"/>
  <c r="AT39" i="4" s="1"/>
  <c r="H39" i="72" s="1"/>
  <c r="Y39" i="4"/>
  <c r="AV39" i="4" a="1"/>
  <c r="AV39" i="4" s="1"/>
  <c r="C39" i="72" s="1"/>
  <c r="BQ39" i="4"/>
  <c r="DD44" i="4" a="1"/>
  <c r="DD44" i="4" s="1"/>
  <c r="DD33" i="4" a="1"/>
  <c r="DD33" i="4" s="1"/>
  <c r="DD54" i="4" a="1"/>
  <c r="DD54" i="4" s="1"/>
  <c r="BD24" i="4"/>
  <c r="BT24" i="4"/>
  <c r="M32" i="69"/>
  <c r="P32" i="69"/>
  <c r="AB32" i="69" a="1"/>
  <c r="AB32" i="69" s="1"/>
  <c r="Y32" i="69"/>
  <c r="J32" i="69"/>
  <c r="A32" i="69"/>
  <c r="AA32" i="69"/>
  <c r="AC32" i="69"/>
  <c r="AX32" i="69"/>
  <c r="W32" i="69"/>
  <c r="G32" i="69"/>
  <c r="Q32" i="69"/>
  <c r="T32" i="69"/>
  <c r="BP32" i="69"/>
  <c r="Z32" i="69"/>
  <c r="AM32" i="69"/>
  <c r="S32" i="69"/>
  <c r="N32" i="69" a="1"/>
  <c r="N32" i="69" s="1"/>
  <c r="AN32" i="69"/>
  <c r="L32" i="69"/>
  <c r="AW32" i="69"/>
  <c r="U32" i="69" a="1"/>
  <c r="U32" i="69" s="1"/>
  <c r="V32" i="69"/>
  <c r="B32" i="69" s="1"/>
  <c r="AP85" i="4"/>
  <c r="AV387" i="13" s="1"/>
  <c r="AV487" i="13" s="1"/>
  <c r="E85" i="4"/>
  <c r="BT85" i="4" s="1"/>
  <c r="DE85" i="4"/>
  <c r="AX1378" i="13"/>
  <c r="A1477" i="13"/>
  <c r="K497" i="15" a="1"/>
  <c r="K497" i="15" s="1"/>
  <c r="H623" i="15" a="1"/>
  <c r="H623" i="15" s="1"/>
  <c r="L623" i="15" a="1"/>
  <c r="L623" i="15" s="1"/>
  <c r="K12" i="72" a="1"/>
  <c r="K12" i="72" s="1"/>
  <c r="AB12" i="72" a="1"/>
  <c r="AB12" i="72" s="1"/>
  <c r="M12" i="72"/>
  <c r="L12" i="72"/>
  <c r="A12" i="72"/>
  <c r="AC12" i="72"/>
  <c r="T12" i="72"/>
  <c r="AA12" i="72"/>
  <c r="BV12" i="72"/>
  <c r="W12" i="72"/>
  <c r="J12" i="72"/>
  <c r="U12" i="72" a="1"/>
  <c r="U12" i="72" s="1"/>
  <c r="N12" i="72" a="1"/>
  <c r="N12" i="72" s="1"/>
  <c r="AT12" i="72"/>
  <c r="BC12" i="72"/>
  <c r="S12" i="72"/>
  <c r="G12" i="72"/>
  <c r="BD12" i="72"/>
  <c r="Y12" i="72"/>
  <c r="Q12" i="72"/>
  <c r="V12" i="72"/>
  <c r="B12" i="72" s="1"/>
  <c r="P12" i="72"/>
  <c r="Z12" i="72"/>
  <c r="AD12" i="72"/>
  <c r="AS12" i="72"/>
  <c r="M93" i="69"/>
  <c r="T93" i="69"/>
  <c r="Q93" i="69"/>
  <c r="A93" i="69"/>
  <c r="AA93" i="69"/>
  <c r="AM93" i="69"/>
  <c r="P93" i="69"/>
  <c r="S93" i="69"/>
  <c r="AW93" i="69"/>
  <c r="Z93" i="69"/>
  <c r="AB93" i="69" a="1"/>
  <c r="AB93" i="69" s="1"/>
  <c r="J93" i="69"/>
  <c r="Y93" i="69"/>
  <c r="AC93" i="69"/>
  <c r="AX93" i="69"/>
  <c r="BP93" i="69"/>
  <c r="V93" i="69"/>
  <c r="B93" i="69" s="1"/>
  <c r="N93" i="69" a="1"/>
  <c r="N93" i="69" s="1"/>
  <c r="L93" i="69"/>
  <c r="U93" i="69" a="1"/>
  <c r="U93" i="69" s="1"/>
  <c r="W93" i="69"/>
  <c r="BK93" i="69" s="1"/>
  <c r="AN93" i="69"/>
  <c r="AH59" i="4"/>
  <c r="AV1355" i="13" s="1"/>
  <c r="V59" i="69"/>
  <c r="W59" i="69"/>
  <c r="AM59" i="69"/>
  <c r="U59" i="69" a="1"/>
  <c r="U59" i="69" s="1"/>
  <c r="A59" i="69"/>
  <c r="Q59" i="69"/>
  <c r="BP59" i="69"/>
  <c r="T59" i="69"/>
  <c r="AB59" i="69" a="1"/>
  <c r="AB59" i="69" s="1"/>
  <c r="AN59" i="69"/>
  <c r="P59" i="69"/>
  <c r="M59" i="69"/>
  <c r="Z59" i="69"/>
  <c r="AA59" i="69"/>
  <c r="E59" i="69" s="1"/>
  <c r="AC59" i="69"/>
  <c r="AW59" i="69"/>
  <c r="Y59" i="69"/>
  <c r="N59" i="69" a="1"/>
  <c r="N59" i="69" s="1"/>
  <c r="J59" i="69"/>
  <c r="AX59" i="69"/>
  <c r="DA69" i="4" a="1"/>
  <c r="DA69" i="4" s="1"/>
  <c r="L531" i="15" a="1"/>
  <c r="L531" i="15" s="1"/>
  <c r="AV567" i="13"/>
  <c r="DV65" i="4"/>
  <c r="BL65" i="4"/>
  <c r="BM65" i="4" s="1"/>
  <c r="BE65" i="4" s="1" a="1"/>
  <c r="BE65" i="4" s="1"/>
  <c r="BH65" i="4"/>
  <c r="H634" i="15" a="1"/>
  <c r="H634" i="15" s="1"/>
  <c r="F634" i="15" a="1"/>
  <c r="F634" i="15" s="1"/>
  <c r="AP83" i="4"/>
  <c r="AV385" i="13" s="1"/>
  <c r="AV485" i="13" s="1"/>
  <c r="AT16" i="72"/>
  <c r="BV16" i="72"/>
  <c r="Y16" i="72"/>
  <c r="BC16" i="72"/>
  <c r="AD16" i="72"/>
  <c r="G16" i="72"/>
  <c r="A16" i="72"/>
  <c r="AB16" i="72" a="1"/>
  <c r="AB16" i="72" s="1"/>
  <c r="BD16" i="72"/>
  <c r="Z16" i="72"/>
  <c r="U16" i="72" a="1"/>
  <c r="U16" i="72" s="1"/>
  <c r="W16" i="72"/>
  <c r="BR16" i="72" s="1" a="1"/>
  <c r="BR16" i="72" s="1"/>
  <c r="J16" i="72"/>
  <c r="K16" i="72" a="1"/>
  <c r="K16" i="72" s="1"/>
  <c r="Q16" i="72"/>
  <c r="V16" i="72"/>
  <c r="B16" i="72" s="1"/>
  <c r="AS16" i="72"/>
  <c r="T16" i="72"/>
  <c r="P16" i="72"/>
  <c r="N16" i="72" a="1"/>
  <c r="N16" i="72" s="1"/>
  <c r="AA16" i="72"/>
  <c r="M16" i="72"/>
  <c r="AC16" i="72"/>
  <c r="S16" i="72"/>
  <c r="F84" i="72"/>
  <c r="I43" i="72"/>
  <c r="BD35" i="72"/>
  <c r="AT35" i="72"/>
  <c r="P35" i="72"/>
  <c r="Z35" i="72"/>
  <c r="Q35" i="72"/>
  <c r="A35" i="72"/>
  <c r="M35" i="72"/>
  <c r="BC35" i="72"/>
  <c r="AS35" i="72"/>
  <c r="BV35" i="72"/>
  <c r="Y35" i="72"/>
  <c r="AC35" i="72"/>
  <c r="AA35" i="72"/>
  <c r="N35" i="72" a="1"/>
  <c r="N35" i="72" s="1"/>
  <c r="L35" i="72"/>
  <c r="V35" i="72"/>
  <c r="B35" i="72" s="1"/>
  <c r="AB35" i="72" a="1"/>
  <c r="AB35" i="72" s="1"/>
  <c r="AD35" i="72"/>
  <c r="U35" i="72" a="1"/>
  <c r="U35" i="72" s="1"/>
  <c r="S35" i="72"/>
  <c r="J35" i="72"/>
  <c r="G35" i="72"/>
  <c r="W35" i="72"/>
  <c r="T35" i="72"/>
  <c r="BP42" i="69"/>
  <c r="AA42" i="69"/>
  <c r="Q42" i="69"/>
  <c r="AW42" i="69"/>
  <c r="M42" i="69"/>
  <c r="V42" i="69"/>
  <c r="B42" i="69" s="1"/>
  <c r="AB42" i="69" a="1"/>
  <c r="AB42" i="69" s="1"/>
  <c r="S42" i="69"/>
  <c r="Y42" i="69"/>
  <c r="W42" i="69"/>
  <c r="BL42" i="69" s="1" a="1"/>
  <c r="BL42" i="69" s="1"/>
  <c r="G42" i="69"/>
  <c r="T42" i="69"/>
  <c r="J42" i="69"/>
  <c r="AN42" i="69"/>
  <c r="AM42" i="69"/>
  <c r="U42" i="69" a="1"/>
  <c r="U42" i="69" s="1"/>
  <c r="AC42" i="69"/>
  <c r="N42" i="69" a="1"/>
  <c r="N42" i="69" s="1"/>
  <c r="P42" i="69"/>
  <c r="Z42" i="69"/>
  <c r="AX42" i="69"/>
  <c r="A42" i="69"/>
  <c r="DA90" i="4" a="1"/>
  <c r="DA90" i="4" s="1"/>
  <c r="DV32" i="4"/>
  <c r="BL32" i="4"/>
  <c r="BM32" i="4" s="1"/>
  <c r="BE32" i="4" s="1" a="1"/>
  <c r="BE32" i="4" s="1"/>
  <c r="AV534" i="13"/>
  <c r="BH32" i="4"/>
  <c r="AP71" i="4"/>
  <c r="AV373" i="13" s="1"/>
  <c r="AV473" i="13" s="1"/>
  <c r="BL47" i="4"/>
  <c r="BM47" i="4" s="1"/>
  <c r="BE47" i="4" s="1" a="1"/>
  <c r="BE47" i="4" s="1"/>
  <c r="DV47" i="4"/>
  <c r="AV549" i="13"/>
  <c r="BH47" i="4"/>
  <c r="CA41" i="4"/>
  <c r="AU41" i="4"/>
  <c r="AV41" i="4" a="1"/>
  <c r="AV41" i="4" s="1"/>
  <c r="C41" i="72" s="1"/>
  <c r="AT41" i="4" a="1"/>
  <c r="AT41" i="4" s="1"/>
  <c r="H41" i="72" s="1"/>
  <c r="Y41" i="4"/>
  <c r="CY41" i="4"/>
  <c r="CZ41" i="4" s="1"/>
  <c r="BQ41" i="4"/>
  <c r="F428" i="15" a="1"/>
  <c r="F428" i="15" s="1"/>
  <c r="BR42" i="4"/>
  <c r="BL42" i="72" s="1"/>
  <c r="BG42" i="4"/>
  <c r="AV1140" i="13" s="1"/>
  <c r="X42" i="4"/>
  <c r="BF20" i="4"/>
  <c r="BF18" i="4"/>
  <c r="BF5" i="4"/>
  <c r="X60" i="72"/>
  <c r="X60" i="69"/>
  <c r="BG54" i="4"/>
  <c r="AV1152" i="13" s="1"/>
  <c r="BG75" i="4"/>
  <c r="AV1173" i="13" s="1"/>
  <c r="BR75" i="4"/>
  <c r="BG33" i="4"/>
  <c r="AV1131" i="13" s="1"/>
  <c r="BR33" i="4"/>
  <c r="O33" i="69" s="1"/>
  <c r="BL64" i="4"/>
  <c r="BM64" i="4" s="1"/>
  <c r="BE64" i="4" s="1" a="1"/>
  <c r="BE64" i="4" s="1"/>
  <c r="DV64" i="4"/>
  <c r="AV566" i="13"/>
  <c r="AE17" i="27"/>
  <c r="K16" i="27"/>
  <c r="F42" i="23"/>
  <c r="P42" i="23" s="1"/>
  <c r="Z42" i="23" s="1"/>
  <c r="F41" i="23"/>
  <c r="P41" i="23" s="1"/>
  <c r="Z41" i="23" s="1"/>
  <c r="F40" i="23"/>
  <c r="P40" i="23" s="1"/>
  <c r="F43" i="23"/>
  <c r="P43" i="23" s="1"/>
  <c r="Z43" i="23" s="1"/>
  <c r="F367" i="15" a="1"/>
  <c r="F367" i="15" s="1"/>
  <c r="H367" i="15" a="1"/>
  <c r="H367" i="15" s="1"/>
  <c r="F78" i="72"/>
  <c r="M81" i="69"/>
  <c r="BP81" i="69"/>
  <c r="AC81" i="69"/>
  <c r="Y81" i="69"/>
  <c r="AM81" i="69"/>
  <c r="V81" i="69"/>
  <c r="B81" i="69" s="1"/>
  <c r="P81" i="69"/>
  <c r="N81" i="69" a="1"/>
  <c r="N81" i="69" s="1"/>
  <c r="AN81" i="69"/>
  <c r="AB81" i="69" a="1"/>
  <c r="AB81" i="69" s="1"/>
  <c r="W81" i="69"/>
  <c r="Q81" i="69"/>
  <c r="AX81" i="69"/>
  <c r="AA81" i="69"/>
  <c r="T81" i="69"/>
  <c r="J81" i="69"/>
  <c r="A81" i="69"/>
  <c r="AW81" i="69"/>
  <c r="Z81" i="69"/>
  <c r="S81" i="69"/>
  <c r="A6" i="69"/>
  <c r="AB6" i="69" a="1"/>
  <c r="AB6" i="69" s="1"/>
  <c r="AC6" i="69"/>
  <c r="AX6" i="69"/>
  <c r="S6" i="69"/>
  <c r="Q6" i="69"/>
  <c r="V6" i="69"/>
  <c r="B6" i="69" s="1"/>
  <c r="P6" i="69"/>
  <c r="T6" i="69"/>
  <c r="N6" i="69" a="1"/>
  <c r="N6" i="69" s="1"/>
  <c r="AM6" i="69"/>
  <c r="AN6" i="69"/>
  <c r="G6" i="69"/>
  <c r="Z6" i="69"/>
  <c r="W6" i="69"/>
  <c r="L6" i="69" s="1"/>
  <c r="U6" i="69" a="1"/>
  <c r="U6" i="69" s="1"/>
  <c r="J6" i="69"/>
  <c r="AW6" i="69"/>
  <c r="Y6" i="69"/>
  <c r="K6" i="69" a="1"/>
  <c r="K6" i="69" s="1"/>
  <c r="M6" i="69"/>
  <c r="AA6" i="69"/>
  <c r="BP6" i="69"/>
  <c r="CW76" i="4"/>
  <c r="CX76" i="4" s="1"/>
  <c r="E76" i="4"/>
  <c r="BT76" i="4" s="1"/>
  <c r="DE76" i="4"/>
  <c r="F258" i="15" a="1"/>
  <c r="F258" i="15" s="1"/>
  <c r="AM77" i="69"/>
  <c r="W77" i="69"/>
  <c r="BL77" i="69" s="1" a="1"/>
  <c r="BL77" i="69" s="1"/>
  <c r="AN77" i="69"/>
  <c r="T77" i="69"/>
  <c r="AC77" i="69"/>
  <c r="M77" i="69"/>
  <c r="V77" i="69"/>
  <c r="B77" i="69" s="1"/>
  <c r="AA77" i="69"/>
  <c r="A77" i="69"/>
  <c r="Z77" i="69"/>
  <c r="Q77" i="69"/>
  <c r="J77" i="69"/>
  <c r="N77" i="69" a="1"/>
  <c r="N77" i="69" s="1"/>
  <c r="Y77" i="69"/>
  <c r="AB77" i="69" a="1"/>
  <c r="AB77" i="69" s="1"/>
  <c r="AW77" i="69"/>
  <c r="P77" i="69"/>
  <c r="AX77" i="69"/>
  <c r="G77" i="69"/>
  <c r="BP77" i="69"/>
  <c r="L77" i="69"/>
  <c r="S77" i="69"/>
  <c r="J76" i="69"/>
  <c r="AB76" i="69" a="1"/>
  <c r="AB76" i="69" s="1"/>
  <c r="Q76" i="69"/>
  <c r="BP76" i="69"/>
  <c r="N76" i="69" a="1"/>
  <c r="N76" i="69" s="1"/>
  <c r="AX76" i="69"/>
  <c r="AA76" i="69"/>
  <c r="V76" i="69"/>
  <c r="AN76" i="69"/>
  <c r="AC76" i="69"/>
  <c r="T76" i="69"/>
  <c r="M76" i="69"/>
  <c r="AW76" i="69"/>
  <c r="A76" i="69"/>
  <c r="Y76" i="69"/>
  <c r="G76" i="69"/>
  <c r="P76" i="69"/>
  <c r="Z76" i="69"/>
  <c r="AM76" i="69"/>
  <c r="W76" i="69"/>
  <c r="BK76" i="69" s="1"/>
  <c r="AX1361" i="13"/>
  <c r="A1460" i="13"/>
  <c r="DV40" i="4"/>
  <c r="AV542" i="13"/>
  <c r="BH40" i="4"/>
  <c r="BL40" i="4"/>
  <c r="BM40" i="4" s="1"/>
  <c r="BE40" i="4" s="1" a="1"/>
  <c r="BE40" i="4" s="1"/>
  <c r="A1463" i="13"/>
  <c r="AX1364" i="13"/>
  <c r="AU50" i="4"/>
  <c r="AV50" i="4" a="1"/>
  <c r="AV50" i="4" s="1"/>
  <c r="Y50" i="4"/>
  <c r="AT50" i="4" a="1"/>
  <c r="AT50" i="4" s="1"/>
  <c r="BQ50" i="4"/>
  <c r="CY50" i="4"/>
  <c r="CZ50" i="4" s="1"/>
  <c r="F573" i="15" a="1"/>
  <c r="F573" i="15" s="1"/>
  <c r="H573" i="15" a="1"/>
  <c r="H573" i="15" s="1"/>
  <c r="CA36" i="4"/>
  <c r="Y36" i="4"/>
  <c r="AU36" i="4"/>
  <c r="AT36" i="4" a="1"/>
  <c r="AT36" i="4" s="1"/>
  <c r="H36" i="69" s="1"/>
  <c r="AV36" i="4" a="1"/>
  <c r="AV36" i="4" s="1"/>
  <c r="C36" i="72" s="1"/>
  <c r="BQ36" i="4"/>
  <c r="CY36" i="4"/>
  <c r="CZ36" i="4" s="1"/>
  <c r="BT13" i="4"/>
  <c r="BD13" i="4"/>
  <c r="DV6" i="4"/>
  <c r="AV508" i="13"/>
  <c r="BH6" i="4"/>
  <c r="BL6" i="4"/>
  <c r="H448" i="15" a="1"/>
  <c r="H448" i="15" s="1"/>
  <c r="K571" i="15" a="1"/>
  <c r="K571" i="15" s="1"/>
  <c r="Z48" i="69"/>
  <c r="V48" i="69"/>
  <c r="B48" i="69" s="1"/>
  <c r="AC48" i="69"/>
  <c r="AN48" i="69"/>
  <c r="AX48" i="69"/>
  <c r="P48" i="69"/>
  <c r="U48" i="69" a="1"/>
  <c r="U48" i="69" s="1"/>
  <c r="J48" i="69"/>
  <c r="AA48" i="69"/>
  <c r="Y48" i="69"/>
  <c r="AW48" i="69"/>
  <c r="G48" i="69"/>
  <c r="S48" i="69"/>
  <c r="AB48" i="69" a="1"/>
  <c r="AB48" i="69" s="1"/>
  <c r="T48" i="69"/>
  <c r="BP48" i="69"/>
  <c r="Q48" i="69"/>
  <c r="AM48" i="69"/>
  <c r="M48" i="69"/>
  <c r="N48" i="69" a="1"/>
  <c r="N48" i="69" s="1"/>
  <c r="A48" i="69"/>
  <c r="W48" i="69"/>
  <c r="J52" i="72"/>
  <c r="P52" i="72"/>
  <c r="AD52" i="72"/>
  <c r="AB52" i="72" a="1"/>
  <c r="AB52" i="72" s="1"/>
  <c r="V52" i="72"/>
  <c r="B52" i="72" s="1"/>
  <c r="A52" i="72"/>
  <c r="Y52" i="72"/>
  <c r="Z52" i="72"/>
  <c r="AA52" i="72"/>
  <c r="AC52" i="72"/>
  <c r="Q52" i="72"/>
  <c r="BC52" i="72"/>
  <c r="T52" i="72"/>
  <c r="AS52" i="72"/>
  <c r="BV52" i="72"/>
  <c r="M52" i="72"/>
  <c r="U52" i="72" a="1"/>
  <c r="U52" i="72" s="1"/>
  <c r="G52" i="72"/>
  <c r="AT52" i="72"/>
  <c r="W52" i="72"/>
  <c r="N52" i="72" a="1"/>
  <c r="N52" i="72" s="1"/>
  <c r="BD52" i="72"/>
  <c r="S52" i="72"/>
  <c r="E263" i="15"/>
  <c r="E523" i="15"/>
  <c r="L519" i="15" s="1" a="1"/>
  <c r="L519" i="15" s="1"/>
  <c r="E198" i="15"/>
  <c r="E587" i="15"/>
  <c r="H578" i="15" s="1" a="1"/>
  <c r="H578" i="15" s="1"/>
  <c r="AT96" i="69" a="1"/>
  <c r="AT96" i="69" s="1"/>
  <c r="P60" i="9"/>
  <c r="E462" i="15"/>
  <c r="M512" i="15" a="1"/>
  <c r="M512" i="15" s="1"/>
  <c r="N512" i="15" a="1"/>
  <c r="N512" i="15" s="1"/>
  <c r="H102" i="15" a="1"/>
  <c r="H102" i="15" s="1"/>
  <c r="N598" i="15" a="1"/>
  <c r="N598" i="15" s="1"/>
  <c r="K598" i="15" a="1"/>
  <c r="K598" i="15" s="1"/>
  <c r="M598" i="15" a="1"/>
  <c r="M598" i="15" s="1"/>
  <c r="E132" i="15"/>
  <c r="R96" i="72"/>
  <c r="BH96" i="72"/>
  <c r="BE96" i="72"/>
  <c r="AO96" i="72"/>
  <c r="BU96" i="72"/>
  <c r="BR96" i="72" a="1"/>
  <c r="BR96" i="72" s="1"/>
  <c r="BQ96" i="72"/>
  <c r="BP96" i="72" s="1"/>
  <c r="BS96" i="72" s="1"/>
  <c r="E96" i="72"/>
  <c r="BH95" i="69" a="1"/>
  <c r="BH95" i="69" s="1"/>
  <c r="E160" i="15"/>
  <c r="E560" i="15"/>
  <c r="IN37" i="71"/>
  <c r="P56" i="9"/>
  <c r="AZ94" i="69"/>
  <c r="BA94" i="69"/>
  <c r="F654" i="15" a="1"/>
  <c r="F654" i="15" s="1"/>
  <c r="H654" i="15" a="1"/>
  <c r="H654" i="15" s="1"/>
  <c r="P18" i="9"/>
  <c r="P97" i="9"/>
  <c r="E366" i="15"/>
  <c r="H358" i="15" s="1" a="1"/>
  <c r="H358" i="15" s="1"/>
  <c r="AS55" i="4"/>
  <c r="BL43" i="4"/>
  <c r="BM43" i="4" s="1"/>
  <c r="BE43" i="4" s="1" a="1"/>
  <c r="BE43" i="4" s="1"/>
  <c r="BH43" i="4"/>
  <c r="DV43" i="4"/>
  <c r="AV545" i="13"/>
  <c r="I41" i="72"/>
  <c r="J84" i="69"/>
  <c r="BP84" i="69"/>
  <c r="AW84" i="69"/>
  <c r="AM84" i="69"/>
  <c r="P84" i="69"/>
  <c r="N84" i="69" a="1"/>
  <c r="N84" i="69" s="1"/>
  <c r="AB84" i="69" a="1"/>
  <c r="AB84" i="69" s="1"/>
  <c r="Z84" i="69"/>
  <c r="Q84" i="69"/>
  <c r="V84" i="69"/>
  <c r="A84" i="69"/>
  <c r="AX84" i="69"/>
  <c r="AN84" i="69"/>
  <c r="AA84" i="69"/>
  <c r="W84" i="69"/>
  <c r="L84" i="69" s="1"/>
  <c r="Y84" i="69"/>
  <c r="AC84" i="69"/>
  <c r="T84" i="69"/>
  <c r="M84" i="69"/>
  <c r="A91" i="72"/>
  <c r="BC91" i="72"/>
  <c r="T91" i="72"/>
  <c r="W91" i="72"/>
  <c r="BR91" i="72" s="1" a="1"/>
  <c r="BR91" i="72" s="1"/>
  <c r="AS91" i="72"/>
  <c r="AT91" i="72"/>
  <c r="N91" i="72" a="1"/>
  <c r="N91" i="72" s="1"/>
  <c r="Y91" i="72"/>
  <c r="P91" i="72"/>
  <c r="J91" i="72"/>
  <c r="V91" i="72"/>
  <c r="B91" i="72" s="1"/>
  <c r="Q91" i="72"/>
  <c r="AC91" i="72"/>
  <c r="BD91" i="72"/>
  <c r="Z91" i="72"/>
  <c r="BV91" i="72"/>
  <c r="AB91" i="72" a="1"/>
  <c r="AB91" i="72" s="1"/>
  <c r="AA91" i="72"/>
  <c r="AD91" i="72"/>
  <c r="M91" i="72"/>
  <c r="S91" i="72"/>
  <c r="AU3" i="4"/>
  <c r="AT3" i="4" a="1"/>
  <c r="AT3" i="4" s="1"/>
  <c r="Y3" i="4"/>
  <c r="AV3" i="4" a="1"/>
  <c r="AV3" i="4" s="1"/>
  <c r="CA3" i="4"/>
  <c r="CY3" i="4"/>
  <c r="CZ3" i="4" s="1"/>
  <c r="F3" i="9" s="1"/>
  <c r="J3" i="9" s="1"/>
  <c r="CW66" i="4"/>
  <c r="CX66" i="4" s="1"/>
  <c r="BL19" i="4"/>
  <c r="BM19" i="4" s="1"/>
  <c r="BE19" i="4" s="1" a="1"/>
  <c r="BE19" i="4" s="1"/>
  <c r="AV521" i="13"/>
  <c r="BH19" i="4"/>
  <c r="DV19" i="4"/>
  <c r="BD23" i="4"/>
  <c r="BR49" i="4"/>
  <c r="DD45" i="4" a="1"/>
  <c r="DD45" i="4" s="1"/>
  <c r="DD53" i="4" a="1"/>
  <c r="DD53" i="4" s="1"/>
  <c r="AC47" i="72"/>
  <c r="Z47" i="72"/>
  <c r="AT47" i="72"/>
  <c r="BD47" i="72"/>
  <c r="T47" i="72"/>
  <c r="AB47" i="72" a="1"/>
  <c r="AB47" i="72" s="1"/>
  <c r="A47" i="72"/>
  <c r="V47" i="72"/>
  <c r="B47" i="72" s="1"/>
  <c r="BV47" i="72"/>
  <c r="G47" i="72"/>
  <c r="AA47" i="72"/>
  <c r="S47" i="72"/>
  <c r="N47" i="72" a="1"/>
  <c r="N47" i="72" s="1"/>
  <c r="Y47" i="72"/>
  <c r="P47" i="72"/>
  <c r="AD47" i="72"/>
  <c r="AS47" i="72"/>
  <c r="Q47" i="72"/>
  <c r="U47" i="72" a="1"/>
  <c r="U47" i="72" s="1"/>
  <c r="M47" i="72"/>
  <c r="BC47" i="72"/>
  <c r="W47" i="72"/>
  <c r="L47" i="72" s="1"/>
  <c r="J47" i="72"/>
  <c r="Q17" i="69"/>
  <c r="Z17" i="69"/>
  <c r="AX17" i="69"/>
  <c r="J17" i="69"/>
  <c r="AW17" i="69"/>
  <c r="V17" i="69"/>
  <c r="B17" i="69" s="1"/>
  <c r="K17" i="69" a="1"/>
  <c r="K17" i="69" s="1"/>
  <c r="M17" i="69"/>
  <c r="AN17" i="69"/>
  <c r="T17" i="69"/>
  <c r="BP17" i="69"/>
  <c r="AA17" i="69"/>
  <c r="N17" i="69" a="1"/>
  <c r="N17" i="69" s="1"/>
  <c r="AM17" i="69"/>
  <c r="Y17" i="69"/>
  <c r="G17" i="69"/>
  <c r="U17" i="69" a="1"/>
  <c r="U17" i="69" s="1"/>
  <c r="W17" i="69"/>
  <c r="L17" i="69" s="1"/>
  <c r="AC17" i="69"/>
  <c r="S17" i="69"/>
  <c r="P17" i="69"/>
  <c r="A17" i="69"/>
  <c r="AB17" i="69" a="1"/>
  <c r="AB17" i="69" s="1"/>
  <c r="AA5" i="72"/>
  <c r="A5" i="72"/>
  <c r="N5" i="72" a="1"/>
  <c r="N5" i="72" s="1"/>
  <c r="V5" i="72"/>
  <c r="B5" i="72" s="1"/>
  <c r="U5" i="72" a="1"/>
  <c r="U5" i="72" s="1"/>
  <c r="Q5" i="72"/>
  <c r="AS5" i="72"/>
  <c r="K5" i="72" a="1"/>
  <c r="K5" i="72" s="1"/>
  <c r="BV5" i="72"/>
  <c r="S5" i="72"/>
  <c r="AD5" i="72"/>
  <c r="G5" i="72"/>
  <c r="BC5" i="72"/>
  <c r="AB5" i="72" a="1"/>
  <c r="AB5" i="72" s="1"/>
  <c r="Z5" i="72"/>
  <c r="BD5" i="72"/>
  <c r="AT5" i="72"/>
  <c r="W5" i="72"/>
  <c r="L5" i="72" s="1"/>
  <c r="Y5" i="72"/>
  <c r="T5" i="72"/>
  <c r="M5" i="72"/>
  <c r="J5" i="72"/>
  <c r="AC5" i="72"/>
  <c r="P5" i="72"/>
  <c r="K9" i="72" a="1"/>
  <c r="K9" i="72" s="1"/>
  <c r="K10" i="72" a="1"/>
  <c r="K10" i="72" s="1"/>
  <c r="AA57" i="72"/>
  <c r="S57" i="72"/>
  <c r="W57" i="72"/>
  <c r="BQ57" i="72" s="1"/>
  <c r="P57" i="72"/>
  <c r="AC57" i="72"/>
  <c r="N57" i="72" a="1"/>
  <c r="N57" i="72" s="1"/>
  <c r="V57" i="72"/>
  <c r="B57" i="72" s="1"/>
  <c r="M57" i="72"/>
  <c r="AS57" i="72"/>
  <c r="Q57" i="72"/>
  <c r="T57" i="72"/>
  <c r="G57" i="72"/>
  <c r="BC57" i="72"/>
  <c r="BV57" i="72"/>
  <c r="A57" i="72"/>
  <c r="AD57" i="72"/>
  <c r="BD57" i="72"/>
  <c r="Z57" i="72"/>
  <c r="AT57" i="72"/>
  <c r="Y57" i="72"/>
  <c r="AB57" i="72" a="1"/>
  <c r="AB57" i="72" s="1"/>
  <c r="J57" i="72"/>
  <c r="U57" i="72" a="1"/>
  <c r="U57" i="72" s="1"/>
  <c r="AD66" i="4"/>
  <c r="I95" i="69"/>
  <c r="I95" i="72"/>
  <c r="DA73" i="4" a="1"/>
  <c r="DA73" i="4" s="1"/>
  <c r="JL37" i="71"/>
  <c r="AT53" i="4" a="1"/>
  <c r="AT53" i="4" s="1"/>
  <c r="H53" i="69" s="1"/>
  <c r="AV53" i="4" a="1"/>
  <c r="AV53" i="4" s="1"/>
  <c r="C53" i="69" s="1"/>
  <c r="D53" i="69" s="1" a="1"/>
  <c r="D53" i="69" s="1"/>
  <c r="AU53" i="4"/>
  <c r="Y53" i="4"/>
  <c r="CY53" i="4"/>
  <c r="CZ53" i="4" s="1"/>
  <c r="BQ53" i="4"/>
  <c r="F526" i="15" a="1"/>
  <c r="F526" i="15" s="1"/>
  <c r="F471" i="15" a="1"/>
  <c r="F471" i="15" s="1"/>
  <c r="AX36" i="69"/>
  <c r="AA36" i="69"/>
  <c r="V36" i="69"/>
  <c r="B36" i="69" s="1"/>
  <c r="T36" i="69"/>
  <c r="A36" i="69"/>
  <c r="AW36" i="69"/>
  <c r="AM36" i="69"/>
  <c r="Q36" i="69"/>
  <c r="Y36" i="69"/>
  <c r="P36" i="69"/>
  <c r="N36" i="69" a="1"/>
  <c r="N36" i="69" s="1"/>
  <c r="AC36" i="69"/>
  <c r="S36" i="69"/>
  <c r="U36" i="69" a="1"/>
  <c r="U36" i="69" s="1"/>
  <c r="BP36" i="69"/>
  <c r="J36" i="69"/>
  <c r="Z36" i="69"/>
  <c r="W36" i="69"/>
  <c r="AB36" i="69" a="1"/>
  <c r="AB36" i="69" s="1"/>
  <c r="AN36" i="69"/>
  <c r="G36" i="69"/>
  <c r="M36" i="69"/>
  <c r="Z93" i="72"/>
  <c r="U93" i="72" a="1"/>
  <c r="U93" i="72" s="1"/>
  <c r="V93" i="72"/>
  <c r="B93" i="72" s="1"/>
  <c r="AA93" i="72"/>
  <c r="P93" i="72"/>
  <c r="BV93" i="72"/>
  <c r="AC93" i="72"/>
  <c r="Y93" i="72"/>
  <c r="S93" i="72"/>
  <c r="AD93" i="72"/>
  <c r="J93" i="72"/>
  <c r="Q93" i="72"/>
  <c r="M93" i="72"/>
  <c r="BD93" i="72"/>
  <c r="L93" i="72"/>
  <c r="T93" i="72"/>
  <c r="N93" i="72" a="1"/>
  <c r="N93" i="72" s="1"/>
  <c r="BC93" i="72"/>
  <c r="AS93" i="72"/>
  <c r="W93" i="72"/>
  <c r="A93" i="72"/>
  <c r="AT93" i="72"/>
  <c r="AB93" i="72" a="1"/>
  <c r="AB93" i="72" s="1"/>
  <c r="P16" i="69"/>
  <c r="AA16" i="69"/>
  <c r="AB16" i="69" a="1"/>
  <c r="AB16" i="69" s="1"/>
  <c r="U16" i="69" a="1"/>
  <c r="U16" i="69" s="1"/>
  <c r="S16" i="69"/>
  <c r="Q16" i="69"/>
  <c r="J16" i="69"/>
  <c r="AM16" i="69"/>
  <c r="T16" i="69"/>
  <c r="Y16" i="69"/>
  <c r="K16" i="69" a="1"/>
  <c r="K16" i="69" s="1"/>
  <c r="G16" i="69"/>
  <c r="AW16" i="69"/>
  <c r="N16" i="69" a="1"/>
  <c r="N16" i="69" s="1"/>
  <c r="AX16" i="69"/>
  <c r="M16" i="69"/>
  <c r="AN16" i="69"/>
  <c r="BP16" i="69"/>
  <c r="Z16" i="69"/>
  <c r="V16" i="69"/>
  <c r="B16" i="69" s="1"/>
  <c r="AC16" i="69"/>
  <c r="A16" i="69"/>
  <c r="W16" i="69"/>
  <c r="BF16" i="69"/>
  <c r="O16" i="69"/>
  <c r="AC35" i="69"/>
  <c r="AX35" i="69"/>
  <c r="T35" i="69"/>
  <c r="G35" i="69"/>
  <c r="AW35" i="69"/>
  <c r="BP35" i="69"/>
  <c r="AB35" i="69" a="1"/>
  <c r="AB35" i="69" s="1"/>
  <c r="W35" i="69"/>
  <c r="M35" i="69"/>
  <c r="U35" i="69" a="1"/>
  <c r="U35" i="69" s="1"/>
  <c r="Z35" i="69"/>
  <c r="A35" i="69"/>
  <c r="Y35" i="69"/>
  <c r="P35" i="69"/>
  <c r="AN35" i="69"/>
  <c r="J35" i="69"/>
  <c r="AM35" i="69"/>
  <c r="S35" i="69"/>
  <c r="Q35" i="69"/>
  <c r="AA35" i="69"/>
  <c r="E35" i="69" s="1"/>
  <c r="V35" i="69"/>
  <c r="B35" i="69" s="1"/>
  <c r="L35" i="69"/>
  <c r="N35" i="69" a="1"/>
  <c r="N35" i="69" s="1"/>
  <c r="AA42" i="72"/>
  <c r="Y42" i="72"/>
  <c r="S42" i="72"/>
  <c r="T42" i="72"/>
  <c r="H42" i="72"/>
  <c r="Q42" i="72"/>
  <c r="C42" i="72"/>
  <c r="Z42" i="72"/>
  <c r="A42" i="72"/>
  <c r="BD42" i="72"/>
  <c r="G42" i="72"/>
  <c r="U42" i="72" a="1"/>
  <c r="U42" i="72" s="1"/>
  <c r="AC42" i="72"/>
  <c r="V42" i="72"/>
  <c r="B42" i="72" s="1"/>
  <c r="M42" i="72"/>
  <c r="AB42" i="72" a="1"/>
  <c r="AB42" i="72" s="1"/>
  <c r="P42" i="72"/>
  <c r="BV42" i="72"/>
  <c r="AT42" i="72"/>
  <c r="J42" i="72"/>
  <c r="N42" i="72" a="1"/>
  <c r="N42" i="72" s="1"/>
  <c r="AS42" i="72"/>
  <c r="BC42" i="72"/>
  <c r="W42" i="72"/>
  <c r="AD42" i="72"/>
  <c r="O42" i="72"/>
  <c r="CW71" i="4"/>
  <c r="CX71" i="4" s="1"/>
  <c r="CW90" i="4"/>
  <c r="CX90" i="4" s="1"/>
  <c r="CW94" i="4"/>
  <c r="CX94" i="4" s="1"/>
  <c r="DE94" i="4"/>
  <c r="E94" i="4"/>
  <c r="F304" i="15" a="1"/>
  <c r="F304" i="15" s="1"/>
  <c r="CA46" i="4"/>
  <c r="AV46" i="4" a="1"/>
  <c r="AV46" i="4" s="1"/>
  <c r="C46" i="72" s="1"/>
  <c r="AU46" i="4"/>
  <c r="Y46" i="4"/>
  <c r="AT46" i="4" a="1"/>
  <c r="AT46" i="4" s="1"/>
  <c r="H46" i="69" s="1"/>
  <c r="BQ46" i="4"/>
  <c r="CY46" i="4"/>
  <c r="CZ46" i="4" s="1"/>
  <c r="AP76" i="4"/>
  <c r="AV378" i="13" s="1"/>
  <c r="AV478" i="13" s="1"/>
  <c r="A1483" i="13"/>
  <c r="AX1384" i="13"/>
  <c r="BL33" i="4"/>
  <c r="BM33" i="4" s="1"/>
  <c r="BE33" i="4" s="1" a="1"/>
  <c r="BE33" i="4" s="1"/>
  <c r="BH33" i="4"/>
  <c r="AV535" i="13"/>
  <c r="DV33" i="4"/>
  <c r="L488" i="15" a="1"/>
  <c r="L488" i="15" s="1"/>
  <c r="BD35" i="4"/>
  <c r="Z60" i="4"/>
  <c r="AV1257" i="13" s="1"/>
  <c r="AL23" i="4"/>
  <c r="I23" i="69" s="1"/>
  <c r="BG8" i="4"/>
  <c r="AV1106" i="13" s="1"/>
  <c r="BG44" i="4"/>
  <c r="AV1142" i="13" s="1"/>
  <c r="X44" i="4"/>
  <c r="BR44" i="4"/>
  <c r="BL44" i="72" s="1"/>
  <c r="BF14" i="4"/>
  <c r="BG11" i="4"/>
  <c r="AV1109" i="13" s="1"/>
  <c r="BF7" i="4"/>
  <c r="BF33" i="4"/>
  <c r="F457" i="15" a="1"/>
  <c r="F457" i="15" s="1"/>
  <c r="H457" i="15" a="1"/>
  <c r="H457" i="15" s="1"/>
  <c r="J87" i="69"/>
  <c r="AA87" i="69"/>
  <c r="AN87" i="69"/>
  <c r="BP87" i="69"/>
  <c r="W87" i="69"/>
  <c r="L87" i="69" s="1"/>
  <c r="A87" i="69"/>
  <c r="Y87" i="69"/>
  <c r="AW87" i="69"/>
  <c r="M87" i="69"/>
  <c r="Q87" i="69"/>
  <c r="V87" i="69"/>
  <c r="B87" i="69" s="1"/>
  <c r="AB87" i="69" a="1"/>
  <c r="AB87" i="69" s="1"/>
  <c r="P87" i="69"/>
  <c r="AC87" i="69"/>
  <c r="N87" i="69" a="1"/>
  <c r="N87" i="69" s="1"/>
  <c r="T87" i="69"/>
  <c r="AM87" i="69"/>
  <c r="Z87" i="69"/>
  <c r="AX87" i="69"/>
  <c r="U87" i="69" a="1"/>
  <c r="U87" i="69" s="1"/>
  <c r="S87" i="69"/>
  <c r="BL61" i="4"/>
  <c r="BM61" i="4" s="1"/>
  <c r="BE61" i="4" s="1" a="1"/>
  <c r="BE61" i="4" s="1"/>
  <c r="DV61" i="4"/>
  <c r="AV563" i="13"/>
  <c r="F231" i="15" a="1"/>
  <c r="F231" i="15" s="1"/>
  <c r="H231" i="15" a="1"/>
  <c r="H231" i="15" s="1"/>
  <c r="AB19" i="72" a="1"/>
  <c r="AB19" i="72" s="1"/>
  <c r="BC19" i="72"/>
  <c r="Q19" i="72"/>
  <c r="BD19" i="72"/>
  <c r="V19" i="72"/>
  <c r="B19" i="72" s="1"/>
  <c r="U19" i="72" a="1"/>
  <c r="U19" i="72" s="1"/>
  <c r="AS19" i="72"/>
  <c r="BV19" i="72"/>
  <c r="Z19" i="72"/>
  <c r="AA19" i="72"/>
  <c r="S19" i="72"/>
  <c r="M19" i="72"/>
  <c r="AD19" i="72"/>
  <c r="N19" i="72" a="1"/>
  <c r="N19" i="72" s="1"/>
  <c r="J19" i="72"/>
  <c r="AC19" i="72"/>
  <c r="T19" i="72"/>
  <c r="G19" i="72"/>
  <c r="W19" i="72"/>
  <c r="BR19" i="72" s="1" a="1"/>
  <c r="BR19" i="72" s="1"/>
  <c r="Y19" i="72"/>
  <c r="P19" i="72"/>
  <c r="A19" i="72"/>
  <c r="AT19" i="72"/>
  <c r="K19" i="72" a="1"/>
  <c r="K19" i="72" s="1"/>
  <c r="C19" i="72"/>
  <c r="H19" i="72"/>
  <c r="I92" i="69"/>
  <c r="BN58" i="69"/>
  <c r="F73" i="69"/>
  <c r="Z1557" i="13"/>
  <c r="A1552" i="13"/>
  <c r="AX1453" i="13"/>
  <c r="AV1453" i="13"/>
  <c r="CA22" i="4"/>
  <c r="AU22" i="4"/>
  <c r="AV22" i="4" a="1"/>
  <c r="AV22" i="4" s="1"/>
  <c r="Y22" i="4"/>
  <c r="AT22" i="4" a="1"/>
  <c r="AT22" i="4" s="1"/>
  <c r="BQ22" i="4"/>
  <c r="AV8" i="4" a="1"/>
  <c r="AV8" i="4" s="1"/>
  <c r="C8" i="72" s="1"/>
  <c r="AT8" i="4" a="1"/>
  <c r="AT8" i="4" s="1"/>
  <c r="H8" i="72" s="1"/>
  <c r="AU8" i="4"/>
  <c r="Y8" i="4"/>
  <c r="CY8" i="4"/>
  <c r="CZ8" i="4" s="1"/>
  <c r="BQ8" i="4"/>
  <c r="CA28" i="4"/>
  <c r="AU28" i="4"/>
  <c r="AV28" i="4" a="1"/>
  <c r="AV28" i="4" s="1"/>
  <c r="C28" i="69" s="1"/>
  <c r="AT28" i="4" a="1"/>
  <c r="AT28" i="4" s="1"/>
  <c r="H28" i="69" s="1"/>
  <c r="Y28" i="4"/>
  <c r="BQ28" i="4"/>
  <c r="BH25" i="4"/>
  <c r="AV527" i="13"/>
  <c r="DV25" i="4"/>
  <c r="BL25" i="4"/>
  <c r="BM25" i="4" s="1"/>
  <c r="BE25" i="4" s="1" a="1"/>
  <c r="BE25" i="4" s="1"/>
  <c r="BL42" i="4"/>
  <c r="BM42" i="4" s="1"/>
  <c r="BE42" i="4" s="1" a="1"/>
  <c r="BE42" i="4" s="1"/>
  <c r="AV544" i="13"/>
  <c r="BH42" i="4"/>
  <c r="DV42" i="4"/>
  <c r="N498" i="15" a="1"/>
  <c r="N498" i="15" s="1"/>
  <c r="AU31" i="4"/>
  <c r="AT31" i="4" a="1"/>
  <c r="AT31" i="4" s="1"/>
  <c r="H31" i="69" s="1"/>
  <c r="Y31" i="4"/>
  <c r="AV31" i="4" a="1"/>
  <c r="AV31" i="4" s="1"/>
  <c r="C31" i="69" s="1"/>
  <c r="BQ31" i="4"/>
  <c r="CY31" i="4"/>
  <c r="CZ31" i="4" s="1"/>
  <c r="I50" i="72"/>
  <c r="BD54" i="4"/>
  <c r="BR54" i="4" s="1"/>
  <c r="Y77" i="72"/>
  <c r="AD77" i="72"/>
  <c r="BV77" i="72"/>
  <c r="AC77" i="72"/>
  <c r="AT77" i="72"/>
  <c r="L77" i="72"/>
  <c r="AA77" i="72"/>
  <c r="AB77" i="72" a="1"/>
  <c r="AB77" i="72" s="1"/>
  <c r="Q77" i="72"/>
  <c r="P77" i="72"/>
  <c r="BC77" i="72"/>
  <c r="W77" i="72"/>
  <c r="J77" i="72"/>
  <c r="AS77" i="72"/>
  <c r="BD77" i="72"/>
  <c r="G77" i="72"/>
  <c r="M77" i="72"/>
  <c r="Z77" i="72"/>
  <c r="A77" i="72"/>
  <c r="N77" i="72" a="1"/>
  <c r="N77" i="72" s="1"/>
  <c r="V77" i="72"/>
  <c r="B77" i="72" s="1"/>
  <c r="T77" i="72"/>
  <c r="S77" i="72"/>
  <c r="P29" i="72"/>
  <c r="Z29" i="72"/>
  <c r="L29" i="72"/>
  <c r="AC29" i="72"/>
  <c r="BV29" i="72"/>
  <c r="AT29" i="72"/>
  <c r="M29" i="72"/>
  <c r="AB29" i="72" a="1"/>
  <c r="AB29" i="72" s="1"/>
  <c r="N29" i="72" a="1"/>
  <c r="N29" i="72" s="1"/>
  <c r="AA29" i="72"/>
  <c r="S29" i="72"/>
  <c r="BC29" i="72"/>
  <c r="Y29" i="72"/>
  <c r="G29" i="72"/>
  <c r="Q29" i="72"/>
  <c r="J29" i="72"/>
  <c r="AD29" i="72"/>
  <c r="V29" i="72"/>
  <c r="B29" i="72" s="1"/>
  <c r="AS29" i="72"/>
  <c r="BD29" i="72"/>
  <c r="U29" i="72" a="1"/>
  <c r="U29" i="72" s="1"/>
  <c r="W29" i="72"/>
  <c r="BQ29" i="72" s="1"/>
  <c r="A29" i="72"/>
  <c r="T29" i="72"/>
  <c r="Y48" i="4"/>
  <c r="AV48" i="4" a="1"/>
  <c r="AV48" i="4" s="1"/>
  <c r="C48" i="72" s="1"/>
  <c r="AT48" i="4" a="1"/>
  <c r="AT48" i="4" s="1"/>
  <c r="H48" i="72" s="1"/>
  <c r="AU48" i="4"/>
  <c r="BQ48" i="4"/>
  <c r="BM9" i="4"/>
  <c r="BE9" i="4" s="1" a="1"/>
  <c r="BE9" i="4" s="1"/>
  <c r="BJ9" i="72"/>
  <c r="BD9" i="69"/>
  <c r="AU12" i="4"/>
  <c r="AT12" i="4" a="1"/>
  <c r="AT12" i="4" s="1"/>
  <c r="H12" i="69" s="1"/>
  <c r="Y12" i="4"/>
  <c r="AV12" i="4" a="1"/>
  <c r="AV12" i="4" s="1"/>
  <c r="C12" i="72" s="1"/>
  <c r="BQ12" i="4"/>
  <c r="AV519" i="13"/>
  <c r="BL17" i="4"/>
  <c r="BM17" i="4" s="1"/>
  <c r="BE17" i="4" s="1" a="1"/>
  <c r="BE17" i="4" s="1"/>
  <c r="DV17" i="4"/>
  <c r="BH17" i="4"/>
  <c r="H235" i="15" a="1"/>
  <c r="H235" i="15" s="1"/>
  <c r="AX1307" i="13"/>
  <c r="A1406" i="13"/>
  <c r="A1408" i="13"/>
  <c r="AX1309" i="13"/>
  <c r="AX89" i="69"/>
  <c r="AW89" i="69"/>
  <c r="G89" i="69"/>
  <c r="Q89" i="69"/>
  <c r="AB89" i="69" a="1"/>
  <c r="AB89" i="69" s="1"/>
  <c r="V89" i="69"/>
  <c r="T89" i="69"/>
  <c r="AA89" i="69"/>
  <c r="AC89" i="69"/>
  <c r="U89" i="69" a="1"/>
  <c r="U89" i="69" s="1"/>
  <c r="N89" i="69" a="1"/>
  <c r="N89" i="69" s="1"/>
  <c r="AM89" i="69"/>
  <c r="AN89" i="69"/>
  <c r="Y89" i="69"/>
  <c r="A89" i="69"/>
  <c r="Z89" i="69"/>
  <c r="M89" i="69"/>
  <c r="P89" i="69"/>
  <c r="BP89" i="69"/>
  <c r="W89" i="69"/>
  <c r="J89" i="69"/>
  <c r="AV1234" i="13"/>
  <c r="AV1197" i="13" s="1" a="1"/>
  <c r="AV1197" i="13" s="1"/>
  <c r="I8" i="27"/>
  <c r="A1470" i="13"/>
  <c r="AX1371" i="13"/>
  <c r="F536" i="15" a="1"/>
  <c r="F536" i="15" s="1"/>
  <c r="F480" i="15" a="1"/>
  <c r="F480" i="15" s="1"/>
  <c r="Q52" i="69"/>
  <c r="N52" i="69" a="1"/>
  <c r="N52" i="69" s="1"/>
  <c r="U52" i="69" a="1"/>
  <c r="U52" i="69" s="1"/>
  <c r="AW52" i="69"/>
  <c r="A52" i="69"/>
  <c r="BP52" i="69"/>
  <c r="AX52" i="69"/>
  <c r="W52" i="69"/>
  <c r="BL52" i="69" s="1" a="1"/>
  <c r="BL52" i="69" s="1"/>
  <c r="M52" i="69"/>
  <c r="AA52" i="69"/>
  <c r="J52" i="69"/>
  <c r="AM52" i="69"/>
  <c r="T52" i="69"/>
  <c r="P52" i="69"/>
  <c r="Y52" i="69"/>
  <c r="AB52" i="69" a="1"/>
  <c r="AB52" i="69" s="1"/>
  <c r="AN52" i="69"/>
  <c r="S52" i="69"/>
  <c r="Z52" i="69"/>
  <c r="AC52" i="69"/>
  <c r="G52" i="69"/>
  <c r="V52" i="69"/>
  <c r="B52" i="69" s="1"/>
  <c r="F613" i="15" a="1"/>
  <c r="F613" i="15" s="1"/>
  <c r="H613" i="15" a="1"/>
  <c r="H613" i="15" s="1"/>
  <c r="F141" i="15" a="1"/>
  <c r="F141" i="15" s="1"/>
  <c r="AK94" i="69" a="1"/>
  <c r="AK94" i="69" s="1"/>
  <c r="AH94" i="69" a="1"/>
  <c r="AH94" i="69" s="1"/>
  <c r="AF94" i="69" a="1"/>
  <c r="AF94" i="69" s="1"/>
  <c r="AV94" i="69" a="1"/>
  <c r="AV94" i="69" s="1"/>
  <c r="AP94" i="69" a="1"/>
  <c r="AP94" i="69" s="1"/>
  <c r="AU94" i="69" a="1"/>
  <c r="AU94" i="69" s="1"/>
  <c r="AL94" i="69" a="1"/>
  <c r="AL94" i="69" s="1"/>
  <c r="AI94" i="69" a="1"/>
  <c r="AI94" i="69" s="1"/>
  <c r="E224" i="15"/>
  <c r="H223" i="15" s="1" a="1"/>
  <c r="H223" i="15" s="1"/>
  <c r="E130" i="15"/>
  <c r="F120" i="15" s="1" a="1"/>
  <c r="F120" i="15" s="1"/>
  <c r="E262" i="15"/>
  <c r="P43" i="9"/>
  <c r="E57" i="15"/>
  <c r="AI96" i="72"/>
  <c r="E212" i="15"/>
  <c r="F210" i="15" s="1" a="1"/>
  <c r="F210" i="15" s="1"/>
  <c r="AO94" i="69" a="1"/>
  <c r="AO94" i="69" s="1"/>
  <c r="HP37" i="71"/>
  <c r="P48" i="9"/>
  <c r="E446" i="15"/>
  <c r="M490" i="15" a="1"/>
  <c r="M490" i="15" s="1"/>
  <c r="N500" i="15" a="1"/>
  <c r="N500" i="15" s="1"/>
  <c r="L500" i="15" a="1"/>
  <c r="L500" i="15" s="1"/>
  <c r="L497" i="15" a="1"/>
  <c r="L497" i="15" s="1"/>
  <c r="N490" i="15" a="1"/>
  <c r="N490" i="15" s="1"/>
  <c r="K490" i="15" a="1"/>
  <c r="K490" i="15" s="1"/>
  <c r="M488" i="15" a="1"/>
  <c r="M488" i="15" s="1"/>
  <c r="N488" i="15" a="1"/>
  <c r="N488" i="15" s="1"/>
  <c r="K488" i="15" a="1"/>
  <c r="K488" i="15" s="1"/>
  <c r="P47" i="9"/>
  <c r="P95" i="9"/>
  <c r="P37" i="9"/>
  <c r="F422" i="15" a="1"/>
  <c r="F422" i="15" s="1"/>
  <c r="F235" i="15" a="1"/>
  <c r="F235" i="15" s="1"/>
  <c r="GO37" i="71"/>
  <c r="K482" i="15" a="1"/>
  <c r="K482" i="15" s="1"/>
  <c r="N482" i="15" a="1"/>
  <c r="N482" i="15" s="1"/>
  <c r="L482" i="15" a="1"/>
  <c r="L482" i="15" s="1"/>
  <c r="FE23" i="71"/>
  <c r="P24" i="9"/>
  <c r="Y84" i="72"/>
  <c r="P84" i="72"/>
  <c r="J84" i="72"/>
  <c r="AB84" i="72" a="1"/>
  <c r="AB84" i="72" s="1"/>
  <c r="W84" i="72"/>
  <c r="BQ84" i="72" s="1"/>
  <c r="V84" i="72"/>
  <c r="AS84" i="72"/>
  <c r="BV84" i="72"/>
  <c r="Z84" i="72"/>
  <c r="AC84" i="72"/>
  <c r="BD84" i="72"/>
  <c r="M84" i="72"/>
  <c r="AA84" i="72"/>
  <c r="AD84" i="72"/>
  <c r="T84" i="72"/>
  <c r="Q84" i="72"/>
  <c r="N84" i="72" a="1"/>
  <c r="N84" i="72" s="1"/>
  <c r="A84" i="72"/>
  <c r="AT84" i="72"/>
  <c r="BC84" i="72"/>
  <c r="V91" i="69"/>
  <c r="B91" i="69" s="1"/>
  <c r="T91" i="69"/>
  <c r="AA91" i="69"/>
  <c r="AW91" i="69"/>
  <c r="AB91" i="69" a="1"/>
  <c r="AB91" i="69" s="1"/>
  <c r="Q91" i="69"/>
  <c r="P91" i="69"/>
  <c r="AX91" i="69"/>
  <c r="J91" i="69"/>
  <c r="N91" i="69" a="1"/>
  <c r="N91" i="69" s="1"/>
  <c r="Z91" i="69"/>
  <c r="AC91" i="69"/>
  <c r="AM91" i="69"/>
  <c r="BP91" i="69"/>
  <c r="AN91" i="69"/>
  <c r="A91" i="69"/>
  <c r="W91" i="69"/>
  <c r="BL91" i="69" s="1" a="1"/>
  <c r="BL91" i="69" s="1"/>
  <c r="M91" i="69"/>
  <c r="Y91" i="69"/>
  <c r="S91" i="69"/>
  <c r="AH91" i="4"/>
  <c r="AV1387" i="13" s="1"/>
  <c r="A1438" i="13"/>
  <c r="AX1339" i="13"/>
  <c r="DD31" i="4" a="1"/>
  <c r="DD31" i="4" s="1"/>
  <c r="DD38" i="4" a="1"/>
  <c r="DD38" i="4" s="1"/>
  <c r="DD29" i="4" a="1"/>
  <c r="DD29" i="4" s="1"/>
  <c r="S47" i="69"/>
  <c r="A47" i="69"/>
  <c r="M47" i="69"/>
  <c r="AX47" i="69"/>
  <c r="AN47" i="69"/>
  <c r="AM47" i="69"/>
  <c r="AA47" i="69"/>
  <c r="Y47" i="69"/>
  <c r="AC47" i="69"/>
  <c r="BP47" i="69"/>
  <c r="G47" i="69"/>
  <c r="Q47" i="69"/>
  <c r="AB47" i="69" a="1"/>
  <c r="AB47" i="69" s="1"/>
  <c r="BD47" i="69"/>
  <c r="T47" i="69"/>
  <c r="V47" i="69"/>
  <c r="B47" i="69" s="1"/>
  <c r="U47" i="69" a="1"/>
  <c r="U47" i="69" s="1"/>
  <c r="J47" i="69"/>
  <c r="W47" i="69"/>
  <c r="BL47" i="69" s="1" a="1"/>
  <c r="BL47" i="69" s="1"/>
  <c r="P47" i="69"/>
  <c r="Z47" i="69"/>
  <c r="AW47" i="69"/>
  <c r="N47" i="69" a="1"/>
  <c r="N47" i="69" s="1"/>
  <c r="G17" i="72"/>
  <c r="J17" i="72"/>
  <c r="P17" i="72"/>
  <c r="AC17" i="72"/>
  <c r="AT17" i="72"/>
  <c r="BC17" i="72"/>
  <c r="AB17" i="72" a="1"/>
  <c r="AB17" i="72" s="1"/>
  <c r="S17" i="72"/>
  <c r="BV17" i="72"/>
  <c r="AA17" i="72"/>
  <c r="AD17" i="72"/>
  <c r="V17" i="72"/>
  <c r="B17" i="72" s="1"/>
  <c r="T17" i="72"/>
  <c r="Q17" i="72"/>
  <c r="W17" i="72"/>
  <c r="L17" i="72" s="1"/>
  <c r="K17" i="72" a="1"/>
  <c r="K17" i="72" s="1"/>
  <c r="M17" i="72"/>
  <c r="Z17" i="72"/>
  <c r="U17" i="72" a="1"/>
  <c r="U17" i="72" s="1"/>
  <c r="N17" i="72" a="1"/>
  <c r="N17" i="72" s="1"/>
  <c r="A17" i="72"/>
  <c r="AS17" i="72"/>
  <c r="Y17" i="72"/>
  <c r="BD17" i="72"/>
  <c r="W5" i="69"/>
  <c r="S5" i="69"/>
  <c r="A5" i="69"/>
  <c r="Y5" i="69"/>
  <c r="N5" i="69" a="1"/>
  <c r="N5" i="69" s="1"/>
  <c r="Z5" i="69"/>
  <c r="T5" i="69"/>
  <c r="AC5" i="69"/>
  <c r="BP5" i="69"/>
  <c r="P5" i="69"/>
  <c r="AW5" i="69"/>
  <c r="Q5" i="69"/>
  <c r="AA5" i="69"/>
  <c r="E5" i="69" s="1"/>
  <c r="J5" i="69"/>
  <c r="K5" i="69" a="1"/>
  <c r="K5" i="69" s="1"/>
  <c r="AM5" i="69"/>
  <c r="G5" i="69"/>
  <c r="AB5" i="69" a="1"/>
  <c r="AB5" i="69" s="1"/>
  <c r="V5" i="69"/>
  <c r="B5" i="69" s="1"/>
  <c r="AX5" i="69"/>
  <c r="M5" i="69"/>
  <c r="U5" i="69" a="1"/>
  <c r="U5" i="69" s="1"/>
  <c r="AN5" i="69"/>
  <c r="AV1404" i="13"/>
  <c r="K9" i="69" a="1"/>
  <c r="K9" i="69" s="1"/>
  <c r="K10" i="69" a="1"/>
  <c r="K10" i="69" s="1"/>
  <c r="J57" i="69"/>
  <c r="M57" i="69"/>
  <c r="V57" i="69"/>
  <c r="B57" i="69" s="1"/>
  <c r="U57" i="69" a="1"/>
  <c r="U57" i="69" s="1"/>
  <c r="N57" i="69" a="1"/>
  <c r="N57" i="69" s="1"/>
  <c r="AA57" i="69"/>
  <c r="AW57" i="69"/>
  <c r="Q57" i="69"/>
  <c r="AM57" i="69"/>
  <c r="AB57" i="69" a="1"/>
  <c r="AB57" i="69" s="1"/>
  <c r="AC57" i="69"/>
  <c r="AX57" i="69"/>
  <c r="BP57" i="69"/>
  <c r="P57" i="69"/>
  <c r="T57" i="69"/>
  <c r="G57" i="69"/>
  <c r="W57" i="69"/>
  <c r="BL57" i="69" s="1" a="1"/>
  <c r="BL57" i="69" s="1"/>
  <c r="AN57" i="69"/>
  <c r="A57" i="69"/>
  <c r="Y57" i="69"/>
  <c r="S57" i="69"/>
  <c r="Z57" i="69"/>
  <c r="BT26" i="4"/>
  <c r="BD26" i="4"/>
  <c r="BR26" i="4" s="1"/>
  <c r="O26" i="72" s="1"/>
  <c r="DE70" i="4"/>
  <c r="E70" i="4"/>
  <c r="BT70" i="4" s="1"/>
  <c r="BD52" i="4"/>
  <c r="F172" i="15" a="1"/>
  <c r="F172" i="15" s="1"/>
  <c r="H172" i="15" a="1"/>
  <c r="H172" i="15" s="1"/>
  <c r="AS36" i="72"/>
  <c r="N36" i="72" a="1"/>
  <c r="N36" i="72" s="1"/>
  <c r="J36" i="72"/>
  <c r="Z36" i="72"/>
  <c r="Y36" i="72"/>
  <c r="P36" i="72"/>
  <c r="U36" i="72" a="1"/>
  <c r="U36" i="72" s="1"/>
  <c r="T36" i="72"/>
  <c r="BV36" i="72"/>
  <c r="BD36" i="72"/>
  <c r="Q36" i="72"/>
  <c r="BC36" i="72"/>
  <c r="M36" i="72"/>
  <c r="G36" i="72"/>
  <c r="AT36" i="72"/>
  <c r="AA36" i="72"/>
  <c r="V36" i="72"/>
  <c r="B36" i="72" s="1"/>
  <c r="S36" i="72"/>
  <c r="AD36" i="72"/>
  <c r="W36" i="72"/>
  <c r="BR36" i="72" s="1" a="1"/>
  <c r="BR36" i="72" s="1"/>
  <c r="AB36" i="72" a="1"/>
  <c r="AB36" i="72" s="1"/>
  <c r="A36" i="72"/>
  <c r="AC36" i="72"/>
  <c r="H36" i="72"/>
  <c r="DA68" i="4" a="1"/>
  <c r="DA68" i="4" s="1"/>
  <c r="CW74" i="4"/>
  <c r="CX74" i="4" s="1"/>
  <c r="I5" i="69"/>
  <c r="I30" i="72"/>
  <c r="DA71" i="4" a="1"/>
  <c r="DA71" i="4" s="1"/>
  <c r="M94" i="69"/>
  <c r="AV196" i="13"/>
  <c r="DA95" i="4" a="1"/>
  <c r="DA95" i="4" s="1"/>
  <c r="DE95" i="4"/>
  <c r="E95" i="4"/>
  <c r="N560" i="15" a="1"/>
  <c r="N560" i="15" s="1"/>
  <c r="DB97" i="4"/>
  <c r="AQ3" i="1" a="1"/>
  <c r="AQ3" i="1" s="1"/>
  <c r="AQ101" i="1" s="1"/>
  <c r="X48" i="4"/>
  <c r="BR48" i="4"/>
  <c r="BF48" i="69" s="1"/>
  <c r="BG48" i="4"/>
  <c r="AV1146" i="13" s="1"/>
  <c r="BG29" i="4"/>
  <c r="AV1127" i="13" s="1"/>
  <c r="BG20" i="4"/>
  <c r="AV1118" i="13" s="1"/>
  <c r="BG18" i="4"/>
  <c r="AV1116" i="13" s="1"/>
  <c r="X17" i="4"/>
  <c r="BG17" i="4"/>
  <c r="AV1115" i="13" s="1"/>
  <c r="BR17" i="4"/>
  <c r="BL17" i="72" s="1"/>
  <c r="BG41" i="4"/>
  <c r="AV1139" i="13" s="1"/>
  <c r="BR41" i="4"/>
  <c r="BL41" i="72" s="1"/>
  <c r="DE84" i="4"/>
  <c r="E84" i="4"/>
  <c r="BT84" i="4" s="1"/>
  <c r="J87" i="72"/>
  <c r="AC87" i="72"/>
  <c r="V87" i="72"/>
  <c r="B87" i="72" s="1"/>
  <c r="Y87" i="72"/>
  <c r="Z87" i="72"/>
  <c r="T87" i="72"/>
  <c r="BC87" i="72"/>
  <c r="N87" i="72" a="1"/>
  <c r="N87" i="72" s="1"/>
  <c r="BD87" i="72"/>
  <c r="AT87" i="72"/>
  <c r="AD87" i="72"/>
  <c r="BV87" i="72"/>
  <c r="AA87" i="72"/>
  <c r="M87" i="72"/>
  <c r="Q87" i="72"/>
  <c r="AB87" i="72" a="1"/>
  <c r="AB87" i="72" s="1"/>
  <c r="W87" i="72"/>
  <c r="BQ87" i="72" s="1"/>
  <c r="A87" i="72"/>
  <c r="AS87" i="72"/>
  <c r="P87" i="72"/>
  <c r="U87" i="72" a="1"/>
  <c r="U87" i="72" s="1"/>
  <c r="S87" i="72"/>
  <c r="A1429" i="13"/>
  <c r="AX1330" i="13"/>
  <c r="F442" i="15" a="1"/>
  <c r="F442" i="15" s="1"/>
  <c r="I373" i="15" a="1"/>
  <c r="I373" i="15" s="1"/>
  <c r="Q34" i="72"/>
  <c r="BD34" i="72"/>
  <c r="Y34" i="72"/>
  <c r="AS34" i="72"/>
  <c r="W34" i="72"/>
  <c r="BQ34" i="72" s="1"/>
  <c r="S34" i="72"/>
  <c r="AA34" i="72"/>
  <c r="U34" i="72" a="1"/>
  <c r="U34" i="72" s="1"/>
  <c r="J34" i="72"/>
  <c r="L34" i="72"/>
  <c r="A34" i="72"/>
  <c r="AB34" i="72" a="1"/>
  <c r="AB34" i="72" s="1"/>
  <c r="BC34" i="72"/>
  <c r="Z34" i="72"/>
  <c r="AD34" i="72"/>
  <c r="N34" i="72" a="1"/>
  <c r="N34" i="72" s="1"/>
  <c r="AT34" i="72"/>
  <c r="BV34" i="72"/>
  <c r="V34" i="72"/>
  <c r="B34" i="72" s="1"/>
  <c r="P34" i="72"/>
  <c r="AC34" i="72"/>
  <c r="M34" i="72"/>
  <c r="G34" i="72"/>
  <c r="T34" i="72"/>
  <c r="BJ34" i="72"/>
  <c r="AP82" i="4"/>
  <c r="AV384" i="13" s="1"/>
  <c r="AV484" i="13" s="1"/>
  <c r="DE82" i="4"/>
  <c r="E82" i="4"/>
  <c r="BT82" i="4" s="1"/>
  <c r="I21" i="69"/>
  <c r="AX1338" i="13"/>
  <c r="A1437" i="13"/>
  <c r="P19" i="69"/>
  <c r="AN19" i="69"/>
  <c r="N19" i="69" a="1"/>
  <c r="N19" i="69" s="1"/>
  <c r="AX19" i="69"/>
  <c r="J19" i="69"/>
  <c r="W19" i="69"/>
  <c r="L19" i="69" s="1"/>
  <c r="U19" i="69" a="1"/>
  <c r="U19" i="69" s="1"/>
  <c r="Y19" i="69"/>
  <c r="Q19" i="69"/>
  <c r="AC19" i="69"/>
  <c r="AB19" i="69" a="1"/>
  <c r="AB19" i="69" s="1"/>
  <c r="S19" i="69"/>
  <c r="V19" i="69"/>
  <c r="B19" i="69" s="1"/>
  <c r="A19" i="69"/>
  <c r="AW19" i="69"/>
  <c r="M19" i="69"/>
  <c r="G19" i="69"/>
  <c r="Z19" i="69"/>
  <c r="T19" i="69"/>
  <c r="BP19" i="69"/>
  <c r="AM19" i="69"/>
  <c r="AA19" i="69"/>
  <c r="K19" i="69" a="1"/>
  <c r="K19" i="69" s="1"/>
  <c r="C19" i="69"/>
  <c r="H19" i="69"/>
  <c r="AL81" i="4"/>
  <c r="DE81" i="4"/>
  <c r="E81" i="4"/>
  <c r="BT81" i="4" s="1"/>
  <c r="AS8" i="72"/>
  <c r="U8" i="72" a="1"/>
  <c r="U8" i="72" s="1"/>
  <c r="AA8" i="72"/>
  <c r="J8" i="72"/>
  <c r="N8" i="72" a="1"/>
  <c r="N8" i="72" s="1"/>
  <c r="W8" i="72"/>
  <c r="BD8" i="72"/>
  <c r="Q8" i="72"/>
  <c r="Y8" i="72"/>
  <c r="P8" i="72"/>
  <c r="AB8" i="72" a="1"/>
  <c r="AB8" i="72" s="1"/>
  <c r="AD8" i="72"/>
  <c r="S8" i="72"/>
  <c r="M8" i="72"/>
  <c r="K8" i="72" a="1"/>
  <c r="K8" i="72" s="1"/>
  <c r="Z8" i="72"/>
  <c r="AC8" i="72"/>
  <c r="A8" i="72"/>
  <c r="AT8" i="72"/>
  <c r="V8" i="72"/>
  <c r="B8" i="72" s="1"/>
  <c r="T8" i="72"/>
  <c r="G8" i="72"/>
  <c r="BC8" i="72"/>
  <c r="BV8" i="72"/>
  <c r="S56" i="72"/>
  <c r="T56" i="72"/>
  <c r="Z56" i="72"/>
  <c r="M56" i="72"/>
  <c r="V56" i="72"/>
  <c r="B56" i="72" s="1"/>
  <c r="Y56" i="72"/>
  <c r="J56" i="72"/>
  <c r="U56" i="72" a="1"/>
  <c r="U56" i="72" s="1"/>
  <c r="AT56" i="72"/>
  <c r="P56" i="72"/>
  <c r="AB56" i="72" a="1"/>
  <c r="AB56" i="72" s="1"/>
  <c r="BV56" i="72"/>
  <c r="AA56" i="72"/>
  <c r="AS56" i="72"/>
  <c r="A56" i="72"/>
  <c r="Q56" i="72"/>
  <c r="AC56" i="72"/>
  <c r="W56" i="72"/>
  <c r="BR56" i="72" s="1" a="1"/>
  <c r="BR56" i="72" s="1"/>
  <c r="N56" i="72" a="1"/>
  <c r="N56" i="72" s="1"/>
  <c r="BC56" i="72"/>
  <c r="BD56" i="72"/>
  <c r="G56" i="72"/>
  <c r="L56" i="72"/>
  <c r="AD56" i="72"/>
  <c r="DA92" i="4" a="1"/>
  <c r="DA92" i="4" s="1"/>
  <c r="DE92" i="4"/>
  <c r="E92" i="4"/>
  <c r="BT92" i="4" s="1"/>
  <c r="F56" i="72"/>
  <c r="F83" i="69"/>
  <c r="F14" i="27"/>
  <c r="M58" i="69"/>
  <c r="DV73" i="4"/>
  <c r="BL73" i="4"/>
  <c r="BM73" i="4" s="1"/>
  <c r="BE73" i="4" s="1" a="1"/>
  <c r="BE73" i="4" s="1"/>
  <c r="AV575" i="13"/>
  <c r="Z75" i="72"/>
  <c r="AD75" i="72"/>
  <c r="T75" i="72"/>
  <c r="S75" i="72"/>
  <c r="BV75" i="72"/>
  <c r="Y75" i="72"/>
  <c r="BD75" i="72"/>
  <c r="M75" i="72"/>
  <c r="AT75" i="72"/>
  <c r="AS75" i="72"/>
  <c r="BC75" i="72"/>
  <c r="AA75" i="72"/>
  <c r="A75" i="72"/>
  <c r="AB75" i="72" a="1"/>
  <c r="AB75" i="72" s="1"/>
  <c r="AC75" i="72"/>
  <c r="W75" i="72"/>
  <c r="N75" i="72" a="1"/>
  <c r="N75" i="72" s="1"/>
  <c r="P75" i="72"/>
  <c r="J75" i="72"/>
  <c r="Q75" i="72"/>
  <c r="U75" i="72" a="1"/>
  <c r="U75" i="72" s="1"/>
  <c r="V75" i="72"/>
  <c r="B75" i="72" s="1"/>
  <c r="G75" i="72"/>
  <c r="O75" i="72"/>
  <c r="BL75" i="72"/>
  <c r="P39" i="69"/>
  <c r="BP39" i="69"/>
  <c r="Y39" i="69"/>
  <c r="N39" i="69" a="1"/>
  <c r="N39" i="69" s="1"/>
  <c r="AM39" i="69"/>
  <c r="AX39" i="69"/>
  <c r="A39" i="69"/>
  <c r="Z39" i="69"/>
  <c r="T39" i="69"/>
  <c r="J39" i="69"/>
  <c r="M39" i="69"/>
  <c r="AC39" i="69"/>
  <c r="V39" i="69"/>
  <c r="B39" i="69" s="1"/>
  <c r="U39" i="69" a="1"/>
  <c r="U39" i="69" s="1"/>
  <c r="G39" i="69"/>
  <c r="Q39" i="69"/>
  <c r="W39" i="69"/>
  <c r="L39" i="69" s="1"/>
  <c r="AB39" i="69" a="1"/>
  <c r="AB39" i="69" s="1"/>
  <c r="H39" i="69"/>
  <c r="S39" i="69"/>
  <c r="AA39" i="69"/>
  <c r="C39" i="69"/>
  <c r="AW39" i="69"/>
  <c r="AN39" i="69"/>
  <c r="H625" i="15" a="1"/>
  <c r="H625" i="15" s="1"/>
  <c r="L625" i="15" a="1"/>
  <c r="L625" i="15" s="1"/>
  <c r="A1416" i="13"/>
  <c r="AX1317" i="13"/>
  <c r="H43" i="15" a="1"/>
  <c r="H43" i="15" s="1"/>
  <c r="F43" i="15" a="1"/>
  <c r="F43" i="15" s="1"/>
  <c r="AX1332" i="13"/>
  <c r="A1431" i="13"/>
  <c r="Y9" i="4"/>
  <c r="AU9" i="4"/>
  <c r="AT9" i="4" a="1"/>
  <c r="AT9" i="4" s="1"/>
  <c r="AV9" i="4" a="1"/>
  <c r="AV9" i="4" s="1"/>
  <c r="BQ9" i="4"/>
  <c r="CY9" i="4"/>
  <c r="CZ9" i="4" s="1"/>
  <c r="CA9" i="4"/>
  <c r="BD12" i="4"/>
  <c r="BL70" i="4"/>
  <c r="BM70" i="4" s="1"/>
  <c r="BE70" i="4" s="1" a="1"/>
  <c r="BE70" i="4" s="1"/>
  <c r="AV572" i="13"/>
  <c r="DV70" i="4"/>
  <c r="I295" i="15" a="1"/>
  <c r="I295" i="15" s="1"/>
  <c r="AM64" i="69"/>
  <c r="AW64" i="69"/>
  <c r="M64" i="69"/>
  <c r="AB64" i="69" a="1"/>
  <c r="AB64" i="69" s="1"/>
  <c r="G64" i="69"/>
  <c r="AX64" i="69"/>
  <c r="P64" i="69"/>
  <c r="Z64" i="69"/>
  <c r="W64" i="69"/>
  <c r="BK64" i="69" s="1"/>
  <c r="AA64" i="69"/>
  <c r="L64" i="69"/>
  <c r="V64" i="69"/>
  <c r="N64" i="69" a="1"/>
  <c r="N64" i="69" s="1"/>
  <c r="AC64" i="69"/>
  <c r="AN64" i="69"/>
  <c r="Q64" i="69"/>
  <c r="T64" i="69"/>
  <c r="J64" i="69"/>
  <c r="Y64" i="69"/>
  <c r="A64" i="69"/>
  <c r="U64" i="69" a="1"/>
  <c r="U64" i="69" s="1"/>
  <c r="BP64" i="69"/>
  <c r="BD64" i="69"/>
  <c r="AB29" i="69" a="1"/>
  <c r="AB29" i="69" s="1"/>
  <c r="AN29" i="69"/>
  <c r="AX29" i="69"/>
  <c r="V29" i="69"/>
  <c r="B29" i="69" s="1"/>
  <c r="AM29" i="69"/>
  <c r="L29" i="69"/>
  <c r="Y29" i="69"/>
  <c r="N29" i="69" a="1"/>
  <c r="N29" i="69" s="1"/>
  <c r="AC29" i="69"/>
  <c r="W29" i="69"/>
  <c r="BL29" i="69" s="1" a="1"/>
  <c r="BL29" i="69" s="1"/>
  <c r="G29" i="69"/>
  <c r="AW29" i="69"/>
  <c r="Z29" i="69"/>
  <c r="AA29" i="69"/>
  <c r="J29" i="69"/>
  <c r="U29" i="69" a="1"/>
  <c r="U29" i="69" s="1"/>
  <c r="M29" i="69"/>
  <c r="A29" i="69"/>
  <c r="P29" i="69"/>
  <c r="S29" i="69"/>
  <c r="T29" i="69"/>
  <c r="Q29" i="69"/>
  <c r="BQ29" i="69" s="1"/>
  <c r="BP29" i="69"/>
  <c r="Z71" i="4"/>
  <c r="AV1268" i="13" s="1"/>
  <c r="AV550" i="13"/>
  <c r="DV48" i="4"/>
  <c r="BH48" i="4"/>
  <c r="BL48" i="4"/>
  <c r="BM48" i="4" s="1"/>
  <c r="BE48" i="4" s="1" a="1"/>
  <c r="BE48" i="4" s="1"/>
  <c r="U20" i="27"/>
  <c r="Y20" i="27" s="1"/>
  <c r="Y34" i="27"/>
  <c r="Y42" i="27"/>
  <c r="Y39" i="27"/>
  <c r="Y24" i="27"/>
  <c r="Y49" i="27"/>
  <c r="Y43" i="27"/>
  <c r="Y21" i="27"/>
  <c r="Y44" i="27"/>
  <c r="Y22" i="27"/>
  <c r="Y29" i="27"/>
  <c r="Y31" i="27"/>
  <c r="Y27" i="27"/>
  <c r="Y50" i="27"/>
  <c r="Y32" i="27"/>
  <c r="Y23" i="27"/>
  <c r="Y25" i="27"/>
  <c r="Y47" i="27"/>
  <c r="Y40" i="27"/>
  <c r="Y30" i="27"/>
  <c r="Y38" i="27"/>
  <c r="Y26" i="27"/>
  <c r="Y41" i="27"/>
  <c r="Y36" i="27"/>
  <c r="Y45" i="27"/>
  <c r="Y28" i="27"/>
  <c r="Y35" i="27"/>
  <c r="Y46" i="27"/>
  <c r="Y33" i="27"/>
  <c r="Y48" i="27"/>
  <c r="Y37" i="27"/>
  <c r="BL12" i="4"/>
  <c r="BM12" i="4" s="1"/>
  <c r="BE12" i="4" s="1" a="1"/>
  <c r="BE12" i="4" s="1"/>
  <c r="AV514" i="13"/>
  <c r="BH12" i="4"/>
  <c r="DV12" i="4"/>
  <c r="CA17" i="4"/>
  <c r="AT17" i="4" a="1"/>
  <c r="AT17" i="4" s="1"/>
  <c r="H17" i="69" s="1"/>
  <c r="AU17" i="4"/>
  <c r="Y17" i="4"/>
  <c r="AV17" i="4" a="1"/>
  <c r="AV17" i="4" s="1"/>
  <c r="C17" i="72" s="1"/>
  <c r="BQ17" i="4"/>
  <c r="BT5" i="4"/>
  <c r="BD5" i="4"/>
  <c r="BR5" i="4" s="1"/>
  <c r="DE23" i="4"/>
  <c r="BC89" i="72"/>
  <c r="AA89" i="72"/>
  <c r="W89" i="72"/>
  <c r="BQ89" i="72" s="1"/>
  <c r="BD89" i="72"/>
  <c r="AC89" i="72"/>
  <c r="M89" i="72"/>
  <c r="BV89" i="72"/>
  <c r="T89" i="72"/>
  <c r="G89" i="72"/>
  <c r="AB89" i="72" a="1"/>
  <c r="AB89" i="72" s="1"/>
  <c r="AD89" i="72"/>
  <c r="AS89" i="72"/>
  <c r="V89" i="72"/>
  <c r="P89" i="72"/>
  <c r="N89" i="72" a="1"/>
  <c r="N89" i="72" s="1"/>
  <c r="J89" i="72"/>
  <c r="Z89" i="72"/>
  <c r="Y89" i="72"/>
  <c r="U89" i="72" a="1"/>
  <c r="U89" i="72" s="1"/>
  <c r="Q89" i="72"/>
  <c r="AT89" i="72"/>
  <c r="A89" i="72"/>
  <c r="AL82" i="4"/>
  <c r="BT60" i="4"/>
  <c r="F438" i="15" a="1"/>
  <c r="F438" i="15" s="1"/>
  <c r="F498" i="15" a="1"/>
  <c r="F498" i="15" s="1"/>
  <c r="I77" i="72"/>
  <c r="AL90" i="4"/>
  <c r="BV30" i="72"/>
  <c r="AA30" i="72"/>
  <c r="W30" i="72"/>
  <c r="BR30" i="72" s="1" a="1"/>
  <c r="BR30" i="72" s="1"/>
  <c r="AS30" i="72"/>
  <c r="S30" i="72"/>
  <c r="AT30" i="72"/>
  <c r="Z30" i="72"/>
  <c r="G30" i="72"/>
  <c r="Q30" i="72"/>
  <c r="A30" i="72"/>
  <c r="U30" i="72" a="1"/>
  <c r="U30" i="72" s="1"/>
  <c r="BC30" i="72"/>
  <c r="AC30" i="72"/>
  <c r="N30" i="72" a="1"/>
  <c r="N30" i="72" s="1"/>
  <c r="Y30" i="72"/>
  <c r="BD30" i="72"/>
  <c r="AD30" i="72"/>
  <c r="T30" i="72"/>
  <c r="P30" i="72"/>
  <c r="M30" i="72"/>
  <c r="AB30" i="72" a="1"/>
  <c r="AB30" i="72" s="1"/>
  <c r="V30" i="72"/>
  <c r="B30" i="72" s="1"/>
  <c r="J30" i="72"/>
  <c r="I26" i="69"/>
  <c r="AN96" i="72"/>
  <c r="BF94" i="72"/>
  <c r="AK94" i="72"/>
  <c r="BG94" i="72"/>
  <c r="E97" i="15"/>
  <c r="P76" i="9"/>
  <c r="E152" i="15"/>
  <c r="IH37" i="71"/>
  <c r="P98" i="9"/>
  <c r="P83" i="9"/>
  <c r="AF96" i="72" a="1"/>
  <c r="AF96" i="72" s="1"/>
  <c r="BN96" i="72" a="1"/>
  <c r="BN96" i="72" s="1"/>
  <c r="AM94" i="69"/>
  <c r="K603" i="15" a="1"/>
  <c r="K603" i="15" s="1"/>
  <c r="M603" i="15" a="1"/>
  <c r="M603" i="15" s="1"/>
  <c r="N603" i="15" a="1"/>
  <c r="N603" i="15" s="1"/>
  <c r="AL62" i="4"/>
  <c r="DA66" i="4" a="1"/>
  <c r="DA66" i="4" s="1"/>
  <c r="AX1318" i="13"/>
  <c r="A1417" i="13"/>
  <c r="DV85" i="4"/>
  <c r="AV587" i="13"/>
  <c r="BH85" i="4"/>
  <c r="BL85" i="4"/>
  <c r="BM85" i="4" s="1"/>
  <c r="BE85" i="4" s="1" a="1"/>
  <c r="BE85" i="4" s="1"/>
  <c r="DV39" i="4"/>
  <c r="AV541" i="13"/>
  <c r="BH39" i="4"/>
  <c r="BL39" i="4"/>
  <c r="BM39" i="4" s="1"/>
  <c r="BE39" i="4" s="1" a="1"/>
  <c r="BE39" i="4" s="1"/>
  <c r="DD23" i="4" a="1"/>
  <c r="DD23" i="4" s="1"/>
  <c r="AU15" i="4"/>
  <c r="AT15" i="4" a="1"/>
  <c r="AT15" i="4" s="1"/>
  <c r="AV15" i="4" a="1"/>
  <c r="AV15" i="4" s="1"/>
  <c r="Y15" i="4"/>
  <c r="CY15" i="4"/>
  <c r="CZ15" i="4" s="1"/>
  <c r="BQ15" i="4"/>
  <c r="DD47" i="4" a="1"/>
  <c r="DD47" i="4" s="1"/>
  <c r="DD35" i="4" a="1"/>
  <c r="DD35" i="4" s="1"/>
  <c r="AP81" i="4"/>
  <c r="AV383" i="13" s="1"/>
  <c r="AV483" i="13" s="1"/>
  <c r="Q26" i="72"/>
  <c r="AS26" i="72"/>
  <c r="L26" i="72"/>
  <c r="G26" i="72"/>
  <c r="N26" i="72" a="1"/>
  <c r="N26" i="72" s="1"/>
  <c r="AD26" i="72"/>
  <c r="BV26" i="72"/>
  <c r="BD26" i="72"/>
  <c r="J26" i="72"/>
  <c r="A26" i="72"/>
  <c r="V26" i="72"/>
  <c r="B26" i="72" s="1"/>
  <c r="W26" i="72"/>
  <c r="T26" i="72"/>
  <c r="U26" i="72" a="1"/>
  <c r="U26" i="72" s="1"/>
  <c r="M26" i="72"/>
  <c r="AT26" i="72"/>
  <c r="P26" i="72"/>
  <c r="AB26" i="72" a="1"/>
  <c r="AB26" i="72" s="1"/>
  <c r="Y26" i="72"/>
  <c r="S26" i="72"/>
  <c r="BC26" i="72"/>
  <c r="Z26" i="72"/>
  <c r="AC26" i="72"/>
  <c r="AA26" i="72"/>
  <c r="E26" i="72" s="1"/>
  <c r="AL66" i="4"/>
  <c r="F41" i="69"/>
  <c r="AL78" i="4"/>
  <c r="F56" i="4"/>
  <c r="DE56" i="4"/>
  <c r="E56" i="4"/>
  <c r="BT56" i="4" s="1"/>
  <c r="AU75" i="4"/>
  <c r="AV75" i="4" a="1"/>
  <c r="AV75" i="4" s="1"/>
  <c r="C75" i="72" s="1"/>
  <c r="AT75" i="4" a="1"/>
  <c r="AT75" i="4" s="1"/>
  <c r="H75" i="72" s="1"/>
  <c r="Y75" i="4"/>
  <c r="F494" i="15" a="1"/>
  <c r="F494" i="15" s="1"/>
  <c r="W11" i="72"/>
  <c r="BR11" i="72" s="1" a="1"/>
  <c r="BR11" i="72" s="1"/>
  <c r="A11" i="72"/>
  <c r="BC11" i="72"/>
  <c r="G11" i="72"/>
  <c r="Q11" i="72"/>
  <c r="AC11" i="72"/>
  <c r="Z11" i="72"/>
  <c r="AA11" i="72"/>
  <c r="J11" i="72"/>
  <c r="AD11" i="72"/>
  <c r="BD11" i="72"/>
  <c r="U11" i="72" a="1"/>
  <c r="U11" i="72" s="1"/>
  <c r="K11" i="72" a="1"/>
  <c r="K11" i="72" s="1"/>
  <c r="P11" i="72"/>
  <c r="AT11" i="72"/>
  <c r="AS11" i="72"/>
  <c r="V11" i="72"/>
  <c r="B11" i="72" s="1"/>
  <c r="S11" i="72"/>
  <c r="T11" i="72"/>
  <c r="Y11" i="72"/>
  <c r="AB11" i="72" a="1"/>
  <c r="AB11" i="72" s="1"/>
  <c r="N11" i="72" a="1"/>
  <c r="N11" i="72" s="1"/>
  <c r="M11" i="72"/>
  <c r="BV11" i="72"/>
  <c r="F27" i="72"/>
  <c r="CW69" i="4"/>
  <c r="CX69" i="4" s="1"/>
  <c r="A1482" i="13"/>
  <c r="AX1383" i="13"/>
  <c r="H653" i="15" a="1"/>
  <c r="H653" i="15" s="1"/>
  <c r="F653" i="15" a="1"/>
  <c r="F653" i="15" s="1"/>
  <c r="F44" i="72"/>
  <c r="N641" i="15" a="1"/>
  <c r="N641" i="15" s="1"/>
  <c r="F641" i="15" a="1"/>
  <c r="F641" i="15" s="1"/>
  <c r="F337" i="15" a="1"/>
  <c r="F337" i="15" s="1"/>
  <c r="AX1362" i="13"/>
  <c r="A1461" i="13"/>
  <c r="Z23" i="4"/>
  <c r="AV1220" i="13" s="1"/>
  <c r="BF29" i="4"/>
  <c r="BG21" i="4"/>
  <c r="AV1119" i="13" s="1"/>
  <c r="BR21" i="4"/>
  <c r="X13" i="4"/>
  <c r="BG13" i="4"/>
  <c r="AV1111" i="13" s="1"/>
  <c r="BR13" i="4"/>
  <c r="O13" i="69" s="1"/>
  <c r="AD23" i="4"/>
  <c r="F23" i="69" s="1"/>
  <c r="BG14" i="4"/>
  <c r="AV1112" i="13" s="1"/>
  <c r="BF11" i="4"/>
  <c r="BF31" i="4"/>
  <c r="AD60" i="4"/>
  <c r="F60" i="69" s="1"/>
  <c r="BG43" i="4"/>
  <c r="AV1141" i="13" s="1"/>
  <c r="BF52" i="4"/>
  <c r="DE80" i="4"/>
  <c r="E80" i="4"/>
  <c r="BT80" i="4" s="1"/>
  <c r="A1473" i="13"/>
  <c r="AX1374" i="13"/>
  <c r="I89" i="72"/>
  <c r="A1319" i="13"/>
  <c r="AX1220" i="13"/>
  <c r="A1484" i="13"/>
  <c r="AX1385" i="13"/>
  <c r="F54" i="72"/>
  <c r="DV57" i="4"/>
  <c r="AV559" i="13"/>
  <c r="BL57" i="4"/>
  <c r="BM57" i="4" s="1"/>
  <c r="BE57" i="4" s="1" a="1"/>
  <c r="BE57" i="4" s="1"/>
  <c r="T8" i="69"/>
  <c r="V8" i="69"/>
  <c r="B8" i="69" s="1"/>
  <c r="AB8" i="69" a="1"/>
  <c r="AB8" i="69" s="1"/>
  <c r="AA8" i="69"/>
  <c r="Q8" i="69"/>
  <c r="K8" i="69" a="1"/>
  <c r="K8" i="69" s="1"/>
  <c r="AC8" i="69"/>
  <c r="G8" i="69"/>
  <c r="S8" i="69"/>
  <c r="AM8" i="69"/>
  <c r="BP8" i="69"/>
  <c r="AN8" i="69"/>
  <c r="W8" i="69"/>
  <c r="BK8" i="69" s="1"/>
  <c r="P8" i="69"/>
  <c r="Z8" i="69"/>
  <c r="N8" i="69" a="1"/>
  <c r="N8" i="69" s="1"/>
  <c r="J8" i="69"/>
  <c r="U8" i="69" a="1"/>
  <c r="U8" i="69" s="1"/>
  <c r="Y8" i="69"/>
  <c r="AW8" i="69"/>
  <c r="A8" i="69"/>
  <c r="M8" i="69"/>
  <c r="AX8" i="69"/>
  <c r="I6" i="69"/>
  <c r="AM56" i="69"/>
  <c r="N56" i="69" a="1"/>
  <c r="N56" i="69" s="1"/>
  <c r="Y56" i="69"/>
  <c r="G56" i="69"/>
  <c r="AA56" i="69"/>
  <c r="AN56" i="69"/>
  <c r="P56" i="69"/>
  <c r="J56" i="69"/>
  <c r="AW56" i="69"/>
  <c r="AB56" i="69" a="1"/>
  <c r="AB56" i="69" s="1"/>
  <c r="Z56" i="69"/>
  <c r="AC56" i="69"/>
  <c r="AX56" i="69"/>
  <c r="V56" i="69"/>
  <c r="B56" i="69" s="1"/>
  <c r="A56" i="69"/>
  <c r="S56" i="69"/>
  <c r="W56" i="69"/>
  <c r="BK56" i="69" s="1"/>
  <c r="BP56" i="69"/>
  <c r="U56" i="69" a="1"/>
  <c r="U56" i="69" s="1"/>
  <c r="L56" i="69"/>
  <c r="M56" i="69"/>
  <c r="Q56" i="69"/>
  <c r="T56" i="69"/>
  <c r="I94" i="69"/>
  <c r="I94" i="72"/>
  <c r="AF58" i="72" a="1"/>
  <c r="AF58" i="72" s="1"/>
  <c r="A1432" i="13"/>
  <c r="AX1333" i="13"/>
  <c r="E189" i="15"/>
  <c r="DE58" i="4"/>
  <c r="E58" i="4"/>
  <c r="F58" i="4"/>
  <c r="AL58" i="4"/>
  <c r="AD58" i="4"/>
  <c r="AP58" i="4"/>
  <c r="Z58" i="4"/>
  <c r="AH58" i="4"/>
  <c r="AX1379" i="13"/>
  <c r="A1478" i="13"/>
  <c r="AT58" i="69" a="1"/>
  <c r="AT58" i="69" s="1"/>
  <c r="F574" i="15" a="1"/>
  <c r="F574" i="15" s="1"/>
  <c r="H574" i="15" a="1"/>
  <c r="H574" i="15" s="1"/>
  <c r="A1476" i="13"/>
  <c r="AX1377" i="13"/>
  <c r="A1488" i="13"/>
  <c r="AX1389" i="13"/>
  <c r="E58" i="14"/>
  <c r="V75" i="69"/>
  <c r="B75" i="69" s="1"/>
  <c r="G75" i="69"/>
  <c r="Q75" i="69"/>
  <c r="J75" i="69"/>
  <c r="AX75" i="69"/>
  <c r="W75" i="69"/>
  <c r="BK75" i="69" s="1"/>
  <c r="AC75" i="69"/>
  <c r="Y75" i="69"/>
  <c r="M75" i="69"/>
  <c r="P75" i="69"/>
  <c r="T75" i="69"/>
  <c r="AA75" i="69"/>
  <c r="AB75" i="69" a="1"/>
  <c r="AB75" i="69" s="1"/>
  <c r="AM75" i="69"/>
  <c r="U75" i="69" a="1"/>
  <c r="U75" i="69" s="1"/>
  <c r="AW75" i="69"/>
  <c r="S75" i="69"/>
  <c r="BP75" i="69"/>
  <c r="Z75" i="69"/>
  <c r="AN75" i="69"/>
  <c r="A75" i="69"/>
  <c r="N75" i="69" a="1"/>
  <c r="N75" i="69" s="1"/>
  <c r="BF75" i="69"/>
  <c r="O75" i="69"/>
  <c r="AT14" i="72"/>
  <c r="Y14" i="72"/>
  <c r="T14" i="72"/>
  <c r="Z14" i="72"/>
  <c r="S14" i="72"/>
  <c r="AD14" i="72"/>
  <c r="BD14" i="72"/>
  <c r="A14" i="72"/>
  <c r="AA14" i="72"/>
  <c r="AB14" i="72" a="1"/>
  <c r="AB14" i="72" s="1"/>
  <c r="W14" i="72"/>
  <c r="J14" i="72"/>
  <c r="K14" i="72" a="1"/>
  <c r="K14" i="72" s="1"/>
  <c r="AC14" i="72"/>
  <c r="M14" i="72"/>
  <c r="P14" i="72"/>
  <c r="V14" i="72"/>
  <c r="B14" i="72" s="1"/>
  <c r="BV14" i="72"/>
  <c r="L14" i="72"/>
  <c r="G14" i="72"/>
  <c r="BC14" i="72"/>
  <c r="Q14" i="72"/>
  <c r="N14" i="72" a="1"/>
  <c r="N14" i="72" s="1"/>
  <c r="U14" i="72" a="1"/>
  <c r="U14" i="72" s="1"/>
  <c r="AS14" i="72"/>
  <c r="AC39" i="72"/>
  <c r="S39" i="72"/>
  <c r="V39" i="72"/>
  <c r="B39" i="72" s="1"/>
  <c r="AS39" i="72"/>
  <c r="N39" i="72" a="1"/>
  <c r="N39" i="72" s="1"/>
  <c r="U39" i="72" a="1"/>
  <c r="U39" i="72" s="1"/>
  <c r="AT39" i="72"/>
  <c r="Q39" i="72"/>
  <c r="M39" i="72"/>
  <c r="Y39" i="72"/>
  <c r="AB39" i="72" a="1"/>
  <c r="AB39" i="72" s="1"/>
  <c r="T39" i="72"/>
  <c r="J39" i="72"/>
  <c r="G39" i="72"/>
  <c r="Z39" i="72"/>
  <c r="BC39" i="72"/>
  <c r="P39" i="72"/>
  <c r="BV39" i="72"/>
  <c r="AA39" i="72"/>
  <c r="W39" i="72"/>
  <c r="BR39" i="72" s="1" a="1"/>
  <c r="BR39" i="72" s="1"/>
  <c r="AD39" i="72"/>
  <c r="A39" i="72"/>
  <c r="BD39" i="72"/>
  <c r="P61" i="69"/>
  <c r="BD61" i="69"/>
  <c r="AC61" i="69"/>
  <c r="BP61" i="69"/>
  <c r="V61" i="69"/>
  <c r="B61" i="69" s="1"/>
  <c r="Q61" i="69"/>
  <c r="L61" i="69"/>
  <c r="AA61" i="69"/>
  <c r="W61" i="69"/>
  <c r="BK61" i="69" s="1"/>
  <c r="AM61" i="69"/>
  <c r="AX61" i="69"/>
  <c r="G61" i="69"/>
  <c r="AW61" i="69"/>
  <c r="S61" i="69"/>
  <c r="AB61" i="69" a="1"/>
  <c r="AB61" i="69" s="1"/>
  <c r="Y61" i="69"/>
  <c r="J61" i="69"/>
  <c r="A61" i="69"/>
  <c r="AN61" i="69"/>
  <c r="N61" i="69" a="1"/>
  <c r="N61" i="69" s="1"/>
  <c r="Z61" i="69"/>
  <c r="M61" i="69"/>
  <c r="T61" i="69"/>
  <c r="U61" i="69" a="1"/>
  <c r="U61" i="69" s="1"/>
  <c r="DV22" i="4"/>
  <c r="AV524" i="13"/>
  <c r="BH22" i="4"/>
  <c r="BL22" i="4"/>
  <c r="BM22" i="4" s="1"/>
  <c r="BE22" i="4" s="1" a="1"/>
  <c r="BE22" i="4" s="1"/>
  <c r="AV530" i="13"/>
  <c r="DV28" i="4"/>
  <c r="BL28" i="4"/>
  <c r="BH28" i="4"/>
  <c r="F66" i="4"/>
  <c r="AQ4" i="72" a="1"/>
  <c r="AQ4" i="72" s="1"/>
  <c r="AW4" i="72" a="1"/>
  <c r="AW4" i="72" s="1"/>
  <c r="AR4" i="72" a="1"/>
  <c r="AR4" i="72" s="1"/>
  <c r="AV4" i="72" a="1"/>
  <c r="AV4" i="72" s="1"/>
  <c r="BA4" i="72" a="1"/>
  <c r="BA4" i="72" s="1"/>
  <c r="AG4" i="72" a="1"/>
  <c r="AG4" i="72" s="1"/>
  <c r="AX4" i="72" a="1"/>
  <c r="AX4" i="72" s="1"/>
  <c r="AH4" i="72" a="1"/>
  <c r="AH4" i="72" s="1"/>
  <c r="AP4" i="72" a="1"/>
  <c r="AP4" i="72" s="1"/>
  <c r="AM4" i="72" a="1"/>
  <c r="AM4" i="72" s="1"/>
  <c r="BB4" i="72" a="1"/>
  <c r="BB4" i="72" s="1"/>
  <c r="AY4" i="72" a="1"/>
  <c r="AY4" i="72" s="1"/>
  <c r="M519" i="15" a="1"/>
  <c r="M519" i="15" s="1"/>
  <c r="F419" i="15" a="1"/>
  <c r="F419" i="15" s="1"/>
  <c r="F247" i="15" a="1"/>
  <c r="F247" i="15" s="1"/>
  <c r="Y73" i="69"/>
  <c r="M73" i="69"/>
  <c r="A73" i="69"/>
  <c r="AN73" i="69"/>
  <c r="AX73" i="69"/>
  <c r="T73" i="69"/>
  <c r="Q73" i="69"/>
  <c r="AA73" i="69"/>
  <c r="W73" i="69"/>
  <c r="BK73" i="69" s="1"/>
  <c r="AM73" i="69"/>
  <c r="AC73" i="69"/>
  <c r="J73" i="69"/>
  <c r="V73" i="69"/>
  <c r="Z73" i="69"/>
  <c r="BP73" i="69"/>
  <c r="AB73" i="69" a="1"/>
  <c r="AB73" i="69" s="1"/>
  <c r="P73" i="69"/>
  <c r="N73" i="69" a="1"/>
  <c r="N73" i="69" s="1"/>
  <c r="AW73" i="69"/>
  <c r="U73" i="69" a="1"/>
  <c r="U73" i="69" s="1"/>
  <c r="F82" i="69"/>
  <c r="BR9" i="4"/>
  <c r="AE9" i="72" s="1"/>
  <c r="U96" i="69" a="1"/>
  <c r="U96" i="69" s="1"/>
  <c r="AV398" i="13"/>
  <c r="AV498" i="13" s="1"/>
  <c r="F259" i="15" a="1"/>
  <c r="F259" i="15" s="1"/>
  <c r="F443" i="15" a="1"/>
  <c r="F443" i="15" s="1"/>
  <c r="AP79" i="4"/>
  <c r="AV381" i="13" s="1"/>
  <c r="AV481" i="13" s="1"/>
  <c r="Z64" i="72"/>
  <c r="A64" i="72"/>
  <c r="AC64" i="72"/>
  <c r="AS64" i="72"/>
  <c r="Y64" i="72"/>
  <c r="AA64" i="72"/>
  <c r="BD64" i="72"/>
  <c r="G64" i="72"/>
  <c r="J64" i="72"/>
  <c r="AT64" i="72"/>
  <c r="AB64" i="72" a="1"/>
  <c r="AB64" i="72" s="1"/>
  <c r="V64" i="72"/>
  <c r="U64" i="72" a="1"/>
  <c r="U64" i="72" s="1"/>
  <c r="BC64" i="72"/>
  <c r="T64" i="72"/>
  <c r="W64" i="72"/>
  <c r="M64" i="72"/>
  <c r="BV64" i="72"/>
  <c r="Q64" i="72"/>
  <c r="AD64" i="72"/>
  <c r="P64" i="72"/>
  <c r="N64" i="72" a="1"/>
  <c r="N64" i="72" s="1"/>
  <c r="L64" i="72"/>
  <c r="BJ64" i="72"/>
  <c r="BR22" i="4"/>
  <c r="O22" i="69" s="1"/>
  <c r="AQ9" i="4"/>
  <c r="AR11" i="4"/>
  <c r="AR9" i="4"/>
  <c r="AQ11" i="4"/>
  <c r="F84" i="4"/>
  <c r="DV38" i="4"/>
  <c r="BH38" i="4"/>
  <c r="BL38" i="4"/>
  <c r="BM38" i="4" s="1"/>
  <c r="BE38" i="4" s="1" a="1"/>
  <c r="BE38" i="4" s="1"/>
  <c r="AV540" i="13"/>
  <c r="F598" i="15" a="1"/>
  <c r="F598" i="15" s="1"/>
  <c r="H598" i="15" a="1"/>
  <c r="H598" i="15" s="1"/>
  <c r="AX1312" i="13"/>
  <c r="A1411" i="13"/>
  <c r="BR38" i="4"/>
  <c r="DE63" i="4"/>
  <c r="E63" i="4"/>
  <c r="BT63" i="4" s="1"/>
  <c r="F267" i="15" a="1"/>
  <c r="F267" i="15" s="1"/>
  <c r="H516" i="15" a="1"/>
  <c r="H516" i="15" s="1"/>
  <c r="H452" i="15" a="1"/>
  <c r="H452" i="15" s="1"/>
  <c r="F452" i="15" a="1"/>
  <c r="F452" i="15" s="1"/>
  <c r="M30" i="69"/>
  <c r="T30" i="69"/>
  <c r="AM30" i="69"/>
  <c r="BP30" i="69"/>
  <c r="A30" i="69"/>
  <c r="AW30" i="69"/>
  <c r="P30" i="69"/>
  <c r="Q30" i="69"/>
  <c r="W30" i="69"/>
  <c r="BL30" i="69" s="1" a="1"/>
  <c r="BL30" i="69" s="1"/>
  <c r="AN30" i="69"/>
  <c r="S30" i="69"/>
  <c r="AB30" i="69" a="1"/>
  <c r="AB30" i="69" s="1"/>
  <c r="AX30" i="69"/>
  <c r="Y30" i="69"/>
  <c r="V30" i="69"/>
  <c r="B30" i="69" s="1"/>
  <c r="J30" i="69"/>
  <c r="Z30" i="69"/>
  <c r="AA30" i="69"/>
  <c r="G30" i="69"/>
  <c r="AC30" i="69"/>
  <c r="N30" i="69" a="1"/>
  <c r="N30" i="69" s="1"/>
  <c r="U30" i="69" a="1"/>
  <c r="U30" i="69" s="1"/>
  <c r="AD92" i="4"/>
  <c r="H620" i="15" a="1"/>
  <c r="H620" i="15" s="1"/>
  <c r="F620" i="15" a="1"/>
  <c r="F620" i="15" s="1"/>
  <c r="F278" i="15" a="1"/>
  <c r="F278" i="15" s="1"/>
  <c r="IZ37" i="71"/>
  <c r="E281" i="15"/>
  <c r="F281" i="15" s="1" a="1"/>
  <c r="F281" i="15" s="1"/>
  <c r="P72" i="9"/>
  <c r="K519" i="15" a="1"/>
  <c r="K519" i="15" s="1"/>
  <c r="P38" i="9"/>
  <c r="AN95" i="72"/>
  <c r="AK96" i="72"/>
  <c r="BF96" i="72"/>
  <c r="AL96" i="72" s="1"/>
  <c r="BG96" i="72"/>
  <c r="AZ96" i="69"/>
  <c r="BA96" i="69"/>
  <c r="E64" i="15"/>
  <c r="BN95" i="69"/>
  <c r="E192" i="15"/>
  <c r="P69" i="9"/>
  <c r="H228" i="15" a="1"/>
  <c r="H228" i="15" s="1"/>
  <c r="H233" i="15" a="1"/>
  <c r="H233" i="15" s="1"/>
  <c r="F233" i="15" a="1"/>
  <c r="F233" i="15" s="1"/>
  <c r="E511" i="15"/>
  <c r="F509" i="15" s="1" a="1"/>
  <c r="F509" i="15" s="1"/>
  <c r="P32" i="9"/>
  <c r="N479" i="15" a="1"/>
  <c r="N479" i="15" s="1"/>
  <c r="L479" i="15" a="1"/>
  <c r="L479" i="15" s="1"/>
  <c r="M479" i="15" a="1"/>
  <c r="M479" i="15" s="1"/>
  <c r="M478" i="15" a="1"/>
  <c r="M478" i="15" s="1"/>
  <c r="K478" i="15" a="1"/>
  <c r="K478" i="15" s="1"/>
  <c r="L478" i="15" a="1"/>
  <c r="L478" i="15" s="1"/>
  <c r="N478" i="15" a="1"/>
  <c r="N478" i="15" s="1"/>
  <c r="B94" i="72"/>
  <c r="M588" i="15" a="1"/>
  <c r="M588" i="15" s="1"/>
  <c r="K588" i="15" a="1"/>
  <c r="K588" i="15" s="1"/>
  <c r="M549" i="15" a="1"/>
  <c r="M549" i="15" s="1"/>
  <c r="N549" i="15" a="1"/>
  <c r="N549" i="15" s="1"/>
  <c r="K549" i="15" a="1"/>
  <c r="K549" i="15" s="1"/>
  <c r="J94" i="69"/>
  <c r="P81" i="9"/>
  <c r="P80" i="9"/>
  <c r="P58" i="9"/>
  <c r="BN94" i="72" a="1"/>
  <c r="BN94" i="72" s="1"/>
  <c r="FE19" i="71"/>
  <c r="AH88" i="4"/>
  <c r="AV1384" i="13" s="1"/>
  <c r="E88" i="4"/>
  <c r="BT88" i="4" s="1"/>
  <c r="DE88" i="4"/>
  <c r="BD37" i="4"/>
  <c r="X37" i="4" s="1"/>
  <c r="I368" i="15" a="1"/>
  <c r="I368" i="15" s="1"/>
  <c r="BO4" i="72" a="1"/>
  <c r="BO4" i="72" s="1"/>
  <c r="BL86" i="4"/>
  <c r="BM86" i="4" s="1"/>
  <c r="BE86" i="4" s="1" a="1"/>
  <c r="BE86" i="4" s="1"/>
  <c r="DV86" i="4"/>
  <c r="AV588" i="13"/>
  <c r="AX1335" i="13"/>
  <c r="A1434" i="13"/>
  <c r="AD80" i="4"/>
  <c r="AV1202" i="13"/>
  <c r="A1402" i="13"/>
  <c r="AX1303" i="13"/>
  <c r="AU44" i="4"/>
  <c r="Y44" i="4"/>
  <c r="AT44" i="4" a="1"/>
  <c r="AT44" i="4" s="1"/>
  <c r="H44" i="72" s="1"/>
  <c r="AV44" i="4" a="1"/>
  <c r="AV44" i="4" s="1"/>
  <c r="C44" i="72" s="1"/>
  <c r="BQ44" i="4"/>
  <c r="Y52" i="4"/>
  <c r="AU52" i="4"/>
  <c r="AT52" i="4" a="1"/>
  <c r="AT52" i="4" s="1"/>
  <c r="H52" i="72" s="1"/>
  <c r="AV52" i="4" a="1"/>
  <c r="AV52" i="4" s="1"/>
  <c r="C52" i="72" s="1"/>
  <c r="D52" i="72" s="1" a="1"/>
  <c r="D52" i="72" s="1"/>
  <c r="BQ52" i="4"/>
  <c r="CY52" i="4"/>
  <c r="CZ52" i="4" s="1"/>
  <c r="AV21" i="4" a="1"/>
  <c r="AV21" i="4" s="1"/>
  <c r="AU21" i="4"/>
  <c r="Y21" i="4"/>
  <c r="AT21" i="4" a="1"/>
  <c r="AT21" i="4" s="1"/>
  <c r="H21" i="72" s="1"/>
  <c r="BQ21" i="4"/>
  <c r="DD50" i="4" a="1"/>
  <c r="DD50" i="4" s="1"/>
  <c r="DD39" i="4" a="1"/>
  <c r="DD39" i="4" s="1"/>
  <c r="Z26" i="69"/>
  <c r="L26" i="69"/>
  <c r="AA26" i="69"/>
  <c r="W26" i="69"/>
  <c r="AW26" i="69"/>
  <c r="AB26" i="69" a="1"/>
  <c r="AB26" i="69" s="1"/>
  <c r="A26" i="69"/>
  <c r="BP26" i="69"/>
  <c r="AC26" i="69"/>
  <c r="G26" i="69"/>
  <c r="J26" i="69"/>
  <c r="V26" i="69"/>
  <c r="B26" i="69" s="1"/>
  <c r="T26" i="69"/>
  <c r="AM26" i="69"/>
  <c r="P26" i="69"/>
  <c r="N26" i="69" a="1"/>
  <c r="N26" i="69" s="1"/>
  <c r="Q26" i="69"/>
  <c r="Y26" i="69"/>
  <c r="U26" i="69" a="1"/>
  <c r="U26" i="69" s="1"/>
  <c r="AX26" i="69"/>
  <c r="S26" i="69"/>
  <c r="M26" i="69"/>
  <c r="AN26" i="69"/>
  <c r="O26" i="69"/>
  <c r="BF26" i="69"/>
  <c r="A44" i="72"/>
  <c r="AS44" i="72"/>
  <c r="BC44" i="72"/>
  <c r="S44" i="72"/>
  <c r="BV44" i="72"/>
  <c r="V44" i="72"/>
  <c r="B44" i="72" s="1"/>
  <c r="AA44" i="72"/>
  <c r="W44" i="72"/>
  <c r="BQ44" i="72" s="1"/>
  <c r="P44" i="72"/>
  <c r="Z44" i="72"/>
  <c r="AD44" i="72"/>
  <c r="Y44" i="72"/>
  <c r="AC44" i="72"/>
  <c r="M44" i="72"/>
  <c r="Q44" i="72"/>
  <c r="N44" i="72" a="1"/>
  <c r="N44" i="72" s="1"/>
  <c r="O44" i="72"/>
  <c r="U44" i="72" a="1"/>
  <c r="U44" i="72" s="1"/>
  <c r="BD44" i="72"/>
  <c r="L44" i="72"/>
  <c r="J44" i="72"/>
  <c r="T44" i="72"/>
  <c r="AT44" i="72"/>
  <c r="AB44" i="72" a="1"/>
  <c r="AB44" i="72" s="1"/>
  <c r="G44" i="72"/>
  <c r="AP77" i="4"/>
  <c r="AV379" i="13" s="1"/>
  <c r="AV479" i="13" s="1"/>
  <c r="DE77" i="4"/>
  <c r="E77" i="4"/>
  <c r="BT77" i="4" s="1"/>
  <c r="CW77" i="4"/>
  <c r="CX77" i="4" s="1"/>
  <c r="DV53" i="4"/>
  <c r="BH53" i="4"/>
  <c r="BL53" i="4"/>
  <c r="BM53" i="4" s="1"/>
  <c r="BE53" i="4" s="1" a="1"/>
  <c r="BE53" i="4" s="1"/>
  <c r="AV555" i="13"/>
  <c r="I208" i="15" a="1"/>
  <c r="I208" i="15" s="1"/>
  <c r="AV577" i="13"/>
  <c r="DV75" i="4"/>
  <c r="BL75" i="4"/>
  <c r="BM75" i="4" s="1"/>
  <c r="BE75" i="4" s="1" a="1"/>
  <c r="BE75" i="4" s="1"/>
  <c r="BH75" i="4"/>
  <c r="L535" i="15" a="1"/>
  <c r="L535" i="15" s="1"/>
  <c r="F535" i="15" a="1"/>
  <c r="F535" i="15" s="1"/>
  <c r="BH35" i="4"/>
  <c r="DV35" i="4"/>
  <c r="BL35" i="4"/>
  <c r="BM35" i="4" s="1"/>
  <c r="BE35" i="4" s="1" a="1"/>
  <c r="BE35" i="4" s="1"/>
  <c r="AV537" i="13"/>
  <c r="AA11" i="69"/>
  <c r="Q11" i="69"/>
  <c r="AM11" i="69"/>
  <c r="AB11" i="69" a="1"/>
  <c r="AB11" i="69" s="1"/>
  <c r="J11" i="69"/>
  <c r="AX11" i="69"/>
  <c r="M11" i="69"/>
  <c r="AN11" i="69"/>
  <c r="P11" i="69"/>
  <c r="A11" i="69"/>
  <c r="T11" i="69"/>
  <c r="Z11" i="69"/>
  <c r="K11" i="69" a="1"/>
  <c r="K11" i="69" s="1"/>
  <c r="Y11" i="69"/>
  <c r="N11" i="69" a="1"/>
  <c r="N11" i="69" s="1"/>
  <c r="BP11" i="69"/>
  <c r="U11" i="69" a="1"/>
  <c r="U11" i="69" s="1"/>
  <c r="AC11" i="69"/>
  <c r="W11" i="69"/>
  <c r="L11" i="69" s="1"/>
  <c r="AW11" i="69"/>
  <c r="S11" i="69"/>
  <c r="V11" i="69"/>
  <c r="B11" i="69" s="1"/>
  <c r="G11" i="69"/>
  <c r="CW89" i="4"/>
  <c r="CX89" i="4" s="1"/>
  <c r="Z76" i="4"/>
  <c r="AV1273" i="13" s="1"/>
  <c r="CW86" i="4"/>
  <c r="CX86" i="4" s="1"/>
  <c r="AD57" i="4"/>
  <c r="DE57" i="4"/>
  <c r="E57" i="4"/>
  <c r="BT57" i="4" s="1"/>
  <c r="F478" i="15" a="1"/>
  <c r="F478" i="15" s="1"/>
  <c r="F76" i="4"/>
  <c r="N497" i="15" a="1"/>
  <c r="N497" i="15" s="1"/>
  <c r="H310" i="15" a="1"/>
  <c r="H310" i="15" s="1"/>
  <c r="F310" i="15" a="1"/>
  <c r="F310" i="15" s="1"/>
  <c r="BG36" i="4"/>
  <c r="AV1134" i="13" s="1"/>
  <c r="BR36" i="4"/>
  <c r="BL36" i="72" s="1"/>
  <c r="BG38" i="4"/>
  <c r="AV1136" i="13" s="1"/>
  <c r="X38" i="4"/>
  <c r="BW55" i="4"/>
  <c r="BR31" i="4"/>
  <c r="O31" i="69" s="1"/>
  <c r="BG31" i="4"/>
  <c r="AV1129" i="13" s="1"/>
  <c r="X31" i="4"/>
  <c r="AK58" i="72"/>
  <c r="BF58" i="72"/>
  <c r="BP58" i="72"/>
  <c r="BS58" i="72" s="1"/>
  <c r="BH54" i="4"/>
  <c r="DV54" i="4"/>
  <c r="BL54" i="4"/>
  <c r="BM54" i="4" s="1"/>
  <c r="BE54" i="4" s="1" a="1"/>
  <c r="BE54" i="4" s="1"/>
  <c r="AV556" i="13"/>
  <c r="L34" i="69"/>
  <c r="J34" i="69"/>
  <c r="AC34" i="69"/>
  <c r="U34" i="69" a="1"/>
  <c r="U34" i="69" s="1"/>
  <c r="W34" i="69"/>
  <c r="G34" i="69"/>
  <c r="A34" i="69"/>
  <c r="AW34" i="69"/>
  <c r="M34" i="69"/>
  <c r="Y34" i="69"/>
  <c r="AX34" i="69"/>
  <c r="AB34" i="69" a="1"/>
  <c r="AB34" i="69" s="1"/>
  <c r="N34" i="69" a="1"/>
  <c r="N34" i="69" s="1"/>
  <c r="P34" i="69"/>
  <c r="T34" i="69"/>
  <c r="V34" i="69"/>
  <c r="B34" i="69" s="1"/>
  <c r="AM34" i="69"/>
  <c r="AA34" i="69"/>
  <c r="Q34" i="69"/>
  <c r="AN34" i="69"/>
  <c r="Z34" i="69"/>
  <c r="S34" i="69"/>
  <c r="BP34" i="69"/>
  <c r="BD34" i="69"/>
  <c r="F51" i="72"/>
  <c r="F14" i="72"/>
  <c r="AX1257" i="13"/>
  <c r="A1356" i="13"/>
  <c r="I18" i="72"/>
  <c r="AL68" i="4"/>
  <c r="E283" i="15"/>
  <c r="E479" i="15"/>
  <c r="E68" i="4"/>
  <c r="BT68" i="4" s="1"/>
  <c r="DE68" i="4"/>
  <c r="BL91" i="4"/>
  <c r="BM91" i="4" s="1"/>
  <c r="BE91" i="4" s="1" a="1"/>
  <c r="BE91" i="4" s="1"/>
  <c r="AV593" i="13"/>
  <c r="DV91" i="4"/>
  <c r="BV63" i="72"/>
  <c r="W63" i="72"/>
  <c r="BQ63" i="72" s="1"/>
  <c r="AA63" i="72"/>
  <c r="Z63" i="72"/>
  <c r="A63" i="72"/>
  <c r="G63" i="72"/>
  <c r="U63" i="72" a="1"/>
  <c r="U63" i="72" s="1"/>
  <c r="L63" i="72"/>
  <c r="AT63" i="72"/>
  <c r="M63" i="72"/>
  <c r="Q63" i="72"/>
  <c r="AB63" i="72" a="1"/>
  <c r="AB63" i="72" s="1"/>
  <c r="N63" i="72" a="1"/>
  <c r="N63" i="72" s="1"/>
  <c r="J63" i="72"/>
  <c r="AS63" i="72"/>
  <c r="S63" i="72"/>
  <c r="V63" i="72"/>
  <c r="B63" i="72" s="1"/>
  <c r="P63" i="72"/>
  <c r="AC63" i="72"/>
  <c r="AD63" i="72"/>
  <c r="T63" i="72"/>
  <c r="Y63" i="72"/>
  <c r="BD63" i="72"/>
  <c r="BC63" i="72"/>
  <c r="F90" i="69"/>
  <c r="AM63" i="69"/>
  <c r="J63" i="69"/>
  <c r="Y63" i="69"/>
  <c r="AN63" i="69"/>
  <c r="BP63" i="69"/>
  <c r="U63" i="69" a="1"/>
  <c r="U63" i="69" s="1"/>
  <c r="AC63" i="69"/>
  <c r="Z63" i="69"/>
  <c r="AW63" i="69"/>
  <c r="AX63" i="69"/>
  <c r="A63" i="69"/>
  <c r="L63" i="69"/>
  <c r="W63" i="69"/>
  <c r="BK63" i="69" s="1"/>
  <c r="T63" i="69"/>
  <c r="V63" i="69"/>
  <c r="B63" i="69" s="1"/>
  <c r="N63" i="69" a="1"/>
  <c r="N63" i="69" s="1"/>
  <c r="G63" i="69"/>
  <c r="AB63" i="69" a="1"/>
  <c r="AB63" i="69" s="1"/>
  <c r="M63" i="69"/>
  <c r="P63" i="69"/>
  <c r="S63" i="69"/>
  <c r="Q63" i="69"/>
  <c r="AA63" i="69"/>
  <c r="P41" i="72"/>
  <c r="AS41" i="72"/>
  <c r="L41" i="72"/>
  <c r="Z41" i="72"/>
  <c r="AC41" i="72"/>
  <c r="A41" i="72"/>
  <c r="T41" i="72"/>
  <c r="M41" i="72"/>
  <c r="BC41" i="72"/>
  <c r="V41" i="72"/>
  <c r="B41" i="72" s="1"/>
  <c r="J41" i="72"/>
  <c r="AD41" i="72"/>
  <c r="Q41" i="72"/>
  <c r="AT41" i="72"/>
  <c r="O41" i="72"/>
  <c r="U41" i="72" a="1"/>
  <c r="U41" i="72" s="1"/>
  <c r="Y41" i="72"/>
  <c r="W41" i="72"/>
  <c r="BV41" i="72"/>
  <c r="G41" i="72"/>
  <c r="AA41" i="72"/>
  <c r="AB41" i="72" a="1"/>
  <c r="AB41" i="72" s="1"/>
  <c r="S41" i="72"/>
  <c r="BD41" i="72"/>
  <c r="N41" i="72" a="1"/>
  <c r="N41" i="72" s="1"/>
  <c r="A1458" i="13"/>
  <c r="AX1359" i="13"/>
  <c r="I441" i="15" a="1"/>
  <c r="I441" i="15" s="1"/>
  <c r="BR27" i="4"/>
  <c r="O27" i="72" s="1"/>
  <c r="AV529" i="13"/>
  <c r="DV27" i="4"/>
  <c r="BL27" i="4"/>
  <c r="BM27" i="4" s="1"/>
  <c r="BE27" i="4" s="1" a="1"/>
  <c r="BE27" i="4" s="1"/>
  <c r="BH27" i="4"/>
  <c r="AV576" i="13"/>
  <c r="DV74" i="4"/>
  <c r="BL74" i="4"/>
  <c r="BM74" i="4" s="1"/>
  <c r="BE74" i="4" s="1" a="1"/>
  <c r="BE74" i="4" s="1"/>
  <c r="F77" i="72"/>
  <c r="I44" i="72"/>
  <c r="F93" i="72"/>
  <c r="E89" i="15"/>
  <c r="E79" i="4"/>
  <c r="BT79" i="4" s="1"/>
  <c r="DE79" i="4"/>
  <c r="BD7" i="4"/>
  <c r="X7" i="4" s="1"/>
  <c r="BT7" i="4"/>
  <c r="AZ58" i="72" a="1"/>
  <c r="AZ58" i="72" s="1"/>
  <c r="A1428" i="13"/>
  <c r="AX1329" i="13"/>
  <c r="I578" i="15" a="1"/>
  <c r="I578" i="15" s="1"/>
  <c r="AS72" i="72"/>
  <c r="N72" i="72" a="1"/>
  <c r="N72" i="72" s="1"/>
  <c r="T72" i="72"/>
  <c r="M72" i="72"/>
  <c r="A72" i="72"/>
  <c r="AT72" i="72"/>
  <c r="AA72" i="72"/>
  <c r="U72" i="72" a="1"/>
  <c r="U72" i="72" s="1"/>
  <c r="Z72" i="72"/>
  <c r="BV72" i="72"/>
  <c r="L72" i="72"/>
  <c r="P72" i="72"/>
  <c r="Q72" i="72"/>
  <c r="S72" i="72"/>
  <c r="W72" i="72"/>
  <c r="BQ72" i="72" s="1"/>
  <c r="G72" i="72"/>
  <c r="AD72" i="72"/>
  <c r="AB72" i="72" a="1"/>
  <c r="AB72" i="72" s="1"/>
  <c r="BC72" i="72"/>
  <c r="Y72" i="72"/>
  <c r="AC72" i="72"/>
  <c r="J72" i="72"/>
  <c r="BD72" i="72"/>
  <c r="V72" i="72"/>
  <c r="B72" i="72" s="1"/>
  <c r="I31" i="72"/>
  <c r="DV63" i="4"/>
  <c r="BL63" i="4"/>
  <c r="BM63" i="4" s="1"/>
  <c r="BE63" i="4" s="1" a="1"/>
  <c r="BE63" i="4" s="1"/>
  <c r="AV565" i="13"/>
  <c r="A1487" i="13"/>
  <c r="AX1388" i="13"/>
  <c r="L85" i="69"/>
  <c r="G85" i="69"/>
  <c r="AA85" i="69"/>
  <c r="Q85" i="69"/>
  <c r="V85" i="69"/>
  <c r="B85" i="69" s="1"/>
  <c r="W85" i="69"/>
  <c r="BL85" i="69" s="1" a="1"/>
  <c r="BL85" i="69" s="1"/>
  <c r="BP85" i="69"/>
  <c r="AM85" i="69"/>
  <c r="T85" i="69"/>
  <c r="P85" i="69"/>
  <c r="AC85" i="69"/>
  <c r="AN85" i="69"/>
  <c r="Z85" i="69"/>
  <c r="U85" i="69" a="1"/>
  <c r="U85" i="69" s="1"/>
  <c r="Y85" i="69"/>
  <c r="J85" i="69"/>
  <c r="A85" i="69"/>
  <c r="AW85" i="69"/>
  <c r="S85" i="69"/>
  <c r="N85" i="69" a="1"/>
  <c r="N85" i="69" s="1"/>
  <c r="AX85" i="69"/>
  <c r="M85" i="69"/>
  <c r="AB85" i="69" a="1"/>
  <c r="AB85" i="69" s="1"/>
  <c r="G14" i="69"/>
  <c r="AA14" i="69"/>
  <c r="Y14" i="69"/>
  <c r="W14" i="69"/>
  <c r="BK14" i="69" s="1"/>
  <c r="AB14" i="69" a="1"/>
  <c r="AB14" i="69" s="1"/>
  <c r="AM14" i="69"/>
  <c r="AX14" i="69"/>
  <c r="P14" i="69"/>
  <c r="Z14" i="69"/>
  <c r="V14" i="69"/>
  <c r="B14" i="69" s="1"/>
  <c r="N14" i="69" a="1"/>
  <c r="N14" i="69" s="1"/>
  <c r="AW14" i="69"/>
  <c r="S14" i="69"/>
  <c r="AN14" i="69"/>
  <c r="U14" i="69" a="1"/>
  <c r="U14" i="69" s="1"/>
  <c r="M14" i="69"/>
  <c r="AC14" i="69"/>
  <c r="J14" i="69"/>
  <c r="L14" i="69"/>
  <c r="A14" i="69"/>
  <c r="BP14" i="69"/>
  <c r="Q14" i="69"/>
  <c r="K14" i="69" a="1"/>
  <c r="K14" i="69" s="1"/>
  <c r="T14" i="69"/>
  <c r="A61" i="72"/>
  <c r="AC61" i="72"/>
  <c r="T61" i="72"/>
  <c r="M61" i="72"/>
  <c r="W61" i="72"/>
  <c r="BR61" i="72" s="1" a="1"/>
  <c r="BR61" i="72" s="1"/>
  <c r="Z61" i="72"/>
  <c r="L61" i="72"/>
  <c r="AT61" i="72"/>
  <c r="N61" i="72" a="1"/>
  <c r="N61" i="72" s="1"/>
  <c r="P61" i="72"/>
  <c r="BC61" i="72"/>
  <c r="AB61" i="72" a="1"/>
  <c r="AB61" i="72" s="1"/>
  <c r="Q61" i="72"/>
  <c r="S61" i="72"/>
  <c r="AS61" i="72"/>
  <c r="G61" i="72"/>
  <c r="BD61" i="72"/>
  <c r="BJ61" i="72"/>
  <c r="BV61" i="72"/>
  <c r="AA61" i="72"/>
  <c r="AD61" i="72"/>
  <c r="Y61" i="72"/>
  <c r="J61" i="72"/>
  <c r="V61" i="72"/>
  <c r="B61" i="72" s="1"/>
  <c r="U61" i="72" a="1"/>
  <c r="U61" i="72" s="1"/>
  <c r="AL71" i="4"/>
  <c r="E71" i="4"/>
  <c r="BT71" i="4" s="1"/>
  <c r="DE71" i="4"/>
  <c r="F472" i="15" a="1"/>
  <c r="F472" i="15" s="1"/>
  <c r="A325" i="13"/>
  <c r="AX325" i="13" s="1"/>
  <c r="AX225" i="13"/>
  <c r="F440" i="15" a="1"/>
  <c r="F440" i="15" s="1"/>
  <c r="F445" i="15" a="1"/>
  <c r="F445" i="15" s="1"/>
  <c r="AC73" i="72"/>
  <c r="BC73" i="72"/>
  <c r="W73" i="72"/>
  <c r="L73" i="72" s="1"/>
  <c r="AT73" i="72"/>
  <c r="AD73" i="72"/>
  <c r="BD73" i="72"/>
  <c r="BV73" i="72"/>
  <c r="M73" i="72"/>
  <c r="Z73" i="72"/>
  <c r="Y73" i="72"/>
  <c r="J73" i="72"/>
  <c r="AS73" i="72"/>
  <c r="N73" i="72" a="1"/>
  <c r="N73" i="72" s="1"/>
  <c r="A73" i="72"/>
  <c r="Q73" i="72"/>
  <c r="T73" i="72"/>
  <c r="P73" i="72"/>
  <c r="V73" i="72"/>
  <c r="AA73" i="72"/>
  <c r="AB73" i="72" a="1"/>
  <c r="AB73" i="72" s="1"/>
  <c r="U73" i="72" a="1"/>
  <c r="U73" i="72" s="1"/>
  <c r="BD45" i="4"/>
  <c r="F70" i="69"/>
  <c r="A1451" i="13"/>
  <c r="AX1352" i="13"/>
  <c r="BT34" i="4"/>
  <c r="BD34" i="4"/>
  <c r="BR34" i="4" s="1"/>
  <c r="O34" i="72" s="1"/>
  <c r="BH50" i="4"/>
  <c r="BL50" i="4"/>
  <c r="BD50" i="69" s="1"/>
  <c r="DV50" i="4"/>
  <c r="AV552" i="13"/>
  <c r="BD8" i="4"/>
  <c r="BR8" i="4" s="1"/>
  <c r="F209" i="15" a="1"/>
  <c r="F209" i="15" s="1"/>
  <c r="H209" i="15" a="1"/>
  <c r="H209" i="15" s="1"/>
  <c r="AX1381" i="13"/>
  <c r="A1480" i="13"/>
  <c r="F107" i="15" a="1"/>
  <c r="F107" i="15" s="1"/>
  <c r="F249" i="15" a="1"/>
  <c r="F249" i="15" s="1"/>
  <c r="H249" i="15" a="1"/>
  <c r="H249" i="15" s="1"/>
  <c r="F413" i="15" a="1"/>
  <c r="F413" i="15" s="1"/>
  <c r="H413" i="15" a="1"/>
  <c r="H413" i="15" s="1"/>
  <c r="AV405" i="13"/>
  <c r="V82" i="69"/>
  <c r="Y82" i="69"/>
  <c r="A82" i="69"/>
  <c r="Z82" i="69"/>
  <c r="U82" i="69" a="1"/>
  <c r="U82" i="69" s="1"/>
  <c r="M82" i="69"/>
  <c r="AA82" i="69"/>
  <c r="AX82" i="69"/>
  <c r="AB82" i="69" a="1"/>
  <c r="AB82" i="69" s="1"/>
  <c r="N82" i="69" a="1"/>
  <c r="N82" i="69" s="1"/>
  <c r="AN82" i="69"/>
  <c r="L82" i="69"/>
  <c r="Q82" i="69"/>
  <c r="W82" i="69"/>
  <c r="BL82" i="69" s="1" a="1"/>
  <c r="BL82" i="69" s="1"/>
  <c r="AW82" i="69"/>
  <c r="T82" i="69"/>
  <c r="AM82" i="69"/>
  <c r="J82" i="69"/>
  <c r="BP82" i="69"/>
  <c r="AC82" i="69"/>
  <c r="P82" i="69"/>
  <c r="F242" i="15" a="1"/>
  <c r="F242" i="15" s="1"/>
  <c r="H242" i="15" a="1"/>
  <c r="H242" i="15" s="1"/>
  <c r="E306" i="15"/>
  <c r="H304" i="15" s="1" a="1"/>
  <c r="H304" i="15" s="1"/>
  <c r="E60" i="15"/>
  <c r="E503" i="15"/>
  <c r="K500" i="15" s="1" a="1"/>
  <c r="K500" i="15" s="1"/>
  <c r="E113" i="15"/>
  <c r="E502" i="15"/>
  <c r="M500" i="15" s="1" a="1"/>
  <c r="M500" i="15" s="1"/>
  <c r="F327" i="15" a="1"/>
  <c r="F327" i="15" s="1"/>
  <c r="H327" i="15" a="1"/>
  <c r="H327" i="15" s="1"/>
  <c r="S96" i="72"/>
  <c r="AJ96" i="72" s="1"/>
  <c r="F399" i="15" a="1"/>
  <c r="F399" i="15" s="1"/>
  <c r="H399" i="15" a="1"/>
  <c r="H399" i="15" s="1"/>
  <c r="AZ95" i="72" a="1"/>
  <c r="AZ95" i="72" s="1"/>
  <c r="BW95" i="72"/>
  <c r="BN95" i="72" a="1"/>
  <c r="BN95" i="72" s="1"/>
  <c r="BE95" i="72"/>
  <c r="BH95" i="72"/>
  <c r="AO95" i="72"/>
  <c r="BU95" i="72"/>
  <c r="R95" i="72"/>
  <c r="AL95" i="72"/>
  <c r="BR95" i="72" a="1"/>
  <c r="BR95" i="72" s="1"/>
  <c r="BQ95" i="72"/>
  <c r="BP95" i="72" s="1"/>
  <c r="BS95" i="72" s="1"/>
  <c r="E95" i="72"/>
  <c r="M482" i="15" a="1"/>
  <c r="M482" i="15" s="1"/>
  <c r="N486" i="15" a="1"/>
  <c r="N486" i="15" s="1"/>
  <c r="M486" i="15" a="1"/>
  <c r="M486" i="15" s="1"/>
  <c r="K486" i="15" a="1"/>
  <c r="K486" i="15" s="1"/>
  <c r="E92" i="15"/>
  <c r="U94" i="69" a="1"/>
  <c r="U94" i="69" s="1"/>
  <c r="K646" i="15" a="1"/>
  <c r="K646" i="15" s="1"/>
  <c r="N646" i="15" a="1"/>
  <c r="N646" i="15" s="1"/>
  <c r="L641" i="15" a="1"/>
  <c r="L641" i="15" s="1"/>
  <c r="L646" i="15" a="1"/>
  <c r="L646" i="15" s="1"/>
  <c r="M641" i="15" a="1"/>
  <c r="M641" i="15" s="1"/>
  <c r="N648" i="15" a="1"/>
  <c r="N648" i="15" s="1"/>
  <c r="M646" i="15" a="1"/>
  <c r="M646" i="15" s="1"/>
  <c r="M648" i="15" a="1"/>
  <c r="M648" i="15" s="1"/>
  <c r="E161" i="15"/>
  <c r="P15" i="9"/>
  <c r="HV37" i="71"/>
  <c r="K481" i="15" a="1"/>
  <c r="K481" i="15" s="1"/>
  <c r="M481" i="15" a="1"/>
  <c r="M481" i="15" s="1"/>
  <c r="N481" i="15" a="1"/>
  <c r="N481" i="15" s="1"/>
  <c r="L481" i="15" a="1"/>
  <c r="L481" i="15" s="1"/>
  <c r="K480" i="15" a="1"/>
  <c r="K480" i="15" s="1"/>
  <c r="M480" i="15" a="1"/>
  <c r="M480" i="15" s="1"/>
  <c r="L480" i="15" a="1"/>
  <c r="L480" i="15" s="1"/>
  <c r="N480" i="15" a="1"/>
  <c r="N480" i="15" s="1"/>
  <c r="BH94" i="69" a="1"/>
  <c r="BH94" i="69" s="1"/>
  <c r="BA55" i="4" a="1"/>
  <c r="BA55" i="4" s="1"/>
  <c r="BB55" i="4" s="1"/>
  <c r="B55" i="4"/>
  <c r="CW55" i="4" s="1"/>
  <c r="CX55" i="4" s="1"/>
  <c r="BV103" i="4"/>
  <c r="BH7" i="4"/>
  <c r="DV7" i="4"/>
  <c r="BL7" i="4"/>
  <c r="BD7" i="69" s="1"/>
  <c r="AV509" i="13"/>
  <c r="AX1372" i="13"/>
  <c r="A1471" i="13"/>
  <c r="DV87" i="4"/>
  <c r="BL87" i="4"/>
  <c r="BM87" i="4" s="1"/>
  <c r="BE87" i="4" s="1" a="1"/>
  <c r="BE87" i="4" s="1"/>
  <c r="AV589" i="13"/>
  <c r="AV507" i="13"/>
  <c r="DV5" i="4"/>
  <c r="BH5" i="4"/>
  <c r="BL5" i="4"/>
  <c r="J78" i="72"/>
  <c r="Z78" i="72"/>
  <c r="AT78" i="72"/>
  <c r="T78" i="72"/>
  <c r="BC78" i="72"/>
  <c r="Y78" i="72"/>
  <c r="Q78" i="72"/>
  <c r="M78" i="72"/>
  <c r="P78" i="72"/>
  <c r="BV78" i="72"/>
  <c r="S78" i="72"/>
  <c r="AD78" i="72"/>
  <c r="W78" i="72"/>
  <c r="BR78" i="72" s="1" a="1"/>
  <c r="BR78" i="72" s="1"/>
  <c r="L78" i="72"/>
  <c r="V78" i="72"/>
  <c r="B78" i="72" s="1"/>
  <c r="AC78" i="72"/>
  <c r="N78" i="72" a="1"/>
  <c r="N78" i="72" s="1"/>
  <c r="AS78" i="72"/>
  <c r="AB78" i="72" a="1"/>
  <c r="AB78" i="72" s="1"/>
  <c r="BD78" i="72"/>
  <c r="U78" i="72" a="1"/>
  <c r="U78" i="72" s="1"/>
  <c r="AA78" i="72"/>
  <c r="A78" i="72"/>
  <c r="AX1344" i="13"/>
  <c r="A1443" i="13"/>
  <c r="F88" i="4"/>
  <c r="AV554" i="13"/>
  <c r="BH52" i="4"/>
  <c r="DV52" i="4"/>
  <c r="BL52" i="4"/>
  <c r="BM52" i="4" s="1"/>
  <c r="BE52" i="4" s="1" a="1"/>
  <c r="BE52" i="4" s="1"/>
  <c r="AU26" i="4"/>
  <c r="AT26" i="4" a="1"/>
  <c r="AT26" i="4" s="1"/>
  <c r="H26" i="72" s="1"/>
  <c r="Y26" i="4"/>
  <c r="AV26" i="4" a="1"/>
  <c r="AV26" i="4" s="1"/>
  <c r="C26" i="69" s="1"/>
  <c r="BQ26" i="4"/>
  <c r="CY26" i="4"/>
  <c r="CZ26" i="4" s="1"/>
  <c r="P28" i="9" s="1"/>
  <c r="DD52" i="4" a="1"/>
  <c r="DD52" i="4" s="1"/>
  <c r="AU11" i="4"/>
  <c r="AT11" i="4" a="1"/>
  <c r="AT11" i="4" s="1"/>
  <c r="H11" i="69" s="1"/>
  <c r="Y11" i="4"/>
  <c r="AV11" i="4" a="1"/>
  <c r="AV11" i="4" s="1"/>
  <c r="C11" i="69" s="1"/>
  <c r="BQ11" i="4"/>
  <c r="CY11" i="4"/>
  <c r="CZ11" i="4" s="1"/>
  <c r="AH62" i="4"/>
  <c r="AV1358" i="13" s="1"/>
  <c r="L44" i="69"/>
  <c r="G44" i="69"/>
  <c r="Y44" i="69"/>
  <c r="J44" i="69"/>
  <c r="U44" i="69" a="1"/>
  <c r="U44" i="69" s="1"/>
  <c r="W44" i="69"/>
  <c r="BL44" i="69" s="1" a="1"/>
  <c r="BL44" i="69" s="1"/>
  <c r="P44" i="69"/>
  <c r="Q44" i="69"/>
  <c r="Z44" i="69"/>
  <c r="BP44" i="69"/>
  <c r="AW44" i="69"/>
  <c r="V44" i="69"/>
  <c r="B44" i="69" s="1"/>
  <c r="T44" i="69"/>
  <c r="BF44" i="69"/>
  <c r="AA44" i="69"/>
  <c r="AX44" i="69"/>
  <c r="O44" i="69"/>
  <c r="AN44" i="69"/>
  <c r="N44" i="69" a="1"/>
  <c r="N44" i="69" s="1"/>
  <c r="AC44" i="69"/>
  <c r="AM44" i="69"/>
  <c r="S44" i="69"/>
  <c r="A44" i="69"/>
  <c r="M44" i="69"/>
  <c r="AB44" i="69" a="1"/>
  <c r="AB44" i="69" s="1"/>
  <c r="AD59" i="4"/>
  <c r="A1423" i="13"/>
  <c r="AX1324" i="13"/>
  <c r="L23" i="4"/>
  <c r="AW23" i="4"/>
  <c r="Z1319" i="13"/>
  <c r="AV25" i="13"/>
  <c r="AY23" i="4"/>
  <c r="F23" i="4"/>
  <c r="AP23" i="4"/>
  <c r="AV325" i="13" s="1"/>
  <c r="AV425" i="13" s="1"/>
  <c r="V38" i="22"/>
  <c r="W38" i="22"/>
  <c r="Y38" i="22" s="1"/>
  <c r="Z68" i="4"/>
  <c r="AV1265" i="13" s="1"/>
  <c r="AL88" i="4"/>
  <c r="CW68" i="4"/>
  <c r="CX68" i="4" s="1"/>
  <c r="CA18" i="4"/>
  <c r="AB86" i="72" a="1"/>
  <c r="AB86" i="72" s="1"/>
  <c r="W86" i="72"/>
  <c r="BR86" i="72" s="1" a="1"/>
  <c r="BR86" i="72" s="1"/>
  <c r="U86" i="72" a="1"/>
  <c r="U86" i="72" s="1"/>
  <c r="G86" i="72"/>
  <c r="AC86" i="72"/>
  <c r="M86" i="72"/>
  <c r="AA86" i="72"/>
  <c r="Q86" i="72"/>
  <c r="Y86" i="72"/>
  <c r="AT86" i="72"/>
  <c r="T86" i="72"/>
  <c r="V86" i="72"/>
  <c r="B86" i="72" s="1"/>
  <c r="AS86" i="72"/>
  <c r="A86" i="72"/>
  <c r="AD86" i="72"/>
  <c r="J86" i="72"/>
  <c r="N86" i="72" a="1"/>
  <c r="N86" i="72" s="1"/>
  <c r="BD86" i="72"/>
  <c r="P86" i="72"/>
  <c r="S86" i="72"/>
  <c r="Z86" i="72"/>
  <c r="L86" i="72"/>
  <c r="BV86" i="72"/>
  <c r="BC86" i="72"/>
  <c r="AT43" i="72"/>
  <c r="A43" i="72"/>
  <c r="BC43" i="72"/>
  <c r="P43" i="72"/>
  <c r="AD43" i="72"/>
  <c r="BD43" i="72"/>
  <c r="S43" i="72"/>
  <c r="J43" i="72"/>
  <c r="Z43" i="72"/>
  <c r="AC43" i="72"/>
  <c r="BV43" i="72"/>
  <c r="W43" i="72"/>
  <c r="AA43" i="72"/>
  <c r="V43" i="72"/>
  <c r="B43" i="72" s="1"/>
  <c r="AB43" i="72" a="1"/>
  <c r="AB43" i="72" s="1"/>
  <c r="T43" i="72"/>
  <c r="N43" i="72" a="1"/>
  <c r="N43" i="72" s="1"/>
  <c r="M43" i="72"/>
  <c r="AS43" i="72"/>
  <c r="U43" i="72" a="1"/>
  <c r="U43" i="72" s="1"/>
  <c r="Q43" i="72"/>
  <c r="Y43" i="72"/>
  <c r="G43" i="72"/>
  <c r="BJ43" i="72"/>
  <c r="DA93" i="4" a="1"/>
  <c r="DA93" i="4" s="1"/>
  <c r="F257" i="15" a="1"/>
  <c r="F257" i="15" s="1"/>
  <c r="BT43" i="4"/>
  <c r="BD43" i="4"/>
  <c r="BR43" i="4" s="1"/>
  <c r="N594" i="15" a="1"/>
  <c r="N594" i="15" s="1"/>
  <c r="C58" i="23"/>
  <c r="BG27" i="4"/>
  <c r="AV1125" i="13" s="1"/>
  <c r="X27" i="4"/>
  <c r="BF12" i="4"/>
  <c r="BF13" i="4"/>
  <c r="BF32" i="4"/>
  <c r="BF19" i="4"/>
  <c r="AH23" i="4"/>
  <c r="AV1319" i="13" s="1"/>
  <c r="A1400" i="13"/>
  <c r="AX1301" i="13"/>
  <c r="S22" i="69"/>
  <c r="U22" i="69" a="1"/>
  <c r="U22" i="69" s="1"/>
  <c r="W22" i="69"/>
  <c r="BL22" i="69" s="1" a="1"/>
  <c r="BL22" i="69" s="1"/>
  <c r="AM22" i="69"/>
  <c r="Q22" i="69"/>
  <c r="Z22" i="69"/>
  <c r="AN22" i="69"/>
  <c r="AW22" i="69"/>
  <c r="M22" i="69"/>
  <c r="G22" i="69"/>
  <c r="AX22" i="69"/>
  <c r="J22" i="69"/>
  <c r="BP22" i="69"/>
  <c r="Y22" i="69"/>
  <c r="V22" i="69"/>
  <c r="B22" i="69" s="1"/>
  <c r="C22" i="69"/>
  <c r="T22" i="69"/>
  <c r="AB22" i="69" a="1"/>
  <c r="AB22" i="69" s="1"/>
  <c r="H22" i="69"/>
  <c r="AA22" i="69"/>
  <c r="K22" i="69" a="1"/>
  <c r="K22" i="69" s="1"/>
  <c r="AC22" i="69"/>
  <c r="A22" i="69"/>
  <c r="P22" i="69"/>
  <c r="N22" i="69" a="1"/>
  <c r="N22" i="69" s="1"/>
  <c r="U20" i="72" a="1"/>
  <c r="U20" i="72" s="1"/>
  <c r="J20" i="72"/>
  <c r="Y20" i="72"/>
  <c r="AC20" i="72"/>
  <c r="M20" i="72"/>
  <c r="W20" i="72"/>
  <c r="BQ20" i="72" s="1"/>
  <c r="G20" i="72"/>
  <c r="P20" i="72"/>
  <c r="AD20" i="72"/>
  <c r="BD20" i="72"/>
  <c r="BC20" i="72"/>
  <c r="Z20" i="72"/>
  <c r="S20" i="72"/>
  <c r="V20" i="72"/>
  <c r="B20" i="72" s="1"/>
  <c r="AS20" i="72"/>
  <c r="AB20" i="72" a="1"/>
  <c r="AB20" i="72" s="1"/>
  <c r="AT20" i="72"/>
  <c r="N20" i="72" a="1"/>
  <c r="N20" i="72" s="1"/>
  <c r="BV20" i="72"/>
  <c r="A20" i="72"/>
  <c r="Q20" i="72"/>
  <c r="T20" i="72"/>
  <c r="K20" i="72" a="1"/>
  <c r="K20" i="72" s="1"/>
  <c r="AA20" i="72"/>
  <c r="H20" i="72"/>
  <c r="P41" i="69"/>
  <c r="AM41" i="69"/>
  <c r="O41" i="69"/>
  <c r="Z41" i="69"/>
  <c r="J41" i="69"/>
  <c r="M41" i="69"/>
  <c r="N41" i="69" a="1"/>
  <c r="N41" i="69" s="1"/>
  <c r="AX41" i="69"/>
  <c r="G41" i="69"/>
  <c r="AB41" i="69" a="1"/>
  <c r="AB41" i="69" s="1"/>
  <c r="Y41" i="69"/>
  <c r="H41" i="69"/>
  <c r="S41" i="69"/>
  <c r="AA41" i="69"/>
  <c r="A41" i="69"/>
  <c r="Q41" i="69"/>
  <c r="T41" i="69"/>
  <c r="BP41" i="69"/>
  <c r="AC41" i="69"/>
  <c r="AW41" i="69"/>
  <c r="U41" i="69" a="1"/>
  <c r="U41" i="69" s="1"/>
  <c r="BF41" i="69"/>
  <c r="C41" i="69"/>
  <c r="V41" i="69"/>
  <c r="B41" i="69" s="1"/>
  <c r="L41" i="69"/>
  <c r="W41" i="69"/>
  <c r="BL41" i="69" s="1" a="1"/>
  <c r="BL41" i="69" s="1"/>
  <c r="AN41" i="69"/>
  <c r="AT4" i="4" a="1"/>
  <c r="AT4" i="4" s="1"/>
  <c r="AU4" i="4"/>
  <c r="Y4" i="4"/>
  <c r="AV4" i="4" a="1"/>
  <c r="AV4" i="4" s="1"/>
  <c r="CA4" i="4"/>
  <c r="BQ4" i="4"/>
  <c r="CY4" i="4"/>
  <c r="CZ4" i="4" s="1"/>
  <c r="F28" i="72"/>
  <c r="E66" i="4"/>
  <c r="BT66" i="4" s="1"/>
  <c r="DE66" i="4"/>
  <c r="E59" i="15"/>
  <c r="AX262" i="13"/>
  <c r="A362" i="13"/>
  <c r="AX362" i="13" s="1"/>
  <c r="BD18" i="4"/>
  <c r="BR18" i="4" s="1"/>
  <c r="AE4" i="72"/>
  <c r="O4" i="69"/>
  <c r="BL4" i="72"/>
  <c r="O4" i="72"/>
  <c r="BF4" i="69"/>
  <c r="A1430" i="13"/>
  <c r="AX1331" i="13"/>
  <c r="AW72" i="69"/>
  <c r="Y72" i="69"/>
  <c r="U72" i="69" a="1"/>
  <c r="U72" i="69" s="1"/>
  <c r="BP72" i="69"/>
  <c r="P72" i="69"/>
  <c r="V72" i="69"/>
  <c r="B72" i="69" s="1"/>
  <c r="W72" i="69"/>
  <c r="BL72" i="69" s="1" a="1"/>
  <c r="BL72" i="69" s="1"/>
  <c r="J72" i="69"/>
  <c r="N72" i="69" a="1"/>
  <c r="N72" i="69" s="1"/>
  <c r="AM72" i="69"/>
  <c r="Z72" i="69"/>
  <c r="AB72" i="69" a="1"/>
  <c r="AB72" i="69" s="1"/>
  <c r="AN72" i="69"/>
  <c r="AA72" i="69"/>
  <c r="L72" i="69"/>
  <c r="G72" i="69"/>
  <c r="AX72" i="69"/>
  <c r="S72" i="69"/>
  <c r="A72" i="69"/>
  <c r="M72" i="69"/>
  <c r="T72" i="69"/>
  <c r="Q72" i="69"/>
  <c r="AC72" i="69"/>
  <c r="AH84" i="4"/>
  <c r="AV1380" i="13" s="1"/>
  <c r="AP91" i="4"/>
  <c r="AV393" i="13" s="1"/>
  <c r="AV493" i="13" s="1"/>
  <c r="DE91" i="4"/>
  <c r="E91" i="4"/>
  <c r="BT91" i="4" s="1"/>
  <c r="G48" i="27"/>
  <c r="G19" i="27" s="1"/>
  <c r="BC58" i="69"/>
  <c r="BD85" i="72"/>
  <c r="U85" i="72" a="1"/>
  <c r="U85" i="72" s="1"/>
  <c r="AA85" i="72"/>
  <c r="AT85" i="72"/>
  <c r="V85" i="72"/>
  <c r="B85" i="72" s="1"/>
  <c r="T85" i="72"/>
  <c r="Z85" i="72"/>
  <c r="W85" i="72"/>
  <c r="G85" i="72"/>
  <c r="AC85" i="72"/>
  <c r="AD85" i="72"/>
  <c r="Q85" i="72"/>
  <c r="BC85" i="72"/>
  <c r="Y85" i="72"/>
  <c r="M85" i="72"/>
  <c r="L85" i="72"/>
  <c r="S85" i="72"/>
  <c r="BV85" i="72"/>
  <c r="AB85" i="72" a="1"/>
  <c r="AB85" i="72" s="1"/>
  <c r="A85" i="72"/>
  <c r="P85" i="72"/>
  <c r="J85" i="72"/>
  <c r="N85" i="72" a="1"/>
  <c r="N85" i="72" s="1"/>
  <c r="AS85" i="72"/>
  <c r="BJ85" i="72"/>
  <c r="Y7" i="69"/>
  <c r="AN7" i="69"/>
  <c r="AC7" i="69"/>
  <c r="V7" i="69"/>
  <c r="B7" i="69" s="1"/>
  <c r="AX7" i="69"/>
  <c r="Z7" i="69"/>
  <c r="AA7" i="69"/>
  <c r="W7" i="69"/>
  <c r="BL7" i="69" s="1" a="1"/>
  <c r="BL7" i="69" s="1"/>
  <c r="A7" i="69"/>
  <c r="K7" i="69" a="1"/>
  <c r="K7" i="69" s="1"/>
  <c r="J7" i="69"/>
  <c r="G7" i="69"/>
  <c r="S7" i="69"/>
  <c r="AB7" i="69" a="1"/>
  <c r="AB7" i="69" s="1"/>
  <c r="Q7" i="69"/>
  <c r="N7" i="69" a="1"/>
  <c r="N7" i="69" s="1"/>
  <c r="BP7" i="69"/>
  <c r="P7" i="69"/>
  <c r="AW7" i="69"/>
  <c r="T7" i="69"/>
  <c r="M7" i="69"/>
  <c r="U7" i="69" a="1"/>
  <c r="U7" i="69" s="1"/>
  <c r="AM7" i="69"/>
  <c r="AP69" i="4"/>
  <c r="AV371" i="13" s="1"/>
  <c r="AV471" i="13" s="1"/>
  <c r="E69" i="4"/>
  <c r="BT69" i="4" s="1"/>
  <c r="DE69" i="4"/>
  <c r="BH8" i="4"/>
  <c r="BL8" i="4"/>
  <c r="BM8" i="4" s="1"/>
  <c r="BE8" i="4" s="1" a="1"/>
  <c r="BE8" i="4" s="1"/>
  <c r="DV8" i="4"/>
  <c r="AV510" i="13"/>
  <c r="AP92" i="4"/>
  <c r="AV394" i="13" s="1"/>
  <c r="AV494" i="13" s="1"/>
  <c r="H361" i="15" a="1"/>
  <c r="H361" i="15" s="1"/>
  <c r="F361" i="15" a="1"/>
  <c r="F361" i="15" s="1"/>
  <c r="F74" i="72"/>
  <c r="I75" i="69"/>
  <c r="F7" i="72"/>
  <c r="CA29" i="4"/>
  <c r="Y29" i="4"/>
  <c r="AU29" i="4"/>
  <c r="AT29" i="4" a="1"/>
  <c r="AT29" i="4" s="1"/>
  <c r="H29" i="69" s="1"/>
  <c r="AV29" i="4" a="1"/>
  <c r="AV29" i="4" s="1"/>
  <c r="C29" i="69" s="1"/>
  <c r="D29" i="69" s="1" a="1"/>
  <c r="D29" i="69" s="1"/>
  <c r="BQ29" i="4"/>
  <c r="CY29" i="4"/>
  <c r="CZ29" i="4" s="1"/>
  <c r="J70" i="72"/>
  <c r="U70" i="72" a="1"/>
  <c r="U70" i="72" s="1"/>
  <c r="S70" i="72"/>
  <c r="M70" i="72"/>
  <c r="A70" i="72"/>
  <c r="AB70" i="72" a="1"/>
  <c r="AB70" i="72" s="1"/>
  <c r="G70" i="72"/>
  <c r="Z70" i="72"/>
  <c r="N70" i="72" a="1"/>
  <c r="N70" i="72" s="1"/>
  <c r="W70" i="72"/>
  <c r="BD70" i="72"/>
  <c r="Y70" i="72"/>
  <c r="AC70" i="72"/>
  <c r="Q70" i="72"/>
  <c r="AS70" i="72"/>
  <c r="P70" i="72"/>
  <c r="T70" i="72"/>
  <c r="L70" i="72"/>
  <c r="V70" i="72"/>
  <c r="B70" i="72" s="1"/>
  <c r="BV70" i="72"/>
  <c r="AA70" i="72"/>
  <c r="AD70" i="72"/>
  <c r="AT70" i="72"/>
  <c r="BC70" i="72"/>
  <c r="BJ70" i="72"/>
  <c r="AH74" i="4"/>
  <c r="AV1370" i="13" s="1"/>
  <c r="E74" i="4"/>
  <c r="BH74" i="4" s="1"/>
  <c r="DE74" i="4"/>
  <c r="F360" i="15" a="1"/>
  <c r="F360" i="15" s="1"/>
  <c r="H360" i="15" a="1"/>
  <c r="H360" i="15" s="1"/>
  <c r="Z25" i="69"/>
  <c r="AX25" i="69"/>
  <c r="BP25" i="69"/>
  <c r="W25" i="69"/>
  <c r="J25" i="69"/>
  <c r="H25" i="69"/>
  <c r="Q25" i="69"/>
  <c r="AW25" i="69"/>
  <c r="C25" i="69"/>
  <c r="AA25" i="69"/>
  <c r="G25" i="69"/>
  <c r="AC25" i="69"/>
  <c r="AN25" i="69"/>
  <c r="M25" i="69"/>
  <c r="P25" i="69"/>
  <c r="S25" i="69"/>
  <c r="T25" i="69"/>
  <c r="U25" i="69" a="1"/>
  <c r="U25" i="69" s="1"/>
  <c r="A25" i="69"/>
  <c r="V25" i="69"/>
  <c r="B25" i="69" s="1"/>
  <c r="Y25" i="69"/>
  <c r="N25" i="69" a="1"/>
  <c r="N25" i="69" s="1"/>
  <c r="AB25" i="69" a="1"/>
  <c r="AB25" i="69" s="1"/>
  <c r="AM25" i="69"/>
  <c r="BD25" i="69"/>
  <c r="AH78" i="4"/>
  <c r="AV1374" i="13" s="1"/>
  <c r="AD61" i="4"/>
  <c r="E61" i="4"/>
  <c r="BT61" i="4" s="1"/>
  <c r="DE61" i="4"/>
  <c r="H436" i="15" a="1"/>
  <c r="H436" i="15" s="1"/>
  <c r="F436" i="15" a="1"/>
  <c r="F436" i="15" s="1"/>
  <c r="AV13" i="4" a="1"/>
  <c r="AV13" i="4" s="1"/>
  <c r="C13" i="69" s="1"/>
  <c r="Y13" i="4"/>
  <c r="AU13" i="4"/>
  <c r="AT13" i="4" a="1"/>
  <c r="AT13" i="4" s="1"/>
  <c r="H13" i="69" s="1"/>
  <c r="CY13" i="4"/>
  <c r="CZ13" i="4" s="1"/>
  <c r="BQ13" i="4"/>
  <c r="H519" i="15" a="1"/>
  <c r="H519" i="15" s="1"/>
  <c r="F519" i="15" a="1"/>
  <c r="F519" i="15" s="1"/>
  <c r="W82" i="72"/>
  <c r="BQ82" i="72" s="1"/>
  <c r="AT82" i="72"/>
  <c r="T82" i="72"/>
  <c r="A82" i="72"/>
  <c r="U82" i="72" a="1"/>
  <c r="U82" i="72" s="1"/>
  <c r="J82" i="72"/>
  <c r="N82" i="72" a="1"/>
  <c r="N82" i="72" s="1"/>
  <c r="AC82" i="72"/>
  <c r="Q82" i="72"/>
  <c r="AS82" i="72"/>
  <c r="BD82" i="72"/>
  <c r="Z82" i="72"/>
  <c r="P82" i="72"/>
  <c r="AD82" i="72"/>
  <c r="M82" i="72"/>
  <c r="AA82" i="72"/>
  <c r="Y82" i="72"/>
  <c r="BC82" i="72"/>
  <c r="L82" i="72"/>
  <c r="AB82" i="72" a="1"/>
  <c r="AB82" i="72" s="1"/>
  <c r="BV82" i="72"/>
  <c r="V82" i="72"/>
  <c r="AH81" i="4"/>
  <c r="AV1377" i="13" s="1"/>
  <c r="AV1301" i="13"/>
  <c r="F336" i="15" a="1"/>
  <c r="F336" i="15" s="1"/>
  <c r="F404" i="15" a="1"/>
  <c r="F404" i="15" s="1"/>
  <c r="E221" i="15"/>
  <c r="F215" i="15" s="1" a="1"/>
  <c r="F215" i="15" s="1"/>
  <c r="M497" i="15" a="1"/>
  <c r="M497" i="15" s="1"/>
  <c r="E610" i="15"/>
  <c r="M608" i="15" s="1" a="1"/>
  <c r="M608" i="15" s="1"/>
  <c r="AY95" i="69"/>
  <c r="R95" i="69"/>
  <c r="BB95" i="69"/>
  <c r="BO95" i="69"/>
  <c r="BL95" i="69" a="1"/>
  <c r="BL95" i="69" s="1"/>
  <c r="BK95" i="69"/>
  <c r="BJ95" i="69" s="1"/>
  <c r="BM95" i="69" s="1"/>
  <c r="E95" i="69"/>
  <c r="P46" i="9"/>
  <c r="HG37" i="71"/>
  <c r="P6" i="9"/>
  <c r="E493" i="15"/>
  <c r="L490" i="15" s="1" a="1"/>
  <c r="L490" i="15" s="1"/>
  <c r="P86" i="9"/>
  <c r="P11" i="9"/>
  <c r="H402" i="15" a="1"/>
  <c r="H402" i="15" s="1"/>
  <c r="F402" i="15" a="1"/>
  <c r="F402" i="15" s="1"/>
  <c r="GL37" i="71"/>
  <c r="P22" i="9"/>
  <c r="BH94" i="72"/>
  <c r="AX94" i="72" s="1" a="1"/>
  <c r="AX94" i="72" s="1"/>
  <c r="AL94" i="72"/>
  <c r="BE94" i="72"/>
  <c r="AQ94" i="72" a="1"/>
  <c r="AQ94" i="72" s="1"/>
  <c r="AO94" i="72"/>
  <c r="R94" i="72"/>
  <c r="AP94" i="72" s="1" a="1"/>
  <c r="AP94" i="72" s="1"/>
  <c r="BO94" i="72" a="1"/>
  <c r="BO94" i="72" s="1"/>
  <c r="BU94" i="72"/>
  <c r="BR94" i="72" a="1"/>
  <c r="BR94" i="72" s="1"/>
  <c r="BQ94" i="72"/>
  <c r="BP94" i="72" s="1"/>
  <c r="BS94" i="72" s="1"/>
  <c r="E94" i="72"/>
  <c r="P14" i="9"/>
  <c r="N536" i="15" a="1"/>
  <c r="N536" i="15" s="1"/>
  <c r="M538" i="15" a="1"/>
  <c r="M538" i="15" s="1"/>
  <c r="K538" i="15" a="1"/>
  <c r="K538" i="15" s="1"/>
  <c r="M536" i="15" a="1"/>
  <c r="M536" i="15" s="1"/>
  <c r="N538" i="15" a="1"/>
  <c r="N538" i="15" s="1"/>
  <c r="L538" i="15" a="1"/>
  <c r="L538" i="15" s="1"/>
  <c r="K536" i="15" a="1"/>
  <c r="K536" i="15" s="1"/>
  <c r="P40" i="9"/>
  <c r="N474" i="15" a="1"/>
  <c r="N474" i="15" s="1"/>
  <c r="L474" i="15" a="1"/>
  <c r="L474" i="15" s="1"/>
  <c r="K474" i="15" a="1"/>
  <c r="K474" i="15" s="1"/>
  <c r="HS37" i="71"/>
  <c r="E280" i="15"/>
  <c r="E392" i="15"/>
  <c r="H390" i="15" s="1" a="1"/>
  <c r="H390" i="15" s="1"/>
  <c r="E595" i="15"/>
  <c r="K594" i="15" s="1" a="1"/>
  <c r="K594" i="15" s="1"/>
  <c r="P63" i="9"/>
  <c r="H57" i="9"/>
  <c r="A1440" i="13"/>
  <c r="AX1341" i="13"/>
  <c r="AU7" i="4"/>
  <c r="Y7" i="4"/>
  <c r="AV7" i="4" a="1"/>
  <c r="AV7" i="4" s="1"/>
  <c r="C7" i="72" s="1"/>
  <c r="AT7" i="4" a="1"/>
  <c r="AT7" i="4" s="1"/>
  <c r="H7" i="72" s="1"/>
  <c r="BQ7" i="4"/>
  <c r="CA20" i="4"/>
  <c r="S78" i="69"/>
  <c r="Z78" i="69"/>
  <c r="BP78" i="69"/>
  <c r="P78" i="69"/>
  <c r="AM78" i="69"/>
  <c r="W78" i="69"/>
  <c r="M78" i="69"/>
  <c r="AC78" i="69"/>
  <c r="A78" i="69"/>
  <c r="AA78" i="69"/>
  <c r="AX78" i="69"/>
  <c r="AW78" i="69"/>
  <c r="Y78" i="69"/>
  <c r="U78" i="69" a="1"/>
  <c r="U78" i="69" s="1"/>
  <c r="N78" i="69" a="1"/>
  <c r="N78" i="69" s="1"/>
  <c r="T78" i="69"/>
  <c r="V78" i="69"/>
  <c r="B78" i="69" s="1"/>
  <c r="AB78" i="69" a="1"/>
  <c r="AB78" i="69" s="1"/>
  <c r="Q78" i="69"/>
  <c r="L78" i="69"/>
  <c r="AN78" i="69"/>
  <c r="J78" i="69"/>
  <c r="AN50" i="69"/>
  <c r="L50" i="69"/>
  <c r="Q50" i="69"/>
  <c r="J50" i="69"/>
  <c r="AM50" i="69"/>
  <c r="Y50" i="69"/>
  <c r="N50" i="69" a="1"/>
  <c r="N50" i="69" s="1"/>
  <c r="A50" i="69"/>
  <c r="BP50" i="69"/>
  <c r="G50" i="69"/>
  <c r="T50" i="69"/>
  <c r="AA50" i="69"/>
  <c r="M50" i="69"/>
  <c r="W50" i="69"/>
  <c r="BK50" i="69" s="1"/>
  <c r="AC50" i="69"/>
  <c r="AB50" i="69" a="1"/>
  <c r="AB50" i="69" s="1"/>
  <c r="U50" i="69" a="1"/>
  <c r="U50" i="69" s="1"/>
  <c r="AX50" i="69"/>
  <c r="S50" i="69"/>
  <c r="P50" i="69"/>
  <c r="AW50" i="69"/>
  <c r="Z50" i="69"/>
  <c r="V50" i="69"/>
  <c r="B50" i="69" s="1"/>
  <c r="BF50" i="69"/>
  <c r="C50" i="69"/>
  <c r="H50" i="69"/>
  <c r="Z62" i="4"/>
  <c r="AV1259" i="13" s="1"/>
  <c r="F6" i="72"/>
  <c r="BR3" i="4"/>
  <c r="Z1853" i="13"/>
  <c r="B1853" i="13" s="1" a="1"/>
  <c r="B1853" i="13" s="1"/>
  <c r="BD6" i="4"/>
  <c r="X6" i="4" s="1"/>
  <c r="K494" i="15" a="1"/>
  <c r="K494" i="15" s="1"/>
  <c r="A1454" i="13"/>
  <c r="AX1355" i="13"/>
  <c r="AX1342" i="13"/>
  <c r="A1441" i="13"/>
  <c r="AX1315" i="13"/>
  <c r="A1414" i="13"/>
  <c r="DD26" i="4" a="1"/>
  <c r="DD26" i="4" s="1"/>
  <c r="DD41" i="4" a="1"/>
  <c r="DD41" i="4" s="1"/>
  <c r="F81" i="4"/>
  <c r="F22" i="72"/>
  <c r="Z64" i="4"/>
  <c r="AV1261" i="13" s="1"/>
  <c r="E412" i="15"/>
  <c r="H405" i="15" s="1" a="1"/>
  <c r="H405" i="15" s="1"/>
  <c r="E64" i="4"/>
  <c r="BT64" i="4" s="1"/>
  <c r="DE64" i="4"/>
  <c r="DA82" i="4" a="1"/>
  <c r="DA82" i="4" s="1"/>
  <c r="F70" i="15" a="1"/>
  <c r="F70" i="15" s="1"/>
  <c r="AL56" i="4"/>
  <c r="BV21" i="72"/>
  <c r="P21" i="72"/>
  <c r="Y21" i="72"/>
  <c r="N21" i="72" a="1"/>
  <c r="N21" i="72" s="1"/>
  <c r="BC21" i="72"/>
  <c r="S21" i="72"/>
  <c r="T21" i="72"/>
  <c r="BD21" i="72"/>
  <c r="Z21" i="72"/>
  <c r="G21" i="72"/>
  <c r="Q21" i="72"/>
  <c r="L21" i="72"/>
  <c r="AA21" i="72"/>
  <c r="AB21" i="72" a="1"/>
  <c r="AB21" i="72" s="1"/>
  <c r="AT21" i="72"/>
  <c r="A21" i="72"/>
  <c r="K21" i="72" a="1"/>
  <c r="K21" i="72" s="1"/>
  <c r="AC21" i="72"/>
  <c r="J21" i="72"/>
  <c r="U21" i="72" a="1"/>
  <c r="U21" i="72" s="1"/>
  <c r="AS21" i="72"/>
  <c r="W21" i="72"/>
  <c r="V21" i="72"/>
  <c r="B21" i="72" s="1"/>
  <c r="AD21" i="72"/>
  <c r="M21" i="72"/>
  <c r="O21" i="72"/>
  <c r="BL21" i="72"/>
  <c r="C21" i="72"/>
  <c r="AX68" i="69"/>
  <c r="AB68" i="69" a="1"/>
  <c r="AB68" i="69" s="1"/>
  <c r="N68" i="69" a="1"/>
  <c r="N68" i="69" s="1"/>
  <c r="G68" i="69"/>
  <c r="AM68" i="69"/>
  <c r="J68" i="69"/>
  <c r="V68" i="69"/>
  <c r="AA68" i="69"/>
  <c r="AW68" i="69"/>
  <c r="Z68" i="69"/>
  <c r="T68" i="69"/>
  <c r="W68" i="69"/>
  <c r="Q68" i="69"/>
  <c r="AC68" i="69"/>
  <c r="Y68" i="69"/>
  <c r="M68" i="69"/>
  <c r="BP68" i="69"/>
  <c r="P68" i="69"/>
  <c r="AN68" i="69"/>
  <c r="A68" i="69"/>
  <c r="AD91" i="4"/>
  <c r="AH67" i="4"/>
  <c r="AV1363" i="13" s="1"/>
  <c r="E67" i="4"/>
  <c r="BT67" i="4" s="1"/>
  <c r="DE67" i="4"/>
  <c r="Z86" i="69"/>
  <c r="V86" i="69"/>
  <c r="B86" i="69" s="1"/>
  <c r="AB86" i="69" a="1"/>
  <c r="AB86" i="69" s="1"/>
  <c r="AM86" i="69"/>
  <c r="A86" i="69"/>
  <c r="W86" i="69"/>
  <c r="AC86" i="69"/>
  <c r="AW86" i="69"/>
  <c r="AN86" i="69"/>
  <c r="BD86" i="69"/>
  <c r="N86" i="69" a="1"/>
  <c r="N86" i="69" s="1"/>
  <c r="G86" i="69"/>
  <c r="M86" i="69"/>
  <c r="Q86" i="69"/>
  <c r="P86" i="69"/>
  <c r="T86" i="69"/>
  <c r="Y86" i="69"/>
  <c r="S86" i="69"/>
  <c r="U86" i="69" a="1"/>
  <c r="U86" i="69" s="1"/>
  <c r="AX86" i="69"/>
  <c r="J86" i="69"/>
  <c r="BP86" i="69"/>
  <c r="AA86" i="69"/>
  <c r="L86" i="69"/>
  <c r="W43" i="69"/>
  <c r="L43" i="69" s="1"/>
  <c r="AA43" i="69"/>
  <c r="V43" i="69"/>
  <c r="B43" i="69" s="1"/>
  <c r="AN43" i="69"/>
  <c r="AC43" i="69"/>
  <c r="G43" i="69"/>
  <c r="A43" i="69"/>
  <c r="Z43" i="69"/>
  <c r="AW43" i="69"/>
  <c r="AM43" i="69"/>
  <c r="S43" i="69"/>
  <c r="U43" i="69" a="1"/>
  <c r="U43" i="69" s="1"/>
  <c r="T43" i="69"/>
  <c r="M43" i="69"/>
  <c r="Y43" i="69"/>
  <c r="J43" i="69"/>
  <c r="N43" i="69" a="1"/>
  <c r="N43" i="69" s="1"/>
  <c r="AB43" i="69" a="1"/>
  <c r="AB43" i="69" s="1"/>
  <c r="Q43" i="69"/>
  <c r="P43" i="69"/>
  <c r="BP43" i="69"/>
  <c r="AX43" i="69"/>
  <c r="BD43" i="69"/>
  <c r="Z90" i="4"/>
  <c r="AV1287" i="13" s="1"/>
  <c r="CW81" i="4"/>
  <c r="CX81" i="4" s="1"/>
  <c r="CW93" i="4"/>
  <c r="CX93" i="4" s="1"/>
  <c r="A1410" i="13"/>
  <c r="AX1311" i="13"/>
  <c r="N588" i="15" a="1"/>
  <c r="N588" i="15" s="1"/>
  <c r="BD11" i="4"/>
  <c r="X11" i="4" s="1"/>
  <c r="L594" i="15" a="1"/>
  <c r="L594" i="15" s="1"/>
  <c r="BE3" i="4" a="1"/>
  <c r="BE3" i="4" s="1"/>
  <c r="F629" i="15" a="1"/>
  <c r="F629" i="15" s="1"/>
  <c r="H629" i="15" a="1"/>
  <c r="H629" i="15" s="1"/>
  <c r="BG22" i="4"/>
  <c r="AV1120" i="13" s="1"/>
  <c r="X22" i="4"/>
  <c r="X23" i="72"/>
  <c r="K50" i="72" s="1" a="1"/>
  <c r="K50" i="72" s="1"/>
  <c r="X23" i="69"/>
  <c r="K48" i="69" s="1" a="1"/>
  <c r="K48" i="69" s="1"/>
  <c r="BR12" i="4"/>
  <c r="O12" i="72" s="1"/>
  <c r="BG12" i="4"/>
  <c r="AV1110" i="13" s="1"/>
  <c r="X12" i="4"/>
  <c r="BG65" i="4"/>
  <c r="AV1163" i="13" s="1"/>
  <c r="BO55" i="4"/>
  <c r="BO97" i="4" s="1"/>
  <c r="G55" i="4"/>
  <c r="CY55" i="4" s="1"/>
  <c r="CZ55" i="4" s="1"/>
  <c r="BN97" i="4"/>
  <c r="BG19" i="4"/>
  <c r="AV1117" i="13" s="1"/>
  <c r="BF43" i="4"/>
  <c r="BG52" i="4"/>
  <c r="AV1150" i="13" s="1"/>
  <c r="BR52" i="4"/>
  <c r="O52" i="72" s="1"/>
  <c r="X52" i="4"/>
  <c r="N45" i="69" a="1"/>
  <c r="N45" i="69" s="1"/>
  <c r="Z45" i="69"/>
  <c r="AB45" i="69" a="1"/>
  <c r="AB45" i="69" s="1"/>
  <c r="AM45" i="69"/>
  <c r="BP45" i="69"/>
  <c r="AX45" i="69"/>
  <c r="J45" i="69"/>
  <c r="M45" i="69"/>
  <c r="V45" i="69"/>
  <c r="B45" i="69" s="1"/>
  <c r="S45" i="69"/>
  <c r="AA45" i="69"/>
  <c r="AN45" i="69"/>
  <c r="L45" i="69"/>
  <c r="W45" i="69"/>
  <c r="BL45" i="69" s="1" a="1"/>
  <c r="BL45" i="69" s="1"/>
  <c r="P45" i="69"/>
  <c r="AC45" i="69"/>
  <c r="A45" i="69"/>
  <c r="Q45" i="69"/>
  <c r="T45" i="69"/>
  <c r="G45" i="69"/>
  <c r="U45" i="69" a="1"/>
  <c r="U45" i="69" s="1"/>
  <c r="Y45" i="69"/>
  <c r="AW45" i="69"/>
  <c r="I16" i="72"/>
  <c r="F94" i="72"/>
  <c r="F94" i="69"/>
  <c r="Y28" i="72"/>
  <c r="H28" i="72"/>
  <c r="Z28" i="72"/>
  <c r="AD28" i="72"/>
  <c r="S28" i="72"/>
  <c r="BV28" i="72"/>
  <c r="J28" i="72"/>
  <c r="BD28" i="72"/>
  <c r="AT28" i="72"/>
  <c r="M28" i="72"/>
  <c r="P28" i="72"/>
  <c r="BC28" i="72"/>
  <c r="AC28" i="72"/>
  <c r="V28" i="72"/>
  <c r="B28" i="72" s="1"/>
  <c r="C28" i="72"/>
  <c r="L28" i="72"/>
  <c r="AS28" i="72"/>
  <c r="AB28" i="72" a="1"/>
  <c r="AB28" i="72" s="1"/>
  <c r="U28" i="72" a="1"/>
  <c r="U28" i="72" s="1"/>
  <c r="G28" i="72"/>
  <c r="T28" i="72"/>
  <c r="Q28" i="72"/>
  <c r="N28" i="72" a="1"/>
  <c r="N28" i="72" s="1"/>
  <c r="AA28" i="72"/>
  <c r="W28" i="72"/>
  <c r="BR28" i="72" s="1" a="1"/>
  <c r="BR28" i="72" s="1"/>
  <c r="A28" i="72"/>
  <c r="BJ28" i="72"/>
  <c r="Z89" i="4"/>
  <c r="AV1286" i="13" s="1"/>
  <c r="DE89" i="4"/>
  <c r="E89" i="4"/>
  <c r="BT89" i="4" s="1"/>
  <c r="A1421" i="13"/>
  <c r="AX1322" i="13"/>
  <c r="BL49" i="4"/>
  <c r="BM49" i="4" s="1"/>
  <c r="BE49" i="4" s="1" a="1"/>
  <c r="BE49" i="4" s="1"/>
  <c r="DV49" i="4"/>
  <c r="BH49" i="4"/>
  <c r="AV551" i="13"/>
  <c r="BH45" i="4"/>
  <c r="BL45" i="4"/>
  <c r="BM45" i="4" s="1"/>
  <c r="BE45" i="4" s="1" a="1"/>
  <c r="BE45" i="4" s="1"/>
  <c r="AV547" i="13"/>
  <c r="DV45" i="4"/>
  <c r="Y7" i="72"/>
  <c r="A7" i="72"/>
  <c r="AB7" i="72" a="1"/>
  <c r="AB7" i="72" s="1"/>
  <c r="P7" i="72"/>
  <c r="Z7" i="72"/>
  <c r="T7" i="72"/>
  <c r="G7" i="72"/>
  <c r="Q7" i="72"/>
  <c r="AD7" i="72"/>
  <c r="W7" i="72"/>
  <c r="L7" i="72" s="1"/>
  <c r="N7" i="72" a="1"/>
  <c r="N7" i="72" s="1"/>
  <c r="BV7" i="72"/>
  <c r="AT7" i="72"/>
  <c r="U7" i="72" a="1"/>
  <c r="U7" i="72" s="1"/>
  <c r="AA7" i="72"/>
  <c r="AC7" i="72"/>
  <c r="J7" i="72"/>
  <c r="AS7" i="72"/>
  <c r="S7" i="72"/>
  <c r="BD7" i="72"/>
  <c r="V7" i="72"/>
  <c r="B7" i="72" s="1"/>
  <c r="M7" i="72"/>
  <c r="BC7" i="72"/>
  <c r="K7" i="72" a="1"/>
  <c r="K7" i="72" s="1"/>
  <c r="DA62" i="4" a="1"/>
  <c r="DA62" i="4" s="1"/>
  <c r="DE62" i="4"/>
  <c r="CW62" i="4"/>
  <c r="CX62" i="4" s="1"/>
  <c r="E62" i="4"/>
  <c r="BT62" i="4" s="1"/>
  <c r="AP80" i="4"/>
  <c r="AV382" i="13" s="1"/>
  <c r="AV482" i="13" s="1"/>
  <c r="S9" i="4"/>
  <c r="Z1603" i="13"/>
  <c r="S11" i="4"/>
  <c r="T9" i="4"/>
  <c r="T11" i="4"/>
  <c r="F488" i="15" a="1"/>
  <c r="F488" i="15" s="1"/>
  <c r="H254" i="15" a="1"/>
  <c r="H254" i="15" s="1"/>
  <c r="DV96" i="4"/>
  <c r="AV598" i="13"/>
  <c r="BL96" i="4"/>
  <c r="BH96" i="4"/>
  <c r="Z59" i="4"/>
  <c r="AV1256" i="13" s="1"/>
  <c r="DE59" i="4"/>
  <c r="E59" i="4"/>
  <c r="BT59" i="4" s="1"/>
  <c r="A1472" i="13"/>
  <c r="AX1373" i="13"/>
  <c r="AP68" i="4"/>
  <c r="AV370" i="13" s="1"/>
  <c r="AV470" i="13" s="1"/>
  <c r="AX1323" i="13"/>
  <c r="A1422" i="13"/>
  <c r="AV531" i="13"/>
  <c r="DV29" i="4"/>
  <c r="BH29" i="4"/>
  <c r="BL29" i="4"/>
  <c r="BM29" i="4" s="1"/>
  <c r="BE29" i="4" s="1" a="1"/>
  <c r="BE29" i="4" s="1"/>
  <c r="AL69" i="4"/>
  <c r="AH71" i="4"/>
  <c r="AV1367" i="13" s="1"/>
  <c r="Z70" i="69"/>
  <c r="S70" i="69"/>
  <c r="Q70" i="69"/>
  <c r="U70" i="69" a="1"/>
  <c r="U70" i="69" s="1"/>
  <c r="L70" i="69"/>
  <c r="V70" i="69"/>
  <c r="B70" i="69" s="1"/>
  <c r="AX70" i="69"/>
  <c r="W70" i="69"/>
  <c r="J70" i="69"/>
  <c r="N70" i="69" a="1"/>
  <c r="N70" i="69" s="1"/>
  <c r="Y70" i="69"/>
  <c r="AW70" i="69"/>
  <c r="AA70" i="69"/>
  <c r="A70" i="69"/>
  <c r="BP70" i="69"/>
  <c r="G70" i="69"/>
  <c r="M70" i="69"/>
  <c r="AC70" i="69"/>
  <c r="AB70" i="69" a="1"/>
  <c r="AB70" i="69" s="1"/>
  <c r="AM70" i="69"/>
  <c r="AN70" i="69"/>
  <c r="T70" i="69"/>
  <c r="P70" i="69"/>
  <c r="BD70" i="69"/>
  <c r="CA24" i="4"/>
  <c r="AH4" i="69" a="1"/>
  <c r="AH4" i="69" s="1"/>
  <c r="AV4" i="69" a="1"/>
  <c r="AV4" i="69" s="1"/>
  <c r="AP4" i="69" a="1"/>
  <c r="AP4" i="69" s="1"/>
  <c r="AU4" i="69" a="1"/>
  <c r="AU4" i="69" s="1"/>
  <c r="AL4" i="69" a="1"/>
  <c r="AL4" i="69" s="1"/>
  <c r="AF4" i="69" a="1"/>
  <c r="AF4" i="69" s="1"/>
  <c r="AI4" i="69" a="1"/>
  <c r="AI4" i="69" s="1"/>
  <c r="AR4" i="69" a="1"/>
  <c r="AR4" i="69" s="1"/>
  <c r="AS4" i="69" a="1"/>
  <c r="AS4" i="69" s="1"/>
  <c r="Q74" i="72"/>
  <c r="Y74" i="72"/>
  <c r="AB74" i="72" a="1"/>
  <c r="AB74" i="72" s="1"/>
  <c r="AS74" i="72"/>
  <c r="V74" i="72"/>
  <c r="B74" i="72" s="1"/>
  <c r="AT74" i="72"/>
  <c r="BD74" i="72"/>
  <c r="AA74" i="72"/>
  <c r="AD74" i="72"/>
  <c r="BV74" i="72"/>
  <c r="T74" i="72"/>
  <c r="AC74" i="72"/>
  <c r="M74" i="72"/>
  <c r="P74" i="72"/>
  <c r="BC74" i="72"/>
  <c r="N74" i="72" a="1"/>
  <c r="N74" i="72" s="1"/>
  <c r="A74" i="72"/>
  <c r="J74" i="72"/>
  <c r="S74" i="72"/>
  <c r="W74" i="72"/>
  <c r="Z74" i="72"/>
  <c r="U74" i="72" a="1"/>
  <c r="U74" i="72" s="1"/>
  <c r="F60" i="4"/>
  <c r="L60" i="4"/>
  <c r="Z1356" i="13"/>
  <c r="AV62" i="13"/>
  <c r="AW60" i="4"/>
  <c r="AY60" i="4"/>
  <c r="AP60" i="4"/>
  <c r="AV362" i="13" s="1"/>
  <c r="AV462" i="13" s="1"/>
  <c r="Q25" i="72"/>
  <c r="Z25" i="72"/>
  <c r="AD25" i="72"/>
  <c r="BV25" i="72"/>
  <c r="AS25" i="72"/>
  <c r="AB25" i="72" a="1"/>
  <c r="AB25" i="72" s="1"/>
  <c r="BC25" i="72"/>
  <c r="AA25" i="72"/>
  <c r="P25" i="72"/>
  <c r="AT25" i="72"/>
  <c r="AC25" i="72"/>
  <c r="W25" i="72"/>
  <c r="BQ25" i="72" s="1"/>
  <c r="M25" i="72"/>
  <c r="V25" i="72"/>
  <c r="B25" i="72" s="1"/>
  <c r="H25" i="72"/>
  <c r="S25" i="72"/>
  <c r="BD25" i="72"/>
  <c r="C25" i="72"/>
  <c r="A25" i="72"/>
  <c r="N25" i="72" a="1"/>
  <c r="N25" i="72" s="1"/>
  <c r="J25" i="72"/>
  <c r="T25" i="72"/>
  <c r="G25" i="72"/>
  <c r="Y25" i="72"/>
  <c r="U25" i="72" a="1"/>
  <c r="U25" i="72" s="1"/>
  <c r="BJ25" i="72"/>
  <c r="DE83" i="4"/>
  <c r="E83" i="4"/>
  <c r="BT83" i="4" s="1"/>
  <c r="I228" i="15" a="1"/>
  <c r="I228" i="15" s="1"/>
  <c r="K512" i="15" a="1"/>
  <c r="K512" i="15" s="1"/>
  <c r="A1435" i="13"/>
  <c r="AX1336" i="13"/>
  <c r="AD79" i="4"/>
  <c r="F397" i="15" a="1"/>
  <c r="F397" i="15" s="1"/>
  <c r="H397" i="15" a="1"/>
  <c r="H397" i="15" s="1"/>
  <c r="F625" i="15" a="1"/>
  <c r="F625" i="15" s="1"/>
  <c r="F398" i="15" a="1"/>
  <c r="F398" i="15" s="1"/>
  <c r="H398" i="15" a="1"/>
  <c r="H398" i="15" s="1"/>
  <c r="N608" i="15" a="1"/>
  <c r="N608" i="15" s="1"/>
  <c r="L608" i="15" a="1"/>
  <c r="L608" i="15" s="1"/>
  <c r="K608" i="15" a="1"/>
  <c r="K608" i="15" s="1"/>
  <c r="E592" i="15"/>
  <c r="L588" i="15" s="1" a="1"/>
  <c r="L588" i="15" s="1"/>
  <c r="BF95" i="72"/>
  <c r="AK95" i="72"/>
  <c r="BG95" i="72"/>
  <c r="AZ94" i="72" a="1"/>
  <c r="AZ94" i="72" s="1"/>
  <c r="P59" i="9"/>
  <c r="E514" i="15"/>
  <c r="L512" i="15" s="1" a="1"/>
  <c r="L512" i="15" s="1"/>
  <c r="BQ94" i="69"/>
  <c r="R94" i="69"/>
  <c r="AJ94" i="69" s="1" a="1"/>
  <c r="AJ94" i="69" s="1"/>
  <c r="AY94" i="69"/>
  <c r="BB94" i="69"/>
  <c r="AQ94" i="69" s="1" a="1"/>
  <c r="AQ94" i="69" s="1"/>
  <c r="BO94" i="69"/>
  <c r="BI94" i="69" a="1"/>
  <c r="BI94" i="69" s="1"/>
  <c r="BK94" i="69"/>
  <c r="BJ94" i="69" s="1"/>
  <c r="BM94" i="69" s="1"/>
  <c r="BL94" i="69" a="1"/>
  <c r="BL94" i="69" s="1"/>
  <c r="E94" i="69"/>
  <c r="E426" i="15"/>
  <c r="P26" i="9"/>
  <c r="E475" i="15"/>
  <c r="M474" i="15" s="1" a="1"/>
  <c r="M474" i="15" s="1"/>
  <c r="N531" i="15" a="1"/>
  <c r="N531" i="15" s="1"/>
  <c r="M531" i="15" a="1"/>
  <c r="M531" i="15" s="1"/>
  <c r="K531" i="15" a="1"/>
  <c r="K531" i="15" s="1"/>
  <c r="N526" i="15" a="1"/>
  <c r="N526" i="15" s="1"/>
  <c r="K526" i="15" a="1"/>
  <c r="K526" i="15" s="1"/>
  <c r="M526" i="15" a="1"/>
  <c r="M526" i="15" s="1"/>
  <c r="L526" i="15" a="1"/>
  <c r="L526" i="15" s="1"/>
  <c r="E432" i="15"/>
  <c r="F432" i="15" s="1" a="1"/>
  <c r="F432" i="15" s="1"/>
  <c r="P30" i="9"/>
  <c r="M560" i="15" a="1"/>
  <c r="M560" i="15" s="1"/>
  <c r="L560" i="15" a="1"/>
  <c r="L560" i="15" s="1"/>
  <c r="K560" i="15" a="1"/>
  <c r="K560" i="15" s="1"/>
  <c r="E162" i="15"/>
  <c r="G94" i="72"/>
  <c r="P55" i="9"/>
  <c r="E115" i="15"/>
  <c r="H110" i="15" s="1" a="1"/>
  <c r="H110" i="15" s="1"/>
  <c r="E72" i="15"/>
  <c r="E650" i="15"/>
  <c r="L648" i="15" s="1" a="1"/>
  <c r="L648" i="15" s="1"/>
  <c r="N516" i="15" a="1"/>
  <c r="N516" i="15" s="1"/>
  <c r="M516" i="15" a="1"/>
  <c r="M516" i="15" s="1"/>
  <c r="K516" i="15" a="1"/>
  <c r="K516" i="15" s="1"/>
  <c r="L516" i="15" a="1"/>
  <c r="L516" i="15" s="1"/>
  <c r="P5" i="9"/>
  <c r="HJ37" i="71"/>
  <c r="FE24" i="71"/>
  <c r="AX55" i="4"/>
  <c r="AX97" i="4" s="1"/>
  <c r="CU55" i="4"/>
  <c r="CV55" i="4" s="1"/>
  <c r="CV97" i="4" s="1"/>
  <c r="P65" i="69"/>
  <c r="Y65" i="69"/>
  <c r="BP65" i="69"/>
  <c r="N65" i="69" a="1"/>
  <c r="N65" i="69" s="1"/>
  <c r="AA65" i="69"/>
  <c r="G65" i="69"/>
  <c r="AB65" i="69" a="1"/>
  <c r="AB65" i="69" s="1"/>
  <c r="U65" i="69" a="1"/>
  <c r="U65" i="69" s="1"/>
  <c r="AC65" i="69"/>
  <c r="BD65" i="69"/>
  <c r="AX65" i="69"/>
  <c r="AM65" i="69"/>
  <c r="M65" i="69"/>
  <c r="AN65" i="69"/>
  <c r="A65" i="69"/>
  <c r="AW65" i="69"/>
  <c r="Q65" i="69"/>
  <c r="V65" i="69"/>
  <c r="B65" i="69" s="1"/>
  <c r="S65" i="69"/>
  <c r="Z65" i="69"/>
  <c r="W65" i="69"/>
  <c r="BK65" i="69" s="1"/>
  <c r="T65" i="69"/>
  <c r="J65" i="69"/>
  <c r="Z66" i="4"/>
  <c r="AV1263" i="13" s="1"/>
  <c r="Y50" i="72"/>
  <c r="AS50" i="72"/>
  <c r="M50" i="72"/>
  <c r="A50" i="72"/>
  <c r="J50" i="72"/>
  <c r="V50" i="72"/>
  <c r="B50" i="72" s="1"/>
  <c r="S50" i="72"/>
  <c r="G50" i="72"/>
  <c r="U50" i="72" a="1"/>
  <c r="U50" i="72" s="1"/>
  <c r="W50" i="72"/>
  <c r="N50" i="72" a="1"/>
  <c r="N50" i="72" s="1"/>
  <c r="BD50" i="72"/>
  <c r="BV50" i="72"/>
  <c r="AD50" i="72"/>
  <c r="AT50" i="72"/>
  <c r="P50" i="72"/>
  <c r="Q50" i="72"/>
  <c r="AC50" i="72"/>
  <c r="AA50" i="72"/>
  <c r="BC50" i="72"/>
  <c r="T50" i="72"/>
  <c r="AB50" i="72" a="1"/>
  <c r="AB50" i="72" s="1"/>
  <c r="Z50" i="72"/>
  <c r="L50" i="72"/>
  <c r="O50" i="72"/>
  <c r="AE50" i="72"/>
  <c r="BL50" i="72"/>
  <c r="C50" i="72"/>
  <c r="H50" i="72"/>
  <c r="BP79" i="69"/>
  <c r="M79" i="69"/>
  <c r="Y79" i="69"/>
  <c r="U79" i="69" a="1"/>
  <c r="U79" i="69" s="1"/>
  <c r="Z79" i="69"/>
  <c r="P79" i="69"/>
  <c r="S79" i="69"/>
  <c r="AM79" i="69"/>
  <c r="AW79" i="69"/>
  <c r="Q79" i="69"/>
  <c r="N79" i="69" a="1"/>
  <c r="N79" i="69" s="1"/>
  <c r="AX79" i="69"/>
  <c r="AC79" i="69"/>
  <c r="AA79" i="69"/>
  <c r="T79" i="69"/>
  <c r="V79" i="69"/>
  <c r="B79" i="69" s="1"/>
  <c r="J79" i="69"/>
  <c r="AN79" i="69"/>
  <c r="AB79" i="69" a="1"/>
  <c r="AB79" i="69" s="1"/>
  <c r="W79" i="69"/>
  <c r="G79" i="69"/>
  <c r="A79" i="69"/>
  <c r="AX157" i="13"/>
  <c r="DD74" i="4" s="1" a="1"/>
  <c r="DD74" i="4" s="1"/>
  <c r="A257" i="13"/>
  <c r="CW60" i="4"/>
  <c r="CX60" i="4" s="1"/>
  <c r="N554" i="15" a="1"/>
  <c r="N554" i="15" s="1"/>
  <c r="BL21" i="4"/>
  <c r="BM21" i="4" s="1"/>
  <c r="BE21" i="4" s="1" a="1"/>
  <c r="BE21" i="4" s="1"/>
  <c r="DV21" i="4"/>
  <c r="AV523" i="13"/>
  <c r="BH21" i="4"/>
  <c r="BL15" i="4"/>
  <c r="BM15" i="4" s="1"/>
  <c r="BE15" i="4" s="1" a="1"/>
  <c r="BE15" i="4" s="1"/>
  <c r="BH15" i="4"/>
  <c r="AV517" i="13"/>
  <c r="DV15" i="4"/>
  <c r="AU16" i="4"/>
  <c r="Y16" i="4"/>
  <c r="AV16" i="4" a="1"/>
  <c r="AV16" i="4" s="1"/>
  <c r="C16" i="72" s="1"/>
  <c r="D16" i="72" s="1" a="1"/>
  <c r="D16" i="72" s="1"/>
  <c r="AT16" i="4" a="1"/>
  <c r="AT16" i="4" s="1"/>
  <c r="H16" i="72" s="1"/>
  <c r="BQ16" i="4"/>
  <c r="DD34" i="4" a="1"/>
  <c r="DD34" i="4" s="1"/>
  <c r="BL11" i="4"/>
  <c r="BM11" i="4" s="1"/>
  <c r="BE11" i="4" s="1" a="1"/>
  <c r="BE11" i="4" s="1"/>
  <c r="DV11" i="4"/>
  <c r="BH11" i="4"/>
  <c r="AV513" i="13"/>
  <c r="AC13" i="72"/>
  <c r="AB13" i="72" a="1"/>
  <c r="AB13" i="72" s="1"/>
  <c r="P13" i="72"/>
  <c r="BC13" i="72"/>
  <c r="T13" i="72"/>
  <c r="Y13" i="72"/>
  <c r="A13" i="72"/>
  <c r="Q13" i="72"/>
  <c r="N13" i="72" a="1"/>
  <c r="N13" i="72" s="1"/>
  <c r="S13" i="72"/>
  <c r="U13" i="72" a="1"/>
  <c r="U13" i="72" s="1"/>
  <c r="K13" i="72" a="1"/>
  <c r="K13" i="72" s="1"/>
  <c r="V13" i="72"/>
  <c r="B13" i="72" s="1"/>
  <c r="J13" i="72"/>
  <c r="AA13" i="72"/>
  <c r="AS13" i="72"/>
  <c r="M13" i="72"/>
  <c r="Z13" i="72"/>
  <c r="W13" i="72"/>
  <c r="BQ13" i="72" s="1"/>
  <c r="G13" i="72"/>
  <c r="AD13" i="72"/>
  <c r="AT13" i="72"/>
  <c r="BV13" i="72"/>
  <c r="BD13" i="72"/>
  <c r="BL13" i="72"/>
  <c r="O13" i="72"/>
  <c r="F5" i="72"/>
  <c r="AD85" i="4"/>
  <c r="CW82" i="4"/>
  <c r="CX82" i="4" s="1"/>
  <c r="BD14" i="4"/>
  <c r="X14" i="4" s="1"/>
  <c r="BT14" i="4"/>
  <c r="T21" i="69"/>
  <c r="BP21" i="69"/>
  <c r="J21" i="69"/>
  <c r="AW21" i="69"/>
  <c r="P21" i="69"/>
  <c r="Z21" i="69"/>
  <c r="M21" i="69"/>
  <c r="A21" i="69"/>
  <c r="W21" i="69"/>
  <c r="Q21" i="69"/>
  <c r="U21" i="69" a="1"/>
  <c r="U21" i="69" s="1"/>
  <c r="AX21" i="69"/>
  <c r="G21" i="69"/>
  <c r="K21" i="69" a="1"/>
  <c r="K21" i="69" s="1"/>
  <c r="AA21" i="69"/>
  <c r="AB21" i="69" a="1"/>
  <c r="AB21" i="69" s="1"/>
  <c r="L21" i="69"/>
  <c r="AC21" i="69"/>
  <c r="S21" i="69"/>
  <c r="V21" i="69"/>
  <c r="B21" i="69" s="1"/>
  <c r="AM21" i="69"/>
  <c r="AN21" i="69"/>
  <c r="N21" i="69" a="1"/>
  <c r="N21" i="69" s="1"/>
  <c r="Y21" i="69"/>
  <c r="O21" i="69"/>
  <c r="BF21" i="69"/>
  <c r="C21" i="69"/>
  <c r="H21" i="69"/>
  <c r="AT68" i="72"/>
  <c r="G68" i="72"/>
  <c r="A68" i="72"/>
  <c r="AA68" i="72"/>
  <c r="J68" i="72"/>
  <c r="P68" i="72"/>
  <c r="Q68" i="72"/>
  <c r="Y68" i="72"/>
  <c r="BC68" i="72"/>
  <c r="BD68" i="72"/>
  <c r="BV68" i="72"/>
  <c r="T68" i="72"/>
  <c r="M68" i="72"/>
  <c r="AD68" i="72"/>
  <c r="AB68" i="72" a="1"/>
  <c r="AB68" i="72" s="1"/>
  <c r="W68" i="72"/>
  <c r="BR68" i="72" s="1" a="1"/>
  <c r="BR68" i="72" s="1"/>
  <c r="V68" i="72"/>
  <c r="AS68" i="72"/>
  <c r="N68" i="72" a="1"/>
  <c r="N68" i="72" s="1"/>
  <c r="Z68" i="72"/>
  <c r="AC68" i="72"/>
  <c r="F45" i="69"/>
  <c r="AD69" i="4"/>
  <c r="DA79" i="4" a="1"/>
  <c r="DA79" i="4" s="1"/>
  <c r="DA81" i="4" a="1"/>
  <c r="DA81" i="4" s="1"/>
  <c r="I497" i="15" a="1"/>
  <c r="I497" i="15" s="1"/>
  <c r="N629" i="15" a="1"/>
  <c r="N629" i="15" s="1"/>
  <c r="A1409" i="13"/>
  <c r="AX1310" i="13"/>
  <c r="A1425" i="13"/>
  <c r="AX1326" i="13"/>
  <c r="L571" i="15" a="1"/>
  <c r="L571" i="15" s="1"/>
  <c r="X46" i="4"/>
  <c r="BG46" i="4"/>
  <c r="AV1144" i="13" s="1"/>
  <c r="BR46" i="4"/>
  <c r="O46" i="72" s="1"/>
  <c r="AL60" i="4"/>
  <c r="I60" i="72" s="1"/>
  <c r="BG34" i="4"/>
  <c r="AV1132" i="13" s="1"/>
  <c r="X34" i="4"/>
  <c r="BF24" i="4"/>
  <c r="BF53" i="4"/>
  <c r="AW15" i="69"/>
  <c r="Z15" i="69"/>
  <c r="AB15" i="69" a="1"/>
  <c r="AB15" i="69" s="1"/>
  <c r="G15" i="69"/>
  <c r="BP15" i="69"/>
  <c r="P15" i="69"/>
  <c r="AA15" i="69"/>
  <c r="AC15" i="69"/>
  <c r="J15" i="69"/>
  <c r="S15" i="69"/>
  <c r="K15" i="69" a="1"/>
  <c r="K15" i="69" s="1"/>
  <c r="M15" i="69"/>
  <c r="AM15" i="69"/>
  <c r="V15" i="69"/>
  <c r="B15" i="69" s="1"/>
  <c r="U15" i="69" a="1"/>
  <c r="U15" i="69" s="1"/>
  <c r="L15" i="69"/>
  <c r="N15" i="69" a="1"/>
  <c r="N15" i="69" s="1"/>
  <c r="AN15" i="69"/>
  <c r="A15" i="69"/>
  <c r="W15" i="69"/>
  <c r="BL15" i="69" s="1" a="1"/>
  <c r="BL15" i="69" s="1"/>
  <c r="Q15" i="69"/>
  <c r="T15" i="69"/>
  <c r="AX15" i="69"/>
  <c r="Y15" i="69"/>
  <c r="O15" i="69"/>
  <c r="H15" i="69"/>
  <c r="C15" i="69"/>
  <c r="DV89" i="4"/>
  <c r="AV591" i="13"/>
  <c r="CA27" i="4"/>
  <c r="AV27" i="4" a="1"/>
  <c r="AV27" i="4" s="1"/>
  <c r="C27" i="72" s="1"/>
  <c r="D27" i="72" s="1" a="1"/>
  <c r="D27" i="72" s="1"/>
  <c r="AT27" i="4" a="1"/>
  <c r="AT27" i="4" s="1"/>
  <c r="H27" i="72" s="1"/>
  <c r="Y27" i="4"/>
  <c r="AU27" i="4"/>
  <c r="BQ27" i="4"/>
  <c r="F29" i="69"/>
  <c r="AX1349" i="13"/>
  <c r="A1448" i="13"/>
  <c r="AU45" i="4"/>
  <c r="AT45" i="4" a="1"/>
  <c r="AT45" i="4" s="1"/>
  <c r="H45" i="72" s="1"/>
  <c r="Y45" i="4"/>
  <c r="AV45" i="4" a="1"/>
  <c r="AV45" i="4" s="1"/>
  <c r="C45" i="72" s="1"/>
  <c r="CY45" i="4"/>
  <c r="CZ45" i="4" s="1"/>
  <c r="BQ45" i="4"/>
  <c r="AX1367" i="13"/>
  <c r="A1466" i="13"/>
  <c r="N46" i="72" a="1"/>
  <c r="N46" i="72" s="1"/>
  <c r="J46" i="72"/>
  <c r="Z46" i="72"/>
  <c r="AS46" i="72"/>
  <c r="AA46" i="72"/>
  <c r="Q46" i="72"/>
  <c r="M46" i="72"/>
  <c r="AT46" i="72"/>
  <c r="Y46" i="72"/>
  <c r="BD46" i="72"/>
  <c r="P46" i="72"/>
  <c r="S46" i="72"/>
  <c r="W46" i="72"/>
  <c r="BQ46" i="72" s="1"/>
  <c r="AB46" i="72" a="1"/>
  <c r="AB46" i="72" s="1"/>
  <c r="U46" i="72" a="1"/>
  <c r="U46" i="72" s="1"/>
  <c r="BV46" i="72"/>
  <c r="T46" i="72"/>
  <c r="AD46" i="72"/>
  <c r="V46" i="72"/>
  <c r="B46" i="72" s="1"/>
  <c r="AC46" i="72"/>
  <c r="A46" i="72"/>
  <c r="BC46" i="72"/>
  <c r="F395" i="15" a="1"/>
  <c r="F395" i="15" s="1"/>
  <c r="H395" i="15" a="1"/>
  <c r="H395" i="15" s="1"/>
  <c r="AU14" i="4"/>
  <c r="AT14" i="4" a="1"/>
  <c r="AT14" i="4" s="1"/>
  <c r="H14" i="69" s="1"/>
  <c r="Y14" i="4"/>
  <c r="AV14" i="4" a="1"/>
  <c r="AV14" i="4" s="1"/>
  <c r="C14" i="72" s="1"/>
  <c r="D14" i="72" s="1" a="1"/>
  <c r="D14" i="72" s="1"/>
  <c r="CY14" i="4"/>
  <c r="CZ14" i="4" s="1"/>
  <c r="P16" i="9" s="1"/>
  <c r="BQ14" i="4"/>
  <c r="X36" i="4"/>
  <c r="BH36" i="4"/>
  <c r="DV36" i="4"/>
  <c r="AV538" i="13"/>
  <c r="BL36" i="4"/>
  <c r="BM36" i="4" s="1"/>
  <c r="BE36" i="4" s="1" a="1"/>
  <c r="BE36" i="4" s="1"/>
  <c r="W74" i="69"/>
  <c r="Z74" i="69"/>
  <c r="AC74" i="69"/>
  <c r="N74" i="69" a="1"/>
  <c r="N74" i="69" s="1"/>
  <c r="AM74" i="69"/>
  <c r="AX74" i="69"/>
  <c r="AB74" i="69" a="1"/>
  <c r="AB74" i="69" s="1"/>
  <c r="BP74" i="69"/>
  <c r="Q74" i="69"/>
  <c r="V74" i="69"/>
  <c r="B74" i="69" s="1"/>
  <c r="BD74" i="69"/>
  <c r="AA74" i="69"/>
  <c r="M74" i="69"/>
  <c r="T74" i="69"/>
  <c r="AW74" i="69"/>
  <c r="Y74" i="69"/>
  <c r="A74" i="69"/>
  <c r="P74" i="69"/>
  <c r="AN74" i="69"/>
  <c r="J74" i="69"/>
  <c r="S74" i="69"/>
  <c r="U74" i="69" a="1"/>
  <c r="U74" i="69" s="1"/>
  <c r="AX1360" i="13"/>
  <c r="A1459" i="13"/>
  <c r="F185" i="15" a="1"/>
  <c r="F185" i="15" s="1"/>
  <c r="IE37" i="71"/>
  <c r="H247" i="15" a="1"/>
  <c r="H247" i="15" s="1"/>
  <c r="R96" i="69"/>
  <c r="BB96" i="69"/>
  <c r="AY96" i="69"/>
  <c r="BH96" i="69" a="1"/>
  <c r="BH96" i="69" s="1"/>
  <c r="BO96" i="69"/>
  <c r="BK96" i="69"/>
  <c r="BJ96" i="69" s="1"/>
  <c r="BM96" i="69" s="1"/>
  <c r="BL96" i="69" a="1"/>
  <c r="BL96" i="69" s="1"/>
  <c r="E96" i="69"/>
  <c r="E548" i="15"/>
  <c r="L540" i="15" s="1" a="1"/>
  <c r="L540" i="15" s="1"/>
  <c r="U94" i="72" a="1"/>
  <c r="U94" i="72" s="1"/>
  <c r="AU96" i="72" a="1"/>
  <c r="AU96" i="72" s="1"/>
  <c r="IQ37" i="71"/>
  <c r="E343" i="15"/>
  <c r="E447" i="15"/>
  <c r="H441" i="15" s="1" a="1"/>
  <c r="H441" i="15" s="1"/>
  <c r="G94" i="69"/>
  <c r="AE95" i="69" a="1"/>
  <c r="AE95" i="69" s="1"/>
  <c r="BI95" i="69" s="1" a="1"/>
  <c r="BI95" i="69" s="1"/>
  <c r="E204" i="15"/>
  <c r="H200" i="15" s="1" a="1"/>
  <c r="H200" i="15" s="1"/>
  <c r="AE96" i="69" a="1"/>
  <c r="AE96" i="69" s="1"/>
  <c r="AO96" i="69" s="1" a="1"/>
  <c r="AO96" i="69" s="1"/>
  <c r="E288" i="15"/>
  <c r="E265" i="15"/>
  <c r="IW37" i="71"/>
  <c r="E273" i="15"/>
  <c r="JX37" i="71"/>
  <c r="P49" i="9"/>
  <c r="P62" i="9"/>
  <c r="P12" i="9"/>
  <c r="CA43" i="4"/>
  <c r="AT43" i="4" a="1"/>
  <c r="AT43" i="4" s="1"/>
  <c r="H43" i="72" s="1"/>
  <c r="Y43" i="4"/>
  <c r="AU43" i="4"/>
  <c r="AV43" i="4" a="1"/>
  <c r="AV43" i="4" s="1"/>
  <c r="C43" i="69" s="1"/>
  <c r="BQ43" i="4"/>
  <c r="CA5" i="4"/>
  <c r="AU5" i="4"/>
  <c r="AV5" i="4" a="1"/>
  <c r="AV5" i="4" s="1"/>
  <c r="C5" i="72" s="1"/>
  <c r="D5" i="72" s="1" a="1"/>
  <c r="D5" i="72" s="1"/>
  <c r="AT5" i="4" a="1"/>
  <c r="AT5" i="4" s="1"/>
  <c r="H5" i="72" s="1"/>
  <c r="Y5" i="4"/>
  <c r="BQ5" i="4"/>
  <c r="A65" i="72"/>
  <c r="BD65" i="72"/>
  <c r="AA65" i="72"/>
  <c r="G65" i="72"/>
  <c r="P65" i="72"/>
  <c r="U65" i="72" a="1"/>
  <c r="U65" i="72" s="1"/>
  <c r="Q65" i="72"/>
  <c r="AC65" i="72"/>
  <c r="M65" i="72"/>
  <c r="J65" i="72"/>
  <c r="S65" i="72"/>
  <c r="V65" i="72"/>
  <c r="B65" i="72" s="1"/>
  <c r="W65" i="72"/>
  <c r="Y65" i="72"/>
  <c r="AB65" i="72" a="1"/>
  <c r="AB65" i="72" s="1"/>
  <c r="BJ65" i="72"/>
  <c r="AS65" i="72"/>
  <c r="BV65" i="72"/>
  <c r="AT65" i="72"/>
  <c r="BC65" i="72"/>
  <c r="T65" i="72"/>
  <c r="Z65" i="72"/>
  <c r="N65" i="72" a="1"/>
  <c r="N65" i="72" s="1"/>
  <c r="AD65" i="72"/>
  <c r="BQ65" i="72"/>
  <c r="AX71" i="69"/>
  <c r="W71" i="69"/>
  <c r="AW71" i="69"/>
  <c r="L71" i="69"/>
  <c r="N71" i="69" a="1"/>
  <c r="N71" i="69" s="1"/>
  <c r="AB71" i="69" a="1"/>
  <c r="AB71" i="69" s="1"/>
  <c r="M71" i="69"/>
  <c r="AN71" i="69"/>
  <c r="P71" i="69"/>
  <c r="BP71" i="69"/>
  <c r="Z71" i="69"/>
  <c r="AM71" i="69"/>
  <c r="T71" i="69"/>
  <c r="AC71" i="69"/>
  <c r="Y71" i="69"/>
  <c r="Q71" i="69"/>
  <c r="AA71" i="69"/>
  <c r="A71" i="69"/>
  <c r="J71" i="69"/>
  <c r="V71" i="69"/>
  <c r="B71" i="69" s="1"/>
  <c r="U71" i="69" a="1"/>
  <c r="U71" i="69" s="1"/>
  <c r="S71" i="69"/>
  <c r="M24" i="69"/>
  <c r="T24" i="69"/>
  <c r="W24" i="69"/>
  <c r="BL24" i="69" s="1" a="1"/>
  <c r="BL24" i="69" s="1"/>
  <c r="G24" i="69"/>
  <c r="AX24" i="69"/>
  <c r="Y24" i="69"/>
  <c r="AB24" i="69" a="1"/>
  <c r="AB24" i="69" s="1"/>
  <c r="AA24" i="69"/>
  <c r="A24" i="69"/>
  <c r="J24" i="69"/>
  <c r="U24" i="69" a="1"/>
  <c r="U24" i="69" s="1"/>
  <c r="BP24" i="69"/>
  <c r="S24" i="69"/>
  <c r="Z24" i="69"/>
  <c r="P24" i="69"/>
  <c r="V24" i="69"/>
  <c r="B24" i="69" s="1"/>
  <c r="AN24" i="69"/>
  <c r="AM24" i="69"/>
  <c r="AW24" i="69"/>
  <c r="N24" i="69" a="1"/>
  <c r="N24" i="69" s="1"/>
  <c r="Q24" i="69"/>
  <c r="AC24" i="69"/>
  <c r="L24" i="69"/>
  <c r="M79" i="72"/>
  <c r="AC79" i="72"/>
  <c r="N79" i="72" a="1"/>
  <c r="N79" i="72" s="1"/>
  <c r="A79" i="72"/>
  <c r="T79" i="72"/>
  <c r="BD79" i="72"/>
  <c r="Y79" i="72"/>
  <c r="G79" i="72"/>
  <c r="BC79" i="72"/>
  <c r="Z79" i="72"/>
  <c r="V79" i="72"/>
  <c r="B79" i="72" s="1"/>
  <c r="P79" i="72"/>
  <c r="BV79" i="72"/>
  <c r="J79" i="72"/>
  <c r="AB79" i="72" a="1"/>
  <c r="AB79" i="72" s="1"/>
  <c r="Q79" i="72"/>
  <c r="AS79" i="72"/>
  <c r="W79" i="72"/>
  <c r="L79" i="72" s="1"/>
  <c r="AT79" i="72"/>
  <c r="AD79" i="72"/>
  <c r="S79" i="72"/>
  <c r="AA79" i="72"/>
  <c r="U79" i="72" a="1"/>
  <c r="U79" i="72" s="1"/>
  <c r="AV1101" i="13"/>
  <c r="A1444" i="13"/>
  <c r="AX1345" i="13"/>
  <c r="BL44" i="4"/>
  <c r="BM44" i="4" s="1"/>
  <c r="BE44" i="4" s="1" a="1"/>
  <c r="BE44" i="4" s="1"/>
  <c r="AV546" i="13"/>
  <c r="BH44" i="4"/>
  <c r="DV44" i="4"/>
  <c r="DD28" i="4" a="1"/>
  <c r="DD28" i="4" s="1"/>
  <c r="DD51" i="4" a="1"/>
  <c r="DD51" i="4" s="1"/>
  <c r="DD37" i="4" a="1"/>
  <c r="DD37" i="4" s="1"/>
  <c r="DD40" i="4" a="1"/>
  <c r="DD40" i="4" s="1"/>
  <c r="DD24" i="4" a="1"/>
  <c r="DD24" i="4" s="1"/>
  <c r="A1401" i="13"/>
  <c r="AX1302" i="13"/>
  <c r="BP13" i="69"/>
  <c r="V13" i="69"/>
  <c r="B13" i="69" s="1"/>
  <c r="S13" i="69"/>
  <c r="U13" i="69" a="1"/>
  <c r="U13" i="69" s="1"/>
  <c r="T13" i="69"/>
  <c r="AM13" i="69"/>
  <c r="J13" i="69"/>
  <c r="AB13" i="69" a="1"/>
  <c r="AB13" i="69" s="1"/>
  <c r="P13" i="69"/>
  <c r="G13" i="69"/>
  <c r="A13" i="69"/>
  <c r="W13" i="69"/>
  <c r="M13" i="69"/>
  <c r="AA13" i="69"/>
  <c r="AC13" i="69"/>
  <c r="Y13" i="69"/>
  <c r="AN13" i="69"/>
  <c r="AX13" i="69"/>
  <c r="N13" i="69" a="1"/>
  <c r="N13" i="69" s="1"/>
  <c r="AW13" i="69"/>
  <c r="K13" i="69" a="1"/>
  <c r="K13" i="69" s="1"/>
  <c r="Z13" i="69"/>
  <c r="Q13" i="69"/>
  <c r="BL13" i="69" a="1"/>
  <c r="BL13" i="69" s="1"/>
  <c r="BF13" i="69"/>
  <c r="AH73" i="4"/>
  <c r="AV1369" i="13" s="1"/>
  <c r="DE73" i="4"/>
  <c r="E73" i="4"/>
  <c r="BT73" i="4" s="1"/>
  <c r="AX1368" i="13"/>
  <c r="A1467" i="13"/>
  <c r="N494" i="15" a="1"/>
  <c r="N494" i="15" s="1"/>
  <c r="A1447" i="13"/>
  <c r="AX1348" i="13"/>
  <c r="F396" i="15" a="1"/>
  <c r="F396" i="15" s="1"/>
  <c r="H396" i="15" a="1"/>
  <c r="H396" i="15" s="1"/>
  <c r="AL63" i="4"/>
  <c r="AH80" i="4"/>
  <c r="AV1376" i="13" s="1"/>
  <c r="A1426" i="13"/>
  <c r="AX1327" i="13"/>
  <c r="F91" i="15" a="1"/>
  <c r="F91" i="15" s="1"/>
  <c r="H91" i="15" a="1"/>
  <c r="H91" i="15" s="1"/>
  <c r="B58" i="23"/>
  <c r="AT62" i="72"/>
  <c r="Q62" i="72"/>
  <c r="BC62" i="72"/>
  <c r="P62" i="72"/>
  <c r="A62" i="72"/>
  <c r="V62" i="72"/>
  <c r="N62" i="72" a="1"/>
  <c r="N62" i="72" s="1"/>
  <c r="BD62" i="72"/>
  <c r="AB62" i="72" a="1"/>
  <c r="AB62" i="72" s="1"/>
  <c r="AD62" i="72"/>
  <c r="AC62" i="72"/>
  <c r="M62" i="72"/>
  <c r="U62" i="72" a="1"/>
  <c r="U62" i="72" s="1"/>
  <c r="Z62" i="72"/>
  <c r="G62" i="72"/>
  <c r="BV62" i="72"/>
  <c r="J62" i="72"/>
  <c r="T62" i="72"/>
  <c r="AA62" i="72"/>
  <c r="AS62" i="72"/>
  <c r="Y62" i="72"/>
  <c r="W62" i="72"/>
  <c r="L62" i="72" s="1"/>
  <c r="F31" i="72"/>
  <c r="Z88" i="4"/>
  <c r="AV1285" i="13" s="1"/>
  <c r="F646" i="15" a="1"/>
  <c r="F646" i="15" s="1"/>
  <c r="M494" i="15" a="1"/>
  <c r="M494" i="15" s="1"/>
  <c r="F623" i="15" a="1"/>
  <c r="F623" i="15" s="1"/>
  <c r="L49" i="4"/>
  <c r="X49" i="4"/>
  <c r="BG49" i="4"/>
  <c r="AV1147" i="13" s="1"/>
  <c r="BG39" i="4"/>
  <c r="AV1137" i="13" s="1"/>
  <c r="BR39" i="4"/>
  <c r="O39" i="72" s="1"/>
  <c r="X39" i="4"/>
  <c r="X35" i="4"/>
  <c r="BG35" i="4"/>
  <c r="AV1133" i="13" s="1"/>
  <c r="BR35" i="4"/>
  <c r="O35" i="69" s="1"/>
  <c r="BF30" i="4"/>
  <c r="BR28" i="4"/>
  <c r="BL28" i="72" s="1"/>
  <c r="X28" i="4"/>
  <c r="BG28" i="4"/>
  <c r="AV1126" i="13" s="1"/>
  <c r="BG32" i="4"/>
  <c r="AV1130" i="13" s="1"/>
  <c r="BR24" i="4"/>
  <c r="O24" i="69" s="1"/>
  <c r="BG24" i="4"/>
  <c r="AV1122" i="13" s="1"/>
  <c r="X24" i="4"/>
  <c r="L47" i="4"/>
  <c r="BG47" i="4"/>
  <c r="AV1145" i="13" s="1"/>
  <c r="BF45" i="4"/>
  <c r="T22" i="72"/>
  <c r="N22" i="72" a="1"/>
  <c r="N22" i="72" s="1"/>
  <c r="AD22" i="72"/>
  <c r="S22" i="72"/>
  <c r="U22" i="72" a="1"/>
  <c r="U22" i="72" s="1"/>
  <c r="A22" i="72"/>
  <c r="AC22" i="72"/>
  <c r="M22" i="72"/>
  <c r="Z22" i="72"/>
  <c r="Y22" i="72"/>
  <c r="K22" i="72" a="1"/>
  <c r="K22" i="72" s="1"/>
  <c r="BC22" i="72"/>
  <c r="V22" i="72"/>
  <c r="B22" i="72" s="1"/>
  <c r="AB22" i="72" a="1"/>
  <c r="AB22" i="72" s="1"/>
  <c r="BJ22" i="72"/>
  <c r="P22" i="72"/>
  <c r="J22" i="72"/>
  <c r="C22" i="72"/>
  <c r="Q22" i="72"/>
  <c r="AS22" i="72"/>
  <c r="BV22" i="72"/>
  <c r="AA22" i="72"/>
  <c r="AT22" i="72"/>
  <c r="H22" i="72"/>
  <c r="BD22" i="72"/>
  <c r="G22" i="72"/>
  <c r="W22" i="72"/>
  <c r="BR22" i="72" s="1" a="1"/>
  <c r="BR22" i="72" s="1"/>
  <c r="AE22" i="72"/>
  <c r="BL22" i="72"/>
  <c r="O22" i="72"/>
  <c r="AB20" i="69" a="1"/>
  <c r="AB20" i="69" s="1"/>
  <c r="AA20" i="69"/>
  <c r="T20" i="69"/>
  <c r="N20" i="69" a="1"/>
  <c r="N20" i="69" s="1"/>
  <c r="P20" i="69"/>
  <c r="AW20" i="69"/>
  <c r="U20" i="69" a="1"/>
  <c r="U20" i="69" s="1"/>
  <c r="Q20" i="69"/>
  <c r="AM20" i="69"/>
  <c r="W20" i="69"/>
  <c r="BK20" i="69" s="1"/>
  <c r="BP20" i="69"/>
  <c r="A20" i="69"/>
  <c r="G20" i="69"/>
  <c r="S20" i="69"/>
  <c r="Y20" i="69"/>
  <c r="AC20" i="69"/>
  <c r="V20" i="69"/>
  <c r="B20" i="69" s="1"/>
  <c r="AX20" i="69"/>
  <c r="AN20" i="69"/>
  <c r="J20" i="69"/>
  <c r="K20" i="69" a="1"/>
  <c r="K20" i="69" s="1"/>
  <c r="M20" i="69"/>
  <c r="Z20" i="69"/>
  <c r="C20" i="69"/>
  <c r="M18" i="72"/>
  <c r="AC18" i="72"/>
  <c r="AA18" i="72"/>
  <c r="Z18" i="72"/>
  <c r="AS18" i="72"/>
  <c r="T18" i="72"/>
  <c r="J18" i="72"/>
  <c r="BD18" i="72"/>
  <c r="BC18" i="72"/>
  <c r="AB18" i="72" a="1"/>
  <c r="AB18" i="72" s="1"/>
  <c r="AT18" i="72"/>
  <c r="W18" i="72"/>
  <c r="A18" i="72"/>
  <c r="Q18" i="72"/>
  <c r="BV18" i="72"/>
  <c r="G18" i="72"/>
  <c r="S18" i="72"/>
  <c r="AD18" i="72"/>
  <c r="N18" i="72" a="1"/>
  <c r="N18" i="72" s="1"/>
  <c r="K18" i="72" a="1"/>
  <c r="K18" i="72" s="1"/>
  <c r="Y18" i="72"/>
  <c r="U18" i="72" a="1"/>
  <c r="U18" i="72" s="1"/>
  <c r="V18" i="72"/>
  <c r="B18" i="72" s="1"/>
  <c r="P18" i="72"/>
  <c r="A1456" i="13"/>
  <c r="AX1357" i="13"/>
  <c r="A45" i="72"/>
  <c r="G45" i="72"/>
  <c r="J45" i="72"/>
  <c r="W45" i="72"/>
  <c r="Y45" i="72"/>
  <c r="AC45" i="72"/>
  <c r="BD45" i="72"/>
  <c r="L45" i="72"/>
  <c r="AA45" i="72"/>
  <c r="T45" i="72"/>
  <c r="Q45" i="72"/>
  <c r="U45" i="72" a="1"/>
  <c r="U45" i="72" s="1"/>
  <c r="AB45" i="72" a="1"/>
  <c r="AB45" i="72" s="1"/>
  <c r="AS45" i="72"/>
  <c r="P45" i="72"/>
  <c r="BC45" i="72"/>
  <c r="M45" i="72"/>
  <c r="Z45" i="72"/>
  <c r="BV45" i="72"/>
  <c r="AT45" i="72"/>
  <c r="N45" i="72" a="1"/>
  <c r="N45" i="72" s="1"/>
  <c r="V45" i="72"/>
  <c r="B45" i="72" s="1"/>
  <c r="S45" i="72"/>
  <c r="AD45" i="72"/>
  <c r="A1469" i="13"/>
  <c r="AX1370" i="13"/>
  <c r="F82" i="4"/>
  <c r="AX1314" i="13"/>
  <c r="A1413" i="13"/>
  <c r="A15" i="72"/>
  <c r="Y15" i="72"/>
  <c r="AA15" i="72"/>
  <c r="P15" i="72"/>
  <c r="S15" i="72"/>
  <c r="AD15" i="72"/>
  <c r="K15" i="72" a="1"/>
  <c r="K15" i="72" s="1"/>
  <c r="BD15" i="72"/>
  <c r="J15" i="72"/>
  <c r="M15" i="72"/>
  <c r="AS15" i="72"/>
  <c r="BV15" i="72"/>
  <c r="W15" i="72"/>
  <c r="BR15" i="72" s="1" a="1"/>
  <c r="BR15" i="72" s="1"/>
  <c r="G15" i="72"/>
  <c r="T15" i="72"/>
  <c r="U15" i="72" a="1"/>
  <c r="U15" i="72" s="1"/>
  <c r="BL15" i="72"/>
  <c r="V15" i="72"/>
  <c r="B15" i="72" s="1"/>
  <c r="AT15" i="72"/>
  <c r="N15" i="72" a="1"/>
  <c r="N15" i="72" s="1"/>
  <c r="Q15" i="72"/>
  <c r="AB15" i="72" a="1"/>
  <c r="AB15" i="72" s="1"/>
  <c r="BC15" i="72"/>
  <c r="L15" i="72"/>
  <c r="Z15" i="72"/>
  <c r="O15" i="72"/>
  <c r="AC15" i="72"/>
  <c r="H15" i="72"/>
  <c r="C15" i="72"/>
  <c r="N80" i="69" a="1"/>
  <c r="N80" i="69" s="1"/>
  <c r="W80" i="69"/>
  <c r="BK80" i="69" s="1"/>
  <c r="AM80" i="69"/>
  <c r="AX80" i="69"/>
  <c r="AC80" i="69"/>
  <c r="P80" i="69"/>
  <c r="AB80" i="69" a="1"/>
  <c r="AB80" i="69" s="1"/>
  <c r="AW80" i="69"/>
  <c r="Y80" i="69"/>
  <c r="L80" i="69"/>
  <c r="T80" i="69"/>
  <c r="A80" i="69"/>
  <c r="Z80" i="69"/>
  <c r="Q80" i="69"/>
  <c r="M80" i="69"/>
  <c r="J80" i="69"/>
  <c r="AA80" i="69"/>
  <c r="V80" i="69"/>
  <c r="B80" i="69" s="1"/>
  <c r="AN80" i="69"/>
  <c r="BP80" i="69"/>
  <c r="S80" i="69"/>
  <c r="U51" i="69" a="1"/>
  <c r="U51" i="69" s="1"/>
  <c r="AB51" i="69" a="1"/>
  <c r="AB51" i="69" s="1"/>
  <c r="T51" i="69"/>
  <c r="AX51" i="69"/>
  <c r="W51" i="69"/>
  <c r="S51" i="69"/>
  <c r="Q51" i="69"/>
  <c r="AA51" i="69"/>
  <c r="L51" i="69"/>
  <c r="N51" i="69" a="1"/>
  <c r="N51" i="69" s="1"/>
  <c r="BP51" i="69"/>
  <c r="Y51" i="69"/>
  <c r="AW51" i="69"/>
  <c r="AC51" i="69"/>
  <c r="A51" i="69"/>
  <c r="AN51" i="69"/>
  <c r="G51" i="69"/>
  <c r="P51" i="69"/>
  <c r="M51" i="69"/>
  <c r="Z51" i="69"/>
  <c r="J51" i="69"/>
  <c r="AM51" i="69"/>
  <c r="V51" i="69"/>
  <c r="B51" i="69" s="1"/>
  <c r="BD51" i="69"/>
  <c r="I35" i="72"/>
  <c r="F63" i="69"/>
  <c r="AL79" i="4"/>
  <c r="S94" i="72"/>
  <c r="AJ94" i="72" s="1"/>
  <c r="AV1291" i="13"/>
  <c r="DA84" i="4" a="1"/>
  <c r="DA84" i="4" s="1"/>
  <c r="T58" i="72"/>
  <c r="BN58" i="72" s="1" a="1"/>
  <c r="BN58" i="72" s="1"/>
  <c r="BE58" i="72"/>
  <c r="AL58" i="72"/>
  <c r="AO58" i="72"/>
  <c r="R58" i="72"/>
  <c r="BH58" i="72"/>
  <c r="BO58" i="72" a="1"/>
  <c r="BO58" i="72" s="1"/>
  <c r="AQ58" i="72" a="1"/>
  <c r="AQ58" i="72" s="1"/>
  <c r="CA54" i="4"/>
  <c r="Y54" i="4"/>
  <c r="AT54" i="4" a="1"/>
  <c r="AT54" i="4" s="1"/>
  <c r="H54" i="69" s="1"/>
  <c r="AU54" i="4"/>
  <c r="AV54" i="4" a="1"/>
  <c r="AV54" i="4" s="1"/>
  <c r="C54" i="72" s="1"/>
  <c r="D54" i="72" s="1" a="1"/>
  <c r="D54" i="72" s="1"/>
  <c r="BQ54" i="4"/>
  <c r="CA37" i="4"/>
  <c r="Y37" i="4"/>
  <c r="AT37" i="4" a="1"/>
  <c r="AT37" i="4" s="1"/>
  <c r="H37" i="72" s="1"/>
  <c r="AU37" i="4"/>
  <c r="AV37" i="4" a="1"/>
  <c r="AV37" i="4" s="1"/>
  <c r="C37" i="69" s="1"/>
  <c r="BQ37" i="4"/>
  <c r="CY37" i="4"/>
  <c r="CZ37" i="4" s="1"/>
  <c r="P39" i="9" s="1"/>
  <c r="BV92" i="72"/>
  <c r="N92" i="72" a="1"/>
  <c r="N92" i="72" s="1"/>
  <c r="V92" i="72"/>
  <c r="AC92" i="72"/>
  <c r="A92" i="72"/>
  <c r="P92" i="72"/>
  <c r="J92" i="72"/>
  <c r="AD92" i="72"/>
  <c r="W92" i="72"/>
  <c r="BR92" i="72" s="1" a="1"/>
  <c r="BR92" i="72" s="1"/>
  <c r="M92" i="72"/>
  <c r="AS92" i="72"/>
  <c r="G92" i="72"/>
  <c r="Q92" i="72"/>
  <c r="T92" i="72"/>
  <c r="AA92" i="72"/>
  <c r="Y92" i="72"/>
  <c r="BC92" i="72"/>
  <c r="AB92" i="72" a="1"/>
  <c r="AB92" i="72" s="1"/>
  <c r="AT92" i="72"/>
  <c r="Z92" i="72"/>
  <c r="L92" i="72"/>
  <c r="BD92" i="72"/>
  <c r="A88" i="72"/>
  <c r="AC88" i="72"/>
  <c r="G88" i="72"/>
  <c r="AB88" i="72" a="1"/>
  <c r="AB88" i="72" s="1"/>
  <c r="BV88" i="72"/>
  <c r="W88" i="72"/>
  <c r="BR88" i="72" s="1" a="1"/>
  <c r="BR88" i="72" s="1"/>
  <c r="J88" i="72"/>
  <c r="AA88" i="72"/>
  <c r="N88" i="72" a="1"/>
  <c r="N88" i="72" s="1"/>
  <c r="Y88" i="72"/>
  <c r="BD88" i="72"/>
  <c r="Q88" i="72"/>
  <c r="AT88" i="72"/>
  <c r="BC88" i="72"/>
  <c r="T88" i="72"/>
  <c r="P88" i="72"/>
  <c r="Z88" i="72"/>
  <c r="AS88" i="72"/>
  <c r="M88" i="72"/>
  <c r="U88" i="72" a="1"/>
  <c r="U88" i="72" s="1"/>
  <c r="V88" i="72"/>
  <c r="AD88" i="72"/>
  <c r="AX49" i="69"/>
  <c r="A49" i="69"/>
  <c r="BF49" i="69"/>
  <c r="AC49" i="69"/>
  <c r="U49" i="69" a="1"/>
  <c r="U49" i="69" s="1"/>
  <c r="W49" i="69"/>
  <c r="BK49" i="69" s="1"/>
  <c r="AN49" i="69"/>
  <c r="Q49" i="69"/>
  <c r="M49" i="69"/>
  <c r="T49" i="69"/>
  <c r="P49" i="69"/>
  <c r="AA49" i="69"/>
  <c r="S49" i="69"/>
  <c r="N49" i="69" a="1"/>
  <c r="N49" i="69" s="1"/>
  <c r="Z49" i="69"/>
  <c r="Y49" i="69"/>
  <c r="J49" i="69"/>
  <c r="AB49" i="69" a="1"/>
  <c r="AB49" i="69" s="1"/>
  <c r="O49" i="69"/>
  <c r="AW49" i="69"/>
  <c r="BP49" i="69"/>
  <c r="L49" i="69"/>
  <c r="V49" i="69"/>
  <c r="B49" i="69" s="1"/>
  <c r="AM49" i="69"/>
  <c r="G49" i="69"/>
  <c r="U37" i="72" a="1"/>
  <c r="U37" i="72" s="1"/>
  <c r="J37" i="72"/>
  <c r="V37" i="72"/>
  <c r="B37" i="72" s="1"/>
  <c r="AS37" i="72"/>
  <c r="Y37" i="72"/>
  <c r="A37" i="72"/>
  <c r="P37" i="72"/>
  <c r="BV37" i="72"/>
  <c r="AD37" i="72"/>
  <c r="M37" i="72"/>
  <c r="G37" i="72"/>
  <c r="AB37" i="72" a="1"/>
  <c r="AB37" i="72" s="1"/>
  <c r="BC37" i="72"/>
  <c r="W37" i="72"/>
  <c r="BQ37" i="72" s="1"/>
  <c r="AA37" i="72"/>
  <c r="S37" i="72"/>
  <c r="AC37" i="72"/>
  <c r="BD37" i="72"/>
  <c r="Z37" i="72"/>
  <c r="AT37" i="72"/>
  <c r="L37" i="72"/>
  <c r="Q37" i="72"/>
  <c r="T37" i="72"/>
  <c r="N37" i="72" a="1"/>
  <c r="N37" i="72" s="1"/>
  <c r="BJ37" i="72"/>
  <c r="A1412" i="13"/>
  <c r="AX1313" i="13"/>
  <c r="AV580" i="13"/>
  <c r="BL78" i="4"/>
  <c r="BM78" i="4" s="1"/>
  <c r="BE78" i="4" s="1" a="1"/>
  <c r="BE78" i="4" s="1"/>
  <c r="DV78" i="4"/>
  <c r="F583" i="15" a="1"/>
  <c r="F583" i="15" s="1"/>
  <c r="H583" i="15" a="1"/>
  <c r="H583" i="15" s="1"/>
  <c r="DV72" i="4"/>
  <c r="AV574" i="13"/>
  <c r="BL72" i="4"/>
  <c r="BM72" i="4" s="1"/>
  <c r="BE72" i="4" s="1" a="1"/>
  <c r="BE72" i="4" s="1"/>
  <c r="A1462" i="13"/>
  <c r="AX1363" i="13"/>
  <c r="AD76" i="4"/>
  <c r="AX1386" i="13"/>
  <c r="A1485" i="13"/>
  <c r="CA34" i="4"/>
  <c r="AT34" i="4" a="1"/>
  <c r="AT34" i="4" s="1"/>
  <c r="H34" i="69" s="1"/>
  <c r="AV34" i="4" a="1"/>
  <c r="AV34" i="4" s="1"/>
  <c r="C34" i="69" s="1"/>
  <c r="D34" i="69" s="1" a="1"/>
  <c r="D34" i="69" s="1"/>
  <c r="AU34" i="4"/>
  <c r="Y34" i="4"/>
  <c r="CY34" i="4"/>
  <c r="CZ34" i="4" s="1"/>
  <c r="BQ34" i="4"/>
  <c r="BH30" i="4"/>
  <c r="BL30" i="4"/>
  <c r="BM30" i="4" s="1"/>
  <c r="BE30" i="4" s="1" a="1"/>
  <c r="BE30" i="4" s="1"/>
  <c r="AV532" i="13"/>
  <c r="DV30" i="4"/>
  <c r="F92" i="4"/>
  <c r="O31" i="72"/>
  <c r="AE31" i="72"/>
  <c r="T31" i="72"/>
  <c r="AC31" i="72"/>
  <c r="N31" i="72" a="1"/>
  <c r="N31" i="72" s="1"/>
  <c r="K31" i="72" a="1"/>
  <c r="K31" i="72" s="1"/>
  <c r="BV31" i="72"/>
  <c r="BC31" i="72"/>
  <c r="AT31" i="72"/>
  <c r="Z31" i="72"/>
  <c r="AA31" i="72"/>
  <c r="Q31" i="72"/>
  <c r="A31" i="72"/>
  <c r="AS31" i="72"/>
  <c r="P31" i="72"/>
  <c r="L31" i="72"/>
  <c r="BD31" i="72"/>
  <c r="U31" i="72" a="1"/>
  <c r="U31" i="72" s="1"/>
  <c r="V31" i="72"/>
  <c r="B31" i="72" s="1"/>
  <c r="Y31" i="72"/>
  <c r="M31" i="72"/>
  <c r="AD31" i="72"/>
  <c r="BJ31" i="72"/>
  <c r="BL31" i="72"/>
  <c r="S31" i="72"/>
  <c r="G31" i="72"/>
  <c r="AB31" i="72" a="1"/>
  <c r="AB31" i="72" s="1"/>
  <c r="J31" i="72"/>
  <c r="W31" i="72"/>
  <c r="H31" i="72"/>
  <c r="C31" i="72"/>
  <c r="P46" i="69"/>
  <c r="Q46" i="69"/>
  <c r="Z46" i="69"/>
  <c r="W46" i="69"/>
  <c r="L46" i="69" s="1"/>
  <c r="BD46" i="69"/>
  <c r="U46" i="69" a="1"/>
  <c r="U46" i="69" s="1"/>
  <c r="AW46" i="69"/>
  <c r="AC46" i="69"/>
  <c r="N46" i="69" a="1"/>
  <c r="N46" i="69" s="1"/>
  <c r="BP46" i="69"/>
  <c r="A46" i="69"/>
  <c r="AM46" i="69"/>
  <c r="AX46" i="69"/>
  <c r="AB46" i="69" a="1"/>
  <c r="AB46" i="69" s="1"/>
  <c r="C46" i="69"/>
  <c r="AA46" i="69"/>
  <c r="J46" i="69"/>
  <c r="T46" i="69"/>
  <c r="V46" i="69"/>
  <c r="B46" i="69" s="1"/>
  <c r="G46" i="69"/>
  <c r="Y46" i="69"/>
  <c r="S46" i="69"/>
  <c r="M46" i="69"/>
  <c r="AN46" i="69"/>
  <c r="S96" i="69"/>
  <c r="AV1293" i="13"/>
  <c r="DV14" i="4"/>
  <c r="AV516" i="13"/>
  <c r="BL14" i="4"/>
  <c r="BM14" i="4" s="1"/>
  <c r="BE14" i="4" s="1" a="1"/>
  <c r="BE14" i="4" s="1"/>
  <c r="BH14" i="4"/>
  <c r="F468" i="15" a="1"/>
  <c r="F468" i="15" s="1"/>
  <c r="F79" i="4"/>
  <c r="AW38" i="69"/>
  <c r="G38" i="69"/>
  <c r="AN38" i="69"/>
  <c r="C38" i="69"/>
  <c r="V38" i="69"/>
  <c r="B38" i="69" s="1"/>
  <c r="A38" i="69"/>
  <c r="L38" i="69"/>
  <c r="AB38" i="69" a="1"/>
  <c r="AB38" i="69" s="1"/>
  <c r="AX38" i="69"/>
  <c r="AA38" i="69"/>
  <c r="Z38" i="69"/>
  <c r="N38" i="69" a="1"/>
  <c r="N38" i="69" s="1"/>
  <c r="P38" i="69"/>
  <c r="J38" i="69"/>
  <c r="U38" i="69" a="1"/>
  <c r="U38" i="69" s="1"/>
  <c r="Y38" i="69"/>
  <c r="S38" i="69"/>
  <c r="Q38" i="69"/>
  <c r="M38" i="69"/>
  <c r="H38" i="69"/>
  <c r="AC38" i="69"/>
  <c r="W38" i="69"/>
  <c r="BK38" i="69" s="1"/>
  <c r="BP38" i="69"/>
  <c r="AM38" i="69"/>
  <c r="T38" i="69"/>
  <c r="BF38" i="69"/>
  <c r="AD38" i="69"/>
  <c r="O38" i="69"/>
  <c r="K38" i="69" a="1"/>
  <c r="K38" i="69" s="1"/>
  <c r="BD38" i="69"/>
  <c r="I42" i="72"/>
  <c r="I52" i="72"/>
  <c r="E90" i="4"/>
  <c r="DE90" i="4"/>
  <c r="A1415" i="13"/>
  <c r="AX1316" i="13"/>
  <c r="BD30" i="4"/>
  <c r="X30" i="4" s="1"/>
  <c r="BT30" i="4"/>
  <c r="AV40" i="4" a="1"/>
  <c r="AV40" i="4" s="1"/>
  <c r="C40" i="72" s="1"/>
  <c r="D40" i="72" s="1" a="1"/>
  <c r="D40" i="72" s="1"/>
  <c r="AT40" i="4" a="1"/>
  <c r="AT40" i="4" s="1"/>
  <c r="H40" i="72" s="1"/>
  <c r="Y40" i="4"/>
  <c r="AU40" i="4"/>
  <c r="CY40" i="4"/>
  <c r="CZ40" i="4" s="1"/>
  <c r="BQ40" i="4"/>
  <c r="AU51" i="4"/>
  <c r="AV51" i="4" a="1"/>
  <c r="AV51" i="4" s="1"/>
  <c r="C51" i="72" s="1"/>
  <c r="Y51" i="4"/>
  <c r="AT51" i="4" a="1"/>
  <c r="AT51" i="4" s="1"/>
  <c r="H51" i="72" s="1"/>
  <c r="BQ51" i="4"/>
  <c r="CY51" i="4"/>
  <c r="CZ51" i="4" s="1"/>
  <c r="P53" i="9" s="1"/>
  <c r="F93" i="4"/>
  <c r="F369" i="15" a="1"/>
  <c r="F369" i="15" s="1"/>
  <c r="H369" i="15" a="1"/>
  <c r="H369" i="15" s="1"/>
  <c r="A1439" i="13"/>
  <c r="AX1340" i="13"/>
  <c r="F59" i="4"/>
  <c r="BP69" i="69"/>
  <c r="W69" i="69"/>
  <c r="BK69" i="69" s="1"/>
  <c r="Y69" i="69"/>
  <c r="AC69" i="69"/>
  <c r="M69" i="69"/>
  <c r="Z69" i="69"/>
  <c r="P69" i="69"/>
  <c r="N69" i="69" a="1"/>
  <c r="N69" i="69" s="1"/>
  <c r="AB69" i="69" a="1"/>
  <c r="AB69" i="69" s="1"/>
  <c r="V69" i="69"/>
  <c r="B69" i="69" s="1"/>
  <c r="AA69" i="69"/>
  <c r="AX69" i="69"/>
  <c r="Q69" i="69"/>
  <c r="T69" i="69"/>
  <c r="AN69" i="69"/>
  <c r="J69" i="69"/>
  <c r="S69" i="69"/>
  <c r="AW69" i="69"/>
  <c r="U69" i="69" a="1"/>
  <c r="U69" i="69" s="1"/>
  <c r="A69" i="69"/>
  <c r="AM69" i="69"/>
  <c r="I25" i="72"/>
  <c r="I39" i="69"/>
  <c r="I375" i="15" a="1"/>
  <c r="I375" i="15" s="1"/>
  <c r="AG4" i="69" a="1"/>
  <c r="AG4" i="69" s="1"/>
  <c r="F615" i="15" a="1"/>
  <c r="F615" i="15" s="1"/>
  <c r="H615" i="15" a="1"/>
  <c r="H615" i="15" s="1"/>
  <c r="AL83" i="4"/>
  <c r="Z82" i="4"/>
  <c r="AV1279" i="13" s="1"/>
  <c r="F632" i="15" a="1"/>
  <c r="F632" i="15" s="1"/>
  <c r="H632" i="15" a="1"/>
  <c r="H632" i="15" s="1"/>
  <c r="BC96" i="69"/>
  <c r="BQ95" i="69"/>
  <c r="AF95" i="72" a="1"/>
  <c r="AF95" i="72" s="1"/>
  <c r="IK37" i="71"/>
  <c r="P25" i="9"/>
  <c r="N509" i="15" a="1"/>
  <c r="N509" i="15" s="1"/>
  <c r="M509" i="15" a="1"/>
  <c r="M509" i="15" s="1"/>
  <c r="L509" i="15" a="1"/>
  <c r="L509" i="15" s="1"/>
  <c r="K509" i="15" a="1"/>
  <c r="K509" i="15" s="1"/>
  <c r="P52" i="9"/>
  <c r="E326" i="15"/>
  <c r="P67" i="9"/>
  <c r="JC37" i="71"/>
  <c r="E357" i="15"/>
  <c r="H354" i="15" s="1" a="1"/>
  <c r="H354" i="15" s="1"/>
  <c r="E298" i="15"/>
  <c r="F296" i="15" s="1" a="1"/>
  <c r="F296" i="15" s="1"/>
  <c r="E75" i="15"/>
  <c r="H70" i="15" s="1" a="1"/>
  <c r="H70" i="15" s="1"/>
  <c r="E62" i="15"/>
  <c r="K654" i="15" a="1"/>
  <c r="K654" i="15" s="1"/>
  <c r="M654" i="15" a="1"/>
  <c r="M654" i="15" s="1"/>
  <c r="N654" i="15" a="1"/>
  <c r="N654" i="15" s="1"/>
  <c r="L654" i="15" a="1"/>
  <c r="L654" i="15" s="1"/>
  <c r="L653" i="15" a="1"/>
  <c r="L653" i="15" s="1"/>
  <c r="K653" i="15" a="1"/>
  <c r="K653" i="15" s="1"/>
  <c r="N653" i="15" a="1"/>
  <c r="N653" i="15" s="1"/>
  <c r="M653" i="15" a="1"/>
  <c r="M653" i="15" s="1"/>
  <c r="IB37" i="71"/>
  <c r="GX37" i="71"/>
  <c r="P74" i="9"/>
  <c r="E435" i="15"/>
  <c r="F433" i="15" s="1" a="1"/>
  <c r="F433" i="15" s="1"/>
  <c r="E380" i="15"/>
  <c r="H375" i="15" s="1" a="1"/>
  <c r="H375" i="15" s="1"/>
  <c r="P82" i="9"/>
  <c r="HY37" i="71"/>
  <c r="HM37" i="71"/>
  <c r="E541" i="15"/>
  <c r="P84" i="9"/>
  <c r="K628" i="15" a="1"/>
  <c r="K628" i="15" s="1"/>
  <c r="L628" i="15" a="1"/>
  <c r="L628" i="15" s="1"/>
  <c r="K629" i="15" a="1"/>
  <c r="K629" i="15" s="1"/>
  <c r="M634" i="15" a="1"/>
  <c r="M634" i="15" s="1"/>
  <c r="L629" i="15" a="1"/>
  <c r="L629" i="15" s="1"/>
  <c r="N634" i="15" a="1"/>
  <c r="N634" i="15" s="1"/>
  <c r="L634" i="15" a="1"/>
  <c r="L634" i="15" s="1"/>
  <c r="M629" i="15" a="1"/>
  <c r="M629" i="15" s="1"/>
  <c r="N628" i="15" a="1"/>
  <c r="N628" i="15" s="1"/>
  <c r="M628" i="15" a="1"/>
  <c r="M628" i="15" s="1"/>
  <c r="H526" i="15" a="1"/>
  <c r="H526" i="15" s="1"/>
  <c r="H531" i="15" a="1"/>
  <c r="H531" i="15" s="1"/>
  <c r="F531" i="15" a="1"/>
  <c r="F531" i="15" s="1"/>
  <c r="P88" i="9"/>
  <c r="C55" i="1"/>
  <c r="Y3" i="1" a="1"/>
  <c r="Y3" i="1" s="1"/>
  <c r="Y101" i="1" s="1"/>
  <c r="AS3" i="1" a="1"/>
  <c r="AS3" i="1" s="1"/>
  <c r="AS101" i="1" s="1"/>
  <c r="W3" i="1" a="1"/>
  <c r="W3" i="1" s="1"/>
  <c r="W101" i="1" s="1"/>
  <c r="AA3" i="1" a="1"/>
  <c r="AA3" i="1" s="1"/>
  <c r="AA101" i="1" s="1"/>
  <c r="I3" i="1" a="1"/>
  <c r="I3" i="1" s="1"/>
  <c r="I101" i="1" s="1"/>
  <c r="AK3" i="1" a="1"/>
  <c r="AK3" i="1" s="1"/>
  <c r="AK101" i="1" s="1"/>
  <c r="Q3" i="1" a="1"/>
  <c r="Q3" i="1" s="1"/>
  <c r="Q101" i="1" s="1"/>
  <c r="DA91" i="4" a="1"/>
  <c r="DA91" i="4" s="1"/>
  <c r="AV522" i="13"/>
  <c r="DV20" i="4"/>
  <c r="BH20" i="4"/>
  <c r="BL20" i="4"/>
  <c r="BM20" i="4" s="1"/>
  <c r="BE20" i="4" s="1" a="1"/>
  <c r="BE20" i="4" s="1"/>
  <c r="AV10" i="4" a="1"/>
  <c r="AV10" i="4" s="1"/>
  <c r="AU10" i="4"/>
  <c r="AT10" i="4" a="1"/>
  <c r="AT10" i="4" s="1"/>
  <c r="Y10" i="4"/>
  <c r="BQ10" i="4"/>
  <c r="CY10" i="4"/>
  <c r="CZ10" i="4" s="1"/>
  <c r="CA10" i="4"/>
  <c r="AT71" i="72"/>
  <c r="W71" i="72"/>
  <c r="BR71" i="72" s="1" a="1"/>
  <c r="BR71" i="72" s="1"/>
  <c r="M71" i="72"/>
  <c r="AB71" i="72" a="1"/>
  <c r="AB71" i="72" s="1"/>
  <c r="Y71" i="72"/>
  <c r="AD71" i="72"/>
  <c r="T71" i="72"/>
  <c r="AA71" i="72"/>
  <c r="AC71" i="72"/>
  <c r="P71" i="72"/>
  <c r="L71" i="72"/>
  <c r="BC71" i="72"/>
  <c r="Q71" i="72"/>
  <c r="AS71" i="72"/>
  <c r="BD71" i="72"/>
  <c r="A71" i="72"/>
  <c r="Z71" i="72"/>
  <c r="J71" i="72"/>
  <c r="N71" i="72" a="1"/>
  <c r="N71" i="72" s="1"/>
  <c r="BV71" i="72"/>
  <c r="V71" i="72"/>
  <c r="B71" i="72" s="1"/>
  <c r="U71" i="72" a="1"/>
  <c r="U71" i="72" s="1"/>
  <c r="S71" i="72"/>
  <c r="T24" i="72"/>
  <c r="AD24" i="72"/>
  <c r="AA24" i="72"/>
  <c r="BD24" i="72"/>
  <c r="N24" i="72" a="1"/>
  <c r="N24" i="72" s="1"/>
  <c r="AB24" i="72" a="1"/>
  <c r="AB24" i="72" s="1"/>
  <c r="P24" i="72"/>
  <c r="S24" i="72"/>
  <c r="Z24" i="72"/>
  <c r="W24" i="72"/>
  <c r="L24" i="72"/>
  <c r="Y24" i="72"/>
  <c r="A24" i="72"/>
  <c r="AT24" i="72"/>
  <c r="U24" i="72" a="1"/>
  <c r="U24" i="72" s="1"/>
  <c r="AS24" i="72"/>
  <c r="G24" i="72"/>
  <c r="AC24" i="72"/>
  <c r="BV24" i="72"/>
  <c r="M24" i="72"/>
  <c r="V24" i="72"/>
  <c r="B24" i="72" s="1"/>
  <c r="Q24" i="72"/>
  <c r="BC24" i="72"/>
  <c r="J24" i="72"/>
  <c r="C24" i="72"/>
  <c r="H24" i="72"/>
  <c r="I22" i="72"/>
  <c r="AD62" i="4"/>
  <c r="F69" i="4"/>
  <c r="BD29" i="4"/>
  <c r="BR29" i="4" s="1"/>
  <c r="BF29" i="69" s="1"/>
  <c r="AV528" i="13"/>
  <c r="BL26" i="4"/>
  <c r="BM26" i="4" s="1"/>
  <c r="BE26" i="4" s="1" a="1"/>
  <c r="BE26" i="4" s="1"/>
  <c r="BH26" i="4"/>
  <c r="DV26" i="4"/>
  <c r="AV518" i="13"/>
  <c r="BL16" i="4"/>
  <c r="BM16" i="4" s="1"/>
  <c r="BE16" i="4" s="1" a="1"/>
  <c r="BE16" i="4" s="1"/>
  <c r="BH16" i="4"/>
  <c r="DV16" i="4"/>
  <c r="DD77" i="4" a="1"/>
  <c r="DD77" i="4" s="1"/>
  <c r="DD49" i="4" a="1"/>
  <c r="DD49" i="4" s="1"/>
  <c r="DD42" i="4" a="1"/>
  <c r="DD42" i="4" s="1"/>
  <c r="DD58" i="4" a="1"/>
  <c r="DD58" i="4" s="1"/>
  <c r="I12" i="69"/>
  <c r="I57" i="72"/>
  <c r="AH93" i="4"/>
  <c r="AV1389" i="13" s="1"/>
  <c r="DE86" i="4"/>
  <c r="E86" i="4"/>
  <c r="BT86" i="4" s="1"/>
  <c r="CW92" i="4"/>
  <c r="CX92" i="4" s="1"/>
  <c r="F581" i="15" a="1"/>
  <c r="F581" i="15" s="1"/>
  <c r="H581" i="15" a="1"/>
  <c r="H581" i="15" s="1"/>
  <c r="AV35" i="4" a="1"/>
  <c r="AV35" i="4" s="1"/>
  <c r="C35" i="69" s="1"/>
  <c r="D35" i="69" s="1" a="1"/>
  <c r="D35" i="69" s="1"/>
  <c r="Y35" i="4"/>
  <c r="AT35" i="4" a="1"/>
  <c r="AT35" i="4" s="1"/>
  <c r="H35" i="69" s="1"/>
  <c r="AU35" i="4"/>
  <c r="BQ35" i="4"/>
  <c r="AL91" i="4"/>
  <c r="BD47" i="4"/>
  <c r="BR47" i="4" s="1"/>
  <c r="O47" i="72" s="1"/>
  <c r="E72" i="4"/>
  <c r="BT72" i="4" s="1"/>
  <c r="DE72" i="4"/>
  <c r="DA80" i="4" a="1"/>
  <c r="DA80" i="4" s="1"/>
  <c r="AV65" i="4" a="1"/>
  <c r="AV65" i="4" s="1"/>
  <c r="C65" i="72" s="1"/>
  <c r="Y65" i="4"/>
  <c r="AT65" i="4" a="1"/>
  <c r="AT65" i="4" s="1"/>
  <c r="H65" i="72" s="1"/>
  <c r="AU65" i="4"/>
  <c r="BQ65" i="4"/>
  <c r="DV18" i="4"/>
  <c r="AV520" i="13"/>
  <c r="BL18" i="4"/>
  <c r="BM18" i="4" s="1"/>
  <c r="BE18" i="4" s="1" a="1"/>
  <c r="BE18" i="4" s="1"/>
  <c r="BH18" i="4"/>
  <c r="J62" i="69"/>
  <c r="Q62" i="69"/>
  <c r="AA62" i="69"/>
  <c r="N62" i="69" a="1"/>
  <c r="N62" i="69" s="1"/>
  <c r="S62" i="69"/>
  <c r="Z62" i="69"/>
  <c r="V62" i="69"/>
  <c r="T62" i="69"/>
  <c r="Y62" i="69"/>
  <c r="W62" i="69"/>
  <c r="BL62" i="69" s="1" a="1"/>
  <c r="BL62" i="69" s="1"/>
  <c r="BP62" i="69"/>
  <c r="AX62" i="69"/>
  <c r="AM62" i="69"/>
  <c r="AN62" i="69"/>
  <c r="AW62" i="69"/>
  <c r="P62" i="69"/>
  <c r="A62" i="69"/>
  <c r="G62" i="69"/>
  <c r="AB62" i="69" a="1"/>
  <c r="AB62" i="69" s="1"/>
  <c r="U62" i="69" a="1"/>
  <c r="U62" i="69" s="1"/>
  <c r="M62" i="69"/>
  <c r="AC62" i="69"/>
  <c r="AD66" i="72"/>
  <c r="AS66" i="72"/>
  <c r="P66" i="72"/>
  <c r="BD66" i="72"/>
  <c r="AA66" i="72"/>
  <c r="S66" i="72"/>
  <c r="J66" i="72"/>
  <c r="G66" i="72"/>
  <c r="AT66" i="72"/>
  <c r="V66" i="72"/>
  <c r="T66" i="72"/>
  <c r="AC66" i="72"/>
  <c r="Q66" i="72"/>
  <c r="BC66" i="72"/>
  <c r="AB66" i="72" a="1"/>
  <c r="AB66" i="72" s="1"/>
  <c r="M66" i="72"/>
  <c r="A66" i="72"/>
  <c r="W66" i="72"/>
  <c r="BR66" i="72" s="1" a="1"/>
  <c r="BR66" i="72" s="1"/>
  <c r="BV66" i="72"/>
  <c r="N66" i="72" a="1"/>
  <c r="N66" i="72" s="1"/>
  <c r="Y66" i="72"/>
  <c r="L66" i="72"/>
  <c r="Z66" i="72"/>
  <c r="U66" i="72" a="1"/>
  <c r="U66" i="72" s="1"/>
  <c r="CW79" i="4"/>
  <c r="CX79" i="4" s="1"/>
  <c r="H120" i="15" a="1"/>
  <c r="H120" i="15" s="1"/>
  <c r="F538" i="15" a="1"/>
  <c r="F538" i="15" s="1"/>
  <c r="F268" i="15" a="1"/>
  <c r="F268" i="15" s="1"/>
  <c r="F62" i="4"/>
  <c r="BD20" i="4"/>
  <c r="BR20" i="4" s="1"/>
  <c r="O20" i="69" s="1"/>
  <c r="K498" i="15" a="1"/>
  <c r="K498" i="15" s="1"/>
  <c r="BR25" i="4"/>
  <c r="BF25" i="69" s="1"/>
  <c r="X25" i="4"/>
  <c r="BG25" i="4"/>
  <c r="AV1123" i="13" s="1"/>
  <c r="BF34" i="4"/>
  <c r="BG6" i="4"/>
  <c r="AV1104" i="13" s="1"/>
  <c r="BR6" i="4"/>
  <c r="AE6" i="72" s="1"/>
  <c r="BG26" i="4"/>
  <c r="AV1124" i="13" s="1"/>
  <c r="X26" i="4"/>
  <c r="BR51" i="4"/>
  <c r="O51" i="72" s="1"/>
  <c r="X51" i="4"/>
  <c r="BG51" i="4"/>
  <c r="AV1149" i="13" s="1"/>
  <c r="BG53" i="4"/>
  <c r="AV1151" i="13" s="1"/>
  <c r="BR53" i="4"/>
  <c r="O53" i="72" s="1"/>
  <c r="X53" i="4"/>
  <c r="BG37" i="4"/>
  <c r="AV1135" i="13" s="1"/>
  <c r="BR37" i="4"/>
  <c r="AE37" i="72" s="1"/>
  <c r="AC80" i="72"/>
  <c r="AB80" i="72" a="1"/>
  <c r="AB80" i="72" s="1"/>
  <c r="Y80" i="72"/>
  <c r="T80" i="72"/>
  <c r="AD80" i="72"/>
  <c r="BD80" i="72"/>
  <c r="AT80" i="72"/>
  <c r="N80" i="72" a="1"/>
  <c r="N80" i="72" s="1"/>
  <c r="BV80" i="72"/>
  <c r="Q80" i="72"/>
  <c r="J80" i="72"/>
  <c r="AA80" i="72"/>
  <c r="AS80" i="72"/>
  <c r="Z80" i="72"/>
  <c r="BC80" i="72"/>
  <c r="V80" i="72"/>
  <c r="B80" i="72" s="1"/>
  <c r="L80" i="72"/>
  <c r="A80" i="72"/>
  <c r="M80" i="72"/>
  <c r="W80" i="72"/>
  <c r="BQ80" i="72" s="1"/>
  <c r="P80" i="72"/>
  <c r="S80" i="72"/>
  <c r="AX1365" i="13"/>
  <c r="A1464" i="13"/>
  <c r="I59" i="69"/>
  <c r="BL94" i="4"/>
  <c r="DV94" i="4"/>
  <c r="BH94" i="4"/>
  <c r="AV596" i="13"/>
  <c r="AX1334" i="13"/>
  <c r="A1433" i="13"/>
  <c r="I354" i="15" a="1"/>
  <c r="I354" i="15" s="1"/>
  <c r="AW28" i="69"/>
  <c r="AB28" i="69" a="1"/>
  <c r="AB28" i="69" s="1"/>
  <c r="Z28" i="69"/>
  <c r="T28" i="69"/>
  <c r="J28" i="69"/>
  <c r="P28" i="69"/>
  <c r="N28" i="69" a="1"/>
  <c r="N28" i="69" s="1"/>
  <c r="AX28" i="69"/>
  <c r="BP28" i="69"/>
  <c r="W28" i="69"/>
  <c r="AN28" i="69"/>
  <c r="S28" i="69"/>
  <c r="A28" i="69"/>
  <c r="V28" i="69"/>
  <c r="B28" i="69" s="1"/>
  <c r="M28" i="69"/>
  <c r="K28" i="69" a="1"/>
  <c r="K28" i="69" s="1"/>
  <c r="Q28" i="69"/>
  <c r="AC28" i="69"/>
  <c r="U28" i="69" a="1"/>
  <c r="U28" i="69" s="1"/>
  <c r="G28" i="69"/>
  <c r="Y28" i="69"/>
  <c r="AA28" i="69"/>
  <c r="AM28" i="69"/>
  <c r="L28" i="69"/>
  <c r="BD28" i="69"/>
  <c r="T88" i="69"/>
  <c r="AX88" i="69"/>
  <c r="U88" i="69" a="1"/>
  <c r="U88" i="69" s="1"/>
  <c r="Z88" i="69"/>
  <c r="AC88" i="69"/>
  <c r="M88" i="69"/>
  <c r="AN88" i="69"/>
  <c r="P88" i="69"/>
  <c r="Y88" i="69"/>
  <c r="N88" i="69" a="1"/>
  <c r="N88" i="69" s="1"/>
  <c r="Q88" i="69"/>
  <c r="AA88" i="69"/>
  <c r="G88" i="69"/>
  <c r="BP88" i="69"/>
  <c r="AB88" i="69" a="1"/>
  <c r="AB88" i="69" s="1"/>
  <c r="J88" i="69"/>
  <c r="AW88" i="69"/>
  <c r="A88" i="69"/>
  <c r="V88" i="69"/>
  <c r="AM88" i="69"/>
  <c r="W88" i="69"/>
  <c r="L88" i="69" s="1"/>
  <c r="V49" i="72"/>
  <c r="B49" i="72" s="1"/>
  <c r="U49" i="72" a="1"/>
  <c r="U49" i="72" s="1"/>
  <c r="O49" i="72"/>
  <c r="AT49" i="72"/>
  <c r="G49" i="72"/>
  <c r="BL49" i="72"/>
  <c r="L49" i="72"/>
  <c r="P49" i="72"/>
  <c r="BJ49" i="72"/>
  <c r="M49" i="72"/>
  <c r="Z49" i="72"/>
  <c r="AE49" i="72"/>
  <c r="AA49" i="72"/>
  <c r="J49" i="72"/>
  <c r="BV49" i="72"/>
  <c r="BC49" i="72"/>
  <c r="AD49" i="72"/>
  <c r="BD49" i="72"/>
  <c r="AS49" i="72"/>
  <c r="Y49" i="72"/>
  <c r="T49" i="72"/>
  <c r="N49" i="72" a="1"/>
  <c r="N49" i="72" s="1"/>
  <c r="A49" i="72"/>
  <c r="K49" i="72" a="1"/>
  <c r="K49" i="72" s="1"/>
  <c r="Q49" i="72"/>
  <c r="S49" i="72"/>
  <c r="AC49" i="72"/>
  <c r="AB49" i="72" a="1"/>
  <c r="AB49" i="72" s="1"/>
  <c r="W49" i="72"/>
  <c r="BQ49" i="72" s="1"/>
  <c r="A1452" i="13"/>
  <c r="AX1353" i="13"/>
  <c r="A1597" i="13"/>
  <c r="AX1597" i="13" s="1"/>
  <c r="AX1498" i="13"/>
  <c r="AV1498" i="13"/>
  <c r="A31" i="69"/>
  <c r="U31" i="69" a="1"/>
  <c r="U31" i="69" s="1"/>
  <c r="BD31" i="69"/>
  <c r="AB31" i="69" a="1"/>
  <c r="AB31" i="69" s="1"/>
  <c r="BF31" i="69"/>
  <c r="AN31" i="69"/>
  <c r="N31" i="69" a="1"/>
  <c r="N31" i="69" s="1"/>
  <c r="V31" i="69"/>
  <c r="B31" i="69" s="1"/>
  <c r="L31" i="69"/>
  <c r="AC31" i="69"/>
  <c r="S31" i="69"/>
  <c r="P31" i="69"/>
  <c r="Q31" i="69"/>
  <c r="T31" i="69"/>
  <c r="G31" i="69"/>
  <c r="Y31" i="69"/>
  <c r="W31" i="69"/>
  <c r="BK31" i="69" s="1"/>
  <c r="AX31" i="69"/>
  <c r="Z31" i="69"/>
  <c r="BP31" i="69"/>
  <c r="AA31" i="69"/>
  <c r="M31" i="69"/>
  <c r="AW31" i="69"/>
  <c r="J31" i="69"/>
  <c r="AM31" i="69"/>
  <c r="AD31" i="69"/>
  <c r="K31" i="69" a="1"/>
  <c r="K31" i="69" s="1"/>
  <c r="H461" i="15" a="1"/>
  <c r="H461" i="15" s="1"/>
  <c r="AA18" i="69"/>
  <c r="N18" i="69" a="1"/>
  <c r="N18" i="69" s="1"/>
  <c r="AX18" i="69"/>
  <c r="P18" i="69"/>
  <c r="Q18" i="69"/>
  <c r="BP18" i="69"/>
  <c r="W18" i="69"/>
  <c r="BL18" i="69" s="1" a="1"/>
  <c r="BL18" i="69" s="1"/>
  <c r="AB18" i="69" a="1"/>
  <c r="AB18" i="69" s="1"/>
  <c r="Z18" i="69"/>
  <c r="A18" i="69"/>
  <c r="Y18" i="69"/>
  <c r="V18" i="69"/>
  <c r="B18" i="69" s="1"/>
  <c r="S18" i="69"/>
  <c r="J18" i="69"/>
  <c r="AN18" i="69"/>
  <c r="G18" i="69"/>
  <c r="H18" i="69"/>
  <c r="U18" i="69" a="1"/>
  <c r="U18" i="69" s="1"/>
  <c r="AM18" i="69"/>
  <c r="C18" i="69"/>
  <c r="AW18" i="69"/>
  <c r="M18" i="69"/>
  <c r="AC18" i="69"/>
  <c r="T18" i="69"/>
  <c r="K18" i="69" a="1"/>
  <c r="K18" i="69" s="1"/>
  <c r="A1446" i="13"/>
  <c r="AX1347" i="13"/>
  <c r="F465" i="15" a="1"/>
  <c r="F465" i="15" s="1"/>
  <c r="H465" i="15" a="1"/>
  <c r="H465" i="15" s="1"/>
  <c r="M51" i="72"/>
  <c r="AT51" i="72"/>
  <c r="N51" i="72" a="1"/>
  <c r="N51" i="72" s="1"/>
  <c r="Q51" i="72"/>
  <c r="AC51" i="72"/>
  <c r="S51" i="72"/>
  <c r="J51" i="72"/>
  <c r="W51" i="72"/>
  <c r="BR51" i="72" s="1" a="1"/>
  <c r="BR51" i="72" s="1"/>
  <c r="AB51" i="72" a="1"/>
  <c r="AB51" i="72" s="1"/>
  <c r="P51" i="72"/>
  <c r="V51" i="72"/>
  <c r="B51" i="72" s="1"/>
  <c r="AA51" i="72"/>
  <c r="U51" i="72" a="1"/>
  <c r="U51" i="72" s="1"/>
  <c r="BD51" i="72"/>
  <c r="Z51" i="72"/>
  <c r="A51" i="72"/>
  <c r="BV51" i="72"/>
  <c r="AS51" i="72"/>
  <c r="BC51" i="72"/>
  <c r="AD51" i="72"/>
  <c r="L51" i="72"/>
  <c r="G51" i="72"/>
  <c r="Y51" i="72"/>
  <c r="T51" i="72"/>
  <c r="BJ51" i="72"/>
  <c r="K51" i="72" a="1"/>
  <c r="K51" i="72" s="1"/>
  <c r="I20" i="69"/>
  <c r="CW84" i="4"/>
  <c r="CX84" i="4" s="1"/>
  <c r="BI58" i="72"/>
  <c r="T92" i="69"/>
  <c r="U92" i="69" a="1"/>
  <c r="U92" i="69" s="1"/>
  <c r="N92" i="69" a="1"/>
  <c r="N92" i="69" s="1"/>
  <c r="Z92" i="69"/>
  <c r="J92" i="69"/>
  <c r="A92" i="69"/>
  <c r="BP92" i="69"/>
  <c r="M92" i="69"/>
  <c r="AC92" i="69"/>
  <c r="W92" i="69"/>
  <c r="BK92" i="69" s="1"/>
  <c r="AM92" i="69"/>
  <c r="P92" i="69"/>
  <c r="AB92" i="69" a="1"/>
  <c r="AB92" i="69" s="1"/>
  <c r="Q92" i="69"/>
  <c r="L92" i="69"/>
  <c r="Y92" i="69"/>
  <c r="AW92" i="69"/>
  <c r="G92" i="69"/>
  <c r="AN92" i="69"/>
  <c r="AA92" i="69"/>
  <c r="V92" i="69"/>
  <c r="AX92" i="69"/>
  <c r="I36" i="72"/>
  <c r="F47" i="72"/>
  <c r="Y37" i="69"/>
  <c r="T37" i="69"/>
  <c r="AC37" i="69"/>
  <c r="AM37" i="69"/>
  <c r="AW37" i="69"/>
  <c r="N37" i="69" a="1"/>
  <c r="N37" i="69" s="1"/>
  <c r="S37" i="69"/>
  <c r="A37" i="69"/>
  <c r="Z37" i="69"/>
  <c r="L37" i="69"/>
  <c r="AA37" i="69"/>
  <c r="W37" i="69"/>
  <c r="BK37" i="69" s="1"/>
  <c r="U37" i="69" a="1"/>
  <c r="U37" i="69" s="1"/>
  <c r="BP37" i="69"/>
  <c r="AN37" i="69"/>
  <c r="G37" i="69"/>
  <c r="M37" i="69"/>
  <c r="Q37" i="69"/>
  <c r="J37" i="69"/>
  <c r="AB37" i="69" a="1"/>
  <c r="AB37" i="69" s="1"/>
  <c r="P37" i="69"/>
  <c r="V37" i="69"/>
  <c r="B37" i="69" s="1"/>
  <c r="AX37" i="69"/>
  <c r="K37" i="69" a="1"/>
  <c r="K37" i="69" s="1"/>
  <c r="BD37" i="69"/>
  <c r="BQ58" i="69"/>
  <c r="AO58" i="69" a="1"/>
  <c r="AO58" i="69" s="1"/>
  <c r="BK58" i="69"/>
  <c r="BJ58" i="69" s="1"/>
  <c r="BM58" i="69" s="1"/>
  <c r="BI58" i="69" a="1"/>
  <c r="BI58" i="69" s="1"/>
  <c r="AY58" i="69"/>
  <c r="BH58" i="69" a="1"/>
  <c r="BH58" i="69" s="1"/>
  <c r="R58" i="69"/>
  <c r="BB58" i="69"/>
  <c r="AR58" i="69" s="1" a="1"/>
  <c r="AR58" i="69" s="1"/>
  <c r="AK58" i="69" a="1"/>
  <c r="AK58" i="69" s="1"/>
  <c r="BO58" i="69"/>
  <c r="A1436" i="13"/>
  <c r="AX1337" i="13"/>
  <c r="A1465" i="13"/>
  <c r="AX1366" i="13"/>
  <c r="BD19" i="4"/>
  <c r="BT19" i="4"/>
  <c r="DV67" i="4"/>
  <c r="AV569" i="13"/>
  <c r="BH67" i="4"/>
  <c r="BL67" i="4"/>
  <c r="BM67" i="4" s="1"/>
  <c r="BE67" i="4" s="1" a="1"/>
  <c r="BE67" i="4" s="1"/>
  <c r="T53" i="72"/>
  <c r="AD53" i="72"/>
  <c r="AT53" i="72"/>
  <c r="G53" i="72"/>
  <c r="V53" i="72"/>
  <c r="B53" i="72" s="1"/>
  <c r="BV53" i="72"/>
  <c r="M53" i="72"/>
  <c r="Y53" i="72"/>
  <c r="S53" i="72"/>
  <c r="BD53" i="72"/>
  <c r="AA53" i="72"/>
  <c r="U53" i="72" a="1"/>
  <c r="U53" i="72" s="1"/>
  <c r="J53" i="72"/>
  <c r="A53" i="72"/>
  <c r="N53" i="72" a="1"/>
  <c r="N53" i="72" s="1"/>
  <c r="AB53" i="72" a="1"/>
  <c r="AB53" i="72" s="1"/>
  <c r="AC53" i="72"/>
  <c r="Z53" i="72"/>
  <c r="W53" i="72"/>
  <c r="BQ53" i="72" s="1"/>
  <c r="P53" i="72"/>
  <c r="BC53" i="72"/>
  <c r="AS53" i="72"/>
  <c r="Q53" i="72"/>
  <c r="K53" i="72" a="1"/>
  <c r="K53" i="72" s="1"/>
  <c r="BJ53" i="72"/>
  <c r="C53" i="72"/>
  <c r="H53" i="72"/>
  <c r="F37" i="72"/>
  <c r="DA78" i="4" a="1"/>
  <c r="DA78" i="4" s="1"/>
  <c r="DE78" i="4"/>
  <c r="E78" i="4"/>
  <c r="BT78" i="4" s="1"/>
  <c r="DD60" i="4" a="1"/>
  <c r="DD60" i="4" s="1"/>
  <c r="F80" i="4"/>
  <c r="CA42" i="4"/>
  <c r="CA31" i="4"/>
  <c r="W67" i="72"/>
  <c r="BQ67" i="72" s="1"/>
  <c r="AB67" i="72" a="1"/>
  <c r="AB67" i="72" s="1"/>
  <c r="AT67" i="72"/>
  <c r="V67" i="72"/>
  <c r="B67" i="72" s="1"/>
  <c r="G67" i="72"/>
  <c r="AD67" i="72"/>
  <c r="L67" i="72"/>
  <c r="T67" i="72"/>
  <c r="N67" i="72" a="1"/>
  <c r="N67" i="72" s="1"/>
  <c r="J67" i="72"/>
  <c r="AC67" i="72"/>
  <c r="Z67" i="72"/>
  <c r="P67" i="72"/>
  <c r="BV67" i="72"/>
  <c r="Q67" i="72"/>
  <c r="AA67" i="72"/>
  <c r="BD67" i="72"/>
  <c r="M67" i="72"/>
  <c r="Y67" i="72"/>
  <c r="BC67" i="72"/>
  <c r="A67" i="72"/>
  <c r="AS67" i="72"/>
  <c r="U67" i="72" a="1"/>
  <c r="U67" i="72" s="1"/>
  <c r="S67" i="72"/>
  <c r="A90" i="72"/>
  <c r="BD90" i="72"/>
  <c r="U90" i="72" a="1"/>
  <c r="U90" i="72" s="1"/>
  <c r="AB90" i="72" a="1"/>
  <c r="AB90" i="72" s="1"/>
  <c r="AD90" i="72"/>
  <c r="S90" i="72"/>
  <c r="W90" i="72"/>
  <c r="BV90" i="72"/>
  <c r="M90" i="72"/>
  <c r="Z90" i="72"/>
  <c r="G90" i="72"/>
  <c r="AT90" i="72"/>
  <c r="AS90" i="72"/>
  <c r="J90" i="72"/>
  <c r="AC90" i="72"/>
  <c r="BC90" i="72"/>
  <c r="V90" i="72"/>
  <c r="B90" i="72" s="1"/>
  <c r="Q90" i="72"/>
  <c r="N90" i="72" a="1"/>
  <c r="N90" i="72" s="1"/>
  <c r="P90" i="72"/>
  <c r="L90" i="72"/>
  <c r="T90" i="72"/>
  <c r="Y90" i="72"/>
  <c r="AA90" i="72"/>
  <c r="A1445" i="13"/>
  <c r="AX1346" i="13"/>
  <c r="F68" i="4"/>
  <c r="A1403" i="13"/>
  <c r="AX1304" i="13"/>
  <c r="T38" i="72"/>
  <c r="Z38" i="72"/>
  <c r="AA38" i="72"/>
  <c r="J38" i="72"/>
  <c r="AB38" i="72" a="1"/>
  <c r="AB38" i="72" s="1"/>
  <c r="BD38" i="72"/>
  <c r="AC38" i="72"/>
  <c r="BV38" i="72"/>
  <c r="S38" i="72"/>
  <c r="Q38" i="72"/>
  <c r="N38" i="72" a="1"/>
  <c r="N38" i="72" s="1"/>
  <c r="AD38" i="72"/>
  <c r="P38" i="72"/>
  <c r="M38" i="72"/>
  <c r="V38" i="72"/>
  <c r="B38" i="72" s="1"/>
  <c r="Y38" i="72"/>
  <c r="W38" i="72"/>
  <c r="AT38" i="72"/>
  <c r="L38" i="72"/>
  <c r="AS38" i="72"/>
  <c r="A38" i="72"/>
  <c r="BC38" i="72"/>
  <c r="U38" i="72" a="1"/>
  <c r="U38" i="72" s="1"/>
  <c r="G38" i="72"/>
  <c r="O38" i="72"/>
  <c r="BL38" i="72"/>
  <c r="AE38" i="72"/>
  <c r="BJ38" i="72"/>
  <c r="K38" i="72" a="1"/>
  <c r="K38" i="72" s="1"/>
  <c r="I61" i="69"/>
  <c r="BV33" i="72"/>
  <c r="G33" i="72"/>
  <c r="W33" i="72"/>
  <c r="BQ33" i="72" s="1"/>
  <c r="Y33" i="72"/>
  <c r="AA33" i="72"/>
  <c r="AT33" i="72"/>
  <c r="AS33" i="72"/>
  <c r="BD33" i="72"/>
  <c r="J33" i="72"/>
  <c r="A33" i="72"/>
  <c r="AC33" i="72"/>
  <c r="AB33" i="72" a="1"/>
  <c r="AB33" i="72" s="1"/>
  <c r="S33" i="72"/>
  <c r="Z33" i="72"/>
  <c r="BC33" i="72"/>
  <c r="BJ33" i="72"/>
  <c r="V33" i="72"/>
  <c r="B33" i="72" s="1"/>
  <c r="M33" i="72"/>
  <c r="N33" i="72" a="1"/>
  <c r="N33" i="72" s="1"/>
  <c r="AD33" i="72"/>
  <c r="P33" i="72"/>
  <c r="T33" i="72"/>
  <c r="U33" i="72" a="1"/>
  <c r="U33" i="72" s="1"/>
  <c r="Q33" i="72"/>
  <c r="K33" i="72" a="1"/>
  <c r="K33" i="72" s="1"/>
  <c r="BL33" i="72"/>
  <c r="O33" i="72"/>
  <c r="AE33" i="72"/>
  <c r="Y54" i="69"/>
  <c r="S54" i="69"/>
  <c r="K54" i="69" a="1"/>
  <c r="K54" i="69" s="1"/>
  <c r="A54" i="69"/>
  <c r="AB54" i="69" a="1"/>
  <c r="AB54" i="69" s="1"/>
  <c r="BP54" i="69"/>
  <c r="M54" i="69"/>
  <c r="Z54" i="69"/>
  <c r="AM54" i="69"/>
  <c r="AX54" i="69"/>
  <c r="AA54" i="69"/>
  <c r="J54" i="69"/>
  <c r="W54" i="69"/>
  <c r="BK54" i="69" s="1"/>
  <c r="P54" i="69"/>
  <c r="T54" i="69"/>
  <c r="AC54" i="69"/>
  <c r="G54" i="69"/>
  <c r="N54" i="69" a="1"/>
  <c r="N54" i="69" s="1"/>
  <c r="Q54" i="69"/>
  <c r="AW54" i="69"/>
  <c r="U54" i="69" a="1"/>
  <c r="U54" i="69" s="1"/>
  <c r="V54" i="69"/>
  <c r="B54" i="69" s="1"/>
  <c r="AN54" i="69"/>
  <c r="BD54" i="69"/>
  <c r="A1475" i="13"/>
  <c r="AX1376" i="13"/>
  <c r="AV526" i="13"/>
  <c r="BL24" i="4"/>
  <c r="BM24" i="4" s="1"/>
  <c r="BE24" i="4" s="1" a="1"/>
  <c r="BE24" i="4" s="1"/>
  <c r="DV24" i="4"/>
  <c r="BH24" i="4"/>
  <c r="AP84" i="4"/>
  <c r="AV386" i="13" s="1"/>
  <c r="AV486" i="13" s="1"/>
  <c r="CA6" i="4"/>
  <c r="Y6" i="4"/>
  <c r="AV6" i="4" a="1"/>
  <c r="AV6" i="4" s="1"/>
  <c r="C6" i="69" s="1"/>
  <c r="D6" i="69" s="1" a="1"/>
  <c r="D6" i="69" s="1"/>
  <c r="AT6" i="4" a="1"/>
  <c r="AT6" i="4" s="1"/>
  <c r="H6" i="72" s="1"/>
  <c r="AU6" i="4"/>
  <c r="CY6" i="4"/>
  <c r="CZ6" i="4" s="1"/>
  <c r="BQ6" i="4"/>
  <c r="M69" i="72"/>
  <c r="J69" i="72"/>
  <c r="AA69" i="72"/>
  <c r="N69" i="72" a="1"/>
  <c r="N69" i="72" s="1"/>
  <c r="AC69" i="72"/>
  <c r="V69" i="72"/>
  <c r="B69" i="72" s="1"/>
  <c r="AD69" i="72"/>
  <c r="AS69" i="72"/>
  <c r="Q69" i="72"/>
  <c r="AB69" i="72" a="1"/>
  <c r="AB69" i="72" s="1"/>
  <c r="BV69" i="72"/>
  <c r="A69" i="72"/>
  <c r="W69" i="72"/>
  <c r="Y69" i="72"/>
  <c r="BC69" i="72"/>
  <c r="P69" i="72"/>
  <c r="T69" i="72"/>
  <c r="S69" i="72"/>
  <c r="AT69" i="72"/>
  <c r="U69" i="72" a="1"/>
  <c r="U69" i="72" s="1"/>
  <c r="BD69" i="72"/>
  <c r="Z69" i="72"/>
  <c r="AH82" i="4"/>
  <c r="AV1378" i="13" s="1"/>
  <c r="I29" i="72"/>
  <c r="AV515" i="13"/>
  <c r="BL13" i="4"/>
  <c r="BM13" i="4" s="1"/>
  <c r="BE13" i="4" s="1" a="1"/>
  <c r="BE13" i="4" s="1"/>
  <c r="BH13" i="4"/>
  <c r="DV13" i="4"/>
  <c r="F269" i="15" a="1"/>
  <c r="F269" i="15" s="1"/>
  <c r="AN40" i="69"/>
  <c r="A40" i="69"/>
  <c r="AX40" i="69"/>
  <c r="Z40" i="69"/>
  <c r="Q40" i="69"/>
  <c r="M40" i="69"/>
  <c r="BP40" i="69"/>
  <c r="U40" i="69" a="1"/>
  <c r="U40" i="69" s="1"/>
  <c r="L40" i="69"/>
  <c r="AB40" i="69" a="1"/>
  <c r="AB40" i="69" s="1"/>
  <c r="AW40" i="69"/>
  <c r="G40" i="69"/>
  <c r="AC40" i="69"/>
  <c r="N40" i="69" a="1"/>
  <c r="N40" i="69" s="1"/>
  <c r="J40" i="69"/>
  <c r="T40" i="69"/>
  <c r="Y40" i="69"/>
  <c r="P40" i="69"/>
  <c r="W40" i="69"/>
  <c r="BK40" i="69" s="1"/>
  <c r="V40" i="69"/>
  <c r="B40" i="69" s="1"/>
  <c r="AM40" i="69"/>
  <c r="AA40" i="69"/>
  <c r="S40" i="69"/>
  <c r="BD40" i="69"/>
  <c r="K40" i="69" a="1"/>
  <c r="K40" i="69" s="1"/>
  <c r="Z92" i="4"/>
  <c r="AV1289" i="13" s="1"/>
  <c r="F200" i="15" a="1"/>
  <c r="F200" i="15" s="1"/>
  <c r="F348" i="15" a="1"/>
  <c r="F348" i="15" s="1"/>
  <c r="E289" i="15"/>
  <c r="H284" i="15" s="1" a="1"/>
  <c r="H284" i="15" s="1"/>
  <c r="E270" i="15"/>
  <c r="H267" i="15" s="1" a="1"/>
  <c r="H267" i="15" s="1"/>
  <c r="E279" i="15"/>
  <c r="U96" i="72" a="1"/>
  <c r="U96" i="72" s="1"/>
  <c r="BC94" i="69"/>
  <c r="E146" i="15"/>
  <c r="AJ95" i="72"/>
  <c r="AS96" i="72"/>
  <c r="E552" i="15"/>
  <c r="F549" i="15" s="1" a="1"/>
  <c r="F549" i="15" s="1"/>
  <c r="E557" i="15"/>
  <c r="BB1768" i="13" s="1" a="1"/>
  <c r="BB1768" i="13" s="1"/>
  <c r="L603" i="15" a="1"/>
  <c r="L603" i="15" s="1"/>
  <c r="E133" i="15"/>
  <c r="F131" i="15" s="1" a="1"/>
  <c r="F131" i="15" s="1"/>
  <c r="H307" i="15" a="1"/>
  <c r="H307" i="15" s="1"/>
  <c r="P64" i="9"/>
  <c r="N583" i="15" a="1"/>
  <c r="N583" i="15" s="1"/>
  <c r="M583" i="15" a="1"/>
  <c r="M583" i="15" s="1"/>
  <c r="L581" i="15" a="1"/>
  <c r="L581" i="15" s="1"/>
  <c r="K583" i="15" a="1"/>
  <c r="K583" i="15" s="1"/>
  <c r="K581" i="15" a="1"/>
  <c r="K581" i="15" s="1"/>
  <c r="K578" i="15" a="1"/>
  <c r="K578" i="15" s="1"/>
  <c r="L583" i="15" a="1"/>
  <c r="L583" i="15" s="1"/>
  <c r="N581" i="15" a="1"/>
  <c r="N581" i="15" s="1"/>
  <c r="M578" i="15" a="1"/>
  <c r="M578" i="15" s="1"/>
  <c r="M581" i="15" a="1"/>
  <c r="M581" i="15" s="1"/>
  <c r="N578" i="15" a="1"/>
  <c r="N578" i="15" s="1"/>
  <c r="L578" i="15" a="1"/>
  <c r="L578" i="15" s="1"/>
  <c r="E56" i="15"/>
  <c r="F461" i="15" a="1"/>
  <c r="F461" i="15" s="1"/>
  <c r="P57" i="9"/>
  <c r="E342" i="15"/>
  <c r="H337" i="15" s="1" a="1"/>
  <c r="H337" i="15" s="1"/>
  <c r="E487" i="15"/>
  <c r="H482" i="15" s="1" a="1"/>
  <c r="H482" i="15" s="1"/>
  <c r="F500" i="15" a="1"/>
  <c r="F500" i="15" s="1"/>
  <c r="H500" i="15" a="1"/>
  <c r="H500" i="15" s="1"/>
  <c r="B96" i="72"/>
  <c r="P42" i="9"/>
  <c r="BT96" i="72"/>
  <c r="L598" i="15" a="1"/>
  <c r="L598" i="15" s="1"/>
  <c r="P75" i="9"/>
  <c r="E88" i="15"/>
  <c r="H81" i="15" s="1" a="1"/>
  <c r="H81" i="15" s="1"/>
  <c r="GR37" i="71"/>
  <c r="E302" i="15"/>
  <c r="BY55" i="4" a="1"/>
  <c r="BY55" i="4" s="1"/>
  <c r="BZ55" i="4" a="1"/>
  <c r="BZ55" i="4" s="1"/>
  <c r="BX55" i="4" s="1" a="1"/>
  <c r="BX55" i="4" s="1"/>
  <c r="CW91" i="4"/>
  <c r="CX91" i="4" s="1"/>
  <c r="AQ10" i="4"/>
  <c r="AR12" i="4"/>
  <c r="AQ12" i="4"/>
  <c r="AR10" i="4"/>
  <c r="F42" i="72"/>
  <c r="F33" i="72"/>
  <c r="I86" i="72"/>
  <c r="A1442" i="13"/>
  <c r="AX1343" i="13"/>
  <c r="A1252" i="13"/>
  <c r="AX1153" i="13"/>
  <c r="E87" i="4"/>
  <c r="BT87" i="4" s="1"/>
  <c r="DE87" i="4"/>
  <c r="CA19" i="4"/>
  <c r="AX1382" i="13"/>
  <c r="A1481" i="13"/>
  <c r="DD36" i="4" a="1"/>
  <c r="DD36" i="4" s="1"/>
  <c r="DD48" i="4" a="1"/>
  <c r="DD48" i="4" s="1"/>
  <c r="DD64" i="4" a="1"/>
  <c r="DD64" i="4" s="1"/>
  <c r="DD30" i="4" a="1"/>
  <c r="DD30" i="4" s="1"/>
  <c r="AH69" i="4"/>
  <c r="AV1365" i="13" s="1"/>
  <c r="DV95" i="4"/>
  <c r="AV597" i="13"/>
  <c r="BL95" i="4"/>
  <c r="BH95" i="4"/>
  <c r="A1407" i="13"/>
  <c r="AX1308" i="13"/>
  <c r="AX1350" i="13"/>
  <c r="A1449" i="13"/>
  <c r="F464" i="15" a="1"/>
  <c r="F464" i="15" s="1"/>
  <c r="H464" i="15" a="1"/>
  <c r="H464" i="15" s="1"/>
  <c r="AD64" i="4"/>
  <c r="Z73" i="4"/>
  <c r="AV1270" i="13" s="1"/>
  <c r="CW80" i="4"/>
  <c r="CX80" i="4" s="1"/>
  <c r="AX1328" i="13"/>
  <c r="A1427" i="13"/>
  <c r="BE1768" i="13" a="1"/>
  <c r="BE1768" i="13" s="1"/>
  <c r="F90" i="4"/>
  <c r="U27" i="69" a="1"/>
  <c r="U27" i="69" s="1"/>
  <c r="P27" i="69"/>
  <c r="AA27" i="69"/>
  <c r="Q27" i="69"/>
  <c r="AB27" i="69" a="1"/>
  <c r="AB27" i="69" s="1"/>
  <c r="M27" i="69"/>
  <c r="AM27" i="69"/>
  <c r="W27" i="69"/>
  <c r="BF27" i="69"/>
  <c r="Y27" i="69"/>
  <c r="O27" i="69"/>
  <c r="N27" i="69" a="1"/>
  <c r="N27" i="69" s="1"/>
  <c r="G27" i="69"/>
  <c r="C27" i="69"/>
  <c r="A27" i="69"/>
  <c r="H27" i="69"/>
  <c r="BP27" i="69"/>
  <c r="AW27" i="69"/>
  <c r="K27" i="69" a="1"/>
  <c r="K27" i="69" s="1"/>
  <c r="AX27" i="69"/>
  <c r="S27" i="69"/>
  <c r="J27" i="69"/>
  <c r="T27" i="69"/>
  <c r="AN27" i="69"/>
  <c r="V27" i="69"/>
  <c r="B27" i="69" s="1"/>
  <c r="AC27" i="69"/>
  <c r="Z27" i="69"/>
  <c r="AD27" i="69"/>
  <c r="BD27" i="69"/>
  <c r="T66" i="69"/>
  <c r="P66" i="69"/>
  <c r="AA66" i="69"/>
  <c r="Y66" i="69"/>
  <c r="AN66" i="69"/>
  <c r="AW66" i="69"/>
  <c r="J66" i="69"/>
  <c r="AM66" i="69"/>
  <c r="A66" i="69"/>
  <c r="BP66" i="69"/>
  <c r="L66" i="69"/>
  <c r="Z66" i="69"/>
  <c r="AC66" i="69"/>
  <c r="Q66" i="69"/>
  <c r="AX66" i="69"/>
  <c r="AB66" i="69" a="1"/>
  <c r="AB66" i="69" s="1"/>
  <c r="W66" i="69"/>
  <c r="S66" i="69"/>
  <c r="M66" i="69"/>
  <c r="V66" i="69"/>
  <c r="B66" i="69" s="1"/>
  <c r="N66" i="69" a="1"/>
  <c r="N66" i="69" s="1"/>
  <c r="G66" i="69"/>
  <c r="U66" i="69" a="1"/>
  <c r="U66" i="69" s="1"/>
  <c r="AD81" i="4"/>
  <c r="F261" i="15" a="1"/>
  <c r="F261" i="15" s="1"/>
  <c r="I256" i="15" a="1"/>
  <c r="I256" i="15" s="1"/>
  <c r="CA32" i="4"/>
  <c r="AV543" i="13"/>
  <c r="BH41" i="4"/>
  <c r="BL41" i="4"/>
  <c r="BM41" i="4" s="1"/>
  <c r="BE41" i="4" s="1" a="1"/>
  <c r="BE41" i="4" s="1"/>
  <c r="DV41" i="4"/>
  <c r="CA33" i="4"/>
  <c r="Y33" i="4"/>
  <c r="AV33" i="4" a="1"/>
  <c r="AV33" i="4" s="1"/>
  <c r="C33" i="69" s="1"/>
  <c r="D33" i="69" s="1" a="1"/>
  <c r="D33" i="69" s="1"/>
  <c r="AT33" i="4" a="1"/>
  <c r="AT33" i="4" s="1"/>
  <c r="H33" i="69" s="1"/>
  <c r="AU33" i="4"/>
  <c r="CY33" i="4"/>
  <c r="CZ33" i="4" s="1"/>
  <c r="P35" i="9" s="1"/>
  <c r="BQ33" i="4"/>
  <c r="F628" i="15" a="1"/>
  <c r="F628" i="15" s="1"/>
  <c r="H628" i="15" a="1"/>
  <c r="H628" i="15" s="1"/>
  <c r="BD32" i="4"/>
  <c r="BR32" i="4" s="1"/>
  <c r="O32" i="72" s="1"/>
  <c r="BG40" i="4"/>
  <c r="AV1138" i="13" s="1"/>
  <c r="BR40" i="4"/>
  <c r="O40" i="69" s="1"/>
  <c r="X40" i="4"/>
  <c r="BF35" i="4"/>
  <c r="L30" i="4"/>
  <c r="BG30" i="4"/>
  <c r="AV1128" i="13" s="1"/>
  <c r="BF6" i="4"/>
  <c r="BF26" i="4"/>
  <c r="BF54" i="4"/>
  <c r="AH60" i="4"/>
  <c r="AV1356" i="13" s="1"/>
  <c r="BF47" i="4"/>
  <c r="X45" i="4"/>
  <c r="BG45" i="4"/>
  <c r="AV1143" i="13" s="1"/>
  <c r="BR45" i="4"/>
  <c r="O45" i="69" s="1"/>
  <c r="BF37" i="4"/>
  <c r="BK55" i="4" a="1"/>
  <c r="BI55" i="4" a="1"/>
  <c r="DF55" i="4" a="1"/>
  <c r="BJ55" i="4" a="1"/>
  <c r="H540" i="15" l="1" a="1"/>
  <c r="H540" i="15" s="1"/>
  <c r="AD87" i="4"/>
  <c r="AV1383" i="13"/>
  <c r="G87" i="69"/>
  <c r="G87" i="72"/>
  <c r="AD17" i="4"/>
  <c r="F17" i="72" s="1"/>
  <c r="AL17" i="4"/>
  <c r="AD35" i="4"/>
  <c r="AL87" i="4"/>
  <c r="F38" i="23"/>
  <c r="F51" i="14"/>
  <c r="P51" i="23"/>
  <c r="P38" i="23" s="1"/>
  <c r="AL40" i="4"/>
  <c r="D48" i="72" a="1"/>
  <c r="D48" i="72" s="1"/>
  <c r="K51" i="69" a="1"/>
  <c r="K51" i="69" s="1"/>
  <c r="BD19" i="69"/>
  <c r="G83" i="72"/>
  <c r="U80" i="72" a="1"/>
  <c r="U80" i="72" s="1"/>
  <c r="K24" i="72" a="1"/>
  <c r="K24" i="72" s="1"/>
  <c r="AD49" i="69"/>
  <c r="U92" i="72" a="1"/>
  <c r="U92" i="72" s="1"/>
  <c r="B83" i="72"/>
  <c r="AD11" i="4"/>
  <c r="G71" i="72"/>
  <c r="B62" i="69"/>
  <c r="AL28" i="4"/>
  <c r="I28" i="69" s="1"/>
  <c r="S83" i="72"/>
  <c r="AV1281" i="13"/>
  <c r="S84" i="69"/>
  <c r="S84" i="72"/>
  <c r="B84" i="72"/>
  <c r="B84" i="69"/>
  <c r="AD48" i="4"/>
  <c r="F48" i="69" s="1"/>
  <c r="AD53" i="4"/>
  <c r="AV397" i="13"/>
  <c r="AV497" i="13" s="1"/>
  <c r="U95" i="69" a="1"/>
  <c r="U95" i="69" s="1"/>
  <c r="U80" i="69" a="1"/>
  <c r="U80" i="69" s="1"/>
  <c r="K45" i="72" a="1"/>
  <c r="K45" i="72" s="1"/>
  <c r="B66" i="72"/>
  <c r="DD78" i="4" a="1"/>
  <c r="DD78" i="4" s="1"/>
  <c r="K46" i="69" a="1"/>
  <c r="K46" i="69" s="1"/>
  <c r="B62" i="72"/>
  <c r="C8" i="69"/>
  <c r="H295" i="15" a="1"/>
  <c r="H295" i="15" s="1"/>
  <c r="E74" i="69"/>
  <c r="BH63" i="4"/>
  <c r="H55" i="15" a="1"/>
  <c r="H55" i="15" s="1"/>
  <c r="AX99" i="4"/>
  <c r="D12" i="72" a="1"/>
  <c r="D12" i="72" s="1"/>
  <c r="G74" i="69"/>
  <c r="BJ7" i="72"/>
  <c r="AO95" i="69" a="1"/>
  <c r="AO95" i="69" s="1"/>
  <c r="F23" i="72"/>
  <c r="H8" i="69"/>
  <c r="H13" i="72"/>
  <c r="C44" i="69"/>
  <c r="K49" i="69" a="1"/>
  <c r="K49" i="69" s="1"/>
  <c r="F110" i="15" a="1"/>
  <c r="F110" i="15" s="1"/>
  <c r="BF22" i="69"/>
  <c r="DD82" i="4" a="1"/>
  <c r="DD82" i="4" s="1"/>
  <c r="G80" i="72"/>
  <c r="H468" i="15" a="1"/>
  <c r="H468" i="15" s="1"/>
  <c r="BR30" i="4"/>
  <c r="O30" i="72" s="1"/>
  <c r="H44" i="69"/>
  <c r="H497" i="15" a="1"/>
  <c r="H497" i="15" s="1"/>
  <c r="BJ86" i="72"/>
  <c r="O46" i="69"/>
  <c r="K37" i="72" a="1"/>
  <c r="K37" i="72" s="1"/>
  <c r="H348" i="15" a="1"/>
  <c r="H348" i="15" s="1"/>
  <c r="C54" i="69"/>
  <c r="BF46" i="69"/>
  <c r="S62" i="72"/>
  <c r="BJ74" i="72"/>
  <c r="BJ73" i="72"/>
  <c r="AD37" i="69"/>
  <c r="AD50" i="69"/>
  <c r="BJ19" i="72"/>
  <c r="BD22" i="69"/>
  <c r="D65" i="72" a="1"/>
  <c r="D65" i="72" s="1"/>
  <c r="D26" i="69" a="1"/>
  <c r="D26" i="69" s="1"/>
  <c r="H32" i="69"/>
  <c r="BD49" i="69"/>
  <c r="BJ45" i="72"/>
  <c r="K46" i="72" a="1"/>
  <c r="K46" i="72" s="1"/>
  <c r="C13" i="72"/>
  <c r="BJ50" i="72"/>
  <c r="AD22" i="69"/>
  <c r="AE15" i="72"/>
  <c r="BR67" i="72" a="1"/>
  <c r="BR67" i="72" s="1"/>
  <c r="C36" i="69"/>
  <c r="AG94" i="72" a="1"/>
  <c r="AG94" i="72" s="1"/>
  <c r="G90" i="69"/>
  <c r="S88" i="69"/>
  <c r="O28" i="69"/>
  <c r="BM71" i="4"/>
  <c r="BE71" i="4" s="1" a="1"/>
  <c r="BE71" i="4" s="1"/>
  <c r="BD71" i="69"/>
  <c r="BJ71" i="72"/>
  <c r="H37" i="69"/>
  <c r="BF28" i="69"/>
  <c r="BD85" i="69"/>
  <c r="E40" i="72"/>
  <c r="G74" i="72"/>
  <c r="C40" i="69"/>
  <c r="E13" i="72"/>
  <c r="U68" i="72" a="1"/>
  <c r="U68" i="72" s="1"/>
  <c r="AS58" i="69" a="1"/>
  <c r="AS58" i="69" s="1"/>
  <c r="AV58" i="69" a="1"/>
  <c r="AV58" i="69" s="1"/>
  <c r="E61" i="69"/>
  <c r="DD88" i="4" a="1"/>
  <c r="DD88" i="4" s="1"/>
  <c r="BC11" i="69"/>
  <c r="L53" i="72"/>
  <c r="DD72" i="4" a="1"/>
  <c r="DD72" i="4" s="1"/>
  <c r="G71" i="69"/>
  <c r="AG58" i="69" a="1"/>
  <c r="AG58" i="69" s="1"/>
  <c r="BD87" i="4"/>
  <c r="D43" i="69" a="1"/>
  <c r="D43" i="69" s="1"/>
  <c r="H488" i="15" a="1"/>
  <c r="H488" i="15" s="1"/>
  <c r="BD73" i="69"/>
  <c r="D17" i="72" a="1"/>
  <c r="D17" i="72" s="1"/>
  <c r="L20" i="69"/>
  <c r="BK15" i="69"/>
  <c r="BL26" i="72"/>
  <c r="AH58" i="69" a="1"/>
  <c r="AH58" i="69" s="1"/>
  <c r="E73" i="72"/>
  <c r="AJ58" i="69" a="1"/>
  <c r="AJ58" i="69" s="1"/>
  <c r="E37" i="72"/>
  <c r="BL24" i="72"/>
  <c r="S88" i="72"/>
  <c r="BN43" i="69"/>
  <c r="BT73" i="72"/>
  <c r="BQ61" i="72"/>
  <c r="BI37" i="72"/>
  <c r="E79" i="69"/>
  <c r="BD65" i="4"/>
  <c r="BT65" i="4"/>
  <c r="BA94" i="72" a="1"/>
  <c r="BA94" i="72" s="1"/>
  <c r="AV94" i="72" a="1"/>
  <c r="AV94" i="72" s="1"/>
  <c r="AZ79" i="72" a="1"/>
  <c r="AZ79" i="72" s="1"/>
  <c r="BN82" i="69"/>
  <c r="E15" i="69"/>
  <c r="DA55" i="4" a="1"/>
  <c r="DA55" i="4" s="1"/>
  <c r="E61" i="72"/>
  <c r="B88" i="69"/>
  <c r="BC49" i="69"/>
  <c r="BD71" i="4"/>
  <c r="X71" i="4" s="1"/>
  <c r="BI77" i="72"/>
  <c r="AF6" i="72" a="1"/>
  <c r="AF6" i="72" s="1"/>
  <c r="BT67" i="72"/>
  <c r="AE16" i="69" a="1"/>
  <c r="AE16" i="69" s="1"/>
  <c r="AS16" i="69" s="1" a="1"/>
  <c r="AS16" i="69" s="1"/>
  <c r="AI93" i="72"/>
  <c r="BC89" i="69"/>
  <c r="AZ42" i="72" a="1"/>
  <c r="AZ42" i="72" s="1"/>
  <c r="BF65" i="4"/>
  <c r="BM83" i="4"/>
  <c r="BE83" i="4" s="1" a="1"/>
  <c r="BE83" i="4" s="1"/>
  <c r="BD83" i="69"/>
  <c r="BJ15" i="72"/>
  <c r="BN13" i="69"/>
  <c r="AY94" i="72" a="1"/>
  <c r="AY94" i="72" s="1"/>
  <c r="BT51" i="72"/>
  <c r="AF45" i="72" a="1"/>
  <c r="AF45" i="72" s="1"/>
  <c r="AY45" i="72" s="1" a="1"/>
  <c r="AY45" i="72" s="1"/>
  <c r="D21" i="69" a="1"/>
  <c r="D21" i="69" s="1"/>
  <c r="BT81" i="72"/>
  <c r="L27" i="72"/>
  <c r="AD15" i="69"/>
  <c r="AR94" i="72" a="1"/>
  <c r="AR94" i="72" s="1"/>
  <c r="E53" i="72"/>
  <c r="G80" i="69"/>
  <c r="BQ39" i="72"/>
  <c r="AT32" i="69" a="1"/>
  <c r="AT32" i="69" s="1"/>
  <c r="AM94" i="72" a="1"/>
  <c r="AM94" i="72" s="1"/>
  <c r="BI67" i="72"/>
  <c r="BN62" i="69"/>
  <c r="BD15" i="69"/>
  <c r="C75" i="69"/>
  <c r="BC48" i="69"/>
  <c r="BT37" i="72"/>
  <c r="AI88" i="72"/>
  <c r="BI92" i="72"/>
  <c r="BL56" i="69" a="1"/>
  <c r="BL56" i="69" s="1"/>
  <c r="BK29" i="69"/>
  <c r="BN29" i="69"/>
  <c r="BN57" i="69"/>
  <c r="AV1391" i="13"/>
  <c r="G95" i="72"/>
  <c r="G95" i="69"/>
  <c r="BL63" i="69" a="1"/>
  <c r="BL63" i="69" s="1"/>
  <c r="AF44" i="72" a="1"/>
  <c r="AF44" i="72" s="1"/>
  <c r="BI42" i="72"/>
  <c r="E17" i="69"/>
  <c r="L33" i="69"/>
  <c r="BN71" i="69"/>
  <c r="BN78" i="69"/>
  <c r="AF61" i="72" a="1"/>
  <c r="AF61" i="72" s="1"/>
  <c r="AN44" i="72"/>
  <c r="BI44" i="72"/>
  <c r="E83" i="72"/>
  <c r="AT41" i="69" a="1"/>
  <c r="AT41" i="69" s="1"/>
  <c r="BT26" i="72"/>
  <c r="AE91" i="69" a="1"/>
  <c r="AE91" i="69" s="1"/>
  <c r="E81" i="72"/>
  <c r="E67" i="72"/>
  <c r="H40" i="69"/>
  <c r="BD18" i="69"/>
  <c r="AT49" i="69" a="1"/>
  <c r="AT49" i="69" s="1"/>
  <c r="BT61" i="72"/>
  <c r="BN59" i="69"/>
  <c r="E53" i="69"/>
  <c r="BL46" i="69" a="1"/>
  <c r="BL46" i="69" s="1"/>
  <c r="AZ86" i="72" a="1"/>
  <c r="AZ86" i="72" s="1"/>
  <c r="BT44" i="72"/>
  <c r="BN47" i="69"/>
  <c r="BJ83" i="72"/>
  <c r="BI69" i="72"/>
  <c r="BC18" i="69"/>
  <c r="AN37" i="72"/>
  <c r="BN49" i="69"/>
  <c r="AE71" i="69" a="1"/>
  <c r="AE71" i="69" s="1"/>
  <c r="AF50" i="72" a="1"/>
  <c r="AF50" i="72" s="1"/>
  <c r="BK7" i="69"/>
  <c r="BR73" i="72" a="1"/>
  <c r="BR73" i="72" s="1"/>
  <c r="BD57" i="4"/>
  <c r="BJ8" i="69"/>
  <c r="BM8" i="69" s="1"/>
  <c r="AF26" i="72" a="1"/>
  <c r="AF26" i="72" s="1"/>
  <c r="AY26" i="72" s="1" a="1"/>
  <c r="AY26" i="72" s="1"/>
  <c r="BC47" i="69"/>
  <c r="AZ84" i="72" a="1"/>
  <c r="AZ84" i="72" s="1"/>
  <c r="BI93" i="72"/>
  <c r="AE17" i="69" a="1"/>
  <c r="AE17" i="69" s="1"/>
  <c r="BL16" i="72"/>
  <c r="BN73" i="69"/>
  <c r="BJ17" i="72"/>
  <c r="BI48" i="72"/>
  <c r="AF27" i="72" a="1"/>
  <c r="AF27" i="72" s="1"/>
  <c r="AY27" i="72" s="1" a="1"/>
  <c r="AY27" i="72" s="1"/>
  <c r="BC66" i="69"/>
  <c r="BC46" i="69"/>
  <c r="BI39" i="72"/>
  <c r="BT56" i="72"/>
  <c r="AZ8" i="72" a="1"/>
  <c r="AZ8" i="72" s="1"/>
  <c r="D42" i="72" a="1"/>
  <c r="D42" i="72" s="1"/>
  <c r="BD91" i="4"/>
  <c r="BI20" i="72"/>
  <c r="AF20" i="72" a="1"/>
  <c r="AF20" i="72" s="1"/>
  <c r="AE5" i="69" a="1"/>
  <c r="AE5" i="69" s="1"/>
  <c r="BN93" i="69"/>
  <c r="BT12" i="72"/>
  <c r="BN88" i="69"/>
  <c r="BQ22" i="72"/>
  <c r="BP22" i="72" s="1"/>
  <c r="BS22" i="72" s="1"/>
  <c r="BN7" i="69"/>
  <c r="BK41" i="69"/>
  <c r="H261" i="15" a="1"/>
  <c r="H261" i="15" s="1"/>
  <c r="AT80" i="69" a="1"/>
  <c r="AT80" i="69" s="1"/>
  <c r="DD75" i="4" a="1"/>
  <c r="DD75" i="4" s="1"/>
  <c r="BI82" i="72"/>
  <c r="D11" i="69" a="1"/>
  <c r="D11" i="69" s="1"/>
  <c r="BT36" i="72"/>
  <c r="BC32" i="69"/>
  <c r="AT33" i="69" a="1"/>
  <c r="AT33" i="69" s="1"/>
  <c r="AL58" i="69" a="1"/>
  <c r="AL58" i="69" s="1"/>
  <c r="BN37" i="69"/>
  <c r="AE51" i="69" a="1"/>
  <c r="AE51" i="69" s="1"/>
  <c r="AS51" i="69" s="1" a="1"/>
  <c r="AS51" i="69" s="1"/>
  <c r="H474" i="15" a="1"/>
  <c r="H474" i="15" s="1"/>
  <c r="F512" i="15" a="1"/>
  <c r="F512" i="15" s="1"/>
  <c r="AI64" i="72"/>
  <c r="AI29" i="72"/>
  <c r="AU58" i="69" a="1"/>
  <c r="AU58" i="69" s="1"/>
  <c r="BI38" i="72"/>
  <c r="F474" i="15" a="1"/>
  <c r="F474" i="15" s="1"/>
  <c r="AI28" i="72"/>
  <c r="L30" i="69"/>
  <c r="BK52" i="69"/>
  <c r="AF58" i="69" a="1"/>
  <c r="AF58" i="69" s="1"/>
  <c r="AN82" i="72"/>
  <c r="BT70" i="72"/>
  <c r="BP63" i="72"/>
  <c r="BS63" i="72" s="1"/>
  <c r="BN90" i="69"/>
  <c r="AE90" i="69" a="1"/>
  <c r="AE90" i="69" s="1"/>
  <c r="BN53" i="69"/>
  <c r="BT18" i="72"/>
  <c r="AF65" i="72" a="1"/>
  <c r="AF65" i="72" s="1"/>
  <c r="AT74" i="69" a="1"/>
  <c r="AT74" i="69" s="1"/>
  <c r="BR13" i="72" a="1"/>
  <c r="BR13" i="72" s="1"/>
  <c r="AF70" i="72" a="1"/>
  <c r="AF70" i="72" s="1"/>
  <c r="AY70" i="72" s="1" a="1"/>
  <c r="AY70" i="72" s="1"/>
  <c r="E63" i="69"/>
  <c r="AE26" i="69" a="1"/>
  <c r="AE26" i="69" s="1"/>
  <c r="BC77" i="69"/>
  <c r="AT81" i="69" a="1"/>
  <c r="AT81" i="69" s="1"/>
  <c r="BC59" i="69"/>
  <c r="BM77" i="4"/>
  <c r="BE77" i="4" s="1" a="1"/>
  <c r="BE77" i="4" s="1"/>
  <c r="BJ77" i="72"/>
  <c r="BD77" i="69"/>
  <c r="E51" i="72"/>
  <c r="AE20" i="69" a="1"/>
  <c r="AE20" i="69" s="1"/>
  <c r="BI46" i="72"/>
  <c r="S68" i="72"/>
  <c r="DD93" i="4" a="1"/>
  <c r="DD93" i="4" s="1"/>
  <c r="AT25" i="69" a="1"/>
  <c r="AT25" i="69" s="1"/>
  <c r="L22" i="69"/>
  <c r="BC85" i="69"/>
  <c r="AI39" i="72"/>
  <c r="BT89" i="72"/>
  <c r="AF56" i="72" a="1"/>
  <c r="AF56" i="72" s="1"/>
  <c r="BC35" i="69"/>
  <c r="BR5" i="72" a="1"/>
  <c r="BR5" i="72" s="1"/>
  <c r="AT59" i="69" a="1"/>
  <c r="AT59" i="69" s="1"/>
  <c r="AT93" i="69" a="1"/>
  <c r="AT93" i="69" s="1"/>
  <c r="BT32" i="72"/>
  <c r="BR38" i="72" a="1"/>
  <c r="BR38" i="72" s="1"/>
  <c r="AF24" i="72" a="1"/>
  <c r="AF24" i="72" s="1"/>
  <c r="BI24" i="72"/>
  <c r="AD46" i="69"/>
  <c r="BT22" i="72"/>
  <c r="AT79" i="69" a="1"/>
  <c r="AT79" i="69" s="1"/>
  <c r="AF28" i="72" a="1"/>
  <c r="AF28" i="72" s="1"/>
  <c r="E45" i="69"/>
  <c r="AE25" i="69" a="1"/>
  <c r="AE25" i="69" s="1"/>
  <c r="BC22" i="69"/>
  <c r="AF72" i="72" a="1"/>
  <c r="AF72" i="72" s="1"/>
  <c r="AY72" i="72" s="1" a="1"/>
  <c r="AY72" i="72" s="1"/>
  <c r="BJ63" i="69"/>
  <c r="BM63" i="69" s="1"/>
  <c r="E63" i="72"/>
  <c r="BC73" i="69"/>
  <c r="E29" i="69"/>
  <c r="AF35" i="72" a="1"/>
  <c r="AF35" i="72" s="1"/>
  <c r="BP83" i="72"/>
  <c r="BS83" i="72" s="1"/>
  <c r="I74" i="69"/>
  <c r="I74" i="72"/>
  <c r="AT46" i="69" a="1"/>
  <c r="AT46" i="69" s="1"/>
  <c r="AF37" i="72" a="1"/>
  <c r="AF37" i="72" s="1"/>
  <c r="AY37" i="72" s="1" a="1"/>
  <c r="AY37" i="72" s="1"/>
  <c r="BC51" i="69"/>
  <c r="E22" i="72"/>
  <c r="BQ62" i="72"/>
  <c r="BT25" i="72"/>
  <c r="BN41" i="69"/>
  <c r="BC30" i="69"/>
  <c r="BN8" i="69"/>
  <c r="AN17" i="72"/>
  <c r="AT47" i="69" a="1"/>
  <c r="AT47" i="69" s="1"/>
  <c r="AZ5" i="72" a="1"/>
  <c r="AZ5" i="72" s="1"/>
  <c r="AE93" i="69" a="1"/>
  <c r="AE93" i="69" s="1"/>
  <c r="BI54" i="72"/>
  <c r="E33" i="69"/>
  <c r="D31" i="72" a="1"/>
  <c r="D31" i="72" s="1"/>
  <c r="AE24" i="69" a="1"/>
  <c r="AE24" i="69" s="1"/>
  <c r="BC24" i="69"/>
  <c r="K28" i="72" a="1"/>
  <c r="K28" i="72" s="1"/>
  <c r="AF82" i="72" a="1"/>
  <c r="AF82" i="72" s="1"/>
  <c r="AY82" i="72" s="1" a="1"/>
  <c r="AY82" i="72" s="1"/>
  <c r="AT36" i="69" a="1"/>
  <c r="AT36" i="69" s="1"/>
  <c r="AN5" i="72"/>
  <c r="AT48" i="69" a="1"/>
  <c r="AT48" i="69" s="1"/>
  <c r="BN42" i="69"/>
  <c r="AN35" i="72"/>
  <c r="BC93" i="69"/>
  <c r="BT15" i="72"/>
  <c r="AZ25" i="72" a="1"/>
  <c r="AZ25" i="72" s="1"/>
  <c r="BT43" i="72"/>
  <c r="BI78" i="72"/>
  <c r="BC26" i="69"/>
  <c r="BQ17" i="72"/>
  <c r="BN32" i="69"/>
  <c r="AZ54" i="72" a="1"/>
  <c r="AZ54" i="72" s="1"/>
  <c r="BN33" i="69"/>
  <c r="AF38" i="72" a="1"/>
  <c r="AF38" i="72" s="1"/>
  <c r="BT53" i="72"/>
  <c r="E69" i="69"/>
  <c r="BI31" i="72"/>
  <c r="BW22" i="72"/>
  <c r="AN22" i="72"/>
  <c r="BD73" i="4"/>
  <c r="X73" i="4" s="1"/>
  <c r="BT50" i="72"/>
  <c r="D28" i="72" a="1"/>
  <c r="D28" i="72" s="1"/>
  <c r="DD95" i="4" a="1"/>
  <c r="DD95" i="4" s="1"/>
  <c r="AE50" i="69" a="1"/>
  <c r="AE50" i="69" s="1"/>
  <c r="AE22" i="69" a="1"/>
  <c r="AE22" i="69" s="1"/>
  <c r="AE34" i="69" a="1"/>
  <c r="AE34" i="69" s="1"/>
  <c r="BN61" i="69"/>
  <c r="BC64" i="69"/>
  <c r="AF75" i="72" a="1"/>
  <c r="AF75" i="72" s="1"/>
  <c r="AY75" i="72" s="1" a="1"/>
  <c r="AY75" i="72" s="1"/>
  <c r="BP29" i="72"/>
  <c r="BS29" i="72" s="1"/>
  <c r="AE87" i="69" a="1"/>
  <c r="AE87" i="69" s="1"/>
  <c r="AF87" i="69" s="1" a="1"/>
  <c r="AF87" i="69" s="1"/>
  <c r="E87" i="69"/>
  <c r="BR42" i="72" a="1"/>
  <c r="BR42" i="72" s="1"/>
  <c r="E93" i="72"/>
  <c r="BN84" i="69"/>
  <c r="BQ76" i="72"/>
  <c r="D32" i="69" a="1"/>
  <c r="D32" i="69" s="1"/>
  <c r="BI32" i="72"/>
  <c r="BT40" i="72"/>
  <c r="BT38" i="72"/>
  <c r="AE37" i="69" a="1"/>
  <c r="AE37" i="69" s="1"/>
  <c r="BC92" i="69"/>
  <c r="BJ31" i="69"/>
  <c r="BM31" i="69" s="1"/>
  <c r="E66" i="72"/>
  <c r="BC38" i="69"/>
  <c r="BC15" i="69"/>
  <c r="E85" i="72"/>
  <c r="AE41" i="69" a="1"/>
  <c r="AE41" i="69" s="1"/>
  <c r="BI14" i="72"/>
  <c r="H75" i="69"/>
  <c r="BN48" i="69"/>
  <c r="AF40" i="72" a="1"/>
  <c r="AF40" i="72" s="1"/>
  <c r="AG40" i="72" s="1" a="1"/>
  <c r="AG40" i="72" s="1"/>
  <c r="BP33" i="72"/>
  <c r="BS33" i="72" s="1"/>
  <c r="BL31" i="69" a="1"/>
  <c r="BL31" i="69" s="1"/>
  <c r="AI31" i="72"/>
  <c r="C37" i="72"/>
  <c r="BJ49" i="69"/>
  <c r="BM49" i="69" s="1"/>
  <c r="E13" i="69"/>
  <c r="BC79" i="69"/>
  <c r="DD94" i="4" a="1"/>
  <c r="DD94" i="4" s="1"/>
  <c r="F490" i="15" a="1"/>
  <c r="F490" i="15" s="1"/>
  <c r="BR20" i="72" a="1"/>
  <c r="BR20" i="72" s="1"/>
  <c r="AE85" i="69" a="1"/>
  <c r="AE85" i="69" s="1"/>
  <c r="AS85" i="69" s="1" a="1"/>
  <c r="AS85" i="69" s="1"/>
  <c r="BT41" i="72"/>
  <c r="AT64" i="69" a="1"/>
  <c r="AT64" i="69" s="1"/>
  <c r="BI75" i="72"/>
  <c r="AI87" i="72"/>
  <c r="AZ77" i="72" a="1"/>
  <c r="AZ77" i="72" s="1"/>
  <c r="AI48" i="72"/>
  <c r="BN40" i="69"/>
  <c r="C33" i="72"/>
  <c r="BI45" i="72"/>
  <c r="E65" i="69"/>
  <c r="AT86" i="69" a="1"/>
  <c r="AT86" i="69" s="1"/>
  <c r="AT68" i="69" a="1"/>
  <c r="AT68" i="69" s="1"/>
  <c r="B68" i="69"/>
  <c r="BT85" i="72"/>
  <c r="D41" i="69" a="1"/>
  <c r="D41" i="69" s="1"/>
  <c r="AF86" i="72" a="1"/>
  <c r="AF86" i="72" s="1"/>
  <c r="BC82" i="69"/>
  <c r="BN34" i="69"/>
  <c r="AE8" i="69" a="1"/>
  <c r="AE8" i="69" s="1"/>
  <c r="AL8" i="69" s="1" a="1"/>
  <c r="AL8" i="69" s="1"/>
  <c r="AT29" i="69" a="1"/>
  <c r="AT29" i="69" s="1"/>
  <c r="BT87" i="72"/>
  <c r="BK87" i="69"/>
  <c r="BJ87" i="69" s="1"/>
  <c r="BM87" i="69" s="1"/>
  <c r="BC81" i="69"/>
  <c r="BI76" i="72"/>
  <c r="AF76" i="72" a="1"/>
  <c r="AF76" i="72" s="1"/>
  <c r="AE66" i="69" a="1"/>
  <c r="AE66" i="69" s="1"/>
  <c r="AS66" i="69" s="1" a="1"/>
  <c r="AS66" i="69" s="1"/>
  <c r="BC40" i="69"/>
  <c r="K25" i="72" a="1"/>
  <c r="K25" i="72" s="1"/>
  <c r="BC72" i="69"/>
  <c r="AE82" i="69" a="1"/>
  <c r="AE82" i="69" s="1"/>
  <c r="AS82" i="69" s="1" a="1"/>
  <c r="AS82" i="69" s="1"/>
  <c r="BP72" i="72"/>
  <c r="BS72" i="72" s="1"/>
  <c r="AE75" i="69" a="1"/>
  <c r="AE75" i="69" s="1"/>
  <c r="AS75" i="69" s="1" a="1"/>
  <c r="AS75" i="69" s="1"/>
  <c r="BN19" i="69"/>
  <c r="BT42" i="72"/>
  <c r="BQ93" i="72"/>
  <c r="D36" i="69" a="1"/>
  <c r="D36" i="69" s="1"/>
  <c r="AZ47" i="72" a="1"/>
  <c r="AZ47" i="72" s="1"/>
  <c r="AF52" i="72" a="1"/>
  <c r="AF52" i="72" s="1"/>
  <c r="BA52" i="72" s="1" a="1"/>
  <c r="BA52" i="72" s="1"/>
  <c r="O37" i="69"/>
  <c r="AE51" i="72"/>
  <c r="AE31" i="69" a="1"/>
  <c r="AE31" i="69" s="1"/>
  <c r="AS31" i="69" s="1" a="1"/>
  <c r="AS31" i="69" s="1"/>
  <c r="AD28" i="69"/>
  <c r="AF66" i="72" a="1"/>
  <c r="AF66" i="72" s="1"/>
  <c r="BB66" i="72" s="1" a="1"/>
  <c r="BB66" i="72" s="1"/>
  <c r="BN69" i="69"/>
  <c r="AF62" i="72" a="1"/>
  <c r="AF62" i="72" s="1"/>
  <c r="BB62" i="72" s="1" a="1"/>
  <c r="BB62" i="72" s="1"/>
  <c r="B68" i="72"/>
  <c r="DD89" i="4" a="1"/>
  <c r="DD89" i="4" s="1"/>
  <c r="S68" i="69"/>
  <c r="BT20" i="72"/>
  <c r="AN78" i="72"/>
  <c r="E34" i="69"/>
  <c r="AE61" i="69" a="1"/>
  <c r="AE61" i="69" s="1"/>
  <c r="AS61" i="69" s="1" a="1"/>
  <c r="AS61" i="69" s="1"/>
  <c r="BL8" i="69" a="1"/>
  <c r="BL8" i="69" s="1"/>
  <c r="AI89" i="72"/>
  <c r="E89" i="72"/>
  <c r="AE47" i="69" a="1"/>
  <c r="AE47" i="69" s="1"/>
  <c r="BN52" i="69"/>
  <c r="BL36" i="69" a="1"/>
  <c r="BL36" i="69" s="1"/>
  <c r="BN12" i="69"/>
  <c r="BI40" i="72"/>
  <c r="BN67" i="69"/>
  <c r="BI51" i="72"/>
  <c r="BP49" i="72"/>
  <c r="BS49" i="72" s="1"/>
  <c r="AI80" i="72"/>
  <c r="BT66" i="72"/>
  <c r="C51" i="69"/>
  <c r="D51" i="69" s="1" a="1"/>
  <c r="D51" i="69" s="1"/>
  <c r="AN45" i="72"/>
  <c r="BF20" i="69"/>
  <c r="BI62" i="72"/>
  <c r="BW79" i="72"/>
  <c r="BI79" i="72"/>
  <c r="AE86" i="69" a="1"/>
  <c r="AE86" i="69" s="1"/>
  <c r="AK86" i="69" s="1" a="1"/>
  <c r="AK86" i="69" s="1"/>
  <c r="BC78" i="69"/>
  <c r="BN72" i="69"/>
  <c r="E41" i="69"/>
  <c r="BC14" i="69"/>
  <c r="BL75" i="69" a="1"/>
  <c r="BL75" i="69" s="1"/>
  <c r="E75" i="69"/>
  <c r="BI26" i="72"/>
  <c r="BL39" i="69" a="1"/>
  <c r="BL39" i="69" s="1"/>
  <c r="BD39" i="69"/>
  <c r="AT52" i="69" a="1"/>
  <c r="AT52" i="69" s="1"/>
  <c r="BI47" i="72"/>
  <c r="L91" i="72"/>
  <c r="E76" i="72"/>
  <c r="BT27" i="72"/>
  <c r="L59" i="72"/>
  <c r="BC12" i="69"/>
  <c r="E54" i="72"/>
  <c r="AE33" i="69" a="1"/>
  <c r="AE33" i="69" s="1"/>
  <c r="AU33" i="69" s="1" a="1"/>
  <c r="AU33" i="69" s="1"/>
  <c r="E67" i="69"/>
  <c r="BL53" i="69" a="1"/>
  <c r="BL53" i="69" s="1"/>
  <c r="AD40" i="69"/>
  <c r="BN66" i="69"/>
  <c r="BF40" i="69"/>
  <c r="H269" i="15" a="1"/>
  <c r="H269" i="15" s="1"/>
  <c r="E38" i="72"/>
  <c r="BT24" i="72"/>
  <c r="AE69" i="69" a="1"/>
  <c r="AE69" i="69" s="1"/>
  <c r="AH69" i="69" s="1" a="1"/>
  <c r="AH69" i="69" s="1"/>
  <c r="D38" i="69" a="1"/>
  <c r="D38" i="69" s="1"/>
  <c r="E49" i="69"/>
  <c r="D15" i="72" a="1"/>
  <c r="D15" i="72" s="1"/>
  <c r="BC20" i="69"/>
  <c r="BE1767" i="13" a="1"/>
  <c r="BE1767" i="13" s="1"/>
  <c r="AT13" i="69" a="1"/>
  <c r="AT13" i="69" s="1"/>
  <c r="AE15" i="69" a="1"/>
  <c r="AE15" i="69" s="1"/>
  <c r="AU15" i="69" s="1" a="1"/>
  <c r="AU15" i="69" s="1"/>
  <c r="BT13" i="72"/>
  <c r="AZ50" i="72" a="1"/>
  <c r="AZ50" i="72" s="1"/>
  <c r="AT70" i="69" a="1"/>
  <c r="AT70" i="69" s="1"/>
  <c r="BL43" i="69" a="1"/>
  <c r="BL43" i="69" s="1"/>
  <c r="BL86" i="69" a="1"/>
  <c r="BL86" i="69" s="1"/>
  <c r="K50" i="69" a="1"/>
  <c r="K50" i="69" s="1"/>
  <c r="AN20" i="72"/>
  <c r="AI43" i="72"/>
  <c r="AT44" i="69" a="1"/>
  <c r="AT44" i="69" s="1"/>
  <c r="BT78" i="72"/>
  <c r="BN14" i="69"/>
  <c r="E85" i="69"/>
  <c r="AE30" i="69" a="1"/>
  <c r="AE30" i="69" s="1"/>
  <c r="AV30" i="69" s="1" a="1"/>
  <c r="AV30" i="69" s="1"/>
  <c r="E8" i="69"/>
  <c r="AZ30" i="72" a="1"/>
  <c r="AZ30" i="72" s="1"/>
  <c r="BC29" i="69"/>
  <c r="AE39" i="69" a="1"/>
  <c r="AE39" i="69" s="1"/>
  <c r="AL39" i="69" s="1" a="1"/>
  <c r="AL39" i="69" s="1"/>
  <c r="AE52" i="69" a="1"/>
  <c r="AE52" i="69" s="1"/>
  <c r="AS52" i="69" s="1" a="1"/>
  <c r="AS52" i="69" s="1"/>
  <c r="BQ52" i="69"/>
  <c r="BN35" i="69"/>
  <c r="AZ91" i="72" a="1"/>
  <c r="AZ91" i="72" s="1"/>
  <c r="AE84" i="69" a="1"/>
  <c r="AE84" i="69" s="1"/>
  <c r="AF84" i="69" s="1" a="1"/>
  <c r="AF84" i="69" s="1"/>
  <c r="E48" i="69"/>
  <c r="AT6" i="69" a="1"/>
  <c r="AT6" i="69" s="1"/>
  <c r="BR48" i="72" a="1"/>
  <c r="BR48" i="72" s="1"/>
  <c r="BI6" i="72"/>
  <c r="AI81" i="72"/>
  <c r="BI59" i="72"/>
  <c r="AE12" i="69" a="1"/>
  <c r="AE12" i="69" s="1"/>
  <c r="AS12" i="69" s="1" a="1"/>
  <c r="AS12" i="69" s="1"/>
  <c r="AF32" i="72" a="1"/>
  <c r="AF32" i="72" s="1"/>
  <c r="AR32" i="72" s="1" a="1"/>
  <c r="AR32" i="72" s="1"/>
  <c r="AF54" i="72" a="1"/>
  <c r="AF54" i="72" s="1"/>
  <c r="AG54" i="72" s="1" a="1"/>
  <c r="AG54" i="72" s="1"/>
  <c r="BC67" i="69"/>
  <c r="AT45" i="69" a="1"/>
  <c r="AT45" i="69" s="1"/>
  <c r="AT78" i="69" a="1"/>
  <c r="AT78" i="69" s="1"/>
  <c r="AZ64" i="72" a="1"/>
  <c r="AZ64" i="72" s="1"/>
  <c r="BT11" i="72"/>
  <c r="E17" i="72"/>
  <c r="BT84" i="72"/>
  <c r="BJ52" i="69"/>
  <c r="BM52" i="69" s="1"/>
  <c r="AT35" i="69" a="1"/>
  <c r="AT35" i="69" s="1"/>
  <c r="AZ16" i="72" a="1"/>
  <c r="AZ16" i="72" s="1"/>
  <c r="BQ48" i="72"/>
  <c r="L54" i="72"/>
  <c r="D18" i="69" a="1"/>
  <c r="D18" i="69" s="1"/>
  <c r="BQ45" i="72"/>
  <c r="AZ45" i="72" a="1"/>
  <c r="AZ45" i="72" s="1"/>
  <c r="BR79" i="72" a="1"/>
  <c r="BR79" i="72" s="1"/>
  <c r="AF68" i="72" a="1"/>
  <c r="AF68" i="72" s="1"/>
  <c r="AY68" i="72" s="1" a="1"/>
  <c r="AY68" i="72" s="1"/>
  <c r="AT21" i="69" a="1"/>
  <c r="AT21" i="69" s="1"/>
  <c r="AZ28" i="72" a="1"/>
  <c r="AZ28" i="72" s="1"/>
  <c r="BJ50" i="69"/>
  <c r="BM50" i="69" s="1"/>
  <c r="BC25" i="69"/>
  <c r="BT64" i="72"/>
  <c r="BQ14" i="72"/>
  <c r="AI14" i="72"/>
  <c r="AE64" i="69" a="1"/>
  <c r="AE64" i="69" s="1"/>
  <c r="AS64" i="69" s="1" a="1"/>
  <c r="AS64" i="69" s="1"/>
  <c r="AN75" i="72"/>
  <c r="BT75" i="72"/>
  <c r="AZ56" i="72" a="1"/>
  <c r="AZ56" i="72" s="1"/>
  <c r="AF19" i="72" a="1"/>
  <c r="AF19" i="72" s="1"/>
  <c r="AY19" i="72" s="1" a="1"/>
  <c r="AY19" i="72" s="1"/>
  <c r="BL35" i="69" a="1"/>
  <c r="BL35" i="69" s="1"/>
  <c r="AF47" i="72" a="1"/>
  <c r="AF47" i="72" s="1"/>
  <c r="AM47" i="72" s="1" a="1"/>
  <c r="AM47" i="72" s="1"/>
  <c r="BI52" i="72"/>
  <c r="BN6" i="69"/>
  <c r="BF42" i="69"/>
  <c r="BQ42" i="69"/>
  <c r="E83" i="69"/>
  <c r="AI27" i="72"/>
  <c r="AN54" i="72"/>
  <c r="BK67" i="69"/>
  <c r="BJ67" i="69" s="1"/>
  <c r="BM67" i="69" s="1"/>
  <c r="S92" i="69"/>
  <c r="BC31" i="69"/>
  <c r="AE38" i="69" a="1"/>
  <c r="AE38" i="69" s="1"/>
  <c r="AH38" i="69" s="1" a="1"/>
  <c r="AH38" i="69" s="1"/>
  <c r="AT51" i="69" a="1"/>
  <c r="AT51" i="69" s="1"/>
  <c r="AF15" i="72" a="1"/>
  <c r="AF15" i="72" s="1"/>
  <c r="AR15" i="72" s="1" a="1"/>
  <c r="AR15" i="72" s="1"/>
  <c r="D22" i="72" a="1"/>
  <c r="D22" i="72" s="1"/>
  <c r="K24" i="69" a="1"/>
  <c r="K24" i="69" s="1"/>
  <c r="AE74" i="69" a="1"/>
  <c r="AE74" i="69" s="1"/>
  <c r="AU74" i="69" s="1" a="1"/>
  <c r="AU74" i="69" s="1"/>
  <c r="BI74" i="72"/>
  <c r="BN70" i="69"/>
  <c r="BD62" i="4"/>
  <c r="BI28" i="72"/>
  <c r="E86" i="69"/>
  <c r="AT50" i="69" a="1"/>
  <c r="AT50" i="69" s="1"/>
  <c r="H404" i="15" a="1"/>
  <c r="H404" i="15" s="1"/>
  <c r="AT7" i="69" a="1"/>
  <c r="AT7" i="69" s="1"/>
  <c r="AE72" i="69" a="1"/>
  <c r="AE72" i="69" s="1"/>
  <c r="AH72" i="69" s="1" a="1"/>
  <c r="AH72" i="69" s="1"/>
  <c r="E22" i="69"/>
  <c r="AZ43" i="72" a="1"/>
  <c r="AZ43" i="72" s="1"/>
  <c r="AE44" i="69" a="1"/>
  <c r="AE44" i="69" s="1"/>
  <c r="AS44" i="69" s="1" a="1"/>
  <c r="AS44" i="69" s="1"/>
  <c r="BI63" i="72"/>
  <c r="AZ14" i="72" a="1"/>
  <c r="AZ14" i="72" s="1"/>
  <c r="BT14" i="72"/>
  <c r="BI30" i="72"/>
  <c r="BT30" i="72"/>
  <c r="E39" i="69"/>
  <c r="BI8" i="72"/>
  <c r="AZ34" i="72" a="1"/>
  <c r="AZ34" i="72" s="1"/>
  <c r="AI36" i="72"/>
  <c r="E91" i="69"/>
  <c r="E52" i="69"/>
  <c r="BT29" i="72"/>
  <c r="E91" i="72"/>
  <c r="L42" i="69"/>
  <c r="E42" i="69"/>
  <c r="BC83" i="69"/>
  <c r="AT27" i="69" a="1"/>
  <c r="AT27" i="69" s="1"/>
  <c r="BR33" i="72" a="1"/>
  <c r="BR33" i="72" s="1"/>
  <c r="AT37" i="69" a="1"/>
  <c r="AT37" i="69" s="1"/>
  <c r="BN31" i="69"/>
  <c r="AT28" i="69" a="1"/>
  <c r="AT28" i="69" s="1"/>
  <c r="E46" i="69"/>
  <c r="BN80" i="69"/>
  <c r="BN24" i="69"/>
  <c r="D13" i="72" a="1"/>
  <c r="D13" i="72" s="1"/>
  <c r="BN79" i="69"/>
  <c r="BT28" i="72"/>
  <c r="AE45" i="69" a="1"/>
  <c r="AE45" i="69" s="1"/>
  <c r="AV45" i="69" s="1" a="1"/>
  <c r="AV45" i="69" s="1"/>
  <c r="AE43" i="69" a="1"/>
  <c r="AE43" i="69" s="1"/>
  <c r="AF43" i="69" s="1" a="1"/>
  <c r="AF43" i="69" s="1"/>
  <c r="BK78" i="69"/>
  <c r="BT82" i="72"/>
  <c r="E20" i="72"/>
  <c r="BN22" i="69"/>
  <c r="BI43" i="72"/>
  <c r="AN86" i="72"/>
  <c r="E44" i="69"/>
  <c r="E82" i="69"/>
  <c r="AF73" i="72" a="1"/>
  <c r="AF73" i="72" s="1"/>
  <c r="AR73" i="72" s="1" a="1"/>
  <c r="AR73" i="72" s="1"/>
  <c r="AE14" i="69" a="1"/>
  <c r="AE14" i="69" s="1"/>
  <c r="AP14" i="69" s="1" a="1"/>
  <c r="AP14" i="69" s="1"/>
  <c r="BT72" i="72"/>
  <c r="E72" i="72"/>
  <c r="BT63" i="72"/>
  <c r="BH91" i="4"/>
  <c r="O34" i="69"/>
  <c r="AZ44" i="72" a="1"/>
  <c r="AZ44" i="72" s="1"/>
  <c r="AT61" i="69" a="1"/>
  <c r="AT61" i="69" s="1"/>
  <c r="BD80" i="4"/>
  <c r="AN8" i="72"/>
  <c r="E84" i="72"/>
  <c r="AI84" i="72"/>
  <c r="BN16" i="69"/>
  <c r="AT16" i="69" a="1"/>
  <c r="AT16" i="69" s="1"/>
  <c r="AF93" i="72" a="1"/>
  <c r="AF93" i="72" s="1"/>
  <c r="AV93" i="72" s="1" a="1"/>
  <c r="AV93" i="72" s="1"/>
  <c r="AI5" i="72"/>
  <c r="AT17" i="69" a="1"/>
  <c r="AT17" i="69" s="1"/>
  <c r="BN76" i="69"/>
  <c r="O42" i="69"/>
  <c r="BT16" i="72"/>
  <c r="AE32" i="69" a="1"/>
  <c r="AE32" i="69" s="1"/>
  <c r="AJ32" i="69" s="1" a="1"/>
  <c r="AJ32" i="69" s="1"/>
  <c r="E59" i="72"/>
  <c r="BT54" i="72"/>
  <c r="BI33" i="72"/>
  <c r="BC37" i="69"/>
  <c r="BK88" i="69"/>
  <c r="BJ88" i="69" s="1"/>
  <c r="BM88" i="69" s="1"/>
  <c r="E88" i="69"/>
  <c r="BJ69" i="69"/>
  <c r="BM69" i="69" s="1"/>
  <c r="E31" i="72"/>
  <c r="AZ22" i="72" a="1"/>
  <c r="AZ22" i="72" s="1"/>
  <c r="BC71" i="69"/>
  <c r="AI46" i="72"/>
  <c r="BN15" i="69"/>
  <c r="AD21" i="69"/>
  <c r="AZ13" i="72" a="1"/>
  <c r="AZ13" i="72" s="1"/>
  <c r="AN13" i="72"/>
  <c r="AT65" i="69" a="1"/>
  <c r="AT65" i="69" s="1"/>
  <c r="AF25" i="72" a="1"/>
  <c r="AF25" i="72" s="1"/>
  <c r="BB25" i="72" s="1" a="1"/>
  <c r="BB25" i="72" s="1"/>
  <c r="AF7" i="72" a="1"/>
  <c r="AF7" i="72" s="1"/>
  <c r="AP7" i="72" s="1" a="1"/>
  <c r="AP7" i="72" s="1"/>
  <c r="BI86" i="72"/>
  <c r="H108" i="15" a="1"/>
  <c r="H108" i="15" s="1"/>
  <c r="AT85" i="69" a="1"/>
  <c r="AT85" i="69" s="1"/>
  <c r="AT63" i="69" a="1"/>
  <c r="AT63" i="69" s="1"/>
  <c r="AF63" i="72" a="1"/>
  <c r="AF63" i="72" s="1"/>
  <c r="BB63" i="72" s="1" a="1"/>
  <c r="BB63" i="72" s="1"/>
  <c r="BN30" i="69"/>
  <c r="BQ64" i="72"/>
  <c r="BP64" i="72" s="1"/>
  <c r="BS64" i="72" s="1"/>
  <c r="AZ75" i="72" a="1"/>
  <c r="AZ75" i="72" s="1"/>
  <c r="E56" i="72"/>
  <c r="BT17" i="72"/>
  <c r="E29" i="72"/>
  <c r="BN87" i="69"/>
  <c r="E36" i="69"/>
  <c r="AN57" i="72"/>
  <c r="L76" i="69"/>
  <c r="BT48" i="72"/>
  <c r="AZ76" i="72" a="1"/>
  <c r="AZ76" i="72" s="1"/>
  <c r="AI38" i="72"/>
  <c r="BL66" i="69" a="1"/>
  <c r="BL66" i="69" s="1"/>
  <c r="AT92" i="69" a="1"/>
  <c r="AT92" i="69" s="1"/>
  <c r="BK27" i="69"/>
  <c r="BJ27" i="69" s="1"/>
  <c r="BM27" i="69" s="1"/>
  <c r="BT69" i="72"/>
  <c r="AF33" i="72" a="1"/>
  <c r="AF33" i="72" s="1"/>
  <c r="AP33" i="72" s="1" a="1"/>
  <c r="AP33" i="72" s="1"/>
  <c r="AT31" i="69" a="1"/>
  <c r="AT31" i="69" s="1"/>
  <c r="AZ49" i="72" a="1"/>
  <c r="AZ49" i="72" s="1"/>
  <c r="BQ46" i="69"/>
  <c r="AE80" i="69" a="1"/>
  <c r="AE80" i="69" s="1"/>
  <c r="AS80" i="69" s="1" a="1"/>
  <c r="AS80" i="69" s="1"/>
  <c r="AF18" i="72" a="1"/>
  <c r="AF18" i="72" s="1"/>
  <c r="AV18" i="72" s="1" a="1"/>
  <c r="AV18" i="72" s="1"/>
  <c r="BI22" i="72"/>
  <c r="E65" i="72"/>
  <c r="AI68" i="72"/>
  <c r="BD21" i="69"/>
  <c r="BI25" i="72"/>
  <c r="BN68" i="69"/>
  <c r="DD61" i="4" a="1"/>
  <c r="DD61" i="4" s="1"/>
  <c r="E82" i="72"/>
  <c r="D75" i="69" a="1"/>
  <c r="D75" i="69" s="1"/>
  <c r="AT75" i="69" a="1"/>
  <c r="AT75" i="69" s="1"/>
  <c r="BJ56" i="69"/>
  <c r="BM56" i="69" s="1"/>
  <c r="AF11" i="72" a="1"/>
  <c r="AF11" i="72" s="1"/>
  <c r="AG11" i="72" s="1" a="1"/>
  <c r="AG11" i="72" s="1"/>
  <c r="AI26" i="72"/>
  <c r="BI89" i="72"/>
  <c r="AE29" i="69" a="1"/>
  <c r="AE29" i="69" s="1"/>
  <c r="AS29" i="69" s="1" a="1"/>
  <c r="AS29" i="69" s="1"/>
  <c r="BN5" i="69"/>
  <c r="L84" i="72"/>
  <c r="BT77" i="72"/>
  <c r="BC16" i="69"/>
  <c r="L36" i="69"/>
  <c r="AE36" i="69" a="1"/>
  <c r="AE36" i="69" s="1"/>
  <c r="AL36" i="69" s="1" a="1"/>
  <c r="AL36" i="69" s="1"/>
  <c r="BN17" i="69"/>
  <c r="BD76" i="4"/>
  <c r="BI35" i="72"/>
  <c r="BL59" i="69" a="1"/>
  <c r="BL59" i="69" s="1"/>
  <c r="BC90" i="69"/>
  <c r="AE18" i="69" a="1"/>
  <c r="AE18" i="69" s="1"/>
  <c r="AU18" i="69" s="1" a="1"/>
  <c r="AU18" i="69" s="1"/>
  <c r="BC88" i="69"/>
  <c r="BD86" i="4"/>
  <c r="BR86" i="4" s="1"/>
  <c r="O86" i="69" s="1"/>
  <c r="BR65" i="72" a="1"/>
  <c r="BR65" i="72" s="1"/>
  <c r="AZ65" i="72" a="1"/>
  <c r="AZ65" i="72" s="1"/>
  <c r="AZ7" i="72" a="1"/>
  <c r="AZ7" i="72" s="1"/>
  <c r="BD89" i="4"/>
  <c r="X89" i="4" s="1"/>
  <c r="AZ87" i="72" a="1"/>
  <c r="AZ87" i="72" s="1"/>
  <c r="BC42" i="69"/>
  <c r="BT49" i="72"/>
  <c r="AI92" i="72"/>
  <c r="BP65" i="72"/>
  <c r="BS65" i="72" s="1"/>
  <c r="AI17" i="72"/>
  <c r="BI57" i="72"/>
  <c r="AN91" i="72"/>
  <c r="E76" i="69"/>
  <c r="BK6" i="69"/>
  <c r="BJ6" i="69" s="1"/>
  <c r="BM6" i="69" s="1"/>
  <c r="AE81" i="69" a="1"/>
  <c r="AE81" i="69" s="1"/>
  <c r="AJ81" i="69" s="1" a="1"/>
  <c r="AJ81" i="69" s="1"/>
  <c r="CX97" i="4"/>
  <c r="BT59" i="72"/>
  <c r="BJ67" i="72"/>
  <c r="AT69" i="69" a="1"/>
  <c r="AT69" i="69" s="1"/>
  <c r="AF31" i="72" a="1"/>
  <c r="AF31" i="72" s="1"/>
  <c r="AY31" i="72" s="1" a="1"/>
  <c r="AY31" i="72" s="1"/>
  <c r="AT24" i="69" a="1"/>
  <c r="AT24" i="69" s="1"/>
  <c r="BC65" i="69"/>
  <c r="AZ82" i="72" a="1"/>
  <c r="AZ82" i="72" s="1"/>
  <c r="BD61" i="4"/>
  <c r="X61" i="4" s="1"/>
  <c r="BT86" i="72"/>
  <c r="AN63" i="72"/>
  <c r="E14" i="72"/>
  <c r="BR17" i="72" a="1"/>
  <c r="BR17" i="72" s="1"/>
  <c r="AF77" i="72" a="1"/>
  <c r="AF77" i="72" s="1"/>
  <c r="BB77" i="72" s="1" a="1"/>
  <c r="BB77" i="72" s="1"/>
  <c r="L57" i="72"/>
  <c r="BT57" i="72"/>
  <c r="AF91" i="72" a="1"/>
  <c r="AF91" i="72" s="1"/>
  <c r="AY91" i="72" s="1" a="1"/>
  <c r="AY91" i="72" s="1"/>
  <c r="BT35" i="72"/>
  <c r="AT83" i="69" a="1"/>
  <c r="AT83" i="69" s="1"/>
  <c r="AE83" i="69" a="1"/>
  <c r="AE83" i="69" s="1"/>
  <c r="AL83" i="69" s="1" a="1"/>
  <c r="AL83" i="69" s="1"/>
  <c r="E27" i="72"/>
  <c r="AN59" i="72"/>
  <c r="AZ59" i="72" a="1"/>
  <c r="AZ59" i="72" s="1"/>
  <c r="AT12" i="69" a="1"/>
  <c r="AT12" i="69" s="1"/>
  <c r="AZ40" i="72" a="1"/>
  <c r="AZ40" i="72" s="1"/>
  <c r="AE67" i="69" a="1"/>
  <c r="AE67" i="69" s="1"/>
  <c r="AH67" i="69" s="1" a="1"/>
  <c r="AH67" i="69" s="1"/>
  <c r="AN83" i="72"/>
  <c r="AE54" i="69" a="1"/>
  <c r="AE54" i="69" s="1"/>
  <c r="AV54" i="69" s="1" a="1"/>
  <c r="AV54" i="69" s="1"/>
  <c r="AT88" i="69" a="1"/>
  <c r="AT88" i="69" s="1"/>
  <c r="AF69" i="72" a="1"/>
  <c r="AF69" i="72" s="1"/>
  <c r="BB69" i="72" s="1" a="1"/>
  <c r="BB69" i="72" s="1"/>
  <c r="BN54" i="69"/>
  <c r="BF37" i="69"/>
  <c r="AN51" i="72"/>
  <c r="BI66" i="72"/>
  <c r="AN66" i="72"/>
  <c r="BK62" i="69"/>
  <c r="D24" i="72" a="1"/>
  <c r="D24" i="72" s="1"/>
  <c r="AZ24" i="72" a="1"/>
  <c r="AZ24" i="72" s="1"/>
  <c r="AF71" i="72" a="1"/>
  <c r="AF71" i="72" s="1"/>
  <c r="AG71" i="72" s="1" a="1"/>
  <c r="AG71" i="72" s="1"/>
  <c r="O37" i="72"/>
  <c r="AE49" i="69" a="1"/>
  <c r="AE49" i="69" s="1"/>
  <c r="E92" i="72"/>
  <c r="BU58" i="72"/>
  <c r="E20" i="69"/>
  <c r="BT62" i="72"/>
  <c r="BI13" i="72"/>
  <c r="BD59" i="4"/>
  <c r="BT7" i="72"/>
  <c r="I60" i="69"/>
  <c r="E43" i="69"/>
  <c r="BI21" i="72"/>
  <c r="G78" i="69"/>
  <c r="F588" i="15" a="1"/>
  <c r="F588" i="15" s="1"/>
  <c r="BP20" i="72"/>
  <c r="BS20" i="72" s="1"/>
  <c r="E14" i="69"/>
  <c r="AZ41" i="72" a="1"/>
  <c r="AZ41" i="72" s="1"/>
  <c r="BT39" i="72"/>
  <c r="BN64" i="69"/>
  <c r="BT34" i="72"/>
  <c r="AF34" i="72" a="1"/>
  <c r="AF34" i="72" s="1"/>
  <c r="BB34" i="72" s="1" a="1"/>
  <c r="BB34" i="72" s="1"/>
  <c r="AZ17" i="72" a="1"/>
  <c r="AZ17" i="72" s="1"/>
  <c r="H258" i="15" a="1"/>
  <c r="H258" i="15" s="1"/>
  <c r="AT89" i="69" a="1"/>
  <c r="AT89" i="69" s="1"/>
  <c r="AT87" i="69" a="1"/>
  <c r="AT87" i="69" s="1"/>
  <c r="BI5" i="72"/>
  <c r="BJ47" i="72"/>
  <c r="BI91" i="72"/>
  <c r="F154" i="15" a="1"/>
  <c r="F154" i="15" s="1"/>
  <c r="I154" i="15" s="1" a="1"/>
  <c r="I154" i="15" s="1"/>
  <c r="BR52" i="72" a="1"/>
  <c r="BR52" i="72" s="1"/>
  <c r="BT52" i="72"/>
  <c r="AE76" i="69" a="1"/>
  <c r="AE76" i="69" s="1"/>
  <c r="BI76" i="69" s="1" a="1"/>
  <c r="BI76" i="69" s="1"/>
  <c r="AE77" i="69" a="1"/>
  <c r="AE77" i="69" s="1"/>
  <c r="AF77" i="69" s="1" a="1"/>
  <c r="AF77" i="69" s="1"/>
  <c r="E6" i="69"/>
  <c r="AI12" i="72"/>
  <c r="BI12" i="72"/>
  <c r="E32" i="72"/>
  <c r="BC53" i="69"/>
  <c r="AT53" i="69" a="1"/>
  <c r="AT53" i="69" s="1"/>
  <c r="BJ55" i="4"/>
  <c r="BJ97" i="4" s="1"/>
  <c r="DF55" i="4"/>
  <c r="BI55" i="4"/>
  <c r="BK55" i="4"/>
  <c r="BA103" i="4" s="1"/>
  <c r="Z1772" i="13" s="1"/>
  <c r="AY24" i="72" a="1"/>
  <c r="AY24" i="72" s="1"/>
  <c r="AM24" i="72" a="1"/>
  <c r="AM24" i="72" s="1"/>
  <c r="AV24" i="72" a="1"/>
  <c r="AV24" i="72" s="1"/>
  <c r="AR24" i="72" a="1"/>
  <c r="AR24" i="72" s="1"/>
  <c r="BB24" i="72" a="1"/>
  <c r="BB24" i="72" s="1"/>
  <c r="AG24" i="72" a="1"/>
  <c r="AG24" i="72" s="1"/>
  <c r="BA24" i="72" a="1"/>
  <c r="BA24" i="72" s="1"/>
  <c r="AU22" i="69" a="1"/>
  <c r="AU22" i="69" s="1"/>
  <c r="AH22" i="69" a="1"/>
  <c r="AH22" i="69" s="1"/>
  <c r="AF22" i="69" a="1"/>
  <c r="AF22" i="69" s="1"/>
  <c r="AV22" i="69" a="1"/>
  <c r="AV22" i="69" s="1"/>
  <c r="AL22" i="69" a="1"/>
  <c r="AL22" i="69" s="1"/>
  <c r="AJ22" i="69" a="1"/>
  <c r="AJ22" i="69" s="1"/>
  <c r="AP22" i="69" a="1"/>
  <c r="AP22" i="69" s="1"/>
  <c r="AS22" i="69" a="1"/>
  <c r="AS22" i="69" s="1"/>
  <c r="AP6" i="72" a="1"/>
  <c r="AP6" i="72" s="1"/>
  <c r="AR6" i="72" a="1"/>
  <c r="AR6" i="72" s="1"/>
  <c r="AM6" i="72" a="1"/>
  <c r="AM6" i="72" s="1"/>
  <c r="AV6" i="72" a="1"/>
  <c r="AV6" i="72" s="1"/>
  <c r="BA6" i="72" a="1"/>
  <c r="BA6" i="72" s="1"/>
  <c r="BB6" i="72" a="1"/>
  <c r="BB6" i="72" s="1"/>
  <c r="AG6" i="72" a="1"/>
  <c r="AG6" i="72" s="1"/>
  <c r="AY6" i="72" a="1"/>
  <c r="AY6" i="72" s="1"/>
  <c r="I215" i="15" a="1"/>
  <c r="I215" i="15" s="1"/>
  <c r="AS8" i="69" a="1"/>
  <c r="AS8" i="69" s="1"/>
  <c r="AH8" i="69" a="1"/>
  <c r="AH8" i="69" s="1"/>
  <c r="BA35" i="72" a="1"/>
  <c r="BA35" i="72" s="1"/>
  <c r="AP35" i="72" a="1"/>
  <c r="AP35" i="72" s="1"/>
  <c r="AM35" i="72" a="1"/>
  <c r="AM35" i="72" s="1"/>
  <c r="AR35" i="72" a="1"/>
  <c r="AR35" i="72" s="1"/>
  <c r="AG35" i="72" a="1"/>
  <c r="AG35" i="72" s="1"/>
  <c r="BB35" i="72" a="1"/>
  <c r="BB35" i="72" s="1"/>
  <c r="AV35" i="72" a="1"/>
  <c r="AV35" i="72" s="1"/>
  <c r="AY35" i="72" a="1"/>
  <c r="AY35" i="72" s="1"/>
  <c r="I131" i="15" a="1"/>
  <c r="I131" i="15" s="1"/>
  <c r="O18" i="72"/>
  <c r="O18" i="69"/>
  <c r="BL18" i="72"/>
  <c r="BF18" i="69"/>
  <c r="AV40" i="72" a="1"/>
  <c r="AV40" i="72" s="1"/>
  <c r="AM40" i="72" a="1"/>
  <c r="AM40" i="72" s="1"/>
  <c r="AR40" i="72" a="1"/>
  <c r="AR40" i="72" s="1"/>
  <c r="AP40" i="72" a="1"/>
  <c r="AP40" i="72" s="1"/>
  <c r="BA40" i="72" a="1"/>
  <c r="BA40" i="72" s="1"/>
  <c r="BB40" i="72" a="1"/>
  <c r="BB40" i="72" s="1"/>
  <c r="AY40" i="72" a="1"/>
  <c r="AY40" i="72" s="1"/>
  <c r="I433" i="15" a="1"/>
  <c r="I433" i="15" s="1"/>
  <c r="I210" i="15" a="1"/>
  <c r="I210" i="15" s="1"/>
  <c r="BF54" i="69"/>
  <c r="BL54" i="72"/>
  <c r="AD54" i="69"/>
  <c r="O54" i="69"/>
  <c r="O54" i="72"/>
  <c r="AJ20" i="69" a="1"/>
  <c r="AJ20" i="69" s="1"/>
  <c r="AU20" i="69" a="1"/>
  <c r="AU20" i="69" s="1"/>
  <c r="AV20" i="69" a="1"/>
  <c r="AV20" i="69" s="1"/>
  <c r="AP20" i="69" a="1"/>
  <c r="AP20" i="69" s="1"/>
  <c r="AH20" i="69" a="1"/>
  <c r="AH20" i="69" s="1"/>
  <c r="AL20" i="69" a="1"/>
  <c r="AL20" i="69" s="1"/>
  <c r="AF20" i="69" a="1"/>
  <c r="AF20" i="69" s="1"/>
  <c r="AS20" i="69" a="1"/>
  <c r="AS20" i="69" s="1"/>
  <c r="AF17" i="69" a="1"/>
  <c r="AF17" i="69" s="1"/>
  <c r="AP17" i="69" a="1"/>
  <c r="AP17" i="69" s="1"/>
  <c r="AL17" i="69" a="1"/>
  <c r="AL17" i="69" s="1"/>
  <c r="AV17" i="69" a="1"/>
  <c r="AV17" i="69" s="1"/>
  <c r="AJ17" i="69" a="1"/>
  <c r="AJ17" i="69" s="1"/>
  <c r="AH17" i="69" a="1"/>
  <c r="AH17" i="69" s="1"/>
  <c r="AU17" i="69" a="1"/>
  <c r="AU17" i="69" s="1"/>
  <c r="AS17" i="69" a="1"/>
  <c r="AS17" i="69" s="1"/>
  <c r="AR20" i="72" a="1"/>
  <c r="AR20" i="72" s="1"/>
  <c r="BB20" i="72" a="1"/>
  <c r="BB20" i="72" s="1"/>
  <c r="AP20" i="72" a="1"/>
  <c r="AP20" i="72" s="1"/>
  <c r="BA20" i="72" a="1"/>
  <c r="BA20" i="72" s="1"/>
  <c r="AV20" i="72" a="1"/>
  <c r="AV20" i="72" s="1"/>
  <c r="AM20" i="72" a="1"/>
  <c r="AM20" i="72" s="1"/>
  <c r="AG20" i="72" a="1"/>
  <c r="AG20" i="72" s="1"/>
  <c r="AY20" i="72" a="1"/>
  <c r="AY20" i="72" s="1"/>
  <c r="I509" i="15" a="1"/>
  <c r="I509" i="15" s="1"/>
  <c r="AO87" i="69" a="1"/>
  <c r="AO87" i="69" s="1"/>
  <c r="AH87" i="69" a="1"/>
  <c r="AH87" i="69" s="1"/>
  <c r="AP87" i="69" a="1"/>
  <c r="AP87" i="69" s="1"/>
  <c r="AL87" i="69" a="1"/>
  <c r="AL87" i="69" s="1"/>
  <c r="AJ87" i="69" a="1"/>
  <c r="AJ87" i="69" s="1"/>
  <c r="AV87" i="69" a="1"/>
  <c r="AV87" i="69" s="1"/>
  <c r="AU87" i="69" a="1"/>
  <c r="AU87" i="69" s="1"/>
  <c r="AS87" i="69" a="1"/>
  <c r="AS87" i="69" s="1"/>
  <c r="AP52" i="72" a="1"/>
  <c r="AP52" i="72" s="1"/>
  <c r="AR52" i="72" a="1"/>
  <c r="AR52" i="72" s="1"/>
  <c r="AG52" i="72" a="1"/>
  <c r="AG52" i="72" s="1"/>
  <c r="BB52" i="72" a="1"/>
  <c r="BB52" i="72" s="1"/>
  <c r="AV52" i="72" a="1"/>
  <c r="AV52" i="72" s="1"/>
  <c r="AM52" i="72" a="1"/>
  <c r="AM52" i="72" s="1"/>
  <c r="AY52" i="72" a="1"/>
  <c r="AY52" i="72" s="1"/>
  <c r="AU65" i="72" a="1"/>
  <c r="AU65" i="72" s="1"/>
  <c r="BA65" i="72" a="1"/>
  <c r="BA65" i="72" s="1"/>
  <c r="AV65" i="72" a="1"/>
  <c r="AV65" i="72" s="1"/>
  <c r="AG65" i="72" a="1"/>
  <c r="AG65" i="72" s="1"/>
  <c r="AR65" i="72" a="1"/>
  <c r="AR65" i="72" s="1"/>
  <c r="AP65" i="72" a="1"/>
  <c r="AP65" i="72" s="1"/>
  <c r="AM65" i="72" a="1"/>
  <c r="AM65" i="72" s="1"/>
  <c r="BB65" i="72" a="1"/>
  <c r="BB65" i="72" s="1"/>
  <c r="AY65" i="72" a="1"/>
  <c r="AY65" i="72" s="1"/>
  <c r="AY28" i="72" a="1"/>
  <c r="AY28" i="72" s="1"/>
  <c r="AM28" i="72" a="1"/>
  <c r="AM28" i="72" s="1"/>
  <c r="BB28" i="72" a="1"/>
  <c r="BB28" i="72" s="1"/>
  <c r="AV28" i="72" a="1"/>
  <c r="AV28" i="72" s="1"/>
  <c r="AR28" i="72" a="1"/>
  <c r="AR28" i="72" s="1"/>
  <c r="AG28" i="72" a="1"/>
  <c r="AG28" i="72" s="1"/>
  <c r="AP28" i="72" a="1"/>
  <c r="AP28" i="72" s="1"/>
  <c r="BA28" i="72" a="1"/>
  <c r="BA28" i="72" s="1"/>
  <c r="BI50" i="69" a="1"/>
  <c r="BI50" i="69" s="1"/>
  <c r="AF50" i="69" a="1"/>
  <c r="AF50" i="69" s="1"/>
  <c r="AL50" i="69" a="1"/>
  <c r="AL50" i="69" s="1"/>
  <c r="AU50" i="69" a="1"/>
  <c r="AU50" i="69" s="1"/>
  <c r="AH50" i="69" a="1"/>
  <c r="AH50" i="69" s="1"/>
  <c r="AP50" i="69" a="1"/>
  <c r="AP50" i="69" s="1"/>
  <c r="AV50" i="69" a="1"/>
  <c r="AV50" i="69" s="1"/>
  <c r="AS50" i="69" a="1"/>
  <c r="AS50" i="69" s="1"/>
  <c r="AR66" i="72" a="1"/>
  <c r="AR66" i="72" s="1"/>
  <c r="AP66" i="72" a="1"/>
  <c r="AP66" i="72" s="1"/>
  <c r="AM66" i="72" a="1"/>
  <c r="AM66" i="72" s="1"/>
  <c r="BA66" i="72" a="1"/>
  <c r="BA66" i="72" s="1"/>
  <c r="AY66" i="72" a="1"/>
  <c r="AY66" i="72" s="1"/>
  <c r="AV62" i="72" a="1"/>
  <c r="AV62" i="72" s="1"/>
  <c r="AR62" i="72" a="1"/>
  <c r="AR62" i="72" s="1"/>
  <c r="BA62" i="72" a="1"/>
  <c r="BA62" i="72" s="1"/>
  <c r="AM62" i="72" a="1"/>
  <c r="AM62" i="72" s="1"/>
  <c r="AP62" i="72" a="1"/>
  <c r="AP62" i="72" s="1"/>
  <c r="AL71" i="69" a="1"/>
  <c r="AL71" i="69" s="1"/>
  <c r="AH71" i="69" a="1"/>
  <c r="AH71" i="69" s="1"/>
  <c r="AP71" i="69" a="1"/>
  <c r="AP71" i="69" s="1"/>
  <c r="AV71" i="69" a="1"/>
  <c r="AV71" i="69" s="1"/>
  <c r="AU71" i="69" a="1"/>
  <c r="AU71" i="69" s="1"/>
  <c r="AF71" i="69" a="1"/>
  <c r="AF71" i="69" s="1"/>
  <c r="AJ71" i="69" a="1"/>
  <c r="AJ71" i="69" s="1"/>
  <c r="AS71" i="69" a="1"/>
  <c r="AS71" i="69" s="1"/>
  <c r="O8" i="69"/>
  <c r="BL8" i="72"/>
  <c r="O8" i="72"/>
  <c r="BF8" i="69"/>
  <c r="BA61" i="72" a="1"/>
  <c r="BA61" i="72" s="1"/>
  <c r="BB61" i="72" a="1"/>
  <c r="BB61" i="72" s="1"/>
  <c r="AV61" i="72" a="1"/>
  <c r="AV61" i="72" s="1"/>
  <c r="AM61" i="72" a="1"/>
  <c r="AM61" i="72" s="1"/>
  <c r="AR61" i="72" a="1"/>
  <c r="AR61" i="72" s="1"/>
  <c r="AY61" i="72" a="1"/>
  <c r="AY61" i="72" s="1"/>
  <c r="AF34" i="69" a="1"/>
  <c r="AF34" i="69" s="1"/>
  <c r="AP34" i="69" a="1"/>
  <c r="AP34" i="69" s="1"/>
  <c r="AH34" i="69" a="1"/>
  <c r="AH34" i="69" s="1"/>
  <c r="AU34" i="69" a="1"/>
  <c r="AU34" i="69" s="1"/>
  <c r="AL34" i="69" a="1"/>
  <c r="AL34" i="69" s="1"/>
  <c r="AV34" i="69" a="1"/>
  <c r="AV34" i="69" s="1"/>
  <c r="AS34" i="69" a="1"/>
  <c r="AS34" i="69" s="1"/>
  <c r="AP26" i="69" a="1"/>
  <c r="AP26" i="69" s="1"/>
  <c r="AF26" i="69" a="1"/>
  <c r="AF26" i="69" s="1"/>
  <c r="AU26" i="69" a="1"/>
  <c r="AU26" i="69" s="1"/>
  <c r="AL26" i="69" a="1"/>
  <c r="AL26" i="69" s="1"/>
  <c r="AV26" i="69" a="1"/>
  <c r="AV26" i="69" s="1"/>
  <c r="AJ26" i="69" a="1"/>
  <c r="AJ26" i="69" s="1"/>
  <c r="AH26" i="69" a="1"/>
  <c r="AH26" i="69" s="1"/>
  <c r="AS26" i="69" a="1"/>
  <c r="AS26" i="69" s="1"/>
  <c r="O5" i="72"/>
  <c r="BL5" i="72"/>
  <c r="BF5" i="69"/>
  <c r="O5" i="69"/>
  <c r="AP86" i="69" a="1"/>
  <c r="AP86" i="69" s="1"/>
  <c r="AF86" i="69" a="1"/>
  <c r="AF86" i="69" s="1"/>
  <c r="AV86" i="69" a="1"/>
  <c r="AV86" i="69" s="1"/>
  <c r="AU86" i="69" a="1"/>
  <c r="AU86" i="69" s="1"/>
  <c r="AL86" i="69" a="1"/>
  <c r="AL86" i="69" s="1"/>
  <c r="AH86" i="69" a="1"/>
  <c r="AH86" i="69" s="1"/>
  <c r="AS86" i="69" a="1"/>
  <c r="AS86" i="69" s="1"/>
  <c r="O43" i="72"/>
  <c r="AD43" i="69"/>
  <c r="AE43" i="72"/>
  <c r="BL43" i="72"/>
  <c r="O43" i="69"/>
  <c r="BF43" i="69"/>
  <c r="AH33" i="69" a="1"/>
  <c r="AH33" i="69" s="1"/>
  <c r="AS33" i="69" a="1"/>
  <c r="AS33" i="69" s="1"/>
  <c r="AP15" i="69" a="1"/>
  <c r="AP15" i="69" s="1"/>
  <c r="AH15" i="69" a="1"/>
  <c r="AH15" i="69" s="1"/>
  <c r="AS15" i="69" a="1"/>
  <c r="AS15" i="69" s="1"/>
  <c r="AH30" i="69" a="1"/>
  <c r="AH30" i="69" s="1"/>
  <c r="AF30" i="69" a="1"/>
  <c r="AF30" i="69" s="1"/>
  <c r="AU30" i="69" a="1"/>
  <c r="AU30" i="69" s="1"/>
  <c r="AL30" i="69" a="1"/>
  <c r="AL30" i="69" s="1"/>
  <c r="AJ30" i="69" a="1"/>
  <c r="AJ30" i="69" s="1"/>
  <c r="AJ84" i="69" a="1"/>
  <c r="AJ84" i="69" s="1"/>
  <c r="AV84" i="69" a="1"/>
  <c r="AV84" i="69" s="1"/>
  <c r="AU84" i="69" a="1"/>
  <c r="AU84" i="69" s="1"/>
  <c r="AS84" i="69" a="1"/>
  <c r="AS84" i="69" s="1"/>
  <c r="AM54" i="72" a="1"/>
  <c r="AM54" i="72" s="1"/>
  <c r="BQ90" i="72"/>
  <c r="AO90" i="72"/>
  <c r="BN90" i="72" a="1"/>
  <c r="BN90" i="72" s="1"/>
  <c r="AJ90" i="72"/>
  <c r="BE90" i="72"/>
  <c r="BH90" i="72"/>
  <c r="R90" i="72"/>
  <c r="BU90" i="72"/>
  <c r="BW90" i="72"/>
  <c r="BK28" i="69"/>
  <c r="BB28" i="69"/>
  <c r="AY28" i="69"/>
  <c r="BH28" i="69" a="1"/>
  <c r="BH28" i="69" s="1"/>
  <c r="BO28" i="69"/>
  <c r="R28" i="69"/>
  <c r="AZ69" i="72" a="1"/>
  <c r="AZ69" i="72" s="1"/>
  <c r="Z1540" i="13"/>
  <c r="AV1436" i="13"/>
  <c r="AX1436" i="13"/>
  <c r="A1535" i="13"/>
  <c r="BK18" i="69"/>
  <c r="BO18" i="69"/>
  <c r="R18" i="69"/>
  <c r="BB18" i="69"/>
  <c r="AY18" i="69"/>
  <c r="BH18" i="69" a="1"/>
  <c r="BH18" i="69" s="1"/>
  <c r="Z1579" i="13"/>
  <c r="AX1475" i="13"/>
  <c r="A1574" i="13"/>
  <c r="AV1475" i="13"/>
  <c r="I261" i="15" a="1"/>
  <c r="I261" i="15" s="1"/>
  <c r="D33" i="72" a="1"/>
  <c r="D33" i="72" s="1"/>
  <c r="AZ38" i="72" a="1"/>
  <c r="AZ38" i="72" s="1"/>
  <c r="BG38" i="72"/>
  <c r="AK38" i="72"/>
  <c r="BF38" i="72"/>
  <c r="AL38" i="72" s="1"/>
  <c r="BW38" i="72"/>
  <c r="AU38" i="72" a="1"/>
  <c r="AU38" i="72" s="1"/>
  <c r="DV68" i="4"/>
  <c r="BL68" i="4"/>
  <c r="AV570" i="13"/>
  <c r="BH68" i="4"/>
  <c r="BW67" i="72"/>
  <c r="BL92" i="69" a="1"/>
  <c r="BL92" i="69" s="1"/>
  <c r="AY92" i="69"/>
  <c r="R92" i="69"/>
  <c r="BO92" i="69"/>
  <c r="BB92" i="69"/>
  <c r="BH92" i="69" a="1"/>
  <c r="BH92" i="69" s="1"/>
  <c r="E66" i="69"/>
  <c r="D27" i="69" a="1"/>
  <c r="D27" i="69" s="1"/>
  <c r="E27" i="69"/>
  <c r="AV1449" i="13"/>
  <c r="AX1449" i="13"/>
  <c r="A1548" i="13"/>
  <c r="Z1553" i="13"/>
  <c r="Z1546" i="13"/>
  <c r="A1541" i="13"/>
  <c r="AV1442" i="13"/>
  <c r="AX1442" i="13"/>
  <c r="I461" i="15" a="1"/>
  <c r="I461" i="15" s="1"/>
  <c r="E40" i="69"/>
  <c r="L54" i="69"/>
  <c r="BQ54" i="69"/>
  <c r="AZ33" i="72" a="1"/>
  <c r="AZ33" i="72" s="1"/>
  <c r="AI33" i="72"/>
  <c r="E90" i="72"/>
  <c r="AJ67" i="72"/>
  <c r="D53" i="72" a="1"/>
  <c r="D53" i="72" s="1"/>
  <c r="BF53" i="72"/>
  <c r="AL53" i="72" s="1"/>
  <c r="BG53" i="72"/>
  <c r="AK53" i="72"/>
  <c r="BL53" i="72"/>
  <c r="AR69" i="4"/>
  <c r="AQ69" i="4"/>
  <c r="B92" i="69"/>
  <c r="AI51" i="72"/>
  <c r="BQ31" i="69"/>
  <c r="AO31" i="69" a="1"/>
  <c r="AO31" i="69" s="1"/>
  <c r="AZ88" i="69"/>
  <c r="BA88" i="69"/>
  <c r="I268" i="15" a="1"/>
  <c r="I268" i="15" s="1"/>
  <c r="BN66" i="72" a="1"/>
  <c r="BN66" i="72" s="1"/>
  <c r="BH66" i="72"/>
  <c r="AW66" i="72" s="1" a="1"/>
  <c r="AW66" i="72" s="1"/>
  <c r="R66" i="72"/>
  <c r="BU66" i="72"/>
  <c r="AJ66" i="72"/>
  <c r="AO66" i="72"/>
  <c r="BE66" i="72"/>
  <c r="AQ66" i="72" a="1"/>
  <c r="AQ66" i="72" s="1"/>
  <c r="BO66" i="72" a="1"/>
  <c r="BO66" i="72" s="1"/>
  <c r="BC62" i="69"/>
  <c r="AN24" i="72"/>
  <c r="H10" i="72"/>
  <c r="H10" i="69"/>
  <c r="F62" i="15" a="1"/>
  <c r="F62" i="15" s="1"/>
  <c r="H62" i="15" a="1"/>
  <c r="H62" i="15" s="1"/>
  <c r="L69" i="69"/>
  <c r="AT38" i="69" a="1"/>
  <c r="AT38" i="69" s="1"/>
  <c r="AQ16" i="4"/>
  <c r="AR16" i="4"/>
  <c r="D46" i="69" a="1"/>
  <c r="D46" i="69" s="1"/>
  <c r="AN31" i="72"/>
  <c r="BH72" i="4"/>
  <c r="BL37" i="72"/>
  <c r="S92" i="72"/>
  <c r="Z1573" i="13"/>
  <c r="AX1469" i="13"/>
  <c r="A1568" i="13"/>
  <c r="AI18" i="72"/>
  <c r="BJ18" i="72"/>
  <c r="BD20" i="69"/>
  <c r="I623" i="15" a="1"/>
  <c r="I623" i="15" s="1"/>
  <c r="E62" i="72"/>
  <c r="AX1426" i="13"/>
  <c r="AV1426" i="13"/>
  <c r="A1525" i="13"/>
  <c r="Z1530" i="13"/>
  <c r="Z1571" i="13"/>
  <c r="AX1467" i="13"/>
  <c r="AV1467" i="13"/>
  <c r="A1566" i="13"/>
  <c r="BB1769" i="13" a="1"/>
  <c r="BB1769" i="13" s="1"/>
  <c r="E79" i="72"/>
  <c r="AZ24" i="69"/>
  <c r="AG24" i="69" s="1" a="1"/>
  <c r="AG24" i="69" s="1"/>
  <c r="BA24" i="69"/>
  <c r="BK74" i="69"/>
  <c r="BJ74" i="69" s="1"/>
  <c r="BM74" i="69" s="1"/>
  <c r="Z1552" i="13"/>
  <c r="AV1448" i="13"/>
  <c r="AX1448" i="13"/>
  <c r="A1547" i="13"/>
  <c r="D15" i="69" a="1"/>
  <c r="D15" i="69" s="1"/>
  <c r="AX1409" i="13"/>
  <c r="AV1409" i="13"/>
  <c r="Z1513" i="13"/>
  <c r="A1508" i="13"/>
  <c r="BI68" i="72"/>
  <c r="BA79" i="69"/>
  <c r="AZ79" i="69"/>
  <c r="C65" i="69"/>
  <c r="D65" i="69" s="1" a="1"/>
  <c r="D65" i="69" s="1"/>
  <c r="H432" i="15" a="1"/>
  <c r="H432" i="15" s="1"/>
  <c r="I512" i="15" a="1"/>
  <c r="I512" i="15" s="1"/>
  <c r="D25" i="72" a="1"/>
  <c r="D25" i="72" s="1"/>
  <c r="BF25" i="72"/>
  <c r="AL25" i="72" s="1"/>
  <c r="AK25" i="72"/>
  <c r="BP25" i="72"/>
  <c r="BS25" i="72" s="1"/>
  <c r="BG25" i="72"/>
  <c r="AI74" i="72"/>
  <c r="BC70" i="69"/>
  <c r="A1571" i="13"/>
  <c r="AV1472" i="13"/>
  <c r="AX1472" i="13"/>
  <c r="Z1576" i="13"/>
  <c r="BW7" i="72"/>
  <c r="AR51" i="4"/>
  <c r="AQ51" i="4"/>
  <c r="AE68" i="69" a="1"/>
  <c r="AE68" i="69" s="1"/>
  <c r="AO68" i="69" s="1" a="1"/>
  <c r="AO68" i="69" s="1"/>
  <c r="BQ68" i="69"/>
  <c r="AZ21" i="72" a="1"/>
  <c r="AZ21" i="72" s="1"/>
  <c r="A1513" i="13"/>
  <c r="AV1414" i="13"/>
  <c r="AX1414" i="13"/>
  <c r="Z1518" i="13"/>
  <c r="BL3" i="72"/>
  <c r="O3" i="72"/>
  <c r="O3" i="69"/>
  <c r="BF3" i="69"/>
  <c r="AE3" i="72"/>
  <c r="AD3" i="69"/>
  <c r="BQ50" i="69"/>
  <c r="AO50" i="69" a="1"/>
  <c r="AO50" i="69" s="1"/>
  <c r="H490" i="15" a="1"/>
  <c r="H490" i="15" s="1"/>
  <c r="BR82" i="72" a="1"/>
  <c r="BR82" i="72" s="1"/>
  <c r="BU82" i="72"/>
  <c r="AO82" i="72"/>
  <c r="BE82" i="72"/>
  <c r="AP82" i="72" s="1" a="1"/>
  <c r="AP82" i="72" s="1"/>
  <c r="BO82" i="72" a="1"/>
  <c r="BO82" i="72" s="1"/>
  <c r="BN82" i="72" a="1"/>
  <c r="BN82" i="72" s="1"/>
  <c r="BH82" i="72"/>
  <c r="AW82" i="72" s="1" a="1"/>
  <c r="AW82" i="72" s="1"/>
  <c r="AQ82" i="72" a="1"/>
  <c r="AQ82" i="72" s="1"/>
  <c r="R82" i="72"/>
  <c r="AR8" i="4"/>
  <c r="AQ8" i="4"/>
  <c r="C7" i="69"/>
  <c r="D7" i="69" s="1" a="1"/>
  <c r="D7" i="69" s="1"/>
  <c r="AI85" i="72"/>
  <c r="AT72" i="69" a="1"/>
  <c r="AT72" i="69" s="1"/>
  <c r="C4" i="69"/>
  <c r="D4" i="69" s="1" a="1"/>
  <c r="D4" i="69" s="1"/>
  <c r="C4" i="72"/>
  <c r="D4" i="72" s="1" a="1"/>
  <c r="D4" i="72" s="1"/>
  <c r="AD41" i="69"/>
  <c r="AO41" i="69" a="1"/>
  <c r="AO41" i="69" s="1"/>
  <c r="BQ41" i="69"/>
  <c r="AZ20" i="72" a="1"/>
  <c r="AZ20" i="72" s="1"/>
  <c r="D22" i="69" a="1"/>
  <c r="D22" i="69" s="1"/>
  <c r="BQ22" i="69"/>
  <c r="AO22" i="69" a="1"/>
  <c r="AO22" i="69" s="1"/>
  <c r="BQ43" i="72"/>
  <c r="BP43" i="72" s="1"/>
  <c r="BS43" i="72" s="1"/>
  <c r="AN43" i="72"/>
  <c r="DD76" i="4" a="1"/>
  <c r="DD76" i="4" s="1"/>
  <c r="BC1768" i="13" a="1"/>
  <c r="BC1768" i="13" s="1"/>
  <c r="E78" i="72"/>
  <c r="BM5" i="4"/>
  <c r="I242" i="15" a="1"/>
  <c r="I242" i="15" s="1"/>
  <c r="B82" i="69"/>
  <c r="AV1451" i="13"/>
  <c r="AX1451" i="13"/>
  <c r="A1550" i="13"/>
  <c r="Z1555" i="13"/>
  <c r="BI73" i="72"/>
  <c r="I472" i="15" a="1"/>
  <c r="I472" i="15" s="1"/>
  <c r="AT14" i="69" a="1"/>
  <c r="AT14" i="69" s="1"/>
  <c r="AZ85" i="69"/>
  <c r="AG85" i="69" s="1" a="1"/>
  <c r="AG85" i="69" s="1"/>
  <c r="BA85" i="69"/>
  <c r="BK85" i="69"/>
  <c r="BJ85" i="69" s="1"/>
  <c r="BM85" i="69" s="1"/>
  <c r="BI85" i="69" a="1"/>
  <c r="BI85" i="69" s="1"/>
  <c r="BH85" i="69" a="1"/>
  <c r="BH85" i="69" s="1"/>
  <c r="AY85" i="69"/>
  <c r="R85" i="69"/>
  <c r="BB85" i="69"/>
  <c r="AQ85" i="69" s="1" a="1"/>
  <c r="AQ85" i="69" s="1"/>
  <c r="BO85" i="69"/>
  <c r="AK85" i="69" a="1"/>
  <c r="AK85" i="69" s="1"/>
  <c r="BI41" i="72"/>
  <c r="BC63" i="69"/>
  <c r="AI63" i="72"/>
  <c r="F479" i="15" a="1"/>
  <c r="F479" i="15" s="1"/>
  <c r="H479" i="15" a="1"/>
  <c r="H479" i="15" s="1"/>
  <c r="BG58" i="72"/>
  <c r="BL11" i="69" a="1"/>
  <c r="BL11" i="69" s="1"/>
  <c r="E11" i="69"/>
  <c r="BD77" i="4"/>
  <c r="X77" i="4" s="1"/>
  <c r="H26" i="69"/>
  <c r="BB1766" i="13" a="1"/>
  <c r="BB1766" i="13" s="1"/>
  <c r="I281" i="15" a="1"/>
  <c r="I281" i="15" s="1"/>
  <c r="E30" i="69"/>
  <c r="AO30" i="69" a="1"/>
  <c r="AO30" i="69" s="1"/>
  <c r="BQ30" i="69"/>
  <c r="AQ40" i="4"/>
  <c r="AR40" i="4"/>
  <c r="F540" i="15" a="1"/>
  <c r="F540" i="15" s="1"/>
  <c r="BJ61" i="69"/>
  <c r="BM61" i="69" s="1"/>
  <c r="BA61" i="69"/>
  <c r="AZ61" i="69"/>
  <c r="AI61" i="69" s="1" a="1"/>
  <c r="AI61" i="69" s="1"/>
  <c r="AK14" i="72"/>
  <c r="BF14" i="72"/>
  <c r="BG14" i="72"/>
  <c r="BP14" i="72"/>
  <c r="BS14" i="72" s="1"/>
  <c r="AD75" i="69"/>
  <c r="A1587" i="13"/>
  <c r="AV1488" i="13"/>
  <c r="AX1488" i="13"/>
  <c r="I58" i="72"/>
  <c r="I58" i="69"/>
  <c r="D8" i="69" a="1"/>
  <c r="D8" i="69" s="1"/>
  <c r="AR59" i="4"/>
  <c r="AQ59" i="4"/>
  <c r="AN11" i="72"/>
  <c r="AE26" i="72"/>
  <c r="I62" i="72"/>
  <c r="I62" i="69"/>
  <c r="F191" i="15" a="1"/>
  <c r="F191" i="15" s="1"/>
  <c r="BL30" i="72"/>
  <c r="H498" i="15" a="1"/>
  <c r="H498" i="15" s="1"/>
  <c r="K29" i="69" a="1"/>
  <c r="K29" i="69" s="1"/>
  <c r="BH29" i="69" a="1"/>
  <c r="BH29" i="69" s="1"/>
  <c r="BO29" i="69"/>
  <c r="R29" i="69"/>
  <c r="BB29" i="69"/>
  <c r="AY29" i="69"/>
  <c r="E64" i="69"/>
  <c r="Z1535" i="13"/>
  <c r="AX1431" i="13"/>
  <c r="AV1431" i="13"/>
  <c r="A1530" i="13"/>
  <c r="AT39" i="69" a="1"/>
  <c r="AT39" i="69" s="1"/>
  <c r="AD39" i="69"/>
  <c r="AI56" i="72"/>
  <c r="BR8" i="72" a="1"/>
  <c r="BR8" i="72" s="1"/>
  <c r="AK8" i="72"/>
  <c r="BF8" i="72"/>
  <c r="AL8" i="72" s="1"/>
  <c r="BG8" i="72"/>
  <c r="BD81" i="4"/>
  <c r="BC19" i="69"/>
  <c r="K34" i="72" a="1"/>
  <c r="K34" i="72" s="1"/>
  <c r="I442" i="15" a="1"/>
  <c r="I442" i="15" s="1"/>
  <c r="BI87" i="72"/>
  <c r="O36" i="72"/>
  <c r="L5" i="69"/>
  <c r="H17" i="72"/>
  <c r="O47" i="69"/>
  <c r="DD67" i="4" a="1"/>
  <c r="DD67" i="4" s="1"/>
  <c r="BI84" i="72"/>
  <c r="F81" i="15" a="1"/>
  <c r="F81" i="15" s="1"/>
  <c r="K540" i="15" a="1"/>
  <c r="K540" i="15" s="1"/>
  <c r="A1569" i="13"/>
  <c r="Z1574" i="13"/>
  <c r="AX1470" i="13"/>
  <c r="L89" i="69"/>
  <c r="BQ89" i="69"/>
  <c r="AR19" i="4"/>
  <c r="AQ19" i="4"/>
  <c r="AZ29" i="72" a="1"/>
  <c r="AZ29" i="72" s="1"/>
  <c r="BW29" i="72"/>
  <c r="AN29" i="72"/>
  <c r="AJ77" i="72"/>
  <c r="E77" i="72"/>
  <c r="AN42" i="72"/>
  <c r="E42" i="72"/>
  <c r="BQ35" i="69"/>
  <c r="BK35" i="69"/>
  <c r="BJ35" i="69" s="1"/>
  <c r="BM35" i="69" s="1"/>
  <c r="R35" i="69"/>
  <c r="BO35" i="69"/>
  <c r="AY35" i="69"/>
  <c r="BB35" i="69"/>
  <c r="BH35" i="69" a="1"/>
  <c r="BH35" i="69" s="1"/>
  <c r="AD16" i="69"/>
  <c r="C16" i="69"/>
  <c r="D16" i="69" s="1" a="1"/>
  <c r="D16" i="69" s="1"/>
  <c r="BD16" i="69"/>
  <c r="BF36" i="69"/>
  <c r="BJ5" i="72"/>
  <c r="BL47" i="72"/>
  <c r="G91" i="72"/>
  <c r="L52" i="72"/>
  <c r="BK48" i="69"/>
  <c r="BJ48" i="69" s="1"/>
  <c r="BM48" i="69" s="1"/>
  <c r="U76" i="69" a="1"/>
  <c r="U76" i="69" s="1"/>
  <c r="BC6" i="69"/>
  <c r="BL81" i="69" a="1"/>
  <c r="BL81" i="69" s="1"/>
  <c r="F223" i="15" a="1"/>
  <c r="F223" i="15" s="1"/>
  <c r="BK42" i="69"/>
  <c r="BJ42" i="69" s="1"/>
  <c r="BM42" i="69" s="1"/>
  <c r="AZ35" i="72" a="1"/>
  <c r="AZ35" i="72" s="1"/>
  <c r="I634" i="15" a="1"/>
  <c r="I634" i="15" s="1"/>
  <c r="BW12" i="72"/>
  <c r="E12" i="72"/>
  <c r="BK32" i="69"/>
  <c r="F89" i="69"/>
  <c r="F89" i="72"/>
  <c r="E48" i="72"/>
  <c r="BW48" i="72"/>
  <c r="U76" i="72" a="1"/>
  <c r="U76" i="72" s="1"/>
  <c r="BG76" i="72"/>
  <c r="AK76" i="72"/>
  <c r="BP76" i="72"/>
  <c r="BS76" i="72" s="1"/>
  <c r="BF76" i="72"/>
  <c r="AL76" i="72" s="1"/>
  <c r="S76" i="72"/>
  <c r="O6" i="72"/>
  <c r="AN81" i="72"/>
  <c r="AQ33" i="4"/>
  <c r="AR33" i="4"/>
  <c r="AZ27" i="72" a="1"/>
  <c r="AZ27" i="72" s="1"/>
  <c r="BP59" i="72"/>
  <c r="BS59" i="72" s="1"/>
  <c r="AI59" i="72"/>
  <c r="BQ12" i="69"/>
  <c r="Z1590" i="13"/>
  <c r="AX1486" i="13"/>
  <c r="A1585" i="13"/>
  <c r="K32" i="72" a="1"/>
  <c r="K32" i="72" s="1"/>
  <c r="AI32" i="72"/>
  <c r="BO32" i="72" a="1"/>
  <c r="BO32" i="72" s="1"/>
  <c r="AJ32" i="72"/>
  <c r="R32" i="72"/>
  <c r="AL32" i="72"/>
  <c r="AO32" i="72"/>
  <c r="BH32" i="72"/>
  <c r="AX32" i="72" s="1" a="1"/>
  <c r="AX32" i="72" s="1"/>
  <c r="BU32" i="72"/>
  <c r="BE32" i="72"/>
  <c r="BN32" i="72" a="1"/>
  <c r="BN32" i="72" s="1"/>
  <c r="AQ32" i="72" a="1"/>
  <c r="AQ32" i="72" s="1"/>
  <c r="BJ40" i="72"/>
  <c r="AO40" i="72"/>
  <c r="BE40" i="72"/>
  <c r="R40" i="72"/>
  <c r="AQ40" i="72" a="1"/>
  <c r="AQ40" i="72" s="1"/>
  <c r="BH40" i="72"/>
  <c r="AW40" i="72" s="1" a="1"/>
  <c r="AW40" i="72" s="1"/>
  <c r="BN40" i="72" a="1"/>
  <c r="BN40" i="72" s="1"/>
  <c r="AJ40" i="72"/>
  <c r="BO40" i="72" a="1"/>
  <c r="BO40" i="72" s="1"/>
  <c r="BU40" i="72"/>
  <c r="BJ54" i="72"/>
  <c r="K33" i="69" a="1"/>
  <c r="K33" i="69" s="1"/>
  <c r="BD33" i="69"/>
  <c r="E90" i="69"/>
  <c r="AO90" i="69" a="1"/>
  <c r="AO90" i="69" s="1"/>
  <c r="BQ90" i="69"/>
  <c r="BD67" i="69"/>
  <c r="AO67" i="69" a="1"/>
  <c r="AO67" i="69" s="1"/>
  <c r="BQ67" i="69"/>
  <c r="BR83" i="72" a="1"/>
  <c r="BR83" i="72" s="1"/>
  <c r="BU83" i="72"/>
  <c r="BH83" i="72"/>
  <c r="AO83" i="72"/>
  <c r="BE83" i="72"/>
  <c r="R83" i="72"/>
  <c r="BN83" i="72" a="1"/>
  <c r="BN83" i="72" s="1"/>
  <c r="AJ83" i="72"/>
  <c r="BG83" i="72"/>
  <c r="BF83" i="72"/>
  <c r="AL83" i="72" s="1"/>
  <c r="AK83" i="72"/>
  <c r="AI58" i="69" a="1"/>
  <c r="AI58" i="69" s="1"/>
  <c r="X87" i="4"/>
  <c r="BR87" i="4"/>
  <c r="AD87" i="69" s="1"/>
  <c r="BG87" i="4"/>
  <c r="AV1185" i="13" s="1"/>
  <c r="L87" i="4"/>
  <c r="BG73" i="4"/>
  <c r="AV1171" i="13" s="1"/>
  <c r="BR73" i="4"/>
  <c r="L73" i="4"/>
  <c r="BF59" i="4"/>
  <c r="BF74" i="4"/>
  <c r="BG79" i="4"/>
  <c r="AV1177" i="13" s="1"/>
  <c r="L79" i="4"/>
  <c r="X23" i="4"/>
  <c r="BR23" i="4"/>
  <c r="BL23" i="72" s="1"/>
  <c r="BG23" i="4"/>
  <c r="AV1121" i="13" s="1"/>
  <c r="BH101" i="4"/>
  <c r="BK97" i="4"/>
  <c r="BC106" i="4" s="1"/>
  <c r="BQ194" i="4"/>
  <c r="BF85" i="4"/>
  <c r="I500" i="15" a="1"/>
  <c r="I500" i="15" s="1"/>
  <c r="BB66" i="69"/>
  <c r="AQ66" i="69" s="1" a="1"/>
  <c r="AQ66" i="69" s="1"/>
  <c r="AY66" i="69"/>
  <c r="R66" i="69"/>
  <c r="BO66" i="69"/>
  <c r="BH66" i="69" a="1"/>
  <c r="BH66" i="69" s="1"/>
  <c r="AK66" i="69" a="1"/>
  <c r="AK66" i="69" s="1"/>
  <c r="BI66" i="69" a="1"/>
  <c r="BI66" i="69" s="1"/>
  <c r="I269" i="15" a="1"/>
  <c r="I269" i="15" s="1"/>
  <c r="H279" i="15" a="1"/>
  <c r="H279" i="15" s="1"/>
  <c r="F279" i="15" a="1"/>
  <c r="F279" i="15" s="1"/>
  <c r="R67" i="72"/>
  <c r="AO67" i="72"/>
  <c r="BN67" i="72" a="1"/>
  <c r="BN67" i="72" s="1"/>
  <c r="BU67" i="72"/>
  <c r="BE67" i="72"/>
  <c r="BH67" i="72"/>
  <c r="BN49" i="72" a="1"/>
  <c r="BN49" i="72" s="1"/>
  <c r="BE49" i="72"/>
  <c r="R49" i="72"/>
  <c r="AJ49" i="72"/>
  <c r="BU49" i="72"/>
  <c r="BH49" i="72"/>
  <c r="AO49" i="72"/>
  <c r="Z1568" i="13"/>
  <c r="A1563" i="13"/>
  <c r="AX1464" i="13"/>
  <c r="AK80" i="72"/>
  <c r="BF80" i="72"/>
  <c r="BG80" i="72"/>
  <c r="BP80" i="72"/>
  <c r="BS80" i="72" s="1"/>
  <c r="H538" i="15" a="1"/>
  <c r="H538" i="15" s="1"/>
  <c r="AR28" i="4"/>
  <c r="AQ28" i="4"/>
  <c r="AO38" i="69" a="1"/>
  <c r="AO38" i="69" s="1"/>
  <c r="BQ38" i="69"/>
  <c r="BW37" i="72"/>
  <c r="AU37" i="72" a="1"/>
  <c r="AU37" i="72" s="1"/>
  <c r="BI51" i="69" a="1"/>
  <c r="BI51" i="69" s="1"/>
  <c r="AL51" i="69" a="1"/>
  <c r="AL51" i="69" s="1"/>
  <c r="AJ51" i="69" a="1"/>
  <c r="AJ51" i="69" s="1"/>
  <c r="AU51" i="69" a="1"/>
  <c r="AU51" i="69" s="1"/>
  <c r="AP51" i="69" a="1"/>
  <c r="AP51" i="69" s="1"/>
  <c r="AH51" i="69" a="1"/>
  <c r="AH51" i="69" s="1"/>
  <c r="AV51" i="69" a="1"/>
  <c r="AV51" i="69" s="1"/>
  <c r="AF51" i="69" a="1"/>
  <c r="AF51" i="69" s="1"/>
  <c r="BL51" i="69" a="1"/>
  <c r="BL51" i="69" s="1"/>
  <c r="BH51" i="69" a="1"/>
  <c r="BH51" i="69" s="1"/>
  <c r="AY51" i="69"/>
  <c r="BO51" i="69"/>
  <c r="BB51" i="69"/>
  <c r="AQ51" i="69" s="1" a="1"/>
  <c r="AQ51" i="69" s="1"/>
  <c r="R51" i="69"/>
  <c r="AK51" i="69" a="1"/>
  <c r="AK51" i="69" s="1"/>
  <c r="BQ18" i="72"/>
  <c r="BH18" i="72"/>
  <c r="AX18" i="72" s="1" a="1"/>
  <c r="AX18" i="72" s="1"/>
  <c r="BN18" i="72" a="1"/>
  <c r="BN18" i="72" s="1"/>
  <c r="BE18" i="72"/>
  <c r="AJ18" i="72"/>
  <c r="AO18" i="72"/>
  <c r="R18" i="72"/>
  <c r="BU18" i="72"/>
  <c r="AQ18" i="72" a="1"/>
  <c r="AQ18" i="72" s="1"/>
  <c r="BG22" i="72"/>
  <c r="BF22" i="72"/>
  <c r="AL22" i="72" s="1"/>
  <c r="AK22" i="72"/>
  <c r="AE13" i="69" a="1"/>
  <c r="AE13" i="69" s="1"/>
  <c r="BI13" i="69" s="1" a="1"/>
  <c r="BI13" i="69" s="1"/>
  <c r="AT71" i="69" a="1"/>
  <c r="AT71" i="69" s="1"/>
  <c r="BG65" i="72"/>
  <c r="BF65" i="72"/>
  <c r="AL65" i="72" s="1"/>
  <c r="AK65" i="72"/>
  <c r="AN65" i="72"/>
  <c r="BL79" i="69" a="1"/>
  <c r="BL79" i="69" s="1"/>
  <c r="BO79" i="69"/>
  <c r="R79" i="69"/>
  <c r="AY79" i="69"/>
  <c r="BH79" i="69" a="1"/>
  <c r="BH79" i="69" s="1"/>
  <c r="BB79" i="69"/>
  <c r="BQ50" i="72"/>
  <c r="BP50" i="72" s="1"/>
  <c r="BS50" i="72" s="1"/>
  <c r="BU50" i="72"/>
  <c r="BE50" i="72"/>
  <c r="BH50" i="72"/>
  <c r="AX50" i="72" s="1" a="1"/>
  <c r="AX50" i="72" s="1"/>
  <c r="BN50" i="72" a="1"/>
  <c r="BN50" i="72" s="1"/>
  <c r="BO50" i="72" a="1"/>
  <c r="BO50" i="72" s="1"/>
  <c r="AQ50" i="72" a="1"/>
  <c r="AQ50" i="72" s="1"/>
  <c r="AJ50" i="72"/>
  <c r="R50" i="72"/>
  <c r="AP50" i="72" s="1" a="1"/>
  <c r="AP50" i="72" s="1"/>
  <c r="AO50" i="72"/>
  <c r="H65" i="69"/>
  <c r="CA60" i="4"/>
  <c r="AV60" i="4" a="1"/>
  <c r="AV60" i="4" s="1"/>
  <c r="C60" i="69" s="1"/>
  <c r="AU60" i="4"/>
  <c r="Y60" i="4"/>
  <c r="AT60" i="4" a="1"/>
  <c r="AT60" i="4" s="1"/>
  <c r="H60" i="72" s="1"/>
  <c r="BQ60" i="4"/>
  <c r="E70" i="69"/>
  <c r="BR59" i="4"/>
  <c r="AN7" i="72"/>
  <c r="AZ45" i="69"/>
  <c r="AI45" i="69" s="1" a="1"/>
  <c r="AI45" i="69" s="1"/>
  <c r="BA45" i="69"/>
  <c r="BE1769" i="13" a="1"/>
  <c r="BE1769" i="13" s="1"/>
  <c r="BA86" i="69"/>
  <c r="AZ86" i="69"/>
  <c r="AG86" i="69" s="1" a="1"/>
  <c r="AG86" i="69" s="1"/>
  <c r="F91" i="72"/>
  <c r="F91" i="69"/>
  <c r="BL68" i="69" a="1"/>
  <c r="BL68" i="69" s="1"/>
  <c r="BO68" i="69"/>
  <c r="AY68" i="69"/>
  <c r="R68" i="69"/>
  <c r="BB68" i="69"/>
  <c r="BH68" i="69" a="1"/>
  <c r="BH68" i="69" s="1"/>
  <c r="BT21" i="72"/>
  <c r="BB50" i="69"/>
  <c r="AR50" i="69" s="1" a="1"/>
  <c r="AR50" i="69" s="1"/>
  <c r="BH50" i="69" a="1"/>
  <c r="BH50" i="69" s="1"/>
  <c r="R50" i="69"/>
  <c r="AJ50" i="69" s="1" a="1"/>
  <c r="AJ50" i="69" s="1"/>
  <c r="AY50" i="69"/>
  <c r="BO50" i="69"/>
  <c r="AK50" i="69" a="1"/>
  <c r="AK50" i="69" s="1"/>
  <c r="I490" i="15" a="1"/>
  <c r="I490" i="15" s="1"/>
  <c r="B82" i="72"/>
  <c r="G82" i="72"/>
  <c r="I588" i="15" a="1"/>
  <c r="I588" i="15" s="1"/>
  <c r="AF25" i="69" a="1"/>
  <c r="AF25" i="69" s="1"/>
  <c r="AV25" i="69" a="1"/>
  <c r="AV25" i="69" s="1"/>
  <c r="AL25" i="69" a="1"/>
  <c r="AL25" i="69" s="1"/>
  <c r="AP25" i="69" a="1"/>
  <c r="AP25" i="69" s="1"/>
  <c r="AU25" i="69" a="1"/>
  <c r="AU25" i="69" s="1"/>
  <c r="AH25" i="69" a="1"/>
  <c r="AH25" i="69" s="1"/>
  <c r="AJ25" i="69" a="1"/>
  <c r="AJ25" i="69" s="1"/>
  <c r="L25" i="69"/>
  <c r="R25" i="69"/>
  <c r="BO25" i="69"/>
  <c r="BI25" i="69" a="1"/>
  <c r="BI25" i="69" s="1"/>
  <c r="AY25" i="69"/>
  <c r="BH25" i="69" a="1"/>
  <c r="BH25" i="69" s="1"/>
  <c r="BB25" i="69"/>
  <c r="AR25" i="69" s="1" a="1"/>
  <c r="AR25" i="69" s="1"/>
  <c r="AK25" i="69" a="1"/>
  <c r="AK25" i="69" s="1"/>
  <c r="BQ70" i="72"/>
  <c r="AJ70" i="72"/>
  <c r="R70" i="72"/>
  <c r="BE70" i="72"/>
  <c r="BH70" i="72"/>
  <c r="BN70" i="72" a="1"/>
  <c r="BN70" i="72" s="1"/>
  <c r="AO70" i="72"/>
  <c r="BU70" i="72"/>
  <c r="BO70" i="72" a="1"/>
  <c r="BO70" i="72" s="1"/>
  <c r="BQ85" i="72"/>
  <c r="AO85" i="72"/>
  <c r="AJ85" i="72"/>
  <c r="BH85" i="72"/>
  <c r="BE85" i="72"/>
  <c r="AL85" i="72"/>
  <c r="BN85" i="72" a="1"/>
  <c r="BN85" i="72" s="1"/>
  <c r="BU85" i="72"/>
  <c r="R85" i="72"/>
  <c r="BT58" i="72"/>
  <c r="K41" i="69" a="1"/>
  <c r="K41" i="69" s="1"/>
  <c r="BL20" i="72"/>
  <c r="AF43" i="72" a="1"/>
  <c r="AF43" i="72" s="1"/>
  <c r="C43" i="72"/>
  <c r="D43" i="72" s="1" a="1"/>
  <c r="D43" i="72" s="1"/>
  <c r="I88" i="72"/>
  <c r="I88" i="69"/>
  <c r="AV1423" i="13"/>
  <c r="AX1423" i="13"/>
  <c r="Z1527" i="13"/>
  <c r="A1522" i="13"/>
  <c r="BD1769" i="13" a="1"/>
  <c r="BD1769" i="13" s="1"/>
  <c r="AI78" i="72"/>
  <c r="BW73" i="72"/>
  <c r="BD14" i="69"/>
  <c r="BW72" i="72"/>
  <c r="AU72" i="72" a="1"/>
  <c r="AU72" i="72" s="1"/>
  <c r="F283" i="15" a="1"/>
  <c r="F283" i="15" s="1"/>
  <c r="I283" i="15" s="1" a="1"/>
  <c r="I283" i="15" s="1"/>
  <c r="H283" i="15" a="1"/>
  <c r="H283" i="15" s="1"/>
  <c r="AT34" i="69" a="1"/>
  <c r="AT34" i="69" s="1"/>
  <c r="BL34" i="69" a="1"/>
  <c r="BL34" i="69" s="1"/>
  <c r="BH34" i="69" a="1"/>
  <c r="BH34" i="69" s="1"/>
  <c r="AY34" i="69"/>
  <c r="BB34" i="69"/>
  <c r="AR34" i="69" s="1" a="1"/>
  <c r="AR34" i="69" s="1"/>
  <c r="R34" i="69"/>
  <c r="AJ34" i="69" s="1" a="1"/>
  <c r="AJ34" i="69" s="1"/>
  <c r="BO34" i="69"/>
  <c r="AK34" i="69" a="1"/>
  <c r="AK34" i="69" s="1"/>
  <c r="BI34" i="69" a="1"/>
  <c r="BI34" i="69" s="1"/>
  <c r="I310" i="15" a="1"/>
  <c r="I310" i="15" s="1"/>
  <c r="AQ37" i="4"/>
  <c r="AR37" i="4"/>
  <c r="BD26" i="69"/>
  <c r="DD79" i="4" a="1"/>
  <c r="DD79" i="4" s="1"/>
  <c r="Z1506" i="13"/>
  <c r="AV1402" i="13"/>
  <c r="AX1402" i="13"/>
  <c r="A1501" i="13"/>
  <c r="I267" i="15" a="1"/>
  <c r="I267" i="15" s="1"/>
  <c r="H443" i="15" a="1"/>
  <c r="H443" i="15" s="1"/>
  <c r="BL73" i="69" a="1"/>
  <c r="BL73" i="69" s="1"/>
  <c r="BH73" i="69" a="1"/>
  <c r="BH73" i="69" s="1"/>
  <c r="BB73" i="69"/>
  <c r="R73" i="69"/>
  <c r="BO73" i="69"/>
  <c r="AY73" i="69"/>
  <c r="AZ39" i="72" a="1"/>
  <c r="AZ39" i="72" s="1"/>
  <c r="AV560" i="13"/>
  <c r="BL58" i="4"/>
  <c r="BH58" i="4"/>
  <c r="DV58" i="4"/>
  <c r="BQ56" i="69"/>
  <c r="BW11" i="72"/>
  <c r="K26" i="72" a="1"/>
  <c r="K26" i="72" s="1"/>
  <c r="BG26" i="72"/>
  <c r="AK26" i="72"/>
  <c r="BF26" i="72"/>
  <c r="AH26" i="72" s="1" a="1"/>
  <c r="AH26" i="72" s="1"/>
  <c r="DD84" i="4" a="1"/>
  <c r="DD84" i="4" s="1"/>
  <c r="W87" i="22"/>
  <c r="Y87" i="22" s="1"/>
  <c r="BJ30" i="72"/>
  <c r="BW30" i="72"/>
  <c r="I498" i="15" a="1"/>
  <c r="I498" i="15" s="1"/>
  <c r="S64" i="69"/>
  <c r="BL64" i="69" a="1"/>
  <c r="BL64" i="69" s="1"/>
  <c r="AK64" i="69" a="1"/>
  <c r="AK64" i="69" s="1"/>
  <c r="BO64" i="69"/>
  <c r="BB64" i="69"/>
  <c r="AR64" i="69" s="1" a="1"/>
  <c r="AR64" i="69" s="1"/>
  <c r="AY64" i="69"/>
  <c r="BH64" i="69" a="1"/>
  <c r="BH64" i="69" s="1"/>
  <c r="BI64" i="69" a="1"/>
  <c r="BI64" i="69" s="1"/>
  <c r="R64" i="69"/>
  <c r="AR72" i="4"/>
  <c r="AQ72" i="4"/>
  <c r="BC39" i="69"/>
  <c r="O39" i="69"/>
  <c r="BW75" i="72"/>
  <c r="AU75" i="72" a="1"/>
  <c r="AU75" i="72" s="1"/>
  <c r="BF56" i="72"/>
  <c r="AL56" i="72" s="1"/>
  <c r="BG56" i="72"/>
  <c r="AK56" i="72"/>
  <c r="AI8" i="72"/>
  <c r="AX1437" i="13"/>
  <c r="A1536" i="13"/>
  <c r="Z1541" i="13"/>
  <c r="AV1437" i="13"/>
  <c r="E34" i="72"/>
  <c r="BR87" i="72" a="1"/>
  <c r="BR87" i="72" s="1"/>
  <c r="BW87" i="72"/>
  <c r="X18" i="4"/>
  <c r="H594" i="15" a="1"/>
  <c r="H594" i="15" s="1"/>
  <c r="BF36" i="72"/>
  <c r="BG36" i="72"/>
  <c r="AK36" i="72"/>
  <c r="C5" i="69"/>
  <c r="D5" i="69" s="1" a="1"/>
  <c r="D5" i="69" s="1"/>
  <c r="BL5" i="69" a="1"/>
  <c r="BL5" i="69" s="1"/>
  <c r="BF47" i="69"/>
  <c r="DD73" i="4" a="1"/>
  <c r="DD73" i="4" s="1"/>
  <c r="BD91" i="69"/>
  <c r="BW84" i="72"/>
  <c r="F446" i="15" a="1"/>
  <c r="F446" i="15" s="1"/>
  <c r="H446" i="15" a="1"/>
  <c r="H446" i="15" s="1"/>
  <c r="O52" i="69"/>
  <c r="BA52" i="69"/>
  <c r="AZ52" i="69"/>
  <c r="AE89" i="69" a="1"/>
  <c r="AE89" i="69" s="1"/>
  <c r="AO89" i="69" s="1" a="1"/>
  <c r="AO89" i="69" s="1"/>
  <c r="AF29" i="72" a="1"/>
  <c r="AF29" i="72" s="1"/>
  <c r="AU29" i="72" s="1" a="1"/>
  <c r="AU29" i="72" s="1"/>
  <c r="U77" i="72" a="1"/>
  <c r="U77" i="72" s="1"/>
  <c r="BL87" i="69" a="1"/>
  <c r="BL87" i="69" s="1"/>
  <c r="BA87" i="69"/>
  <c r="AZ87" i="69"/>
  <c r="AI87" i="69" s="1" a="1"/>
  <c r="AI87" i="69" s="1"/>
  <c r="L42" i="72"/>
  <c r="BU42" i="72"/>
  <c r="BH42" i="72"/>
  <c r="BN42" i="72" a="1"/>
  <c r="BN42" i="72" s="1"/>
  <c r="BE42" i="72"/>
  <c r="AO42" i="72"/>
  <c r="AJ42" i="72"/>
  <c r="R42" i="72"/>
  <c r="K35" i="69" a="1"/>
  <c r="K35" i="69" s="1"/>
  <c r="BR93" i="72" a="1"/>
  <c r="BR93" i="72" s="1"/>
  <c r="AQ93" i="72" a="1"/>
  <c r="AQ93" i="72" s="1"/>
  <c r="BH93" i="72"/>
  <c r="AW93" i="72" s="1" a="1"/>
  <c r="AW93" i="72" s="1"/>
  <c r="AJ93" i="72"/>
  <c r="AO93" i="72"/>
  <c r="R93" i="72"/>
  <c r="BN93" i="72" a="1"/>
  <c r="BN93" i="72" s="1"/>
  <c r="BU93" i="72"/>
  <c r="AL93" i="72"/>
  <c r="BE93" i="72"/>
  <c r="BO93" i="72" a="1"/>
  <c r="BO93" i="72" s="1"/>
  <c r="BQ36" i="69"/>
  <c r="BW57" i="72"/>
  <c r="AE47" i="72"/>
  <c r="AN47" i="72"/>
  <c r="AQ21" i="4"/>
  <c r="AR21" i="4"/>
  <c r="BQ84" i="69"/>
  <c r="AR45" i="4"/>
  <c r="AQ45" i="4"/>
  <c r="AE48" i="69" a="1"/>
  <c r="AE48" i="69" s="1"/>
  <c r="AT76" i="69" a="1"/>
  <c r="AT76" i="69" s="1"/>
  <c r="AT77" i="69" a="1"/>
  <c r="AT77" i="69" s="1"/>
  <c r="BQ77" i="69"/>
  <c r="I258" i="15" a="1"/>
  <c r="I258" i="15" s="1"/>
  <c r="H6" i="69"/>
  <c r="L81" i="69"/>
  <c r="E81" i="69"/>
  <c r="X54" i="4"/>
  <c r="H296" i="15" a="1"/>
  <c r="H296" i="15" s="1"/>
  <c r="AR49" i="4"/>
  <c r="AQ49" i="4"/>
  <c r="BD42" i="69"/>
  <c r="BJ35" i="72"/>
  <c r="O35" i="72"/>
  <c r="E16" i="72"/>
  <c r="BQ59" i="69"/>
  <c r="AF12" i="72" a="1"/>
  <c r="AF12" i="72" s="1"/>
  <c r="AU12" i="72" s="1" a="1"/>
  <c r="AU12" i="72" s="1"/>
  <c r="E32" i="69"/>
  <c r="BC1767" i="13" a="1"/>
  <c r="BC1767" i="13" s="1"/>
  <c r="F608" i="15" a="1"/>
  <c r="F608" i="15" s="1"/>
  <c r="H608" i="15" a="1"/>
  <c r="H608" i="15" s="1"/>
  <c r="BE1766" i="13" a="1"/>
  <c r="BE1766" i="13" s="1"/>
  <c r="K48" i="72" a="1"/>
  <c r="K48" i="72" s="1"/>
  <c r="BT76" i="72"/>
  <c r="BR6" i="72" a="1"/>
  <c r="BR6" i="72" s="1"/>
  <c r="BW81" i="72"/>
  <c r="AQ48" i="4"/>
  <c r="AR48" i="4"/>
  <c r="BT96" i="4"/>
  <c r="BD96" i="4"/>
  <c r="X96" i="4" s="1"/>
  <c r="AU27" i="72" a="1"/>
  <c r="AU27" i="72" s="1"/>
  <c r="BW27" i="72"/>
  <c r="AN27" i="72"/>
  <c r="AF59" i="72" a="1"/>
  <c r="AF59" i="72" s="1"/>
  <c r="B59" i="72"/>
  <c r="E12" i="69"/>
  <c r="BJ32" i="72"/>
  <c r="I76" i="69"/>
  <c r="I76" i="72"/>
  <c r="AX1424" i="13"/>
  <c r="AV1424" i="13"/>
  <c r="Z1528" i="13"/>
  <c r="A1523" i="13"/>
  <c r="H400" i="15" a="1"/>
  <c r="H400" i="15" s="1"/>
  <c r="F400" i="15" a="1"/>
  <c r="F400" i="15" s="1"/>
  <c r="BQ40" i="72"/>
  <c r="BP40" i="72" s="1"/>
  <c r="BS40" i="72" s="1"/>
  <c r="F71" i="72"/>
  <c r="F71" i="69"/>
  <c r="BD93" i="4"/>
  <c r="BQ54" i="72"/>
  <c r="BU54" i="72"/>
  <c r="BE54" i="72"/>
  <c r="BH54" i="72"/>
  <c r="AX54" i="72" s="1" a="1"/>
  <c r="AX54" i="72" s="1"/>
  <c r="R54" i="72"/>
  <c r="AQ54" i="72" a="1"/>
  <c r="AQ54" i="72" s="1"/>
  <c r="BO54" i="72" a="1"/>
  <c r="BO54" i="72" s="1"/>
  <c r="AJ54" i="72"/>
  <c r="BN54" i="72" a="1"/>
  <c r="BN54" i="72" s="1"/>
  <c r="AO54" i="72"/>
  <c r="BC33" i="69"/>
  <c r="BQ33" i="69"/>
  <c r="AO33" i="69" a="1"/>
  <c r="AO33" i="69" s="1"/>
  <c r="AE53" i="69" a="1"/>
  <c r="AE53" i="69" s="1"/>
  <c r="AF83" i="72" a="1"/>
  <c r="AF83" i="72" s="1"/>
  <c r="BO83" i="72" s="1" a="1"/>
  <c r="BO83" i="72" s="1"/>
  <c r="AQ58" i="69" a="1"/>
  <c r="AQ58" i="69" s="1"/>
  <c r="BG86" i="4"/>
  <c r="AV1184" i="13" s="1"/>
  <c r="X86" i="4"/>
  <c r="L86" i="4"/>
  <c r="BF67" i="4"/>
  <c r="BG74" i="4"/>
  <c r="AV1172" i="13" s="1"/>
  <c r="L74" i="4"/>
  <c r="BF66" i="4"/>
  <c r="BG77" i="4"/>
  <c r="AV1175" i="13" s="1"/>
  <c r="L77" i="4"/>
  <c r="BF58" i="4"/>
  <c r="BG70" i="4"/>
  <c r="AV1168" i="13" s="1"/>
  <c r="L70" i="4"/>
  <c r="AV1465" i="13"/>
  <c r="AX1465" i="13"/>
  <c r="A1564" i="13"/>
  <c r="Z1569" i="13"/>
  <c r="BW51" i="72"/>
  <c r="E28" i="69"/>
  <c r="AE27" i="69" a="1"/>
  <c r="AE27" i="69" s="1"/>
  <c r="AO27" i="69" s="1" a="1"/>
  <c r="AO27" i="69" s="1"/>
  <c r="BA27" i="69"/>
  <c r="AZ27" i="69"/>
  <c r="AP66" i="69" a="1"/>
  <c r="AP66" i="69" s="1"/>
  <c r="AL66" i="69" a="1"/>
  <c r="AL66" i="69" s="1"/>
  <c r="AJ66" i="69" a="1"/>
  <c r="AJ66" i="69" s="1"/>
  <c r="AV66" i="69" a="1"/>
  <c r="AV66" i="69" s="1"/>
  <c r="AF66" i="69" a="1"/>
  <c r="AF66" i="69" s="1"/>
  <c r="AH66" i="69" a="1"/>
  <c r="AH66" i="69" s="1"/>
  <c r="AU66" i="69" a="1"/>
  <c r="AU66" i="69" s="1"/>
  <c r="BL54" i="69" a="1"/>
  <c r="BL54" i="69" s="1"/>
  <c r="CA30" i="4"/>
  <c r="AU30" i="4"/>
  <c r="AV30" i="4" a="1"/>
  <c r="AV30" i="4" s="1"/>
  <c r="AT30" i="4" a="1"/>
  <c r="AT30" i="4" s="1"/>
  <c r="Y30" i="4"/>
  <c r="BQ30" i="4"/>
  <c r="F81" i="72"/>
  <c r="F81" i="69"/>
  <c r="BK66" i="69"/>
  <c r="BQ66" i="69"/>
  <c r="AO66" i="69" a="1"/>
  <c r="AO66" i="69" s="1"/>
  <c r="A1580" i="13"/>
  <c r="AX1481" i="13"/>
  <c r="Z1585" i="13"/>
  <c r="AV1481" i="13"/>
  <c r="AN69" i="72"/>
  <c r="BC54" i="69"/>
  <c r="AV1445" i="13"/>
  <c r="Z1549" i="13"/>
  <c r="AX1445" i="13"/>
  <c r="A1544" i="13"/>
  <c r="AI67" i="72"/>
  <c r="BI53" i="72"/>
  <c r="AI53" i="72"/>
  <c r="E92" i="69"/>
  <c r="AV1446" i="13"/>
  <c r="AX1446" i="13"/>
  <c r="Z1550" i="13"/>
  <c r="A1545" i="13"/>
  <c r="E18" i="69"/>
  <c r="BC28" i="69"/>
  <c r="AE62" i="69" a="1"/>
  <c r="AE62" i="69" s="1"/>
  <c r="AO62" i="69" s="1" a="1"/>
  <c r="AO62" i="69" s="1"/>
  <c r="BR24" i="72" a="1"/>
  <c r="BR24" i="72" s="1"/>
  <c r="BA49" i="69"/>
  <c r="AZ49" i="69"/>
  <c r="AG49" i="69" s="1" a="1"/>
  <c r="AG49" i="69" s="1"/>
  <c r="AK79" i="72"/>
  <c r="BF79" i="72"/>
  <c r="AL79" i="72" s="1"/>
  <c r="BG79" i="72"/>
  <c r="H270" i="15" a="1"/>
  <c r="H270" i="15" s="1"/>
  <c r="F270" i="15" a="1"/>
  <c r="F270" i="15" s="1"/>
  <c r="H268" i="15" a="1"/>
  <c r="H268" i="15" s="1"/>
  <c r="AI69" i="72"/>
  <c r="AT54" i="69" a="1"/>
  <c r="AT54" i="69" s="1"/>
  <c r="H33" i="72"/>
  <c r="AN38" i="72"/>
  <c r="AF53" i="72" a="1"/>
  <c r="AF53" i="72" s="1"/>
  <c r="AQ53" i="72" s="1" a="1"/>
  <c r="AQ53" i="72" s="1"/>
  <c r="BR53" i="72" a="1"/>
  <c r="BR53" i="72" s="1"/>
  <c r="AJ53" i="72"/>
  <c r="R53" i="72"/>
  <c r="BN53" i="72" a="1"/>
  <c r="BN53" i="72" s="1"/>
  <c r="BH53" i="72"/>
  <c r="AO53" i="72"/>
  <c r="BE53" i="72"/>
  <c r="BU53" i="72"/>
  <c r="BQ37" i="69"/>
  <c r="AO37" i="69" a="1"/>
  <c r="AO37" i="69" s="1"/>
  <c r="BL51" i="72"/>
  <c r="BQ51" i="72"/>
  <c r="BP51" i="72" s="1"/>
  <c r="BS51" i="72" s="1"/>
  <c r="BU51" i="72"/>
  <c r="AJ51" i="72"/>
  <c r="BH51" i="72"/>
  <c r="R51" i="72"/>
  <c r="BN51" i="72" a="1"/>
  <c r="BN51" i="72" s="1"/>
  <c r="BE51" i="72"/>
  <c r="AO51" i="72"/>
  <c r="BA31" i="69"/>
  <c r="AZ31" i="69"/>
  <c r="BF49" i="72"/>
  <c r="AL49" i="72" s="1"/>
  <c r="AK49" i="72"/>
  <c r="BG49" i="72"/>
  <c r="AE88" i="69" a="1"/>
  <c r="AE88" i="69" s="1"/>
  <c r="AO88" i="69" s="1" a="1"/>
  <c r="AO88" i="69" s="1"/>
  <c r="BT80" i="72"/>
  <c r="I538" i="15" a="1"/>
  <c r="I538" i="15" s="1"/>
  <c r="BQ66" i="72"/>
  <c r="BP66" i="72" s="1"/>
  <c r="BS66" i="72" s="1"/>
  <c r="BA62" i="69"/>
  <c r="AZ62" i="69"/>
  <c r="BJ62" i="69"/>
  <c r="BM62" i="69" s="1"/>
  <c r="E62" i="69"/>
  <c r="C10" i="72"/>
  <c r="D10" i="72" s="1" a="1"/>
  <c r="D10" i="72" s="1"/>
  <c r="C10" i="69"/>
  <c r="D10" i="69" s="1" a="1"/>
  <c r="D10" i="69" s="1"/>
  <c r="I296" i="15" a="1"/>
  <c r="I296" i="15" s="1"/>
  <c r="BB95" i="72" a="1"/>
  <c r="BB95" i="72" s="1"/>
  <c r="AP95" i="72" a="1"/>
  <c r="AP95" i="72" s="1"/>
  <c r="BA95" i="72" a="1"/>
  <c r="BA95" i="72" s="1"/>
  <c r="AX95" i="72" a="1"/>
  <c r="AX95" i="72" s="1"/>
  <c r="AH95" i="72" a="1"/>
  <c r="AH95" i="72" s="1"/>
  <c r="AR95" i="72" a="1"/>
  <c r="AR95" i="72" s="1"/>
  <c r="AG95" i="72" a="1"/>
  <c r="AG95" i="72" s="1"/>
  <c r="AW95" i="72" a="1"/>
  <c r="AW95" i="72" s="1"/>
  <c r="AV95" i="72" a="1"/>
  <c r="AV95" i="72" s="1"/>
  <c r="AM95" i="72" a="1"/>
  <c r="AM95" i="72" s="1"/>
  <c r="AY95" i="72" a="1"/>
  <c r="AY95" i="72" s="1"/>
  <c r="AX1415" i="13"/>
  <c r="Z1519" i="13"/>
  <c r="A1514" i="13"/>
  <c r="AV1415" i="13"/>
  <c r="BQ31" i="72"/>
  <c r="AQ74" i="4"/>
  <c r="AR74" i="4"/>
  <c r="BQ49" i="69"/>
  <c r="AO49" i="69" a="1"/>
  <c r="AO49" i="69" s="1"/>
  <c r="B88" i="72"/>
  <c r="E80" i="69"/>
  <c r="BW45" i="72"/>
  <c r="AU45" i="72" a="1"/>
  <c r="AU45" i="72" s="1"/>
  <c r="AX1456" i="13"/>
  <c r="Z1560" i="13"/>
  <c r="A1555" i="13"/>
  <c r="AV1456" i="13"/>
  <c r="BL20" i="69" a="1"/>
  <c r="BL20" i="69" s="1"/>
  <c r="AK20" i="69" a="1"/>
  <c r="AK20" i="69" s="1"/>
  <c r="BI20" i="69" a="1"/>
  <c r="BI20" i="69" s="1"/>
  <c r="BB20" i="69"/>
  <c r="AQ20" i="69" s="1" a="1"/>
  <c r="AQ20" i="69" s="1"/>
  <c r="BH20" i="69" a="1"/>
  <c r="BH20" i="69" s="1"/>
  <c r="R20" i="69"/>
  <c r="BO20" i="69"/>
  <c r="AY20" i="69"/>
  <c r="X47" i="4"/>
  <c r="I63" i="72"/>
  <c r="I63" i="69"/>
  <c r="BD13" i="69"/>
  <c r="BK71" i="69"/>
  <c r="BJ71" i="69" s="1"/>
  <c r="BM71" i="69" s="1"/>
  <c r="E71" i="69"/>
  <c r="BT65" i="72"/>
  <c r="BW65" i="72"/>
  <c r="BL46" i="72"/>
  <c r="BQ15" i="69"/>
  <c r="AO15" i="69" a="1"/>
  <c r="AO15" i="69" s="1"/>
  <c r="AN68" i="72"/>
  <c r="BG68" i="72"/>
  <c r="BF68" i="72"/>
  <c r="AL68" i="72" s="1"/>
  <c r="AK68" i="72"/>
  <c r="BQ21" i="69"/>
  <c r="AK13" i="72"/>
  <c r="BF13" i="72"/>
  <c r="AL13" i="72" s="1"/>
  <c r="BG13" i="72"/>
  <c r="BP13" i="72"/>
  <c r="BS13" i="72" s="1"/>
  <c r="DD70" i="4" a="1"/>
  <c r="DD70" i="4" s="1"/>
  <c r="AQ23" i="4"/>
  <c r="AR23" i="4"/>
  <c r="BR50" i="72" a="1"/>
  <c r="BR50" i="72" s="1"/>
  <c r="AE25" i="72"/>
  <c r="DV60" i="4"/>
  <c r="BL60" i="4"/>
  <c r="BM60" i="4" s="1"/>
  <c r="BE60" i="4" s="1" a="1"/>
  <c r="BE60" i="4" s="1"/>
  <c r="BH60" i="4"/>
  <c r="AV562" i="13"/>
  <c r="AF74" i="72" a="1"/>
  <c r="AF74" i="72" s="1"/>
  <c r="AU74" i="72" s="1" a="1"/>
  <c r="AU74" i="72" s="1"/>
  <c r="AN74" i="72"/>
  <c r="AZ70" i="69"/>
  <c r="BA70" i="69"/>
  <c r="E7" i="72"/>
  <c r="C45" i="69"/>
  <c r="D45" i="69" s="1" a="1"/>
  <c r="D45" i="69" s="1"/>
  <c r="H43" i="69"/>
  <c r="BF86" i="69"/>
  <c r="AI21" i="72"/>
  <c r="A1540" i="13"/>
  <c r="AX1441" i="13"/>
  <c r="Z1545" i="13"/>
  <c r="AV1441" i="13"/>
  <c r="BL50" i="69" a="1"/>
  <c r="BL50" i="69" s="1"/>
  <c r="AE78" i="69" a="1"/>
  <c r="AE78" i="69" s="1"/>
  <c r="AZ78" i="69"/>
  <c r="BJ78" i="69"/>
  <c r="BM78" i="69" s="1"/>
  <c r="BA78" i="69"/>
  <c r="H588" i="15" a="1"/>
  <c r="H588" i="15" s="1"/>
  <c r="AD25" i="69"/>
  <c r="E70" i="72"/>
  <c r="H7" i="69"/>
  <c r="E72" i="69"/>
  <c r="AK41" i="69" a="1"/>
  <c r="AK41" i="69" s="1"/>
  <c r="BH41" i="69" a="1"/>
  <c r="BH41" i="69" s="1"/>
  <c r="BB41" i="69"/>
  <c r="AR41" i="69" s="1" a="1"/>
  <c r="AR41" i="69" s="1"/>
  <c r="R41" i="69"/>
  <c r="BI41" i="69" a="1"/>
  <c r="BI41" i="69" s="1"/>
  <c r="AY41" i="69"/>
  <c r="BO41" i="69"/>
  <c r="BK22" i="69"/>
  <c r="AK22" i="69" a="1"/>
  <c r="AK22" i="69" s="1"/>
  <c r="AY22" i="69"/>
  <c r="R22" i="69"/>
  <c r="BH22" i="69" a="1"/>
  <c r="BH22" i="69" s="1"/>
  <c r="BO22" i="69"/>
  <c r="BI22" i="69" a="1"/>
  <c r="BI22" i="69" s="1"/>
  <c r="BB22" i="69"/>
  <c r="AR22" i="69" s="1" a="1"/>
  <c r="AR22" i="69" s="1"/>
  <c r="BL86" i="72"/>
  <c r="BW86" i="72"/>
  <c r="AU86" i="72" a="1"/>
  <c r="AU86" i="72" s="1"/>
  <c r="F59" i="69"/>
  <c r="F59" i="72"/>
  <c r="DD83" i="4" a="1"/>
  <c r="DD83" i="4" s="1"/>
  <c r="BR7" i="4"/>
  <c r="AQ95" i="72" a="1"/>
  <c r="AQ95" i="72" s="1"/>
  <c r="I399" i="15" a="1"/>
  <c r="I399" i="15" s="1"/>
  <c r="I209" i="15" a="1"/>
  <c r="I209" i="15" s="1"/>
  <c r="BQ73" i="72"/>
  <c r="BP73" i="72" s="1"/>
  <c r="BS73" i="72" s="1"/>
  <c r="R73" i="72"/>
  <c r="BU73" i="72"/>
  <c r="AO73" i="72"/>
  <c r="BH73" i="72"/>
  <c r="AX73" i="72" s="1" a="1"/>
  <c r="AX73" i="72" s="1"/>
  <c r="BO73" i="72" a="1"/>
  <c r="BO73" i="72" s="1"/>
  <c r="AQ73" i="72" a="1"/>
  <c r="AQ73" i="72" s="1"/>
  <c r="BN73" i="72" a="1"/>
  <c r="BN73" i="72" s="1"/>
  <c r="BE73" i="72"/>
  <c r="AJ73" i="72"/>
  <c r="AQ61" i="72" a="1"/>
  <c r="AQ61" i="72" s="1"/>
  <c r="BH61" i="72"/>
  <c r="AW61" i="72" s="1" a="1"/>
  <c r="AW61" i="72" s="1"/>
  <c r="BO61" i="72" a="1"/>
  <c r="BO61" i="72" s="1"/>
  <c r="AJ61" i="72"/>
  <c r="BE61" i="72"/>
  <c r="BU61" i="72"/>
  <c r="R61" i="72"/>
  <c r="AP61" i="72" s="1" a="1"/>
  <c r="AP61" i="72" s="1"/>
  <c r="AO61" i="72"/>
  <c r="BN61" i="72" a="1"/>
  <c r="BN61" i="72" s="1"/>
  <c r="BL14" i="69" a="1"/>
  <c r="BL14" i="69" s="1"/>
  <c r="BO14" i="69"/>
  <c r="BB14" i="69"/>
  <c r="AR14" i="69" s="1" a="1"/>
  <c r="AR14" i="69" s="1"/>
  <c r="BH14" i="69" a="1"/>
  <c r="BH14" i="69" s="1"/>
  <c r="BI14" i="69" a="1"/>
  <c r="BI14" i="69" s="1"/>
  <c r="AY14" i="69"/>
  <c r="R14" i="69"/>
  <c r="AK14" i="69" a="1"/>
  <c r="AK14" i="69" s="1"/>
  <c r="AO85" i="69" a="1"/>
  <c r="AO85" i="69" s="1"/>
  <c r="BQ85" i="69"/>
  <c r="AI72" i="72"/>
  <c r="BD68" i="4"/>
  <c r="BR68" i="4" s="1"/>
  <c r="AD34" i="69"/>
  <c r="F60" i="72"/>
  <c r="CU97" i="4"/>
  <c r="AI44" i="72"/>
  <c r="AD26" i="69"/>
  <c r="DD66" i="4" a="1"/>
  <c r="DD66" i="4" s="1"/>
  <c r="H278" i="15" a="1"/>
  <c r="H278" i="15" s="1"/>
  <c r="BD30" i="69"/>
  <c r="BA30" i="69"/>
  <c r="AZ30" i="69"/>
  <c r="AI30" i="69" s="1" a="1"/>
  <c r="AI30" i="69" s="1"/>
  <c r="BD63" i="4"/>
  <c r="I443" i="15" a="1"/>
  <c r="I443" i="15" s="1"/>
  <c r="BJ73" i="69"/>
  <c r="BM73" i="69" s="1"/>
  <c r="BA73" i="69"/>
  <c r="AZ73" i="69"/>
  <c r="E73" i="69"/>
  <c r="I419" i="15" a="1"/>
  <c r="I419" i="15" s="1"/>
  <c r="BJ14" i="72"/>
  <c r="BD75" i="69"/>
  <c r="Z1580" i="13"/>
  <c r="A1575" i="13"/>
  <c r="AX1476" i="13"/>
  <c r="BT58" i="4"/>
  <c r="BD58" i="4"/>
  <c r="X58" i="4" s="1"/>
  <c r="AZ56" i="69"/>
  <c r="BA56" i="69"/>
  <c r="AD8" i="69"/>
  <c r="AZ8" i="69"/>
  <c r="AG8" i="69" s="1" a="1"/>
  <c r="AG8" i="69" s="1"/>
  <c r="BA8" i="69"/>
  <c r="X43" i="4"/>
  <c r="I653" i="15" a="1"/>
  <c r="I653" i="15" s="1"/>
  <c r="C11" i="72"/>
  <c r="D11" i="72" s="1" a="1"/>
  <c r="D11" i="72" s="1"/>
  <c r="BD56" i="4"/>
  <c r="X56" i="4" s="1"/>
  <c r="BQ26" i="72"/>
  <c r="BP26" i="72" s="1"/>
  <c r="BS26" i="72" s="1"/>
  <c r="DD96" i="4" a="1"/>
  <c r="DD96" i="4" s="1"/>
  <c r="BQ30" i="72"/>
  <c r="BP30" i="72" s="1"/>
  <c r="BS30" i="72" s="1"/>
  <c r="H438" i="15" a="1"/>
  <c r="H438" i="15" s="1"/>
  <c r="BR89" i="72" a="1"/>
  <c r="BR89" i="72" s="1"/>
  <c r="S89" i="72"/>
  <c r="I43" i="15" a="1"/>
  <c r="I43" i="15" s="1"/>
  <c r="G43" i="15"/>
  <c r="BI56" i="72"/>
  <c r="AE8" i="72"/>
  <c r="I81" i="72"/>
  <c r="I81" i="69"/>
  <c r="E19" i="69"/>
  <c r="BL34" i="72"/>
  <c r="A1528" i="13"/>
  <c r="Z1533" i="13"/>
  <c r="AV1429" i="13"/>
  <c r="AX1429" i="13"/>
  <c r="AN87" i="72"/>
  <c r="F594" i="15" a="1"/>
  <c r="F594" i="15" s="1"/>
  <c r="AN36" i="72"/>
  <c r="BW36" i="72"/>
  <c r="I172" i="15" a="1"/>
  <c r="I172" i="15" s="1"/>
  <c r="H5" i="69"/>
  <c r="L47" i="69"/>
  <c r="BO47" i="69"/>
  <c r="R47" i="69"/>
  <c r="BB47" i="69"/>
  <c r="AQ47" i="69" s="1" a="1"/>
  <c r="AQ47" i="69" s="1"/>
  <c r="AY47" i="69"/>
  <c r="BH47" i="69" a="1"/>
  <c r="BH47" i="69" s="1"/>
  <c r="BI47" i="69" a="1"/>
  <c r="BI47" i="69" s="1"/>
  <c r="AK47" i="69" a="1"/>
  <c r="AK47" i="69" s="1"/>
  <c r="E47" i="69"/>
  <c r="L91" i="69"/>
  <c r="BI91" i="69" a="1"/>
  <c r="BI91" i="69" s="1"/>
  <c r="R91" i="69"/>
  <c r="AK91" i="69" a="1"/>
  <c r="AK91" i="69" s="1"/>
  <c r="BH91" i="69" a="1"/>
  <c r="BH91" i="69" s="1"/>
  <c r="BO91" i="69"/>
  <c r="BB91" i="69"/>
  <c r="AQ91" i="69" s="1" a="1"/>
  <c r="AQ91" i="69" s="1"/>
  <c r="AY91" i="69"/>
  <c r="G91" i="69"/>
  <c r="AF84" i="72" a="1"/>
  <c r="AF84" i="72" s="1"/>
  <c r="AU84" i="72" s="1" a="1"/>
  <c r="AU84" i="72" s="1"/>
  <c r="I141" i="15" a="1"/>
  <c r="I141" i="15" s="1"/>
  <c r="BA89" i="69"/>
  <c r="AZ89" i="69"/>
  <c r="BL29" i="72"/>
  <c r="O29" i="72"/>
  <c r="BR11" i="4"/>
  <c r="AE11" i="72" s="1"/>
  <c r="AE42" i="72"/>
  <c r="BF42" i="72"/>
  <c r="AL42" i="72" s="1"/>
  <c r="BG42" i="72"/>
  <c r="AK42" i="72"/>
  <c r="AE35" i="69" a="1"/>
  <c r="AE35" i="69" s="1"/>
  <c r="AO35" i="69" s="1" a="1"/>
  <c r="AO35" i="69" s="1"/>
  <c r="BL16" i="69" a="1"/>
  <c r="BL16" i="69" s="1"/>
  <c r="AN93" i="72"/>
  <c r="BD36" i="69"/>
  <c r="DD87" i="4" a="1"/>
  <c r="DD87" i="4" s="1"/>
  <c r="K52" i="72" a="1"/>
  <c r="K52" i="72" s="1"/>
  <c r="D36" i="72" a="1"/>
  <c r="D36" i="72" s="1"/>
  <c r="S76" i="69"/>
  <c r="BN81" i="69"/>
  <c r="I428" i="15" a="1"/>
  <c r="I428" i="15" s="1"/>
  <c r="AE42" i="69" a="1"/>
  <c r="AE42" i="69" s="1"/>
  <c r="AK35" i="72"/>
  <c r="BF35" i="72"/>
  <c r="AL35" i="72" s="1"/>
  <c r="BG35" i="72"/>
  <c r="BI16" i="72"/>
  <c r="AZ59" i="69"/>
  <c r="BA59" i="69"/>
  <c r="H12" i="72"/>
  <c r="AN12" i="72"/>
  <c r="O32" i="69"/>
  <c r="F390" i="15" a="1"/>
  <c r="F390" i="15" s="1"/>
  <c r="AZ48" i="72" a="1"/>
  <c r="AZ48" i="72" s="1"/>
  <c r="BL48" i="72"/>
  <c r="BW6" i="72"/>
  <c r="AU6" i="72" a="1"/>
  <c r="AU6" i="72" s="1"/>
  <c r="AR36" i="4"/>
  <c r="AQ36" i="4"/>
  <c r="U83" i="69" a="1"/>
  <c r="U83" i="69" s="1"/>
  <c r="X5" i="4"/>
  <c r="BL27" i="72"/>
  <c r="AD12" i="69"/>
  <c r="BR32" i="72" a="1"/>
  <c r="BR32" i="72" s="1"/>
  <c r="I254" i="15" a="1"/>
  <c r="I254" i="15" s="1"/>
  <c r="AE40" i="72"/>
  <c r="AI54" i="72"/>
  <c r="G67" i="69"/>
  <c r="H299" i="15" a="1"/>
  <c r="H299" i="15" s="1"/>
  <c r="H16" i="27"/>
  <c r="A6" i="27" s="1" a="1"/>
  <c r="A6" i="27" s="1"/>
  <c r="AZ83" i="72" a="1"/>
  <c r="AZ83" i="72" s="1"/>
  <c r="AI83" i="72"/>
  <c r="BF87" i="4"/>
  <c r="BF86" i="4"/>
  <c r="BG67" i="4"/>
  <c r="AV1165" i="13" s="1"/>
  <c r="L67" i="4"/>
  <c r="BG68" i="4"/>
  <c r="AV1166" i="13" s="1"/>
  <c r="L68" i="4"/>
  <c r="BF84" i="4"/>
  <c r="BQ40" i="69"/>
  <c r="BQ88" i="69"/>
  <c r="BQ27" i="69"/>
  <c r="AT66" i="69" a="1"/>
  <c r="AT66" i="69" s="1"/>
  <c r="BL90" i="4"/>
  <c r="DV90" i="4"/>
  <c r="AV592" i="13"/>
  <c r="BH90" i="4"/>
  <c r="A1506" i="13"/>
  <c r="AV1407" i="13"/>
  <c r="AX1407" i="13"/>
  <c r="Z1511" i="13"/>
  <c r="BC1769" i="13" a="1"/>
  <c r="BC1769" i="13" s="1"/>
  <c r="BL40" i="69" a="1"/>
  <c r="BL40" i="69" s="1"/>
  <c r="R40" i="69"/>
  <c r="AY40" i="69"/>
  <c r="BO40" i="69"/>
  <c r="BH40" i="69" a="1"/>
  <c r="BH40" i="69" s="1"/>
  <c r="BB40" i="69"/>
  <c r="AR15" i="4"/>
  <c r="AQ15" i="4"/>
  <c r="AZ90" i="72" a="1"/>
  <c r="AZ90" i="72" s="1"/>
  <c r="AF67" i="72" a="1"/>
  <c r="AF67" i="72" s="1"/>
  <c r="AN67" i="72"/>
  <c r="BP53" i="72"/>
  <c r="BS53" i="72" s="1"/>
  <c r="BG51" i="72"/>
  <c r="BF51" i="72"/>
  <c r="AL51" i="72" s="1"/>
  <c r="AK51" i="72"/>
  <c r="AN49" i="72"/>
  <c r="BJ28" i="69"/>
  <c r="BM28" i="69" s="1"/>
  <c r="AZ28" i="69"/>
  <c r="BA28" i="69"/>
  <c r="AJ80" i="72"/>
  <c r="AN80" i="72"/>
  <c r="AI66" i="72"/>
  <c r="AT62" i="69" a="1"/>
  <c r="AT62" i="69" s="1"/>
  <c r="BQ62" i="69"/>
  <c r="BH69" i="4"/>
  <c r="DV69" i="4"/>
  <c r="AV571" i="13"/>
  <c r="BL69" i="4"/>
  <c r="E24" i="72"/>
  <c r="BC69" i="69"/>
  <c r="BQ69" i="69"/>
  <c r="AO69" i="69" a="1"/>
  <c r="AO69" i="69" s="1"/>
  <c r="BL69" i="69" a="1"/>
  <c r="BL69" i="69" s="1"/>
  <c r="BO69" i="69"/>
  <c r="BB69" i="69"/>
  <c r="AQ69" i="69" s="1" a="1"/>
  <c r="AQ69" i="69" s="1"/>
  <c r="AY69" i="69"/>
  <c r="AJ69" i="69" s="1" a="1"/>
  <c r="AJ69" i="69" s="1"/>
  <c r="R69" i="69"/>
  <c r="BH69" i="69" a="1"/>
  <c r="BH69" i="69" s="1"/>
  <c r="BI69" i="69" a="1"/>
  <c r="BI69" i="69" s="1"/>
  <c r="D51" i="72" a="1"/>
  <c r="D51" i="72" s="1"/>
  <c r="D37" i="69" a="1"/>
  <c r="D37" i="69" s="1"/>
  <c r="I79" i="72"/>
  <c r="I79" i="69"/>
  <c r="BN51" i="69"/>
  <c r="BA51" i="69"/>
  <c r="AZ51" i="69"/>
  <c r="AG51" i="69" s="1" a="1"/>
  <c r="AG51" i="69" s="1"/>
  <c r="AN15" i="72"/>
  <c r="BL45" i="72"/>
  <c r="AT20" i="69" a="1"/>
  <c r="AT20" i="69" s="1"/>
  <c r="AF22" i="72" a="1"/>
  <c r="AF22" i="72" s="1"/>
  <c r="BK13" i="69"/>
  <c r="BJ13" i="69" s="1"/>
  <c r="BM13" i="69" s="1"/>
  <c r="AK13" i="69" a="1"/>
  <c r="AK13" i="69" s="1"/>
  <c r="BH13" i="69" a="1"/>
  <c r="BH13" i="69" s="1"/>
  <c r="R13" i="69"/>
  <c r="BO13" i="69"/>
  <c r="AY13" i="69"/>
  <c r="BB13" i="69"/>
  <c r="AQ46" i="4"/>
  <c r="AR46" i="4"/>
  <c r="BD24" i="69"/>
  <c r="BQ71" i="69"/>
  <c r="AO71" i="69" a="1"/>
  <c r="AO71" i="69" s="1"/>
  <c r="F265" i="15" a="1"/>
  <c r="F265" i="15" s="1"/>
  <c r="H265" i="15" a="1"/>
  <c r="H265" i="15" s="1"/>
  <c r="H340" i="15" a="1"/>
  <c r="H340" i="15" s="1"/>
  <c r="I185" i="15" a="1"/>
  <c r="I185" i="15" s="1"/>
  <c r="BL74" i="69" a="1"/>
  <c r="BL74" i="69" s="1"/>
  <c r="AZ74" i="69"/>
  <c r="AI74" i="69" s="1" a="1"/>
  <c r="AI74" i="69" s="1"/>
  <c r="BA74" i="69"/>
  <c r="AE46" i="72"/>
  <c r="L46" i="72"/>
  <c r="BE46" i="72"/>
  <c r="AO46" i="72"/>
  <c r="BU46" i="72"/>
  <c r="AJ46" i="72"/>
  <c r="BH46" i="72"/>
  <c r="R46" i="72"/>
  <c r="BN46" i="72" a="1"/>
  <c r="BN46" i="72" s="1"/>
  <c r="AT15" i="69" a="1"/>
  <c r="AT15" i="69" s="1"/>
  <c r="BL21" i="69" a="1"/>
  <c r="BL21" i="69" s="1"/>
  <c r="R21" i="69"/>
  <c r="BH21" i="69" a="1"/>
  <c r="BH21" i="69" s="1"/>
  <c r="AY21" i="69"/>
  <c r="BB21" i="69"/>
  <c r="BO21" i="69"/>
  <c r="F85" i="72"/>
  <c r="F85" i="69"/>
  <c r="AI13" i="72"/>
  <c r="AK50" i="72"/>
  <c r="BG50" i="72"/>
  <c r="BF50" i="72"/>
  <c r="AL50" i="72" s="1"/>
  <c r="BL65" i="69" a="1"/>
  <c r="BL65" i="69" s="1"/>
  <c r="BH65" i="69" a="1"/>
  <c r="BH65" i="69" s="1"/>
  <c r="R65" i="69"/>
  <c r="BO65" i="69"/>
  <c r="BB65" i="69"/>
  <c r="AY65" i="69"/>
  <c r="M3" i="1" a="1"/>
  <c r="M3" i="1" s="1"/>
  <c r="M101" i="1" s="1"/>
  <c r="BT74" i="72"/>
  <c r="BW74" i="72"/>
  <c r="I69" i="69"/>
  <c r="I69" i="72"/>
  <c r="O28" i="72"/>
  <c r="BD45" i="69"/>
  <c r="K34" i="69" a="1"/>
  <c r="K34" i="69" s="1"/>
  <c r="Z23" i="69"/>
  <c r="J23" i="69"/>
  <c r="BP23" i="69"/>
  <c r="N23" i="69" a="1"/>
  <c r="N23" i="69" s="1"/>
  <c r="G23" i="69"/>
  <c r="V23" i="69"/>
  <c r="B23" i="69" s="1"/>
  <c r="AA23" i="69"/>
  <c r="K23" i="69" a="1"/>
  <c r="K23" i="69" s="1"/>
  <c r="Q23" i="69"/>
  <c r="AN23" i="69"/>
  <c r="T23" i="69"/>
  <c r="AX23" i="69"/>
  <c r="AW23" i="69"/>
  <c r="AC23" i="69"/>
  <c r="A23" i="69"/>
  <c r="AM23" i="69"/>
  <c r="W23" i="69"/>
  <c r="BK23" i="69" s="1"/>
  <c r="M23" i="69"/>
  <c r="U23" i="69" a="1"/>
  <c r="U23" i="69" s="1"/>
  <c r="Y23" i="69"/>
  <c r="P23" i="69"/>
  <c r="AB23" i="69" a="1"/>
  <c r="AB23" i="69" s="1"/>
  <c r="S23" i="69"/>
  <c r="L23" i="69"/>
  <c r="AT43" i="69" a="1"/>
  <c r="AT43" i="69" s="1"/>
  <c r="BK86" i="69"/>
  <c r="BJ86" i="69" s="1"/>
  <c r="BM86" i="69" s="1"/>
  <c r="AY86" i="69"/>
  <c r="BH86" i="69" a="1"/>
  <c r="BH86" i="69" s="1"/>
  <c r="BO86" i="69"/>
  <c r="R86" i="69"/>
  <c r="AJ86" i="69" s="1" a="1"/>
  <c r="AJ86" i="69" s="1"/>
  <c r="BB86" i="69"/>
  <c r="AR86" i="69" s="1" a="1"/>
  <c r="AR86" i="69" s="1"/>
  <c r="BI86" i="69" a="1"/>
  <c r="BI86" i="69" s="1"/>
  <c r="E21" i="72"/>
  <c r="E50" i="69"/>
  <c r="S82" i="72"/>
  <c r="AJ82" i="72" s="1"/>
  <c r="I519" i="15" a="1"/>
  <c r="I519" i="15" s="1"/>
  <c r="BC7" i="69"/>
  <c r="BQ7" i="69"/>
  <c r="AF85" i="72" a="1"/>
  <c r="AF85" i="72" s="1"/>
  <c r="BO85" i="72" s="1" a="1"/>
  <c r="BO85" i="72" s="1"/>
  <c r="BA72" i="69"/>
  <c r="AZ72" i="69"/>
  <c r="AI72" i="69" s="1" a="1"/>
  <c r="AI72" i="69" s="1"/>
  <c r="H4" i="69"/>
  <c r="H4" i="72"/>
  <c r="O20" i="72"/>
  <c r="H603" i="15" a="1"/>
  <c r="H603" i="15" s="1"/>
  <c r="O86" i="72"/>
  <c r="AI86" i="72"/>
  <c r="AG86" i="72" s="1" a="1"/>
  <c r="AG86" i="72" s="1"/>
  <c r="E86" i="72"/>
  <c r="BK44" i="69"/>
  <c r="BJ44" i="69" s="1"/>
  <c r="BM44" i="69" s="1"/>
  <c r="DD90" i="4" a="1"/>
  <c r="DD90" i="4" s="1"/>
  <c r="BW78" i="72"/>
  <c r="AR5" i="4"/>
  <c r="AQ5" i="4"/>
  <c r="F355" i="15" a="1"/>
  <c r="F355" i="15" s="1"/>
  <c r="AK73" i="72"/>
  <c r="BF73" i="72"/>
  <c r="AL73" i="72" s="1"/>
  <c r="BG73" i="72"/>
  <c r="BW41" i="72"/>
  <c r="AI41" i="72"/>
  <c r="AE63" i="69" a="1"/>
  <c r="AE63" i="69" s="1"/>
  <c r="AK63" i="69" s="1" a="1"/>
  <c r="AK63" i="69" s="1"/>
  <c r="AY63" i="69"/>
  <c r="BH63" i="69" a="1"/>
  <c r="BH63" i="69" s="1"/>
  <c r="BB63" i="69"/>
  <c r="R63" i="69"/>
  <c r="BO63" i="69"/>
  <c r="AZ63" i="72" a="1"/>
  <c r="AZ63" i="72" s="1"/>
  <c r="I68" i="72"/>
  <c r="I68" i="69"/>
  <c r="BC34" i="69"/>
  <c r="BR44" i="72" a="1"/>
  <c r="BR44" i="72" s="1"/>
  <c r="AO44" i="72"/>
  <c r="BE44" i="72"/>
  <c r="AP44" i="72" s="1" a="1"/>
  <c r="AP44" i="72" s="1"/>
  <c r="BU44" i="72"/>
  <c r="AQ44" i="72" a="1"/>
  <c r="AQ44" i="72" s="1"/>
  <c r="BO44" i="72" a="1"/>
  <c r="BO44" i="72" s="1"/>
  <c r="BH44" i="72"/>
  <c r="AW44" i="72" s="1" a="1"/>
  <c r="AW44" i="72" s="1"/>
  <c r="AJ44" i="72"/>
  <c r="R44" i="72"/>
  <c r="BN44" i="72" a="1"/>
  <c r="BN44" i="72" s="1"/>
  <c r="K26" i="69" a="1"/>
  <c r="K26" i="69" s="1"/>
  <c r="DD81" i="4" a="1"/>
  <c r="DD81" i="4" s="1"/>
  <c r="I278" i="15" a="1"/>
  <c r="I278" i="15" s="1"/>
  <c r="AT30" i="69" a="1"/>
  <c r="AT30" i="69" s="1"/>
  <c r="BW64" i="72"/>
  <c r="H259" i="15" a="1"/>
  <c r="H259" i="15" s="1"/>
  <c r="L73" i="69"/>
  <c r="BQ73" i="69"/>
  <c r="L39" i="72"/>
  <c r="BN39" i="72" a="1"/>
  <c r="BN39" i="72" s="1"/>
  <c r="R39" i="72"/>
  <c r="BU39" i="72"/>
  <c r="BE39" i="72"/>
  <c r="AO39" i="72"/>
  <c r="AJ39" i="72"/>
  <c r="BH39" i="72"/>
  <c r="BW39" i="72"/>
  <c r="AF14" i="72" a="1"/>
  <c r="AF14" i="72" s="1"/>
  <c r="AQ41" i="4"/>
  <c r="AR41" i="4"/>
  <c r="AI30" i="72"/>
  <c r="I438" i="15" a="1"/>
  <c r="I438" i="15" s="1"/>
  <c r="AF89" i="72" a="1"/>
  <c r="AF89" i="72" s="1"/>
  <c r="BO89" i="72" s="1" a="1"/>
  <c r="BO89" i="72" s="1"/>
  <c r="AN89" i="72"/>
  <c r="O29" i="69"/>
  <c r="BH70" i="4"/>
  <c r="BF39" i="69"/>
  <c r="BQ75" i="72"/>
  <c r="AI75" i="72"/>
  <c r="BQ56" i="72"/>
  <c r="BP56" i="72" s="1"/>
  <c r="BS56" i="72" s="1"/>
  <c r="AQ56" i="72" a="1"/>
  <c r="AQ56" i="72" s="1"/>
  <c r="AJ56" i="72"/>
  <c r="AO56" i="72"/>
  <c r="BE56" i="72"/>
  <c r="AP56" i="72" s="1" a="1"/>
  <c r="AP56" i="72" s="1"/>
  <c r="BU56" i="72"/>
  <c r="BH56" i="72"/>
  <c r="AW56" i="72" s="1" a="1"/>
  <c r="AW56" i="72" s="1"/>
  <c r="R56" i="72"/>
  <c r="BN56" i="72" a="1"/>
  <c r="BN56" i="72" s="1"/>
  <c r="BO56" i="72" a="1"/>
  <c r="BO56" i="72" s="1"/>
  <c r="BW8" i="72"/>
  <c r="BQ19" i="69"/>
  <c r="E87" i="72"/>
  <c r="AE36" i="72"/>
  <c r="BQ57" i="69"/>
  <c r="BC5" i="69"/>
  <c r="AF17" i="72" a="1"/>
  <c r="AF17" i="72" s="1"/>
  <c r="AQ17" i="72" s="1" a="1"/>
  <c r="AQ17" i="72" s="1"/>
  <c r="AK17" i="72"/>
  <c r="BG17" i="72"/>
  <c r="BF17" i="72"/>
  <c r="AL17" i="72" s="1"/>
  <c r="BC91" i="69"/>
  <c r="BQ91" i="69"/>
  <c r="AO91" i="69" a="1"/>
  <c r="AO91" i="69" s="1"/>
  <c r="AR94" i="69" a="1"/>
  <c r="AR94" i="69" s="1"/>
  <c r="BC52" i="69"/>
  <c r="BR77" i="72" a="1"/>
  <c r="BR77" i="72" s="1"/>
  <c r="AN77" i="72"/>
  <c r="D28" i="69" a="1"/>
  <c r="D28" i="69" s="1"/>
  <c r="D19" i="72" a="1"/>
  <c r="D19" i="72" s="1"/>
  <c r="E19" i="72"/>
  <c r="I231" i="15" a="1"/>
  <c r="I231" i="15" s="1"/>
  <c r="AZ35" i="69"/>
  <c r="BA35" i="69"/>
  <c r="BQ16" i="69"/>
  <c r="AO16" i="69" a="1"/>
  <c r="AO16" i="69" s="1"/>
  <c r="AK93" i="72"/>
  <c r="BF93" i="72"/>
  <c r="AH93" i="72" s="1" a="1"/>
  <c r="AH93" i="72" s="1"/>
  <c r="BG93" i="72"/>
  <c r="BP93" i="72"/>
  <c r="BS93" i="72" s="1"/>
  <c r="BK36" i="69"/>
  <c r="BJ36" i="69" s="1"/>
  <c r="BM36" i="69" s="1"/>
  <c r="BB36" i="69"/>
  <c r="AR36" i="69" s="1" a="1"/>
  <c r="AR36" i="69" s="1"/>
  <c r="BO36" i="69"/>
  <c r="AY36" i="69"/>
  <c r="BH36" i="69" a="1"/>
  <c r="BH36" i="69" s="1"/>
  <c r="AK36" i="69" a="1"/>
  <c r="AK36" i="69" s="1"/>
  <c r="BI36" i="69" a="1"/>
  <c r="BI36" i="69" s="1"/>
  <c r="R36" i="69"/>
  <c r="AJ36" i="69" s="1" a="1"/>
  <c r="AJ36" i="69" s="1"/>
  <c r="AZ36" i="69"/>
  <c r="AG36" i="69" s="1" a="1"/>
  <c r="AG36" i="69" s="1"/>
  <c r="BA36" i="69"/>
  <c r="AE5" i="72"/>
  <c r="BF5" i="72"/>
  <c r="AL5" i="72" s="1"/>
  <c r="AK5" i="72"/>
  <c r="BG5" i="72"/>
  <c r="E5" i="72"/>
  <c r="BQ17" i="69"/>
  <c r="AO17" i="69" a="1"/>
  <c r="AO17" i="69" s="1"/>
  <c r="BR47" i="72" a="1"/>
  <c r="BR47" i="72" s="1"/>
  <c r="BE47" i="72"/>
  <c r="BH47" i="72"/>
  <c r="AW47" i="72" s="1" a="1"/>
  <c r="AW47" i="72" s="1"/>
  <c r="BU47" i="72"/>
  <c r="AO47" i="72"/>
  <c r="R47" i="72"/>
  <c r="BN47" i="72" a="1"/>
  <c r="BN47" i="72" s="1"/>
  <c r="AJ47" i="72"/>
  <c r="BO47" i="72" a="1"/>
  <c r="BO47" i="72" s="1"/>
  <c r="E47" i="72"/>
  <c r="AI91" i="72"/>
  <c r="U84" i="69" a="1"/>
  <c r="U84" i="69" s="1"/>
  <c r="H560" i="15" a="1"/>
  <c r="H560" i="15" s="1"/>
  <c r="F560" i="15" a="1"/>
  <c r="F560" i="15" s="1"/>
  <c r="BL76" i="69" a="1"/>
  <c r="BL76" i="69" s="1"/>
  <c r="BB76" i="69"/>
  <c r="AR76" i="69" s="1" a="1"/>
  <c r="AR76" i="69" s="1"/>
  <c r="AY76" i="69"/>
  <c r="AJ76" i="69" s="1" a="1"/>
  <c r="AJ76" i="69" s="1"/>
  <c r="BO76" i="69"/>
  <c r="BH76" i="69" a="1"/>
  <c r="BH76" i="69" s="1"/>
  <c r="R76" i="69"/>
  <c r="AK76" i="69" a="1"/>
  <c r="AK76" i="69" s="1"/>
  <c r="B76" i="69"/>
  <c r="AO81" i="69" a="1"/>
  <c r="AO81" i="69" s="1"/>
  <c r="BQ81" i="69"/>
  <c r="G60" i="69"/>
  <c r="S60" i="69"/>
  <c r="Z60" i="69"/>
  <c r="W60" i="69"/>
  <c r="AC60" i="69"/>
  <c r="AN60" i="69"/>
  <c r="AW60" i="69"/>
  <c r="BP60" i="69"/>
  <c r="AX60" i="69"/>
  <c r="V60" i="69"/>
  <c r="B60" i="69" s="1"/>
  <c r="U60" i="69" a="1"/>
  <c r="U60" i="69" s="1"/>
  <c r="Y60" i="69"/>
  <c r="AB60" i="69" a="1"/>
  <c r="AB60" i="69" s="1"/>
  <c r="AA60" i="69"/>
  <c r="N60" i="69" a="1"/>
  <c r="N60" i="69" s="1"/>
  <c r="Q60" i="69"/>
  <c r="J60" i="69"/>
  <c r="A60" i="69"/>
  <c r="T60" i="69"/>
  <c r="AM60" i="69"/>
  <c r="P60" i="69"/>
  <c r="M60" i="69"/>
  <c r="H60" i="69"/>
  <c r="H428" i="15" a="1"/>
  <c r="H428" i="15" s="1"/>
  <c r="K42" i="69" a="1"/>
  <c r="K42" i="69" s="1"/>
  <c r="AI16" i="72"/>
  <c r="G59" i="69"/>
  <c r="E93" i="69"/>
  <c r="BR12" i="72" a="1"/>
  <c r="BR12" i="72" s="1"/>
  <c r="BF32" i="69"/>
  <c r="F240" i="15" a="1"/>
  <c r="F240" i="15" s="1"/>
  <c r="H240" i="15" a="1"/>
  <c r="H240" i="15" s="1"/>
  <c r="AE48" i="72"/>
  <c r="AN48" i="72"/>
  <c r="AN76" i="72"/>
  <c r="L6" i="72"/>
  <c r="AI6" i="72"/>
  <c r="U81" i="72" a="1"/>
  <c r="U81" i="72" s="1"/>
  <c r="BN83" i="69"/>
  <c r="BQ27" i="72"/>
  <c r="BH27" i="72"/>
  <c r="AX27" i="72" s="1" a="1"/>
  <c r="AX27" i="72" s="1"/>
  <c r="BE27" i="72"/>
  <c r="BU27" i="72"/>
  <c r="R27" i="72"/>
  <c r="AJ27" i="72"/>
  <c r="BN27" i="72" a="1"/>
  <c r="BN27" i="72" s="1"/>
  <c r="AQ27" i="72" a="1"/>
  <c r="AQ27" i="72" s="1"/>
  <c r="BO27" i="72" a="1"/>
  <c r="BO27" i="72" s="1"/>
  <c r="AO27" i="72"/>
  <c r="BL32" i="72"/>
  <c r="AN32" i="72"/>
  <c r="DD92" i="4" a="1"/>
  <c r="DD92" i="4" s="1"/>
  <c r="I84" i="72"/>
  <c r="I84" i="69"/>
  <c r="I516" i="15" a="1"/>
  <c r="I516" i="15" s="1"/>
  <c r="AG94" i="69" a="1"/>
  <c r="AG94" i="69" s="1"/>
  <c r="I421" i="15" a="1"/>
  <c r="I421" i="15" s="1"/>
  <c r="BK33" i="69"/>
  <c r="BJ33" i="69" s="1"/>
  <c r="BM33" i="69" s="1"/>
  <c r="BB33" i="69"/>
  <c r="AQ33" i="69" s="1" a="1"/>
  <c r="AQ33" i="69" s="1"/>
  <c r="BI33" i="69" a="1"/>
  <c r="BI33" i="69" s="1"/>
  <c r="AY33" i="69"/>
  <c r="AK33" i="69" a="1"/>
  <c r="AK33" i="69" s="1"/>
  <c r="BO33" i="69"/>
  <c r="BH33" i="69" a="1"/>
  <c r="BH33" i="69" s="1"/>
  <c r="R33" i="69"/>
  <c r="BO67" i="69"/>
  <c r="BH67" i="69" a="1"/>
  <c r="BH67" i="69" s="1"/>
  <c r="BB67" i="69"/>
  <c r="AR67" i="69" s="1" a="1"/>
  <c r="AR67" i="69" s="1"/>
  <c r="AY67" i="69"/>
  <c r="AK67" i="69" a="1"/>
  <c r="AK67" i="69" s="1"/>
  <c r="BI67" i="69" a="1"/>
  <c r="BI67" i="69" s="1"/>
  <c r="R67" i="69"/>
  <c r="F299" i="15" a="1"/>
  <c r="F299" i="15" s="1"/>
  <c r="U83" i="72" a="1"/>
  <c r="U83" i="72" s="1"/>
  <c r="BW83" i="72"/>
  <c r="BH71" i="4"/>
  <c r="X55" i="72"/>
  <c r="K91" i="72" s="1" a="1"/>
  <c r="K91" i="72" s="1"/>
  <c r="X55" i="69"/>
  <c r="K64" i="69" s="1" a="1"/>
  <c r="K64" i="69" s="1"/>
  <c r="BR62" i="4"/>
  <c r="BG62" i="4"/>
  <c r="AV1160" i="13" s="1"/>
  <c r="X62" i="4"/>
  <c r="L62" i="4"/>
  <c r="BG66" i="4"/>
  <c r="AV1164" i="13" s="1"/>
  <c r="L66" i="4"/>
  <c r="BF68" i="4"/>
  <c r="BF88" i="4"/>
  <c r="BF80" i="4"/>
  <c r="BF92" i="4"/>
  <c r="BG94" i="4"/>
  <c r="AV1192" i="13" s="1"/>
  <c r="L94" i="4"/>
  <c r="BG85" i="4"/>
  <c r="AV1183" i="13" s="1"/>
  <c r="L85" i="4"/>
  <c r="AQ43" i="4"/>
  <c r="AR43" i="4"/>
  <c r="BR90" i="72" a="1"/>
  <c r="BR90" i="72" s="1"/>
  <c r="H554" i="15" a="1"/>
  <c r="H554" i="15" s="1"/>
  <c r="E54" i="69"/>
  <c r="F64" i="69"/>
  <c r="F64" i="72"/>
  <c r="A1351" i="13"/>
  <c r="AX1252" i="13"/>
  <c r="I464" i="15" a="1"/>
  <c r="I464" i="15" s="1"/>
  <c r="BQ69" i="72"/>
  <c r="BP69" i="72" s="1"/>
  <c r="BS69" i="72" s="1"/>
  <c r="AK69" i="72"/>
  <c r="BF69" i="72"/>
  <c r="AL69" i="72" s="1"/>
  <c r="BG69" i="72"/>
  <c r="E69" i="72"/>
  <c r="BJ37" i="69"/>
  <c r="BM37" i="69" s="1"/>
  <c r="BA37" i="69"/>
  <c r="AZ37" i="69"/>
  <c r="AG37" i="69" s="1" a="1"/>
  <c r="AG37" i="69" s="1"/>
  <c r="L18" i="69"/>
  <c r="BJ18" i="69"/>
  <c r="BM18" i="69" s="1"/>
  <c r="AZ18" i="69"/>
  <c r="AI18" i="69" s="1" a="1"/>
  <c r="AI18" i="69" s="1"/>
  <c r="BA18" i="69"/>
  <c r="BN27" i="69"/>
  <c r="I348" i="15" a="1"/>
  <c r="I348" i="15" s="1"/>
  <c r="AE40" i="69" a="1"/>
  <c r="AE40" i="69" s="1"/>
  <c r="BI40" i="69" s="1" a="1"/>
  <c r="BI40" i="69" s="1"/>
  <c r="BR69" i="72" a="1"/>
  <c r="BR69" i="72" s="1"/>
  <c r="G69" i="72"/>
  <c r="D54" i="69" a="1"/>
  <c r="D54" i="69" s="1"/>
  <c r="E33" i="72"/>
  <c r="BQ38" i="72"/>
  <c r="BP38" i="72" s="1"/>
  <c r="BS38" i="72" s="1"/>
  <c r="R38" i="72"/>
  <c r="AQ38" i="72" a="1"/>
  <c r="AQ38" i="72" s="1"/>
  <c r="AO38" i="72"/>
  <c r="BU38" i="72"/>
  <c r="BH38" i="72"/>
  <c r="AX38" i="72" s="1" a="1"/>
  <c r="AX38" i="72" s="1"/>
  <c r="BE38" i="72"/>
  <c r="AP38" i="72" s="1" a="1"/>
  <c r="AP38" i="72" s="1"/>
  <c r="AJ38" i="72"/>
  <c r="BN38" i="72" a="1"/>
  <c r="BN38" i="72" s="1"/>
  <c r="BO38" i="72" a="1"/>
  <c r="BO38" i="72" s="1"/>
  <c r="AI90" i="72"/>
  <c r="DV80" i="4"/>
  <c r="AV582" i="13"/>
  <c r="BH80" i="4"/>
  <c r="BL80" i="4"/>
  <c r="AZ53" i="72" a="1"/>
  <c r="AZ53" i="72" s="1"/>
  <c r="AN53" i="72"/>
  <c r="BJ92" i="69"/>
  <c r="BM92" i="69" s="1"/>
  <c r="AZ92" i="69"/>
  <c r="BA92" i="69"/>
  <c r="E31" i="69"/>
  <c r="AZ80" i="72" a="1"/>
  <c r="AZ80" i="72" s="1"/>
  <c r="E80" i="72"/>
  <c r="AZ66" i="72" a="1"/>
  <c r="AZ66" i="72" s="1"/>
  <c r="BG66" i="72"/>
  <c r="AK66" i="72"/>
  <c r="BF66" i="72"/>
  <c r="AL66" i="72" s="1"/>
  <c r="I581" i="15" a="1"/>
  <c r="I581" i="15" s="1"/>
  <c r="F62" i="69"/>
  <c r="F62" i="72"/>
  <c r="BJ24" i="72"/>
  <c r="BI71" i="72"/>
  <c r="BD90" i="4"/>
  <c r="X90" i="4" s="1"/>
  <c r="BT90" i="4"/>
  <c r="BW31" i="72"/>
  <c r="AU31" i="72" a="1"/>
  <c r="AU31" i="72" s="1"/>
  <c r="AI37" i="72"/>
  <c r="BL49" i="69" a="1"/>
  <c r="BL49" i="69" s="1"/>
  <c r="BB49" i="69"/>
  <c r="AQ49" i="69" s="1" a="1"/>
  <c r="AQ49" i="69" s="1"/>
  <c r="BH49" i="69" a="1"/>
  <c r="BH49" i="69" s="1"/>
  <c r="BO49" i="69"/>
  <c r="AY49" i="69"/>
  <c r="R49" i="69"/>
  <c r="AJ49" i="69" s="1" a="1"/>
  <c r="AJ49" i="69" s="1"/>
  <c r="BI49" i="69" a="1"/>
  <c r="BI49" i="69" s="1"/>
  <c r="E88" i="72"/>
  <c r="BQ92" i="72"/>
  <c r="BP92" i="72" s="1"/>
  <c r="BS92" i="72" s="1"/>
  <c r="BE92" i="72"/>
  <c r="BH92" i="72"/>
  <c r="R92" i="72"/>
  <c r="AO92" i="72"/>
  <c r="BU92" i="72"/>
  <c r="AJ92" i="72"/>
  <c r="BN92" i="72" a="1"/>
  <c r="BN92" i="72" s="1"/>
  <c r="BF51" i="69"/>
  <c r="AI15" i="72"/>
  <c r="E45" i="72"/>
  <c r="BP18" i="72"/>
  <c r="BS18" i="72" s="1"/>
  <c r="BG18" i="72"/>
  <c r="AK18" i="72"/>
  <c r="BF18" i="72"/>
  <c r="AL18" i="72" s="1"/>
  <c r="D20" i="69" a="1"/>
  <c r="D20" i="69" s="1"/>
  <c r="BQ20" i="69"/>
  <c r="AO20" i="69" a="1"/>
  <c r="AO20" i="69" s="1"/>
  <c r="CA47" i="4"/>
  <c r="AU47" i="4"/>
  <c r="Y47" i="4"/>
  <c r="AV47" i="4" a="1"/>
  <c r="AV47" i="4" s="1"/>
  <c r="AT47" i="4" a="1"/>
  <c r="AT47" i="4" s="1"/>
  <c r="BQ47" i="4"/>
  <c r="I646" i="15" a="1"/>
  <c r="I646" i="15" s="1"/>
  <c r="AI62" i="72"/>
  <c r="I396" i="15" a="1"/>
  <c r="I396" i="15" s="1"/>
  <c r="BQ13" i="69"/>
  <c r="A1500" i="13"/>
  <c r="Z1505" i="13"/>
  <c r="AV1401" i="13"/>
  <c r="AX1401" i="13"/>
  <c r="BQ79" i="72"/>
  <c r="BP79" i="72" s="1"/>
  <c r="BS79" i="72" s="1"/>
  <c r="BH79" i="72"/>
  <c r="AJ79" i="72"/>
  <c r="AO79" i="72"/>
  <c r="BN79" i="72" a="1"/>
  <c r="BN79" i="72" s="1"/>
  <c r="BU79" i="72"/>
  <c r="R79" i="72"/>
  <c r="BE79" i="72"/>
  <c r="BK24" i="69"/>
  <c r="BJ24" i="69" s="1"/>
  <c r="BM24" i="69" s="1"/>
  <c r="AK24" i="69" a="1"/>
  <c r="AK24" i="69" s="1"/>
  <c r="BI24" i="69" a="1"/>
  <c r="BI24" i="69" s="1"/>
  <c r="BB24" i="69"/>
  <c r="AQ24" i="69" s="1" a="1"/>
  <c r="AQ24" i="69" s="1"/>
  <c r="BH24" i="69" a="1"/>
  <c r="BH24" i="69" s="1"/>
  <c r="AY24" i="69"/>
  <c r="AJ24" i="69" s="1" a="1"/>
  <c r="AJ24" i="69" s="1"/>
  <c r="BO24" i="69"/>
  <c r="R24" i="69"/>
  <c r="AI65" i="72"/>
  <c r="H281" i="15" a="1"/>
  <c r="H281" i="15" s="1"/>
  <c r="A1558" i="13"/>
  <c r="AX1459" i="13"/>
  <c r="AV1459" i="13"/>
  <c r="Z1563" i="13"/>
  <c r="BN74" i="69"/>
  <c r="BR46" i="72" a="1"/>
  <c r="BR46" i="72" s="1"/>
  <c r="A1565" i="13"/>
  <c r="AX1466" i="13"/>
  <c r="Z1570" i="13"/>
  <c r="AV1466" i="13"/>
  <c r="BH15" i="69" a="1"/>
  <c r="BH15" i="69" s="1"/>
  <c r="AY15" i="69"/>
  <c r="R15" i="69"/>
  <c r="AK15" i="69" a="1"/>
  <c r="AK15" i="69" s="1"/>
  <c r="BB15" i="69"/>
  <c r="AQ15" i="69" s="1" a="1"/>
  <c r="AQ15" i="69" s="1"/>
  <c r="BI15" i="69" a="1"/>
  <c r="BI15" i="69" s="1"/>
  <c r="BO15" i="69"/>
  <c r="BW68" i="72"/>
  <c r="AU68" i="72" a="1"/>
  <c r="AU68" i="72" s="1"/>
  <c r="BC21" i="69"/>
  <c r="AF13" i="72" a="1"/>
  <c r="AF13" i="72" s="1"/>
  <c r="BK79" i="69"/>
  <c r="BJ79" i="69" s="1"/>
  <c r="BM79" i="69" s="1"/>
  <c r="E50" i="72"/>
  <c r="F71" i="15" a="1"/>
  <c r="F71" i="15" s="1"/>
  <c r="H71" i="15" a="1"/>
  <c r="H71" i="15" s="1"/>
  <c r="I398" i="15" a="1"/>
  <c r="I398" i="15" s="1"/>
  <c r="BD83" i="4"/>
  <c r="X83" i="4" s="1"/>
  <c r="BL25" i="72"/>
  <c r="BQ7" i="72"/>
  <c r="BP7" i="72" s="1"/>
  <c r="BS7" i="72" s="1"/>
  <c r="AI7" i="72"/>
  <c r="AD45" i="69"/>
  <c r="BR19" i="4"/>
  <c r="K27" i="72" a="1"/>
  <c r="K27" i="72" s="1"/>
  <c r="T23" i="72"/>
  <c r="Z23" i="72"/>
  <c r="W23" i="72"/>
  <c r="BR23" i="72" s="1" a="1"/>
  <c r="BR23" i="72" s="1"/>
  <c r="BC23" i="72"/>
  <c r="L23" i="72"/>
  <c r="N23" i="72" a="1"/>
  <c r="N23" i="72" s="1"/>
  <c r="M23" i="72"/>
  <c r="AS23" i="72"/>
  <c r="J23" i="72"/>
  <c r="G23" i="72"/>
  <c r="V23" i="72"/>
  <c r="B23" i="72" s="1"/>
  <c r="AT23" i="72"/>
  <c r="Y23" i="72"/>
  <c r="AD23" i="72"/>
  <c r="AB23" i="72" a="1"/>
  <c r="AB23" i="72" s="1"/>
  <c r="U23" i="72" a="1"/>
  <c r="U23" i="72" s="1"/>
  <c r="P23" i="72"/>
  <c r="AA23" i="72"/>
  <c r="A23" i="72"/>
  <c r="K23" i="72" a="1"/>
  <c r="K23" i="72" s="1"/>
  <c r="BV23" i="72"/>
  <c r="AC23" i="72"/>
  <c r="S23" i="72"/>
  <c r="BD23" i="72"/>
  <c r="Q23" i="72"/>
  <c r="O23" i="72"/>
  <c r="K43" i="69" a="1"/>
  <c r="K43" i="69" s="1"/>
  <c r="AZ68" i="69"/>
  <c r="BA68" i="69"/>
  <c r="D21" i="72" a="1"/>
  <c r="D21" i="72" s="1"/>
  <c r="I56" i="72"/>
  <c r="I56" i="69"/>
  <c r="L554" i="15" a="1"/>
  <c r="L554" i="15" s="1"/>
  <c r="D50" i="69" a="1"/>
  <c r="D50" i="69" s="1"/>
  <c r="E78" i="69"/>
  <c r="I404" i="15" a="1"/>
  <c r="I404" i="15" s="1"/>
  <c r="BW82" i="72"/>
  <c r="AU82" i="72" a="1"/>
  <c r="AU82" i="72" s="1"/>
  <c r="F61" i="69"/>
  <c r="F61" i="72"/>
  <c r="BD69" i="4"/>
  <c r="BR69" i="4" s="1"/>
  <c r="AE7" i="69" a="1"/>
  <c r="AE7" i="69" s="1"/>
  <c r="BD72" i="69"/>
  <c r="BD66" i="4"/>
  <c r="X66" i="4" s="1"/>
  <c r="BJ41" i="69"/>
  <c r="BM41" i="69" s="1"/>
  <c r="K43" i="72" a="1"/>
  <c r="K43" i="72" s="1"/>
  <c r="AE86" i="72"/>
  <c r="DD68" i="4" a="1"/>
  <c r="DD68" i="4" s="1"/>
  <c r="BH87" i="4"/>
  <c r="E164" i="15"/>
  <c r="E143" i="15"/>
  <c r="E427" i="15"/>
  <c r="H421" i="15" s="1" a="1"/>
  <c r="H421" i="15" s="1"/>
  <c r="E169" i="15"/>
  <c r="E197" i="15"/>
  <c r="H355" i="15" a="1"/>
  <c r="H355" i="15" s="1"/>
  <c r="I413" i="15" a="1"/>
  <c r="I413" i="15" s="1"/>
  <c r="AN73" i="72"/>
  <c r="I71" i="69"/>
  <c r="I71" i="72"/>
  <c r="BI61" i="72"/>
  <c r="BN85" i="69"/>
  <c r="AN72" i="72"/>
  <c r="AV1458" i="13"/>
  <c r="A1557" i="13"/>
  <c r="Z1562" i="13"/>
  <c r="AX1458" i="13"/>
  <c r="BR63" i="72" a="1"/>
  <c r="BR63" i="72" s="1"/>
  <c r="BN63" i="72" a="1"/>
  <c r="BN63" i="72" s="1"/>
  <c r="R63" i="72"/>
  <c r="BU63" i="72"/>
  <c r="BE63" i="72"/>
  <c r="BH63" i="72"/>
  <c r="AX63" i="72" s="1" a="1"/>
  <c r="AX63" i="72" s="1"/>
  <c r="BO63" i="72" a="1"/>
  <c r="BO63" i="72" s="1"/>
  <c r="AQ63" i="72" a="1"/>
  <c r="AQ63" i="72" s="1"/>
  <c r="AJ63" i="72"/>
  <c r="AO63" i="72"/>
  <c r="BK34" i="69"/>
  <c r="BF34" i="69"/>
  <c r="BH76" i="4"/>
  <c r="DV76" i="4"/>
  <c r="BL76" i="4"/>
  <c r="BT103" i="4" s="1"/>
  <c r="Z1726" i="13" s="1"/>
  <c r="AV578" i="13"/>
  <c r="BA11" i="69"/>
  <c r="AZ11" i="69"/>
  <c r="BJ44" i="72"/>
  <c r="E44" i="72"/>
  <c r="F80" i="69"/>
  <c r="F80" i="72"/>
  <c r="BD88" i="4"/>
  <c r="BR88" i="4" s="1"/>
  <c r="L549" i="15" a="1"/>
  <c r="L549" i="15" s="1"/>
  <c r="K479" i="15" a="1"/>
  <c r="K479" i="15" s="1"/>
  <c r="H274" i="15" a="1"/>
  <c r="H274" i="15" s="1"/>
  <c r="DV84" i="4"/>
  <c r="BH84" i="4"/>
  <c r="AV586" i="13"/>
  <c r="BL84" i="4"/>
  <c r="I259" i="15" a="1"/>
  <c r="I259" i="15" s="1"/>
  <c r="S73" i="69"/>
  <c r="AV568" i="13"/>
  <c r="DV66" i="4"/>
  <c r="BL66" i="4"/>
  <c r="BH66" i="4"/>
  <c r="BL61" i="69" a="1"/>
  <c r="BL61" i="69" s="1"/>
  <c r="R61" i="69"/>
  <c r="AJ61" i="69" s="1" a="1"/>
  <c r="AJ61" i="69" s="1"/>
  <c r="BO61" i="69"/>
  <c r="AK61" i="69" a="1"/>
  <c r="AK61" i="69" s="1"/>
  <c r="AY61" i="69"/>
  <c r="BH61" i="69" a="1"/>
  <c r="BH61" i="69" s="1"/>
  <c r="BB61" i="69"/>
  <c r="AR61" i="69" s="1" a="1"/>
  <c r="AR61" i="69" s="1"/>
  <c r="BI61" i="69" a="1"/>
  <c r="BI61" i="69" s="1"/>
  <c r="BJ39" i="72"/>
  <c r="E39" i="72"/>
  <c r="H14" i="72"/>
  <c r="L75" i="69"/>
  <c r="BO75" i="69"/>
  <c r="AY75" i="69"/>
  <c r="R75" i="69"/>
  <c r="BH75" i="69" a="1"/>
  <c r="BH75" i="69" s="1"/>
  <c r="BB75" i="69"/>
  <c r="AQ75" i="69" s="1" a="1"/>
  <c r="AQ75" i="69" s="1"/>
  <c r="AK75" i="69" a="1"/>
  <c r="AK75" i="69" s="1"/>
  <c r="BI75" i="69" a="1"/>
  <c r="BI75" i="69" s="1"/>
  <c r="I574" i="15" a="1"/>
  <c r="I574" i="15" s="1"/>
  <c r="H185" i="15" a="1"/>
  <c r="H185" i="15" s="1"/>
  <c r="Z1588" i="13"/>
  <c r="A1583" i="13"/>
  <c r="AX1484" i="13"/>
  <c r="AI11" i="72"/>
  <c r="BF11" i="72"/>
  <c r="AH11" i="72" s="1" a="1"/>
  <c r="AH11" i="72" s="1"/>
  <c r="BG11" i="72"/>
  <c r="AK11" i="72"/>
  <c r="BD29" i="69"/>
  <c r="AZ39" i="69"/>
  <c r="AG39" i="69" s="1" a="1"/>
  <c r="AG39" i="69" s="1"/>
  <c r="BA39" i="69"/>
  <c r="K39" i="69" a="1"/>
  <c r="K39" i="69" s="1"/>
  <c r="AN56" i="72"/>
  <c r="BJ8" i="72"/>
  <c r="D19" i="69" a="1"/>
  <c r="D19" i="69" s="1"/>
  <c r="BD82" i="4"/>
  <c r="BR82" i="4" s="1"/>
  <c r="BR34" i="72" a="1"/>
  <c r="BR34" i="72" s="1"/>
  <c r="BH34" i="72"/>
  <c r="AX34" i="72" s="1" a="1"/>
  <c r="AX34" i="72" s="1"/>
  <c r="R34" i="72"/>
  <c r="AP34" i="72" s="1" a="1"/>
  <c r="AP34" i="72" s="1"/>
  <c r="BO34" i="72" a="1"/>
  <c r="BO34" i="72" s="1"/>
  <c r="AQ34" i="72" a="1"/>
  <c r="AQ34" i="72" s="1"/>
  <c r="AO34" i="72"/>
  <c r="BE34" i="72"/>
  <c r="BU34" i="72"/>
  <c r="AJ34" i="72"/>
  <c r="BN34" i="72" a="1"/>
  <c r="BN34" i="72" s="1"/>
  <c r="X20" i="4"/>
  <c r="BT95" i="4"/>
  <c r="BD95" i="4"/>
  <c r="X95" i="4" s="1"/>
  <c r="AF36" i="72" a="1"/>
  <c r="AF36" i="72" s="1"/>
  <c r="AQ36" i="72" s="1" a="1"/>
  <c r="AQ36" i="72" s="1"/>
  <c r="BA57" i="69"/>
  <c r="AZ57" i="69"/>
  <c r="BI17" i="72"/>
  <c r="BE17" i="72"/>
  <c r="R17" i="72"/>
  <c r="AO17" i="72"/>
  <c r="BN17" i="72" a="1"/>
  <c r="BN17" i="72" s="1"/>
  <c r="BU17" i="72"/>
  <c r="BH17" i="72"/>
  <c r="AJ17" i="72"/>
  <c r="AV1438" i="13"/>
  <c r="A1537" i="13"/>
  <c r="Z1542" i="13"/>
  <c r="AX1438" i="13"/>
  <c r="AT91" i="69" a="1"/>
  <c r="AT91" i="69" s="1"/>
  <c r="G84" i="72"/>
  <c r="BR84" i="72" a="1"/>
  <c r="BR84" i="72" s="1"/>
  <c r="R84" i="72"/>
  <c r="BN84" i="72" a="1"/>
  <c r="BN84" i="72" s="1"/>
  <c r="AO84" i="72"/>
  <c r="BU84" i="72"/>
  <c r="AJ84" i="72"/>
  <c r="BE84" i="72"/>
  <c r="BH84" i="72"/>
  <c r="I613" i="15" a="1"/>
  <c r="I613" i="15" s="1"/>
  <c r="BL89" i="69" a="1"/>
  <c r="BL89" i="69" s="1"/>
  <c r="AK29" i="72"/>
  <c r="BF29" i="72"/>
  <c r="AL29" i="72" s="1"/>
  <c r="BG29" i="72"/>
  <c r="AI19" i="72"/>
  <c r="AG19" i="72" s="1" a="1"/>
  <c r="AG19" i="72" s="1"/>
  <c r="BH61" i="4"/>
  <c r="BO87" i="69"/>
  <c r="R87" i="69"/>
  <c r="BB87" i="69"/>
  <c r="AR87" i="69" s="1" a="1"/>
  <c r="AR87" i="69" s="1"/>
  <c r="BH87" i="69" a="1"/>
  <c r="BH87" i="69" s="1"/>
  <c r="AY87" i="69"/>
  <c r="AK87" i="69" a="1"/>
  <c r="AK87" i="69" s="1"/>
  <c r="BI87" i="69" a="1"/>
  <c r="BI87" i="69" s="1"/>
  <c r="D46" i="72" a="1"/>
  <c r="D46" i="72" s="1"/>
  <c r="K42" i="72" a="1"/>
  <c r="K42" i="72" s="1"/>
  <c r="AD35" i="69"/>
  <c r="AD17" i="69"/>
  <c r="AK47" i="72"/>
  <c r="BG47" i="72"/>
  <c r="BF47" i="72"/>
  <c r="AL47" i="72" s="1"/>
  <c r="DD71" i="4" a="1"/>
  <c r="DD71" i="4" s="1"/>
  <c r="BJ91" i="72"/>
  <c r="U91" i="72" a="1"/>
  <c r="U91" i="72" s="1"/>
  <c r="G84" i="69"/>
  <c r="AI52" i="72"/>
  <c r="BA48" i="69"/>
  <c r="AZ48" i="69"/>
  <c r="A1562" i="13"/>
  <c r="AX1463" i="13"/>
  <c r="Z1567" i="13"/>
  <c r="E77" i="69"/>
  <c r="X76" i="4"/>
  <c r="BK81" i="69"/>
  <c r="BI81" i="69" a="1"/>
  <c r="BI81" i="69" s="1"/>
  <c r="BB81" i="69"/>
  <c r="AR81" i="69" s="1" a="1"/>
  <c r="AR81" i="69" s="1"/>
  <c r="BH81" i="69" a="1"/>
  <c r="BH81" i="69" s="1"/>
  <c r="AY81" i="69"/>
  <c r="AK81" i="69" a="1"/>
  <c r="AK81" i="69" s="1"/>
  <c r="BO81" i="69"/>
  <c r="R81" i="69"/>
  <c r="AR66" i="4"/>
  <c r="AQ66" i="4"/>
  <c r="A60" i="72"/>
  <c r="AA60" i="72"/>
  <c r="Y60" i="72"/>
  <c r="P60" i="72"/>
  <c r="S60" i="72"/>
  <c r="Z60" i="72"/>
  <c r="W60" i="72"/>
  <c r="Q60" i="72"/>
  <c r="N60" i="72" a="1"/>
  <c r="N60" i="72" s="1"/>
  <c r="T60" i="72"/>
  <c r="AT60" i="72"/>
  <c r="AD60" i="72"/>
  <c r="V60" i="72"/>
  <c r="B60" i="72" s="1"/>
  <c r="M60" i="72"/>
  <c r="BV60" i="72"/>
  <c r="AS60" i="72"/>
  <c r="G60" i="72"/>
  <c r="BC60" i="72"/>
  <c r="U60" i="72" a="1"/>
  <c r="U60" i="72" s="1"/>
  <c r="AB60" i="72" a="1"/>
  <c r="AB60" i="72" s="1"/>
  <c r="AC60" i="72"/>
  <c r="J60" i="72"/>
  <c r="BD60" i="72"/>
  <c r="C60" i="72"/>
  <c r="H35" i="72"/>
  <c r="AE35" i="72"/>
  <c r="BQ16" i="72"/>
  <c r="BP16" i="72" s="1"/>
  <c r="BS16" i="72" s="1"/>
  <c r="AP93" i="69" a="1"/>
  <c r="AP93" i="69" s="1"/>
  <c r="AF93" i="69" a="1"/>
  <c r="AF93" i="69" s="1"/>
  <c r="AH93" i="69" a="1"/>
  <c r="AH93" i="69" s="1"/>
  <c r="AV93" i="69" a="1"/>
  <c r="AV93" i="69" s="1"/>
  <c r="AL93" i="69" a="1"/>
  <c r="AL93" i="69" s="1"/>
  <c r="AJ93" i="69" a="1"/>
  <c r="AJ93" i="69" s="1"/>
  <c r="AU93" i="69" a="1"/>
  <c r="AU93" i="69" s="1"/>
  <c r="BL12" i="72"/>
  <c r="D39" i="72" a="1"/>
  <c r="D39" i="72" s="1"/>
  <c r="H179" i="15" a="1"/>
  <c r="H179" i="15" s="1"/>
  <c r="F179" i="15" a="1"/>
  <c r="F179" i="15" s="1"/>
  <c r="BJ48" i="72"/>
  <c r="L76" i="72"/>
  <c r="BN76" i="72" a="1"/>
  <c r="BN76" i="72" s="1"/>
  <c r="AJ76" i="72"/>
  <c r="AQ76" i="72" a="1"/>
  <c r="AQ76" i="72" s="1"/>
  <c r="BO76" i="72" a="1"/>
  <c r="BO76" i="72" s="1"/>
  <c r="BE76" i="72"/>
  <c r="AP76" i="72" s="1" a="1"/>
  <c r="AP76" i="72" s="1"/>
  <c r="R76" i="72"/>
  <c r="AO76" i="72"/>
  <c r="BU76" i="72"/>
  <c r="BH76" i="72"/>
  <c r="AX76" i="72" s="1" a="1"/>
  <c r="AX76" i="72" s="1"/>
  <c r="AK6" i="72"/>
  <c r="BG6" i="72"/>
  <c r="BF6" i="72"/>
  <c r="AH6" i="72" s="1" a="1"/>
  <c r="AH6" i="72" s="1"/>
  <c r="AZ81" i="72" a="1"/>
  <c r="AZ81" i="72" s="1"/>
  <c r="BQ81" i="72"/>
  <c r="BP81" i="72" s="1"/>
  <c r="BS81" i="72" s="1"/>
  <c r="AO81" i="72"/>
  <c r="AJ81" i="72"/>
  <c r="BN81" i="72" a="1"/>
  <c r="BN81" i="72" s="1"/>
  <c r="R81" i="72"/>
  <c r="BU81" i="72"/>
  <c r="BE81" i="72"/>
  <c r="BH81" i="72"/>
  <c r="AK81" i="72"/>
  <c r="BG81" i="72"/>
  <c r="BF81" i="72"/>
  <c r="AL81" i="72" s="1"/>
  <c r="I226" i="15" a="1"/>
  <c r="I226" i="15" s="1"/>
  <c r="S59" i="72"/>
  <c r="AK32" i="72"/>
  <c r="BG32" i="72"/>
  <c r="BF32" i="72"/>
  <c r="AH32" i="72" s="1" a="1"/>
  <c r="AH32" i="72" s="1"/>
  <c r="DD63" i="4" a="1"/>
  <c r="DD63" i="4" s="1"/>
  <c r="BL40" i="72"/>
  <c r="H509" i="15" a="1"/>
  <c r="H509" i="15" s="1"/>
  <c r="AZ90" i="69"/>
  <c r="AI90" i="69" s="1" a="1"/>
  <c r="AI90" i="69" s="1"/>
  <c r="BA90" i="69"/>
  <c r="BJ90" i="69"/>
  <c r="BM90" i="69" s="1"/>
  <c r="BO90" i="69"/>
  <c r="BB90" i="69"/>
  <c r="AQ90" i="69" s="1" a="1"/>
  <c r="AQ90" i="69" s="1"/>
  <c r="BH90" i="69" a="1"/>
  <c r="BH90" i="69" s="1"/>
  <c r="AY90" i="69"/>
  <c r="BI90" i="69" a="1"/>
  <c r="BI90" i="69" s="1"/>
  <c r="AK90" i="69" a="1"/>
  <c r="AK90" i="69" s="1"/>
  <c r="R90" i="69"/>
  <c r="AQ39" i="4"/>
  <c r="AR39" i="4"/>
  <c r="AW94" i="72" a="1"/>
  <c r="AW94" i="72" s="1"/>
  <c r="BG60" i="4"/>
  <c r="AV1158" i="13" s="1"/>
  <c r="X60" i="4"/>
  <c r="BF62" i="4"/>
  <c r="BG88" i="4"/>
  <c r="AV1186" i="13" s="1"/>
  <c r="L88" i="4"/>
  <c r="BG80" i="4"/>
  <c r="AV1178" i="13" s="1"/>
  <c r="BR80" i="4"/>
  <c r="L80" i="4"/>
  <c r="BF94" i="4"/>
  <c r="BF96" i="4"/>
  <c r="BA38" i="72" a="1"/>
  <c r="BA38" i="72" s="1"/>
  <c r="AR38" i="72" a="1"/>
  <c r="AR38" i="72" s="1"/>
  <c r="AV38" i="72" a="1"/>
  <c r="AV38" i="72" s="1"/>
  <c r="AM38" i="72" a="1"/>
  <c r="AM38" i="72" s="1"/>
  <c r="BB38" i="72" a="1"/>
  <c r="BB38" i="72" s="1"/>
  <c r="AG38" i="72" a="1"/>
  <c r="AG38" i="72" s="1"/>
  <c r="AH38" i="72" a="1"/>
  <c r="AH38" i="72" s="1"/>
  <c r="AV31" i="69" a="1"/>
  <c r="AV31" i="69" s="1"/>
  <c r="AI31" i="69" a="1"/>
  <c r="AI31" i="69" s="1"/>
  <c r="AU31" i="69" a="1"/>
  <c r="AU31" i="69" s="1"/>
  <c r="AF31" i="69" a="1"/>
  <c r="AF31" i="69" s="1"/>
  <c r="AL31" i="69" a="1"/>
  <c r="AL31" i="69" s="1"/>
  <c r="AP31" i="69" a="1"/>
  <c r="AP31" i="69" s="1"/>
  <c r="AH31" i="69" a="1"/>
  <c r="AH31" i="69" s="1"/>
  <c r="AJ31" i="69" a="1"/>
  <c r="AJ31" i="69" s="1"/>
  <c r="AG31" i="69" a="1"/>
  <c r="AG31" i="69" s="1"/>
  <c r="A1551" i="13"/>
  <c r="AX1452" i="13"/>
  <c r="Z1556" i="13"/>
  <c r="BW49" i="72"/>
  <c r="E49" i="72"/>
  <c r="AF80" i="72" a="1"/>
  <c r="AF80" i="72" s="1"/>
  <c r="AU80" i="72" s="1" a="1"/>
  <c r="AU80" i="72" s="1"/>
  <c r="BW66" i="72"/>
  <c r="AU66" i="72" a="1"/>
  <c r="AU66" i="72" s="1"/>
  <c r="BD72" i="4"/>
  <c r="X72" i="4" s="1"/>
  <c r="I531" i="15" a="1"/>
  <c r="I531" i="15" s="1"/>
  <c r="DV59" i="4"/>
  <c r="BL59" i="4"/>
  <c r="AV561" i="13"/>
  <c r="BH59" i="4"/>
  <c r="I110" i="15" a="1"/>
  <c r="I110" i="15" s="1"/>
  <c r="I583" i="15" a="1"/>
  <c r="I583" i="15" s="1"/>
  <c r="BQ80" i="69"/>
  <c r="AO80" i="69" a="1"/>
  <c r="AO80" i="69" s="1"/>
  <c r="BL80" i="69" a="1"/>
  <c r="BL80" i="69" s="1"/>
  <c r="BH80" i="69" a="1"/>
  <c r="BH80" i="69" s="1"/>
  <c r="BI80" i="69" a="1"/>
  <c r="BI80" i="69" s="1"/>
  <c r="AK80" i="69" a="1"/>
  <c r="AK80" i="69" s="1"/>
  <c r="BO80" i="69"/>
  <c r="R80" i="69"/>
  <c r="BB80" i="69"/>
  <c r="AR80" i="69" s="1" a="1"/>
  <c r="AR80" i="69" s="1"/>
  <c r="AY80" i="69"/>
  <c r="E15" i="72"/>
  <c r="O45" i="72"/>
  <c r="L18" i="72"/>
  <c r="BJ20" i="69"/>
  <c r="BM20" i="69" s="1"/>
  <c r="BF62" i="72"/>
  <c r="AL62" i="72" s="1"/>
  <c r="AK62" i="72"/>
  <c r="BG62" i="72"/>
  <c r="AF79" i="72" a="1"/>
  <c r="AF79" i="72" s="1"/>
  <c r="AS24" i="69" a="1"/>
  <c r="AS24" i="69" s="1"/>
  <c r="AI24" i="69" a="1"/>
  <c r="AI24" i="69" s="1"/>
  <c r="AV24" i="69" a="1"/>
  <c r="AV24" i="69" s="1"/>
  <c r="AL24" i="69" a="1"/>
  <c r="AL24" i="69" s="1"/>
  <c r="AH24" i="69" a="1"/>
  <c r="AH24" i="69" s="1"/>
  <c r="AP24" i="69" a="1"/>
  <c r="AP24" i="69" s="1"/>
  <c r="AF24" i="69" a="1"/>
  <c r="AF24" i="69" s="1"/>
  <c r="AU24" i="69" a="1"/>
  <c r="AU24" i="69" s="1"/>
  <c r="AZ71" i="69"/>
  <c r="AI71" i="69" s="1" a="1"/>
  <c r="AI71" i="69" s="1"/>
  <c r="BA71" i="69"/>
  <c r="BI96" i="69" a="1"/>
  <c r="BI96" i="69" s="1"/>
  <c r="AI96" i="69" a="1"/>
  <c r="AI96" i="69" s="1"/>
  <c r="AJ96" i="69" a="1"/>
  <c r="AJ96" i="69" s="1"/>
  <c r="AU96" i="69" a="1"/>
  <c r="AU96" i="69" s="1"/>
  <c r="AL96" i="69" a="1"/>
  <c r="AL96" i="69" s="1"/>
  <c r="AH96" i="69" a="1"/>
  <c r="AH96" i="69" s="1"/>
  <c r="AP96" i="69" a="1"/>
  <c r="AP96" i="69" s="1"/>
  <c r="AV96" i="69" a="1"/>
  <c r="AV96" i="69" s="1"/>
  <c r="AG96" i="69" a="1"/>
  <c r="AG96" i="69" s="1"/>
  <c r="AR96" i="69" a="1"/>
  <c r="AR96" i="69" s="1"/>
  <c r="AQ96" i="69" a="1"/>
  <c r="AQ96" i="69" s="1"/>
  <c r="AF96" i="69" a="1"/>
  <c r="AF96" i="69" s="1"/>
  <c r="AS96" i="69" a="1"/>
  <c r="AS96" i="69" s="1"/>
  <c r="L79" i="69"/>
  <c r="AN50" i="72"/>
  <c r="H131" i="15" a="1"/>
  <c r="H131" i="15" s="1"/>
  <c r="I625" i="15" a="1"/>
  <c r="I625" i="15" s="1"/>
  <c r="A1520" i="13"/>
  <c r="AV1421" i="13"/>
  <c r="Z1525" i="13"/>
  <c r="AX1421" i="13"/>
  <c r="X19" i="4"/>
  <c r="Z1514" i="13"/>
  <c r="A1509" i="13"/>
  <c r="AV1410" i="13"/>
  <c r="AX1410" i="13"/>
  <c r="E68" i="69"/>
  <c r="BW21" i="72"/>
  <c r="BH81" i="4"/>
  <c r="BL81" i="4"/>
  <c r="DV81" i="4"/>
  <c r="AV583" i="13"/>
  <c r="BD1768" i="13" a="1"/>
  <c r="BD1768" i="13" s="1"/>
  <c r="D7" i="72" a="1"/>
  <c r="D7" i="72" s="1"/>
  <c r="I402" i="15" a="1"/>
  <c r="I402" i="15" s="1"/>
  <c r="F284" i="15" a="1"/>
  <c r="F284" i="15" s="1"/>
  <c r="BI85" i="72"/>
  <c r="Z1534" i="13"/>
  <c r="A1529" i="13"/>
  <c r="AV1430" i="13"/>
  <c r="AX1430" i="13"/>
  <c r="F55" i="15" a="1"/>
  <c r="F55" i="15" s="1"/>
  <c r="G70" i="15" s="1"/>
  <c r="BD41" i="69"/>
  <c r="AT22" i="69" a="1"/>
  <c r="AT22" i="69" s="1"/>
  <c r="BC44" i="69"/>
  <c r="AZ44" i="69"/>
  <c r="AG44" i="69" s="1" a="1"/>
  <c r="AG44" i="69" s="1"/>
  <c r="BA44" i="69"/>
  <c r="DD62" i="4" a="1"/>
  <c r="DD62" i="4" s="1"/>
  <c r="AQ54" i="4"/>
  <c r="AR54" i="4"/>
  <c r="BF78" i="72"/>
  <c r="BG78" i="72"/>
  <c r="AK78" i="72"/>
  <c r="AR89" i="4"/>
  <c r="AQ89" i="4"/>
  <c r="AV157" i="13"/>
  <c r="E3" i="1" a="1"/>
  <c r="BO95" i="72" a="1"/>
  <c r="BO95" i="72" s="1"/>
  <c r="I327" i="15" a="1"/>
  <c r="I327" i="15" s="1"/>
  <c r="F377" i="15" a="1"/>
  <c r="F377" i="15" s="1"/>
  <c r="AR52" i="4"/>
  <c r="AQ52" i="4"/>
  <c r="H445" i="15" a="1"/>
  <c r="H445" i="15" s="1"/>
  <c r="AN61" i="72"/>
  <c r="AZ14" i="69"/>
  <c r="AI14" i="69" s="1" a="1"/>
  <c r="AI14" i="69" s="1"/>
  <c r="BA14" i="69"/>
  <c r="AX1428" i="13"/>
  <c r="Z1532" i="13"/>
  <c r="A1527" i="13"/>
  <c r="AV1428" i="13"/>
  <c r="AE41" i="72"/>
  <c r="A1455" i="13"/>
  <c r="AX1356" i="13"/>
  <c r="BK11" i="69"/>
  <c r="BJ11" i="69" s="1"/>
  <c r="BM11" i="69" s="1"/>
  <c r="BO11" i="69"/>
  <c r="R11" i="69"/>
  <c r="BH11" i="69" a="1"/>
  <c r="BH11" i="69" s="1"/>
  <c r="BB11" i="69"/>
  <c r="AY11" i="69"/>
  <c r="H535" i="15" a="1"/>
  <c r="H535" i="15" s="1"/>
  <c r="AQ55" i="4"/>
  <c r="AR55" i="4"/>
  <c r="DD65" i="4" a="1"/>
  <c r="DD65" i="4" s="1"/>
  <c r="I620" i="15" a="1"/>
  <c r="I620" i="15" s="1"/>
  <c r="E64" i="72"/>
  <c r="BQ8" i="69"/>
  <c r="AO8" i="69" a="1"/>
  <c r="AO8" i="69" s="1"/>
  <c r="AX1482" i="13"/>
  <c r="A1581" i="13"/>
  <c r="Z1586" i="13"/>
  <c r="H11" i="72"/>
  <c r="BJ11" i="72"/>
  <c r="AV558" i="13"/>
  <c r="DV56" i="4"/>
  <c r="BL56" i="4"/>
  <c r="BH56" i="4"/>
  <c r="AR26" i="72" a="1"/>
  <c r="AR26" i="72" s="1"/>
  <c r="AG26" i="72" a="1"/>
  <c r="AG26" i="72" s="1"/>
  <c r="BA26" i="72" a="1"/>
  <c r="BA26" i="72" s="1"/>
  <c r="AV26" i="72" a="1"/>
  <c r="AV26" i="72" s="1"/>
  <c r="BB26" i="72" a="1"/>
  <c r="BB26" i="72" s="1"/>
  <c r="AM26" i="72" a="1"/>
  <c r="AM26" i="72" s="1"/>
  <c r="L89" i="72"/>
  <c r="R89" i="72"/>
  <c r="BE89" i="72"/>
  <c r="BN89" i="72" a="1"/>
  <c r="BN89" i="72" s="1"/>
  <c r="BH89" i="72"/>
  <c r="BU89" i="72"/>
  <c r="AJ89" i="72"/>
  <c r="AO89" i="72"/>
  <c r="A1515" i="13"/>
  <c r="Z1520" i="13"/>
  <c r="AX1416" i="13"/>
  <c r="AV1416" i="13"/>
  <c r="D39" i="69" a="1"/>
  <c r="D39" i="69" s="1"/>
  <c r="L75" i="72"/>
  <c r="BU75" i="72"/>
  <c r="AQ75" i="72" a="1"/>
  <c r="AQ75" i="72" s="1"/>
  <c r="BH75" i="72"/>
  <c r="AX75" i="72" s="1" a="1"/>
  <c r="AX75" i="72" s="1"/>
  <c r="R75" i="72"/>
  <c r="AJ75" i="72"/>
  <c r="AO75" i="72"/>
  <c r="BE75" i="72"/>
  <c r="BN75" i="72" a="1"/>
  <c r="BN75" i="72" s="1"/>
  <c r="BO75" i="72" a="1"/>
  <c r="BO75" i="72" s="1"/>
  <c r="AL75" i="72"/>
  <c r="BD92" i="4"/>
  <c r="BR92" i="4" s="1"/>
  <c r="BW56" i="72"/>
  <c r="AU56" i="72" a="1"/>
  <c r="AU56" i="72" s="1"/>
  <c r="BQ8" i="72"/>
  <c r="BP8" i="72" s="1"/>
  <c r="BS8" i="72" s="1"/>
  <c r="BU8" i="72"/>
  <c r="AO8" i="72"/>
  <c r="BE8" i="72"/>
  <c r="BH8" i="72"/>
  <c r="BN8" i="72" a="1"/>
  <c r="BN8" i="72" s="1"/>
  <c r="AJ8" i="72"/>
  <c r="R8" i="72"/>
  <c r="H34" i="72"/>
  <c r="BF34" i="72"/>
  <c r="AL34" i="72" s="1"/>
  <c r="BG34" i="72"/>
  <c r="BP34" i="72"/>
  <c r="BS34" i="72" s="1"/>
  <c r="AK34" i="72"/>
  <c r="BJ87" i="72"/>
  <c r="BD84" i="4"/>
  <c r="BR84" i="4" s="1"/>
  <c r="L36" i="72"/>
  <c r="AL36" i="72"/>
  <c r="BU36" i="72"/>
  <c r="AO36" i="72"/>
  <c r="BE36" i="72"/>
  <c r="AJ36" i="72"/>
  <c r="BH36" i="72"/>
  <c r="BN36" i="72" a="1"/>
  <c r="BN36" i="72" s="1"/>
  <c r="R36" i="72"/>
  <c r="BD57" i="69"/>
  <c r="E57" i="69"/>
  <c r="B10" i="27"/>
  <c r="BW17" i="72"/>
  <c r="AF47" i="69" a="1"/>
  <c r="AF47" i="69" s="1"/>
  <c r="AU47" i="69" a="1"/>
  <c r="AU47" i="69" s="1"/>
  <c r="AV47" i="69" a="1"/>
  <c r="AV47" i="69" s="1"/>
  <c r="AL47" i="69" a="1"/>
  <c r="AL47" i="69" s="1"/>
  <c r="AH47" i="69" a="1"/>
  <c r="AH47" i="69" s="1"/>
  <c r="AJ47" i="69" a="1"/>
  <c r="AJ47" i="69" s="1"/>
  <c r="AP47" i="69" a="1"/>
  <c r="AP47" i="69" s="1"/>
  <c r="BB1767" i="13" a="1"/>
  <c r="BB1767" i="13" s="1"/>
  <c r="AZ91" i="69"/>
  <c r="AG91" i="69" s="1" a="1"/>
  <c r="AG91" i="69" s="1"/>
  <c r="BA91" i="69"/>
  <c r="H210" i="15" a="1"/>
  <c r="H210" i="15" s="1"/>
  <c r="AX1408" i="13"/>
  <c r="AV1408" i="13"/>
  <c r="A1507" i="13"/>
  <c r="Z1512" i="13"/>
  <c r="BJ29" i="72"/>
  <c r="BR29" i="72" a="1"/>
  <c r="BR29" i="72" s="1"/>
  <c r="BH29" i="72"/>
  <c r="AW29" i="72" s="1" a="1"/>
  <c r="AW29" i="72" s="1"/>
  <c r="BN29" i="72" a="1"/>
  <c r="BN29" i="72" s="1"/>
  <c r="BU29" i="72"/>
  <c r="AJ29" i="72"/>
  <c r="AQ29" i="72" a="1"/>
  <c r="AQ29" i="72" s="1"/>
  <c r="R29" i="72"/>
  <c r="BE29" i="72"/>
  <c r="AO29" i="72"/>
  <c r="AQ63" i="4"/>
  <c r="AR63" i="4"/>
  <c r="AQ35" i="4"/>
  <c r="AR35" i="4"/>
  <c r="AZ93" i="72" a="1"/>
  <c r="AZ93" i="72" s="1"/>
  <c r="G93" i="72"/>
  <c r="AD36" i="69"/>
  <c r="BJ57" i="72"/>
  <c r="BF17" i="69"/>
  <c r="DD86" i="4" a="1"/>
  <c r="DD86" i="4" s="1"/>
  <c r="AV657" i="13"/>
  <c r="AS97" i="4"/>
  <c r="AZ52" i="72" a="1"/>
  <c r="AZ52" i="72" s="1"/>
  <c r="BL48" i="69" a="1"/>
  <c r="BL48" i="69" s="1"/>
  <c r="AK48" i="69" a="1"/>
  <c r="AK48" i="69" s="1"/>
  <c r="BB48" i="69"/>
  <c r="BI48" i="69" a="1"/>
  <c r="BI48" i="69" s="1"/>
  <c r="BO48" i="69"/>
  <c r="AY48" i="69"/>
  <c r="R48" i="69"/>
  <c r="BH48" i="69" a="1"/>
  <c r="BH48" i="69" s="1"/>
  <c r="F340" i="15" a="1"/>
  <c r="F340" i="15" s="1"/>
  <c r="BA42" i="69"/>
  <c r="AZ42" i="69"/>
  <c r="BW35" i="72"/>
  <c r="AU35" i="72" a="1"/>
  <c r="AU35" i="72" s="1"/>
  <c r="AQ67" i="4"/>
  <c r="AR67" i="4"/>
  <c r="S59" i="69"/>
  <c r="BK59" i="69"/>
  <c r="BJ59" i="69" s="1"/>
  <c r="BM59" i="69" s="1"/>
  <c r="BH59" i="69" a="1"/>
  <c r="BH59" i="69" s="1"/>
  <c r="BO59" i="69"/>
  <c r="R59" i="69"/>
  <c r="AY59" i="69"/>
  <c r="BB59" i="69"/>
  <c r="AO93" i="69" a="1"/>
  <c r="AO93" i="69" s="1"/>
  <c r="BQ93" i="69"/>
  <c r="BG12" i="72"/>
  <c r="AK12" i="72"/>
  <c r="BF12" i="72"/>
  <c r="AL12" i="72" s="1"/>
  <c r="BD85" i="4"/>
  <c r="X85" i="4" s="1"/>
  <c r="AD32" i="69"/>
  <c r="D20" i="72" a="1"/>
  <c r="D20" i="72" s="1"/>
  <c r="AQ53" i="4"/>
  <c r="AR53" i="4"/>
  <c r="C6" i="72"/>
  <c r="D6" i="72" s="1" a="1"/>
  <c r="D6" i="72" s="1"/>
  <c r="BR81" i="72" a="1"/>
  <c r="BR81" i="72" s="1"/>
  <c r="AE27" i="72"/>
  <c r="BD12" i="69"/>
  <c r="I93" i="69"/>
  <c r="I93" i="72"/>
  <c r="BC1766" i="13" a="1"/>
  <c r="BC1766" i="13" s="1"/>
  <c r="AI40" i="72"/>
  <c r="AK40" i="72"/>
  <c r="BF40" i="72"/>
  <c r="AL40" i="72" s="1"/>
  <c r="BG40" i="72"/>
  <c r="I80" i="72"/>
  <c r="I80" i="69"/>
  <c r="AT90" i="69" a="1"/>
  <c r="AT90" i="69" s="1"/>
  <c r="B90" i="69"/>
  <c r="L53" i="69"/>
  <c r="BH53" i="69" a="1"/>
  <c r="BH53" i="69" s="1"/>
  <c r="R53" i="69"/>
  <c r="BO53" i="69"/>
  <c r="BB53" i="69"/>
  <c r="AY53" i="69"/>
  <c r="AK53" i="69" a="1"/>
  <c r="AK53" i="69" s="1"/>
  <c r="BI53" i="69" a="1"/>
  <c r="BI53" i="69" s="1"/>
  <c r="H208" i="15" a="1"/>
  <c r="H208" i="15" s="1"/>
  <c r="BF78" i="4"/>
  <c r="BG90" i="4"/>
  <c r="AV1188" i="13" s="1"/>
  <c r="L90" i="4"/>
  <c r="BG64" i="4"/>
  <c r="AV1162" i="13" s="1"/>
  <c r="L64" i="4"/>
  <c r="BF69" i="4"/>
  <c r="AH55" i="4"/>
  <c r="AV1351" i="13" s="1"/>
  <c r="BG92" i="4"/>
  <c r="AV1190" i="13" s="1"/>
  <c r="L92" i="4"/>
  <c r="BG84" i="4"/>
  <c r="AV1182" i="13" s="1"/>
  <c r="L84" i="4"/>
  <c r="AV1427" i="13"/>
  <c r="A1526" i="13"/>
  <c r="Z1531" i="13"/>
  <c r="AX1427" i="13"/>
  <c r="L33" i="72"/>
  <c r="BH33" i="72"/>
  <c r="AW33" i="72" s="1" a="1"/>
  <c r="AW33" i="72" s="1"/>
  <c r="R33" i="72"/>
  <c r="AL33" i="72"/>
  <c r="BN33" i="72" a="1"/>
  <c r="BN33" i="72" s="1"/>
  <c r="BU33" i="72"/>
  <c r="AQ33" i="72" a="1"/>
  <c r="AQ33" i="72" s="1"/>
  <c r="AJ33" i="72"/>
  <c r="BE33" i="72"/>
  <c r="AO33" i="72"/>
  <c r="BL28" i="69" a="1"/>
  <c r="BL28" i="69" s="1"/>
  <c r="AX1433" i="13"/>
  <c r="Z1537" i="13"/>
  <c r="AV1433" i="13"/>
  <c r="A1532" i="13"/>
  <c r="BW80" i="72"/>
  <c r="AU71" i="72" a="1"/>
  <c r="AU71" i="72" s="1"/>
  <c r="BW71" i="72"/>
  <c r="AR22" i="4"/>
  <c r="AQ22" i="4"/>
  <c r="F326" i="15" a="1"/>
  <c r="F326" i="15" s="1"/>
  <c r="H326" i="15" a="1"/>
  <c r="H326" i="15" s="1"/>
  <c r="BJ38" i="69"/>
  <c r="BM38" i="69" s="1"/>
  <c r="BA38" i="69"/>
  <c r="AZ38" i="69"/>
  <c r="AG38" i="69" s="1" a="1"/>
  <c r="AG38" i="69" s="1"/>
  <c r="BA31" i="72" a="1"/>
  <c r="BA31" i="72" s="1"/>
  <c r="AR31" i="72" a="1"/>
  <c r="AR31" i="72" s="1"/>
  <c r="AV31" i="72" a="1"/>
  <c r="AV31" i="72" s="1"/>
  <c r="AM31" i="72" a="1"/>
  <c r="AM31" i="72" s="1"/>
  <c r="BB31" i="72" a="1"/>
  <c r="BB31" i="72" s="1"/>
  <c r="AP31" i="72" a="1"/>
  <c r="AP31" i="72" s="1"/>
  <c r="AG31" i="72" a="1"/>
  <c r="AG31" i="72" s="1"/>
  <c r="BH92" i="4"/>
  <c r="AV594" i="13"/>
  <c r="DV92" i="4"/>
  <c r="BL92" i="4"/>
  <c r="BH78" i="4"/>
  <c r="AK49" i="69" a="1"/>
  <c r="AK49" i="69" s="1"/>
  <c r="AU49" i="69" a="1"/>
  <c r="AU49" i="69" s="1"/>
  <c r="AF49" i="69" a="1"/>
  <c r="AF49" i="69" s="1"/>
  <c r="AV49" i="69" a="1"/>
  <c r="AV49" i="69" s="1"/>
  <c r="AI49" i="69" a="1"/>
  <c r="AI49" i="69" s="1"/>
  <c r="AP49" i="69" a="1"/>
  <c r="AP49" i="69" s="1"/>
  <c r="AH49" i="69" a="1"/>
  <c r="AH49" i="69" s="1"/>
  <c r="AL49" i="69" a="1"/>
  <c r="AL49" i="69" s="1"/>
  <c r="BQ88" i="72"/>
  <c r="BP88" i="72" s="1"/>
  <c r="BS88" i="72" s="1"/>
  <c r="AL88" i="72"/>
  <c r="AJ88" i="72"/>
  <c r="BE88" i="72"/>
  <c r="BH88" i="72"/>
  <c r="AO88" i="72"/>
  <c r="R88" i="72"/>
  <c r="BN88" i="72" a="1"/>
  <c r="BN88" i="72" s="1"/>
  <c r="BU88" i="72"/>
  <c r="BG92" i="72"/>
  <c r="BF92" i="72"/>
  <c r="AL92" i="72" s="1"/>
  <c r="AK92" i="72"/>
  <c r="AV45" i="72" a="1"/>
  <c r="AV45" i="72" s="1"/>
  <c r="AM45" i="72" a="1"/>
  <c r="AM45" i="72" s="1"/>
  <c r="AR45" i="72" a="1"/>
  <c r="AR45" i="72" s="1"/>
  <c r="BA45" i="72" a="1"/>
  <c r="BA45" i="72" s="1"/>
  <c r="AG45" i="72" a="1"/>
  <c r="AG45" i="72" s="1"/>
  <c r="BB45" i="72" a="1"/>
  <c r="BB45" i="72" s="1"/>
  <c r="BA20" i="69"/>
  <c r="AZ20" i="69"/>
  <c r="AG20" i="69" s="1" a="1"/>
  <c r="AG20" i="69" s="1"/>
  <c r="BW62" i="72"/>
  <c r="AU62" i="72" a="1"/>
  <c r="AU62" i="72" s="1"/>
  <c r="A1546" i="13"/>
  <c r="AV1447" i="13"/>
  <c r="AX1447" i="13"/>
  <c r="Z1551" i="13"/>
  <c r="AX1444" i="13"/>
  <c r="A1543" i="13"/>
  <c r="AV1444" i="13"/>
  <c r="Z1548" i="13"/>
  <c r="BL71" i="69" a="1"/>
  <c r="BL71" i="69" s="1"/>
  <c r="BB71" i="69"/>
  <c r="AR71" i="69" s="1" a="1"/>
  <c r="AR71" i="69" s="1"/>
  <c r="AK71" i="69" a="1"/>
  <c r="AK71" i="69" s="1"/>
  <c r="R71" i="69"/>
  <c r="BI71" i="69" a="1"/>
  <c r="BI71" i="69" s="1"/>
  <c r="AY71" i="69"/>
  <c r="BH71" i="69" a="1"/>
  <c r="BH71" i="69" s="1"/>
  <c r="BO71" i="69"/>
  <c r="AK74" i="69" a="1"/>
  <c r="AK74" i="69" s="1"/>
  <c r="BI74" i="69" a="1"/>
  <c r="BI74" i="69" s="1"/>
  <c r="BH74" i="69" a="1"/>
  <c r="BH74" i="69" s="1"/>
  <c r="BB74" i="69"/>
  <c r="AQ74" i="69" s="1" a="1"/>
  <c r="AQ74" i="69" s="1"/>
  <c r="BO74" i="69"/>
  <c r="AY74" i="69"/>
  <c r="AJ74" i="69" s="1" a="1"/>
  <c r="AJ74" i="69" s="1"/>
  <c r="R74" i="69"/>
  <c r="AK46" i="72"/>
  <c r="BP46" i="72"/>
  <c r="BS46" i="72" s="1"/>
  <c r="BG46" i="72"/>
  <c r="BF46" i="72"/>
  <c r="AL46" i="72" s="1"/>
  <c r="F69" i="72"/>
  <c r="F69" i="69"/>
  <c r="BD1766" i="13" a="1"/>
  <c r="BD1766" i="13" s="1"/>
  <c r="AV50" i="72" a="1"/>
  <c r="AV50" i="72" s="1"/>
  <c r="AM50" i="72" a="1"/>
  <c r="AM50" i="72" s="1"/>
  <c r="BA50" i="72" a="1"/>
  <c r="BA50" i="72" s="1"/>
  <c r="BB50" i="72" a="1"/>
  <c r="BB50" i="72" s="1"/>
  <c r="AR50" i="72" a="1"/>
  <c r="AR50" i="72" s="1"/>
  <c r="AW50" i="72" a="1"/>
  <c r="AW50" i="72" s="1"/>
  <c r="BW50" i="72"/>
  <c r="AU50" i="72" a="1"/>
  <c r="AU50" i="72" s="1"/>
  <c r="I474" i="15" a="1"/>
  <c r="I474" i="15" s="1"/>
  <c r="BR74" i="72" a="1"/>
  <c r="BR74" i="72" s="1"/>
  <c r="AQ74" i="72" a="1"/>
  <c r="AQ74" i="72" s="1"/>
  <c r="BU74" i="72"/>
  <c r="AO74" i="72"/>
  <c r="R74" i="72"/>
  <c r="BH74" i="72"/>
  <c r="AW74" i="72" s="1" a="1"/>
  <c r="AW74" i="72" s="1"/>
  <c r="BN74" i="72" a="1"/>
  <c r="BN74" i="72" s="1"/>
  <c r="BE74" i="72"/>
  <c r="AP74" i="72" s="1" a="1"/>
  <c r="AP74" i="72" s="1"/>
  <c r="AJ74" i="72"/>
  <c r="BO74" i="72" a="1"/>
  <c r="BO74" i="72" s="1"/>
  <c r="BL70" i="69" a="1"/>
  <c r="BL70" i="69" s="1"/>
  <c r="AY70" i="69"/>
  <c r="BO70" i="69"/>
  <c r="R70" i="69"/>
  <c r="BB70" i="69"/>
  <c r="BH70" i="69" a="1"/>
  <c r="BH70" i="69" s="1"/>
  <c r="BM96" i="4"/>
  <c r="BE96" i="4" s="1" a="1"/>
  <c r="BE96" i="4" s="1"/>
  <c r="BJ96" i="72"/>
  <c r="BF7" i="72"/>
  <c r="AL7" i="72" s="1"/>
  <c r="AK7" i="72"/>
  <c r="BG7" i="72"/>
  <c r="BF45" i="69"/>
  <c r="BQ45" i="69"/>
  <c r="AO45" i="69" a="1"/>
  <c r="AO45" i="69" s="1"/>
  <c r="AJ21" i="72"/>
  <c r="BU21" i="72"/>
  <c r="BN21" i="72" a="1"/>
  <c r="BN21" i="72" s="1"/>
  <c r="BE21" i="72"/>
  <c r="R21" i="72"/>
  <c r="AO21" i="72"/>
  <c r="BH21" i="72"/>
  <c r="I70" i="15" a="1"/>
  <c r="I70" i="15" s="1"/>
  <c r="BA50" i="69"/>
  <c r="AZ50" i="69"/>
  <c r="AG50" i="69" s="1" a="1"/>
  <c r="AG50" i="69" s="1"/>
  <c r="BQ78" i="69"/>
  <c r="AO78" i="69" a="1"/>
  <c r="AO78" i="69" s="1"/>
  <c r="AK82" i="72"/>
  <c r="BF82" i="72"/>
  <c r="AL82" i="72" s="1"/>
  <c r="BG82" i="72"/>
  <c r="I360" i="15" a="1"/>
  <c r="I360" i="15" s="1"/>
  <c r="AQ70" i="72" a="1"/>
  <c r="AQ70" i="72" s="1"/>
  <c r="BB70" i="72" a="1"/>
  <c r="BB70" i="72" s="1"/>
  <c r="AV70" i="72" a="1"/>
  <c r="AV70" i="72" s="1"/>
  <c r="AW70" i="72" a="1"/>
  <c r="AW70" i="72" s="1"/>
  <c r="AR70" i="72" a="1"/>
  <c r="AR70" i="72" s="1"/>
  <c r="BA70" i="72" a="1"/>
  <c r="BA70" i="72" s="1"/>
  <c r="AP70" i="72" a="1"/>
  <c r="AP70" i="72" s="1"/>
  <c r="AG70" i="72" a="1"/>
  <c r="AG70" i="72" s="1"/>
  <c r="AX70" i="72" a="1"/>
  <c r="AX70" i="72" s="1"/>
  <c r="AM70" i="72" a="1"/>
  <c r="AM70" i="72" s="1"/>
  <c r="BQ72" i="69"/>
  <c r="AO72" i="69" a="1"/>
  <c r="AO72" i="69" s="1"/>
  <c r="AJ41" i="69" a="1"/>
  <c r="AJ41" i="69" s="1"/>
  <c r="AH41" i="69" a="1"/>
  <c r="AH41" i="69" s="1"/>
  <c r="AP41" i="69" a="1"/>
  <c r="AP41" i="69" s="1"/>
  <c r="AV41" i="69" a="1"/>
  <c r="AV41" i="69" s="1"/>
  <c r="AU41" i="69" a="1"/>
  <c r="AU41" i="69" s="1"/>
  <c r="AF41" i="69" a="1"/>
  <c r="AF41" i="69" s="1"/>
  <c r="AL41" i="69" a="1"/>
  <c r="AL41" i="69" s="1"/>
  <c r="AQ41" i="69" a="1"/>
  <c r="AQ41" i="69" s="1"/>
  <c r="AK20" i="72"/>
  <c r="BF20" i="72"/>
  <c r="AL20" i="72" s="1"/>
  <c r="BG20" i="72"/>
  <c r="AX1400" i="13"/>
  <c r="A1499" i="13"/>
  <c r="AV1400" i="13"/>
  <c r="Z1504" i="13"/>
  <c r="DV23" i="4"/>
  <c r="AV525" i="13"/>
  <c r="BL23" i="4"/>
  <c r="BM23" i="4" s="1"/>
  <c r="BH23" i="4"/>
  <c r="K44" i="69" a="1"/>
  <c r="K44" i="69" s="1"/>
  <c r="H377" i="15" a="1"/>
  <c r="H377" i="15" s="1"/>
  <c r="I445" i="15" a="1"/>
  <c r="I445" i="15" s="1"/>
  <c r="BW61" i="72"/>
  <c r="AU61" i="72" a="1"/>
  <c r="AU61" i="72" s="1"/>
  <c r="AU85" i="69" a="1"/>
  <c r="AU85" i="69" s="1"/>
  <c r="AP85" i="69" a="1"/>
  <c r="AP85" i="69" s="1"/>
  <c r="AH85" i="69" a="1"/>
  <c r="AH85" i="69" s="1"/>
  <c r="AL85" i="69" a="1"/>
  <c r="AL85" i="69" s="1"/>
  <c r="AI85" i="69" a="1"/>
  <c r="AI85" i="69" s="1"/>
  <c r="AV85" i="69" a="1"/>
  <c r="AV85" i="69" s="1"/>
  <c r="AJ85" i="69" a="1"/>
  <c r="AJ85" i="69" s="1"/>
  <c r="AR85" i="69" a="1"/>
  <c r="AR85" i="69" s="1"/>
  <c r="AF85" i="69" a="1"/>
  <c r="AF85" i="69" s="1"/>
  <c r="AK72" i="72"/>
  <c r="BG72" i="72"/>
  <c r="BF72" i="72"/>
  <c r="BQ63" i="69"/>
  <c r="BG63" i="72"/>
  <c r="BF63" i="72"/>
  <c r="AL63" i="72" s="1"/>
  <c r="AK63" i="72"/>
  <c r="AQ56" i="4"/>
  <c r="AR56" i="4"/>
  <c r="H478" i="15" a="1"/>
  <c r="H478" i="15" s="1"/>
  <c r="I535" i="15" a="1"/>
  <c r="I535" i="15" s="1"/>
  <c r="AY44" i="72" a="1"/>
  <c r="AY44" i="72" s="1"/>
  <c r="AM44" i="72" a="1"/>
  <c r="AM44" i="72" s="1"/>
  <c r="AV44" i="72" a="1"/>
  <c r="AV44" i="72" s="1"/>
  <c r="BB44" i="72" a="1"/>
  <c r="BB44" i="72" s="1"/>
  <c r="AG44" i="72" a="1"/>
  <c r="AG44" i="72" s="1"/>
  <c r="AR44" i="72" a="1"/>
  <c r="AR44" i="72" s="1"/>
  <c r="BA44" i="72" a="1"/>
  <c r="BA44" i="72" s="1"/>
  <c r="BQ26" i="69"/>
  <c r="AO26" i="69" a="1"/>
  <c r="AO26" i="69" s="1"/>
  <c r="AZ26" i="69"/>
  <c r="AG26" i="69" s="1" a="1"/>
  <c r="AG26" i="69" s="1"/>
  <c r="BA26" i="69"/>
  <c r="A1533" i="13"/>
  <c r="AX1434" i="13"/>
  <c r="AV1434" i="13"/>
  <c r="Z1538" i="13"/>
  <c r="AD30" i="69"/>
  <c r="BR64" i="72" a="1"/>
  <c r="BR64" i="72" s="1"/>
  <c r="BN64" i="72" a="1"/>
  <c r="BN64" i="72" s="1"/>
  <c r="AO64" i="72"/>
  <c r="BE64" i="72"/>
  <c r="BH64" i="72"/>
  <c r="BU64" i="72"/>
  <c r="AJ64" i="72"/>
  <c r="R64" i="72"/>
  <c r="BM28" i="4"/>
  <c r="BE28" i="4" s="1" a="1"/>
  <c r="BE28" i="4" s="1"/>
  <c r="AE39" i="72"/>
  <c r="AV75" i="69" a="1"/>
  <c r="AV75" i="69" s="1"/>
  <c r="AP75" i="69" a="1"/>
  <c r="AP75" i="69" s="1"/>
  <c r="AJ75" i="69" a="1"/>
  <c r="AJ75" i="69" s="1"/>
  <c r="AL75" i="69" a="1"/>
  <c r="AL75" i="69" s="1"/>
  <c r="AH75" i="69" a="1"/>
  <c r="AH75" i="69" s="1"/>
  <c r="AU75" i="69" a="1"/>
  <c r="AU75" i="69" s="1"/>
  <c r="AF75" i="69" a="1"/>
  <c r="AF75" i="69" s="1"/>
  <c r="AZ75" i="69"/>
  <c r="AI75" i="69" s="1" a="1"/>
  <c r="AI75" i="69" s="1"/>
  <c r="BA75" i="69"/>
  <c r="BJ75" i="69"/>
  <c r="BM75" i="69" s="1"/>
  <c r="AX1478" i="13"/>
  <c r="AV1478" i="13"/>
  <c r="Z1582" i="13"/>
  <c r="A1577" i="13"/>
  <c r="AV1432" i="13"/>
  <c r="Z1536" i="13"/>
  <c r="AX1432" i="13"/>
  <c r="A1531" i="13"/>
  <c r="BB56" i="69"/>
  <c r="BO56" i="69"/>
  <c r="BH56" i="69" a="1"/>
  <c r="BH56" i="69" s="1"/>
  <c r="AY56" i="69"/>
  <c r="R56" i="69"/>
  <c r="E56" i="69"/>
  <c r="AX1319" i="13"/>
  <c r="A1418" i="13"/>
  <c r="I78" i="72"/>
  <c r="I78" i="69"/>
  <c r="AH94" i="72" a="1"/>
  <c r="AH94" i="72" s="1"/>
  <c r="K30" i="72" a="1"/>
  <c r="K30" i="72" s="1"/>
  <c r="I82" i="69"/>
  <c r="I82" i="72"/>
  <c r="B89" i="72"/>
  <c r="AQ64" i="69" a="1"/>
  <c r="AQ64" i="69" s="1"/>
  <c r="AP64" i="69" a="1"/>
  <c r="AP64" i="69" s="1"/>
  <c r="AL64" i="69" a="1"/>
  <c r="AL64" i="69" s="1"/>
  <c r="AV64" i="69" a="1"/>
  <c r="AV64" i="69" s="1"/>
  <c r="AJ64" i="69" a="1"/>
  <c r="AJ64" i="69" s="1"/>
  <c r="AU64" i="69" a="1"/>
  <c r="AU64" i="69" s="1"/>
  <c r="AH64" i="69" a="1"/>
  <c r="AH64" i="69" s="1"/>
  <c r="AF64" i="69" a="1"/>
  <c r="AF64" i="69" s="1"/>
  <c r="BQ64" i="69"/>
  <c r="AO64" i="69" a="1"/>
  <c r="AO64" i="69" s="1"/>
  <c r="BA75" i="72" a="1"/>
  <c r="BA75" i="72" s="1"/>
  <c r="AP75" i="72" a="1"/>
  <c r="AP75" i="72" s="1"/>
  <c r="BB75" i="72" a="1"/>
  <c r="BB75" i="72" s="1"/>
  <c r="AR75" i="72" a="1"/>
  <c r="AR75" i="72" s="1"/>
  <c r="AV75" i="72" a="1"/>
  <c r="AV75" i="72" s="1"/>
  <c r="AG75" i="72" a="1"/>
  <c r="AG75" i="72" s="1"/>
  <c r="AM75" i="72" a="1"/>
  <c r="AM75" i="72" s="1"/>
  <c r="BL19" i="69" a="1"/>
  <c r="BL19" i="69" s="1"/>
  <c r="BO19" i="69"/>
  <c r="BH19" i="69" a="1"/>
  <c r="BH19" i="69" s="1"/>
  <c r="AY19" i="69"/>
  <c r="R19" i="69"/>
  <c r="BB19" i="69"/>
  <c r="AE87" i="72"/>
  <c r="X29" i="4"/>
  <c r="BJ36" i="72"/>
  <c r="BD70" i="4"/>
  <c r="X70" i="4" s="1"/>
  <c r="BK57" i="69"/>
  <c r="BJ57" i="69" s="1"/>
  <c r="BM57" i="69" s="1"/>
  <c r="BH57" i="69" a="1"/>
  <c r="BH57" i="69" s="1"/>
  <c r="AY57" i="69"/>
  <c r="BO57" i="69"/>
  <c r="R57" i="69"/>
  <c r="BB57" i="69"/>
  <c r="AD47" i="69"/>
  <c r="BA1767" i="13" a="1"/>
  <c r="BA1767" i="13" s="1"/>
  <c r="AL91" i="69" a="1"/>
  <c r="AL91" i="69" s="1"/>
  <c r="AV91" i="69" a="1"/>
  <c r="AV91" i="69" s="1"/>
  <c r="AF91" i="69" a="1"/>
  <c r="AF91" i="69" s="1"/>
  <c r="AP91" i="69" a="1"/>
  <c r="AP91" i="69" s="1"/>
  <c r="AH91" i="69" a="1"/>
  <c r="AH91" i="69" s="1"/>
  <c r="AJ91" i="69" a="1"/>
  <c r="AJ91" i="69" s="1"/>
  <c r="AU91" i="69" a="1"/>
  <c r="AU91" i="69" s="1"/>
  <c r="AR91" i="69" a="1"/>
  <c r="AR91" i="69" s="1"/>
  <c r="I235" i="15" a="1"/>
  <c r="I235" i="15" s="1"/>
  <c r="AO52" i="69" a="1"/>
  <c r="AO52" i="69" s="1"/>
  <c r="AL52" i="69" a="1"/>
  <c r="AL52" i="69" s="1"/>
  <c r="AH52" i="69" a="1"/>
  <c r="AH52" i="69" s="1"/>
  <c r="AU52" i="69" a="1"/>
  <c r="AU52" i="69" s="1"/>
  <c r="AJ52" i="69" a="1"/>
  <c r="AJ52" i="69" s="1"/>
  <c r="AP52" i="69" a="1"/>
  <c r="AP52" i="69" s="1"/>
  <c r="AI52" i="69" a="1"/>
  <c r="AI52" i="69" s="1"/>
  <c r="AG52" i="69" a="1"/>
  <c r="AG52" i="69" s="1"/>
  <c r="AV52" i="69" a="1"/>
  <c r="AV52" i="69" s="1"/>
  <c r="AF52" i="69" a="1"/>
  <c r="AF52" i="69" s="1"/>
  <c r="I480" i="15" a="1"/>
  <c r="I480" i="15" s="1"/>
  <c r="Z1510" i="13"/>
  <c r="AX1406" i="13"/>
  <c r="A1505" i="13"/>
  <c r="AV1406" i="13"/>
  <c r="AE29" i="72"/>
  <c r="AQ44" i="4"/>
  <c r="AR44" i="4"/>
  <c r="AQ19" i="72" a="1"/>
  <c r="AQ19" i="72" s="1"/>
  <c r="AR19" i="72" a="1"/>
  <c r="AR19" i="72" s="1"/>
  <c r="AM19" i="72" a="1"/>
  <c r="AM19" i="72" s="1"/>
  <c r="BA19" i="72" a="1"/>
  <c r="BA19" i="72" s="1"/>
  <c r="AV19" i="72" a="1"/>
  <c r="AV19" i="72" s="1"/>
  <c r="BB19" i="72" a="1"/>
  <c r="BB19" i="72" s="1"/>
  <c r="L19" i="72"/>
  <c r="R19" i="72"/>
  <c r="AP19" i="72" s="1" a="1"/>
  <c r="AP19" i="72" s="1"/>
  <c r="BH19" i="72"/>
  <c r="AX19" i="72" s="1" a="1"/>
  <c r="AX19" i="72" s="1"/>
  <c r="BE19" i="72"/>
  <c r="AO19" i="72"/>
  <c r="BU19" i="72"/>
  <c r="BN19" i="72" a="1"/>
  <c r="BN19" i="72" s="1"/>
  <c r="AJ19" i="72"/>
  <c r="BO19" i="72" a="1"/>
  <c r="BO19" i="72" s="1"/>
  <c r="AF16" i="69" a="1"/>
  <c r="AF16" i="69" s="1"/>
  <c r="AH16" i="69" a="1"/>
  <c r="AH16" i="69" s="1"/>
  <c r="AU16" i="69" a="1"/>
  <c r="AU16" i="69" s="1"/>
  <c r="AL16" i="69" a="1"/>
  <c r="AL16" i="69" s="1"/>
  <c r="AP16" i="69" a="1"/>
  <c r="AP16" i="69" s="1"/>
  <c r="AV16" i="69" a="1"/>
  <c r="AV16" i="69" s="1"/>
  <c r="K36" i="69" a="1"/>
  <c r="K36" i="69" s="1"/>
  <c r="O17" i="69"/>
  <c r="K47" i="72" a="1"/>
  <c r="K47" i="72" s="1"/>
  <c r="DD69" i="4" a="1"/>
  <c r="DD69" i="4" s="1"/>
  <c r="C3" i="72"/>
  <c r="D3" i="72" s="1" a="1"/>
  <c r="D3" i="72" s="1"/>
  <c r="C3" i="69"/>
  <c r="D3" i="69" s="1" a="1"/>
  <c r="D3" i="69" s="1"/>
  <c r="AQ91" i="72" a="1"/>
  <c r="AQ91" i="72" s="1"/>
  <c r="AM91" i="72" a="1"/>
  <c r="AM91" i="72" s="1"/>
  <c r="AR91" i="72" a="1"/>
  <c r="AR91" i="72" s="1"/>
  <c r="BA91" i="72" a="1"/>
  <c r="BA91" i="72" s="1"/>
  <c r="AP91" i="72" a="1"/>
  <c r="AP91" i="72" s="1"/>
  <c r="BB91" i="72" a="1"/>
  <c r="BB91" i="72" s="1"/>
  <c r="AV91" i="72" a="1"/>
  <c r="AV91" i="72" s="1"/>
  <c r="AG91" i="72" a="1"/>
  <c r="AG91" i="72" s="1"/>
  <c r="AK52" i="72"/>
  <c r="BG52" i="72"/>
  <c r="BF52" i="72"/>
  <c r="AH52" i="72" s="1" a="1"/>
  <c r="AH52" i="72" s="1"/>
  <c r="C48" i="69"/>
  <c r="D48" i="69" s="1" a="1"/>
  <c r="D48" i="69" s="1"/>
  <c r="BD6" i="69"/>
  <c r="BM6" i="4"/>
  <c r="BE6" i="4" s="1" a="1"/>
  <c r="BE6" i="4" s="1"/>
  <c r="U77" i="69" a="1"/>
  <c r="U77" i="69" s="1"/>
  <c r="BF6" i="69"/>
  <c r="AQ34" i="4"/>
  <c r="AR34" i="4"/>
  <c r="AT42" i="69" a="1"/>
  <c r="AT42" i="69" s="1"/>
  <c r="AQ35" i="72" a="1"/>
  <c r="AQ35" i="72" s="1"/>
  <c r="AO35" i="72"/>
  <c r="BU35" i="72"/>
  <c r="BN35" i="72" a="1"/>
  <c r="BN35" i="72" s="1"/>
  <c r="AJ35" i="72"/>
  <c r="BH35" i="72"/>
  <c r="AX35" i="72" s="1" a="1"/>
  <c r="AX35" i="72" s="1"/>
  <c r="BE35" i="72"/>
  <c r="R35" i="72"/>
  <c r="BO35" i="72" a="1"/>
  <c r="BO35" i="72" s="1"/>
  <c r="E35" i="72"/>
  <c r="AK16" i="72"/>
  <c r="BG16" i="72"/>
  <c r="BF16" i="72"/>
  <c r="AL16" i="72" s="1"/>
  <c r="B59" i="69"/>
  <c r="E55" i="4"/>
  <c r="F481" i="15" a="1"/>
  <c r="F481" i="15" s="1"/>
  <c r="H481" i="15" a="1"/>
  <c r="H481" i="15" s="1"/>
  <c r="BQ6" i="72"/>
  <c r="BP6" i="72" s="1"/>
  <c r="BS6" i="72" s="1"/>
  <c r="R6" i="72"/>
  <c r="BO6" i="72" a="1"/>
  <c r="BO6" i="72" s="1"/>
  <c r="BN6" i="72" a="1"/>
  <c r="BN6" i="72" s="1"/>
  <c r="AL6" i="72"/>
  <c r="AQ6" i="72" a="1"/>
  <c r="AQ6" i="72" s="1"/>
  <c r="BH6" i="72"/>
  <c r="AW6" i="72" s="1" a="1"/>
  <c r="AW6" i="72" s="1"/>
  <c r="AJ6" i="72"/>
  <c r="AO6" i="72"/>
  <c r="BU6" i="72"/>
  <c r="BE6" i="72"/>
  <c r="AX1420" i="13"/>
  <c r="AV1420" i="13"/>
  <c r="Z1524" i="13"/>
  <c r="A1519" i="13"/>
  <c r="BQ83" i="69"/>
  <c r="AO83" i="69" a="1"/>
  <c r="AO83" i="69" s="1"/>
  <c r="BI27" i="72"/>
  <c r="D18" i="72" a="1"/>
  <c r="D18" i="72" s="1"/>
  <c r="BF12" i="69"/>
  <c r="AE32" i="72"/>
  <c r="K40" i="72" a="1"/>
  <c r="K40" i="72" s="1"/>
  <c r="I274" i="15" a="1"/>
  <c r="I274" i="15" s="1"/>
  <c r="D24" i="69" a="1"/>
  <c r="D24" i="69" s="1"/>
  <c r="K54" i="72" a="1"/>
  <c r="K54" i="72" s="1"/>
  <c r="AZ33" i="69"/>
  <c r="AG33" i="69" s="1" a="1"/>
  <c r="AG33" i="69" s="1"/>
  <c r="BA33" i="69"/>
  <c r="AH90" i="69" a="1"/>
  <c r="AH90" i="69" s="1"/>
  <c r="AP90" i="69" a="1"/>
  <c r="AP90" i="69" s="1"/>
  <c r="AL90" i="69" a="1"/>
  <c r="AL90" i="69" s="1"/>
  <c r="AU90" i="69" a="1"/>
  <c r="AU90" i="69" s="1"/>
  <c r="AV90" i="69" a="1"/>
  <c r="AV90" i="69" s="1"/>
  <c r="AF90" i="69" a="1"/>
  <c r="AF90" i="69" s="1"/>
  <c r="AJ90" i="69" a="1"/>
  <c r="AJ90" i="69" s="1"/>
  <c r="K83" i="72" a="1"/>
  <c r="K83" i="72" s="1"/>
  <c r="BH83" i="4"/>
  <c r="AQ73" i="4"/>
  <c r="AR73" i="4"/>
  <c r="BG78" i="4"/>
  <c r="AV1176" i="13" s="1"/>
  <c r="L78" i="4"/>
  <c r="BF83" i="4"/>
  <c r="BF64" i="4"/>
  <c r="BF81" i="4"/>
  <c r="BG95" i="4"/>
  <c r="AV1193" i="13" s="1"/>
  <c r="BR95" i="4"/>
  <c r="AD95" i="69" s="1"/>
  <c r="L95" i="4"/>
  <c r="BF33" i="72"/>
  <c r="AH33" i="72" s="1" a="1"/>
  <c r="AH33" i="72" s="1"/>
  <c r="BG33" i="72"/>
  <c r="AK33" i="72"/>
  <c r="BN28" i="69"/>
  <c r="BR80" i="72" a="1"/>
  <c r="BR80" i="72" s="1"/>
  <c r="AL80" i="72"/>
  <c r="BN80" i="72" a="1"/>
  <c r="BN80" i="72" s="1"/>
  <c r="R80" i="72"/>
  <c r="BH80" i="72"/>
  <c r="AO80" i="72"/>
  <c r="BU80" i="72"/>
  <c r="BE80" i="72"/>
  <c r="L62" i="69"/>
  <c r="AY62" i="69"/>
  <c r="BO62" i="69"/>
  <c r="BH62" i="69" a="1"/>
  <c r="BH62" i="69" s="1"/>
  <c r="AK62" i="69" a="1"/>
  <c r="AK62" i="69" s="1"/>
  <c r="BB62" i="69"/>
  <c r="AQ62" i="69" s="1" a="1"/>
  <c r="AQ62" i="69" s="1"/>
  <c r="R62" i="69"/>
  <c r="BI62" i="69" a="1"/>
  <c r="BI62" i="69" s="1"/>
  <c r="AE24" i="72"/>
  <c r="BF24" i="72"/>
  <c r="AL24" i="72" s="1"/>
  <c r="BG24" i="72"/>
  <c r="AK24" i="72"/>
  <c r="AZ71" i="72" a="1"/>
  <c r="AZ71" i="72" s="1"/>
  <c r="BF71" i="72"/>
  <c r="AH71" i="72" s="1" a="1"/>
  <c r="AH71" i="72" s="1"/>
  <c r="BG71" i="72"/>
  <c r="AK71" i="72"/>
  <c r="I632" i="15" a="1"/>
  <c r="I632" i="15" s="1"/>
  <c r="Z1543" i="13"/>
  <c r="AX1439" i="13"/>
  <c r="A1538" i="13"/>
  <c r="AV1439" i="13"/>
  <c r="AV581" i="13"/>
  <c r="BH79" i="4"/>
  <c r="DV79" i="4"/>
  <c r="BL79" i="4"/>
  <c r="AX1485" i="13"/>
  <c r="AV1485" i="13"/>
  <c r="Z1589" i="13"/>
  <c r="Z1689" i="13" s="1"/>
  <c r="A1584" i="13"/>
  <c r="AG37" i="72" a="1"/>
  <c r="AG37" i="72" s="1"/>
  <c r="BB37" i="72" a="1"/>
  <c r="BB37" i="72" s="1"/>
  <c r="AM37" i="72" a="1"/>
  <c r="AM37" i="72" s="1"/>
  <c r="AR37" i="72" a="1"/>
  <c r="AR37" i="72" s="1"/>
  <c r="AV37" i="72" a="1"/>
  <c r="AV37" i="72" s="1"/>
  <c r="AP37" i="72" a="1"/>
  <c r="AP37" i="72" s="1"/>
  <c r="BA37" i="72" a="1"/>
  <c r="BA37" i="72" s="1"/>
  <c r="BT88" i="72"/>
  <c r="AJ15" i="72"/>
  <c r="BE15" i="72"/>
  <c r="AL15" i="72"/>
  <c r="AQ15" i="72" a="1"/>
  <c r="AQ15" i="72" s="1"/>
  <c r="R15" i="72"/>
  <c r="BU15" i="72"/>
  <c r="BN15" i="72" a="1"/>
  <c r="BN15" i="72" s="1"/>
  <c r="BO15" i="72" a="1"/>
  <c r="BO15" i="72" s="1"/>
  <c r="AO15" i="72"/>
  <c r="BH15" i="72"/>
  <c r="AX15" i="72" s="1" a="1"/>
  <c r="AX15" i="72" s="1"/>
  <c r="BP45" i="72"/>
  <c r="BS45" i="72" s="1"/>
  <c r="AE18" i="72"/>
  <c r="AD20" i="69"/>
  <c r="AD24" i="69"/>
  <c r="AZ62" i="72" a="1"/>
  <c r="AZ62" i="72" s="1"/>
  <c r="BA13" i="69"/>
  <c r="AZ13" i="69"/>
  <c r="AI13" i="69" s="1" a="1"/>
  <c r="AI13" i="69" s="1"/>
  <c r="BF24" i="69"/>
  <c r="BI65" i="72"/>
  <c r="AK95" i="69" a="1"/>
  <c r="AK95" i="69" s="1"/>
  <c r="AU95" i="69" a="1"/>
  <c r="AU95" i="69" s="1"/>
  <c r="AP95" i="69" a="1"/>
  <c r="AP95" i="69" s="1"/>
  <c r="AR95" i="69" a="1"/>
  <c r="AR95" i="69" s="1"/>
  <c r="AL95" i="69" a="1"/>
  <c r="AL95" i="69" s="1"/>
  <c r="AV95" i="69" a="1"/>
  <c r="AV95" i="69" s="1"/>
  <c r="AJ95" i="69" a="1"/>
  <c r="AJ95" i="69" s="1"/>
  <c r="AQ95" i="69" a="1"/>
  <c r="AQ95" i="69" s="1"/>
  <c r="AH95" i="69" a="1"/>
  <c r="AH95" i="69" s="1"/>
  <c r="AG95" i="69" a="1"/>
  <c r="AG95" i="69" s="1"/>
  <c r="AI95" i="69" a="1"/>
  <c r="AI95" i="69" s="1"/>
  <c r="AF95" i="69" a="1"/>
  <c r="AF95" i="69" s="1"/>
  <c r="AS95" i="69" a="1"/>
  <c r="AS95" i="69" s="1"/>
  <c r="L74" i="69"/>
  <c r="I395" i="15" a="1"/>
  <c r="I395" i="15" s="1"/>
  <c r="BO68" i="72" a="1"/>
  <c r="BO68" i="72" s="1"/>
  <c r="AH68" i="72" a="1"/>
  <c r="AH68" i="72" s="1"/>
  <c r="AV68" i="72" a="1"/>
  <c r="AV68" i="72" s="1"/>
  <c r="BB68" i="72" a="1"/>
  <c r="BB68" i="72" s="1"/>
  <c r="AG68" i="72" a="1"/>
  <c r="AG68" i="72" s="1"/>
  <c r="AR68" i="72" a="1"/>
  <c r="AR68" i="72" s="1"/>
  <c r="AM68" i="72" a="1"/>
  <c r="AM68" i="72" s="1"/>
  <c r="AP68" i="72" a="1"/>
  <c r="AP68" i="72" s="1"/>
  <c r="BA68" i="72" a="1"/>
  <c r="BA68" i="72" s="1"/>
  <c r="BH68" i="72"/>
  <c r="AX68" i="72" s="1" a="1"/>
  <c r="AX68" i="72" s="1"/>
  <c r="AO68" i="72"/>
  <c r="BU68" i="72"/>
  <c r="BE68" i="72"/>
  <c r="BN68" i="72" a="1"/>
  <c r="BN68" i="72" s="1"/>
  <c r="AJ68" i="72"/>
  <c r="R68" i="72"/>
  <c r="AQ68" i="72" a="1"/>
  <c r="AQ68" i="72" s="1"/>
  <c r="AR13" i="4"/>
  <c r="AQ13" i="4"/>
  <c r="AI50" i="72"/>
  <c r="AG50" i="72" s="1" a="1"/>
  <c r="AG50" i="72" s="1"/>
  <c r="BQ65" i="69"/>
  <c r="H373" i="15" a="1"/>
  <c r="H373" i="15" s="1"/>
  <c r="I397" i="15" a="1"/>
  <c r="I397" i="15" s="1"/>
  <c r="L25" i="72"/>
  <c r="BH25" i="72"/>
  <c r="AX25" i="72" s="1" a="1"/>
  <c r="AX25" i="72" s="1"/>
  <c r="BU25" i="72"/>
  <c r="BE25" i="72"/>
  <c r="AO25" i="72"/>
  <c r="R25" i="72"/>
  <c r="AJ25" i="72"/>
  <c r="BO25" i="72" a="1"/>
  <c r="BO25" i="72" s="1"/>
  <c r="AQ25" i="72" a="1"/>
  <c r="AQ25" i="72" s="1"/>
  <c r="BN25" i="72" a="1"/>
  <c r="BN25" i="72" s="1"/>
  <c r="BW25" i="72"/>
  <c r="AU25" i="72" a="1"/>
  <c r="AU25" i="72" s="1"/>
  <c r="E74" i="72"/>
  <c r="AR31" i="4"/>
  <c r="AQ31" i="4"/>
  <c r="BC45" i="69"/>
  <c r="BC86" i="69"/>
  <c r="BQ86" i="69"/>
  <c r="AO86" i="69" a="1"/>
  <c r="AO86" i="69" s="1"/>
  <c r="AF21" i="72" a="1"/>
  <c r="AF21" i="72" s="1"/>
  <c r="BO21" i="72" s="1" a="1"/>
  <c r="BO21" i="72" s="1"/>
  <c r="Z1558" i="13"/>
  <c r="A1553" i="13"/>
  <c r="AV1454" i="13"/>
  <c r="AX1454" i="13"/>
  <c r="H336" i="15" a="1"/>
  <c r="H336" i="15" s="1"/>
  <c r="BN25" i="69"/>
  <c r="E25" i="69"/>
  <c r="AZ70" i="72" a="1"/>
  <c r="AZ70" i="72" s="1"/>
  <c r="AI70" i="72"/>
  <c r="BR85" i="72" a="1"/>
  <c r="BR85" i="72" s="1"/>
  <c r="AE20" i="72"/>
  <c r="H257" i="15" a="1"/>
  <c r="H257" i="15" s="1"/>
  <c r="BF43" i="72"/>
  <c r="AL43" i="72" s="1"/>
  <c r="AK43" i="72"/>
  <c r="BG43" i="72"/>
  <c r="D44" i="69" a="1"/>
  <c r="D44" i="69" s="1"/>
  <c r="BH88" i="4"/>
  <c r="BL88" i="4"/>
  <c r="AV590" i="13"/>
  <c r="DV88" i="4"/>
  <c r="L486" i="15" a="1"/>
  <c r="L486" i="15" s="1"/>
  <c r="BM50" i="4"/>
  <c r="BE50" i="4" s="1" a="1"/>
  <c r="BE50" i="4" s="1"/>
  <c r="BU107" i="4"/>
  <c r="BU104" i="4"/>
  <c r="Z1748" i="13" s="1"/>
  <c r="BU106" i="4"/>
  <c r="AZ73" i="72" a="1"/>
  <c r="AZ73" i="72" s="1"/>
  <c r="G73" i="72"/>
  <c r="H440" i="15" a="1"/>
  <c r="H440" i="15" s="1"/>
  <c r="BQ14" i="69"/>
  <c r="AO14" i="69" a="1"/>
  <c r="AO14" i="69" s="1"/>
  <c r="AX1487" i="13"/>
  <c r="A1586" i="13"/>
  <c r="AV1487" i="13"/>
  <c r="K72" i="72" a="1"/>
  <c r="K72" i="72" s="1"/>
  <c r="BJ72" i="72"/>
  <c r="AR76" i="4"/>
  <c r="AQ76" i="4"/>
  <c r="K41" i="72" a="1"/>
  <c r="K41" i="72" s="1"/>
  <c r="E41" i="72"/>
  <c r="BF41" i="72"/>
  <c r="AK41" i="72"/>
  <c r="BG41" i="72"/>
  <c r="BA63" i="69"/>
  <c r="AZ63" i="69"/>
  <c r="AU63" i="72" a="1"/>
  <c r="AU63" i="72" s="1"/>
  <c r="BW63" i="72"/>
  <c r="I478" i="15" a="1"/>
  <c r="I478" i="15" s="1"/>
  <c r="BN11" i="69"/>
  <c r="BL26" i="69" a="1"/>
  <c r="BL26" i="69" s="1"/>
  <c r="R26" i="69"/>
  <c r="AY26" i="69"/>
  <c r="BI26" i="69" a="1"/>
  <c r="BI26" i="69" s="1"/>
  <c r="BH26" i="69" a="1"/>
  <c r="BH26" i="69" s="1"/>
  <c r="AK26" i="69" a="1"/>
  <c r="AK26" i="69" s="1"/>
  <c r="BO26" i="69"/>
  <c r="BB26" i="69"/>
  <c r="AR26" i="69" s="1" a="1"/>
  <c r="AR26" i="69" s="1"/>
  <c r="I233" i="15" a="1"/>
  <c r="I233" i="15" s="1"/>
  <c r="F92" i="69"/>
  <c r="F92" i="72"/>
  <c r="AF64" i="72" a="1"/>
  <c r="AF64" i="72" s="1"/>
  <c r="BO64" i="72" s="1" a="1"/>
  <c r="BO64" i="72" s="1"/>
  <c r="O9" i="69"/>
  <c r="O9" i="72"/>
  <c r="BL9" i="72"/>
  <c r="BF9" i="69"/>
  <c r="B73" i="69"/>
  <c r="AO61" i="69" a="1"/>
  <c r="AO61" i="69" s="1"/>
  <c r="BQ61" i="69"/>
  <c r="AK39" i="72"/>
  <c r="BF39" i="72"/>
  <c r="AL39" i="72" s="1"/>
  <c r="BG39" i="72"/>
  <c r="BP39" i="72"/>
  <c r="BS39" i="72" s="1"/>
  <c r="BQ75" i="69"/>
  <c r="AO75" i="69" a="1"/>
  <c r="AO75" i="69" s="1"/>
  <c r="AU58" i="72" a="1"/>
  <c r="AU58" i="72" s="1"/>
  <c r="AX58" i="72" a="1"/>
  <c r="AX58" i="72" s="1"/>
  <c r="AH58" i="72" a="1"/>
  <c r="AH58" i="72" s="1"/>
  <c r="AP58" i="72" a="1"/>
  <c r="AP58" i="72" s="1"/>
  <c r="AW58" i="72" a="1"/>
  <c r="AW58" i="72" s="1"/>
  <c r="AG58" i="72" a="1"/>
  <c r="AG58" i="72" s="1"/>
  <c r="AR58" i="72" a="1"/>
  <c r="AR58" i="72" s="1"/>
  <c r="AV58" i="72" a="1"/>
  <c r="AV58" i="72" s="1"/>
  <c r="BB58" i="72" a="1"/>
  <c r="BB58" i="72" s="1"/>
  <c r="BA58" i="72" a="1"/>
  <c r="BA58" i="72" s="1"/>
  <c r="AM58" i="72" a="1"/>
  <c r="AM58" i="72" s="1"/>
  <c r="AY58" i="72" a="1"/>
  <c r="AY58" i="72" s="1"/>
  <c r="BN56" i="69"/>
  <c r="BD8" i="69"/>
  <c r="AX1461" i="13"/>
  <c r="A1560" i="13"/>
  <c r="Z1565" i="13"/>
  <c r="AV1461" i="13"/>
  <c r="BQ11" i="72"/>
  <c r="BP11" i="72" s="1"/>
  <c r="BS11" i="72" s="1"/>
  <c r="R11" i="72"/>
  <c r="BH11" i="72"/>
  <c r="AW11" i="72" s="1" a="1"/>
  <c r="AW11" i="72" s="1"/>
  <c r="BE11" i="72"/>
  <c r="AP11" i="72" s="1" a="1"/>
  <c r="AP11" i="72" s="1"/>
  <c r="AL11" i="72"/>
  <c r="AO11" i="72"/>
  <c r="AJ11" i="72"/>
  <c r="BN11" i="72" a="1"/>
  <c r="BN11" i="72" s="1"/>
  <c r="BU11" i="72"/>
  <c r="AQ11" i="72" a="1"/>
  <c r="AQ11" i="72" s="1"/>
  <c r="BO11" i="72" a="1"/>
  <c r="BO11" i="72" s="1"/>
  <c r="AQ87" i="4"/>
  <c r="AR87" i="4"/>
  <c r="AR96" i="72" a="1"/>
  <c r="AR96" i="72" s="1"/>
  <c r="BB96" i="72" a="1"/>
  <c r="BB96" i="72" s="1"/>
  <c r="AM96" i="72" a="1"/>
  <c r="AM96" i="72" s="1"/>
  <c r="AH96" i="72" a="1"/>
  <c r="AH96" i="72" s="1"/>
  <c r="AX96" i="72" a="1"/>
  <c r="AX96" i="72" s="1"/>
  <c r="AP96" i="72" a="1"/>
  <c r="AP96" i="72" s="1"/>
  <c r="AW96" i="72" a="1"/>
  <c r="AW96" i="72" s="1"/>
  <c r="BA96" i="72" a="1"/>
  <c r="BA96" i="72" s="1"/>
  <c r="AV96" i="72" a="1"/>
  <c r="AV96" i="72" s="1"/>
  <c r="AG96" i="72" a="1"/>
  <c r="AG96" i="72" s="1"/>
  <c r="AY96" i="72" a="1"/>
  <c r="AY96" i="72" s="1"/>
  <c r="BE30" i="72"/>
  <c r="BH30" i="72"/>
  <c r="BN30" i="72" a="1"/>
  <c r="BN30" i="72" s="1"/>
  <c r="R30" i="72"/>
  <c r="AJ30" i="72"/>
  <c r="BU30" i="72"/>
  <c r="AO30" i="72"/>
  <c r="AZ89" i="72" a="1"/>
  <c r="AZ89" i="72" s="1"/>
  <c r="BG89" i="72"/>
  <c r="BF89" i="72"/>
  <c r="AL89" i="72" s="1"/>
  <c r="AK89" i="72"/>
  <c r="BP89" i="72"/>
  <c r="BS89" i="72" s="1"/>
  <c r="AQ14" i="4"/>
  <c r="AR14" i="4"/>
  <c r="BA56" i="72" a="1"/>
  <c r="BA56" i="72" s="1"/>
  <c r="AR56" i="72" a="1"/>
  <c r="AR56" i="72" s="1"/>
  <c r="AV56" i="72" a="1"/>
  <c r="AV56" i="72" s="1"/>
  <c r="AG56" i="72" a="1"/>
  <c r="AG56" i="72" s="1"/>
  <c r="AM56" i="72" a="1"/>
  <c r="AM56" i="72" s="1"/>
  <c r="BB56" i="72" a="1"/>
  <c r="BB56" i="72" s="1"/>
  <c r="AX56" i="72" a="1"/>
  <c r="AX56" i="72" s="1"/>
  <c r="AH56" i="72" a="1"/>
  <c r="AH56" i="72" s="1"/>
  <c r="K57" i="69" a="1"/>
  <c r="K57" i="69" s="1"/>
  <c r="AD5" i="69"/>
  <c r="AV5" i="69" a="1"/>
  <c r="AV5" i="69" s="1"/>
  <c r="AH5" i="69" a="1"/>
  <c r="AH5" i="69" s="1"/>
  <c r="AU5" i="69" a="1"/>
  <c r="AU5" i="69" s="1"/>
  <c r="AP5" i="69" a="1"/>
  <c r="AP5" i="69" s="1"/>
  <c r="AL5" i="69" a="1"/>
  <c r="AL5" i="69" s="1"/>
  <c r="AF5" i="69" a="1"/>
  <c r="AF5" i="69" s="1"/>
  <c r="BK5" i="69"/>
  <c r="BJ5" i="69" s="1"/>
  <c r="BM5" i="69" s="1"/>
  <c r="BI5" i="69" a="1"/>
  <c r="BI5" i="69" s="1"/>
  <c r="AK5" i="69" a="1"/>
  <c r="AK5" i="69" s="1"/>
  <c r="R5" i="69"/>
  <c r="AJ5" i="69" s="1" a="1"/>
  <c r="AJ5" i="69" s="1"/>
  <c r="BO5" i="69"/>
  <c r="AY5" i="69"/>
  <c r="BH5" i="69" a="1"/>
  <c r="BH5" i="69" s="1"/>
  <c r="BB5" i="69"/>
  <c r="AR5" i="69" s="1" a="1"/>
  <c r="AR5" i="69" s="1"/>
  <c r="AS91" i="69" a="1"/>
  <c r="AS91" i="69" s="1"/>
  <c r="U84" i="72" a="1"/>
  <c r="U84" i="72" s="1"/>
  <c r="C52" i="69"/>
  <c r="D52" i="69" s="1" a="1"/>
  <c r="D52" i="69" s="1"/>
  <c r="H480" i="15" a="1"/>
  <c r="H480" i="15" s="1"/>
  <c r="R89" i="69"/>
  <c r="BO89" i="69"/>
  <c r="AY89" i="69"/>
  <c r="BH89" i="69" a="1"/>
  <c r="BH89" i="69" s="1"/>
  <c r="BB89" i="69"/>
  <c r="AR89" i="69" s="1" a="1"/>
  <c r="AR89" i="69" s="1"/>
  <c r="AK89" i="69" a="1"/>
  <c r="AK89" i="69" s="1"/>
  <c r="BI89" i="69" a="1"/>
  <c r="BI89" i="69" s="1"/>
  <c r="AD9" i="69"/>
  <c r="BQ77" i="72"/>
  <c r="BP77" i="72" s="1"/>
  <c r="BS77" i="72" s="1"/>
  <c r="BU77" i="72"/>
  <c r="AL77" i="72"/>
  <c r="AO77" i="72"/>
  <c r="R77" i="72"/>
  <c r="BH77" i="72"/>
  <c r="AX77" i="72" s="1" a="1"/>
  <c r="AX77" i="72" s="1"/>
  <c r="BE77" i="72"/>
  <c r="BN77" i="72" a="1"/>
  <c r="BN77" i="72" s="1"/>
  <c r="BO77" i="72" a="1"/>
  <c r="BO77" i="72" s="1"/>
  <c r="K87" i="69" a="1"/>
  <c r="K87" i="69" s="1"/>
  <c r="I304" i="15" a="1"/>
  <c r="I304" i="15" s="1"/>
  <c r="BW42" i="72"/>
  <c r="L16" i="69"/>
  <c r="BI16" i="69" a="1"/>
  <c r="BI16" i="69" s="1"/>
  <c r="BO16" i="69"/>
  <c r="R16" i="69"/>
  <c r="BB16" i="69"/>
  <c r="AQ16" i="69" s="1" a="1"/>
  <c r="AQ16" i="69" s="1"/>
  <c r="AY16" i="69"/>
  <c r="AJ16" i="69" s="1" a="1"/>
  <c r="AJ16" i="69" s="1"/>
  <c r="BH16" i="69" a="1"/>
  <c r="BH16" i="69" s="1"/>
  <c r="AK16" i="69" a="1"/>
  <c r="AK16" i="69" s="1"/>
  <c r="AZ16" i="69"/>
  <c r="AI16" i="69" s="1" a="1"/>
  <c r="AI16" i="69" s="1"/>
  <c r="BA16" i="69"/>
  <c r="E16" i="69"/>
  <c r="AI57" i="72"/>
  <c r="BL84" i="69" a="1"/>
  <c r="BL84" i="69" s="1"/>
  <c r="AY84" i="69"/>
  <c r="BO84" i="69"/>
  <c r="AK84" i="69" a="1"/>
  <c r="AK84" i="69" s="1"/>
  <c r="BB84" i="69"/>
  <c r="AR84" i="69" s="1" a="1"/>
  <c r="AR84" i="69" s="1"/>
  <c r="BH84" i="69" a="1"/>
  <c r="BH84" i="69" s="1"/>
  <c r="BI84" i="69" a="1"/>
  <c r="BI84" i="69" s="1"/>
  <c r="R84" i="69"/>
  <c r="AU52" i="72" a="1"/>
  <c r="AU52" i="72" s="1"/>
  <c r="BW52" i="72"/>
  <c r="H48" i="69"/>
  <c r="O48" i="69"/>
  <c r="AQ42" i="4"/>
  <c r="AR42" i="4"/>
  <c r="G81" i="69"/>
  <c r="I367" i="15" a="1"/>
  <c r="I367" i="15" s="1"/>
  <c r="BH64" i="4"/>
  <c r="AI35" i="72"/>
  <c r="BW16" i="72"/>
  <c r="BD32" i="69"/>
  <c r="DE55" i="4"/>
  <c r="DE97" i="4" s="1"/>
  <c r="AR76" i="72" a="1"/>
  <c r="AR76" i="72" s="1"/>
  <c r="AM76" i="72" a="1"/>
  <c r="AM76" i="72" s="1"/>
  <c r="BA76" i="72" a="1"/>
  <c r="BA76" i="72" s="1"/>
  <c r="AG76" i="72" a="1"/>
  <c r="AG76" i="72" s="1"/>
  <c r="BB76" i="72" a="1"/>
  <c r="BB76" i="72" s="1"/>
  <c r="AV76" i="72" a="1"/>
  <c r="AV76" i="72" s="1"/>
  <c r="AH76" i="72" a="1"/>
  <c r="AH76" i="72" s="1"/>
  <c r="B76" i="72"/>
  <c r="BL6" i="72"/>
  <c r="AN6" i="72"/>
  <c r="I238" i="15" a="1"/>
  <c r="I238" i="15" s="1"/>
  <c r="BI12" i="69" a="1"/>
  <c r="BI12" i="69" s="1"/>
  <c r="AH12" i="69" a="1"/>
  <c r="AH12" i="69" s="1"/>
  <c r="AP12" i="69" a="1"/>
  <c r="AP12" i="69" s="1"/>
  <c r="AV12" i="69" a="1"/>
  <c r="AV12" i="69" s="1"/>
  <c r="AJ12" i="69" a="1"/>
  <c r="AJ12" i="69" s="1"/>
  <c r="AU12" i="69" a="1"/>
  <c r="AU12" i="69" s="1"/>
  <c r="AF12" i="69" a="1"/>
  <c r="AF12" i="69" s="1"/>
  <c r="AL12" i="69" a="1"/>
  <c r="AL12" i="69" s="1"/>
  <c r="C32" i="72"/>
  <c r="D32" i="72" s="1" a="1"/>
  <c r="D32" i="72" s="1"/>
  <c r="I241" i="15" a="1"/>
  <c r="I241" i="15" s="1"/>
  <c r="BF33" i="69"/>
  <c r="K90" i="69" a="1"/>
  <c r="K90" i="69" s="1"/>
  <c r="S90" i="69"/>
  <c r="BD53" i="69"/>
  <c r="K53" i="69" a="1"/>
  <c r="K53" i="69" s="1"/>
  <c r="AD53" i="69"/>
  <c r="I571" i="15" a="1"/>
  <c r="I571" i="15" s="1"/>
  <c r="AR85" i="4"/>
  <c r="AQ85" i="4"/>
  <c r="BF90" i="4"/>
  <c r="BG83" i="4"/>
  <c r="AV1181" i="13" s="1"/>
  <c r="BR83" i="4"/>
  <c r="L83" i="4"/>
  <c r="BL89" i="4"/>
  <c r="BG89" i="4"/>
  <c r="AV1187" i="13" s="1"/>
  <c r="BR89" i="4"/>
  <c r="L89" i="4"/>
  <c r="BG69" i="4"/>
  <c r="AV1167" i="13" s="1"/>
  <c r="L69" i="4"/>
  <c r="BF56" i="4"/>
  <c r="BG96" i="4"/>
  <c r="AV1194" i="13" s="1"/>
  <c r="BR96" i="4"/>
  <c r="AD96" i="69" s="1"/>
  <c r="L96" i="4"/>
  <c r="L69" i="72"/>
  <c r="BN69" i="72" a="1"/>
  <c r="BN69" i="72" s="1"/>
  <c r="BE69" i="72"/>
  <c r="AP69" i="72" s="1" a="1"/>
  <c r="AP69" i="72" s="1"/>
  <c r="BU69" i="72"/>
  <c r="AO69" i="72"/>
  <c r="BH69" i="72"/>
  <c r="AX69" i="72" s="1" a="1"/>
  <c r="AX69" i="72" s="1"/>
  <c r="AJ69" i="72"/>
  <c r="R69" i="72"/>
  <c r="AQ69" i="72" a="1"/>
  <c r="AQ69" i="72" s="1"/>
  <c r="BO69" i="72" a="1"/>
  <c r="BO69" i="72" s="1"/>
  <c r="L27" i="69"/>
  <c r="AK27" i="69" a="1"/>
  <c r="AK27" i="69" s="1"/>
  <c r="BO27" i="69"/>
  <c r="BB27" i="69"/>
  <c r="AQ27" i="69" s="1" a="1"/>
  <c r="AQ27" i="69" s="1"/>
  <c r="R27" i="69"/>
  <c r="AY27" i="69"/>
  <c r="AJ27" i="69" s="1" a="1"/>
  <c r="AJ27" i="69" s="1"/>
  <c r="BH27" i="69" a="1"/>
  <c r="BH27" i="69" s="1"/>
  <c r="BI27" i="69" a="1"/>
  <c r="BI27" i="69" s="1"/>
  <c r="I200" i="15" a="1"/>
  <c r="I200" i="15" s="1"/>
  <c r="BF67" i="72"/>
  <c r="AH67" i="72" s="1" a="1"/>
  <c r="AH67" i="72" s="1"/>
  <c r="AK67" i="72"/>
  <c r="BG67" i="72"/>
  <c r="BQ92" i="69"/>
  <c r="BT33" i="72"/>
  <c r="BP90" i="72"/>
  <c r="BS90" i="72" s="1"/>
  <c r="BG90" i="72"/>
  <c r="AK90" i="72"/>
  <c r="BF90" i="72"/>
  <c r="AL90" i="72" s="1"/>
  <c r="AS37" i="69" a="1"/>
  <c r="AS37" i="69" s="1"/>
  <c r="AF37" i="69" a="1"/>
  <c r="AF37" i="69" s="1"/>
  <c r="AV37" i="69" a="1"/>
  <c r="AV37" i="69" s="1"/>
  <c r="AU37" i="69" a="1"/>
  <c r="AU37" i="69" s="1"/>
  <c r="AP37" i="69" a="1"/>
  <c r="AP37" i="69" s="1"/>
  <c r="AJ37" i="69" a="1"/>
  <c r="AJ37" i="69" s="1"/>
  <c r="AL37" i="69" a="1"/>
  <c r="AL37" i="69" s="1"/>
  <c r="AH37" i="69" a="1"/>
  <c r="AH37" i="69" s="1"/>
  <c r="AI37" i="69" a="1"/>
  <c r="AI37" i="69" s="1"/>
  <c r="BL37" i="69" a="1"/>
  <c r="BL37" i="69" s="1"/>
  <c r="R37" i="69"/>
  <c r="AK37" i="69" a="1"/>
  <c r="AK37" i="69" s="1"/>
  <c r="BO37" i="69"/>
  <c r="AY37" i="69"/>
  <c r="BB37" i="69"/>
  <c r="AQ37" i="69" s="1" a="1"/>
  <c r="AQ37" i="69" s="1"/>
  <c r="BH37" i="69" a="1"/>
  <c r="BH37" i="69" s="1"/>
  <c r="BI37" i="69" a="1"/>
  <c r="BI37" i="69" s="1"/>
  <c r="BN18" i="69"/>
  <c r="BI31" i="69" a="1"/>
  <c r="BI31" i="69" s="1"/>
  <c r="AK31" i="69" a="1"/>
  <c r="AK31" i="69" s="1"/>
  <c r="BH31" i="69" a="1"/>
  <c r="BH31" i="69" s="1"/>
  <c r="BO31" i="69"/>
  <c r="R31" i="69"/>
  <c r="AY31" i="69"/>
  <c r="BB31" i="69"/>
  <c r="AQ31" i="69" s="1" a="1"/>
  <c r="AQ31" i="69" s="1"/>
  <c r="BL88" i="69" a="1"/>
  <c r="BL88" i="69" s="1"/>
  <c r="R88" i="69"/>
  <c r="BB88" i="69"/>
  <c r="BH88" i="69" a="1"/>
  <c r="BH88" i="69" s="1"/>
  <c r="AY88" i="69"/>
  <c r="BO88" i="69"/>
  <c r="BI88" i="69" a="1"/>
  <c r="BI88" i="69" s="1"/>
  <c r="AR96" i="4"/>
  <c r="AQ96" i="4"/>
  <c r="BW24" i="72"/>
  <c r="AU24" i="72" a="1"/>
  <c r="AU24" i="72" s="1"/>
  <c r="BQ24" i="72"/>
  <c r="BP24" i="72" s="1"/>
  <c r="BS24" i="72" s="1"/>
  <c r="AJ24" i="72"/>
  <c r="BH24" i="72"/>
  <c r="AW24" i="72" s="1" a="1"/>
  <c r="AW24" i="72" s="1"/>
  <c r="BN24" i="72" a="1"/>
  <c r="BN24" i="72" s="1"/>
  <c r="BO24" i="72" a="1"/>
  <c r="BO24" i="72" s="1"/>
  <c r="R24" i="72"/>
  <c r="BU24" i="72"/>
  <c r="AO24" i="72"/>
  <c r="BE24" i="72"/>
  <c r="AP24" i="72" s="1" a="1"/>
  <c r="AP24" i="72" s="1"/>
  <c r="AQ24" i="72" a="1"/>
  <c r="AQ24" i="72" s="1"/>
  <c r="I468" i="15" a="1"/>
  <c r="I468" i="15" s="1"/>
  <c r="BA46" i="69"/>
  <c r="AZ46" i="69"/>
  <c r="AZ31" i="72" a="1"/>
  <c r="AZ31" i="72" s="1"/>
  <c r="BF31" i="72"/>
  <c r="AL31" i="72" s="1"/>
  <c r="AK31" i="72"/>
  <c r="BG31" i="72"/>
  <c r="BP31" i="72"/>
  <c r="BS31" i="72" s="1"/>
  <c r="AQ32" i="4"/>
  <c r="AR32" i="4"/>
  <c r="D37" i="72" a="1"/>
  <c r="D37" i="72" s="1"/>
  <c r="L88" i="72"/>
  <c r="H51" i="69"/>
  <c r="BC80" i="69"/>
  <c r="BF15" i="72"/>
  <c r="AH15" i="72" s="1" a="1"/>
  <c r="AH15" i="72" s="1"/>
  <c r="AK15" i="72"/>
  <c r="BG15" i="72"/>
  <c r="A1512" i="13"/>
  <c r="AV1413" i="13"/>
  <c r="Z1517" i="13"/>
  <c r="AX1413" i="13"/>
  <c r="AE45" i="72"/>
  <c r="BG45" i="72"/>
  <c r="AK45" i="72"/>
  <c r="BF45" i="72"/>
  <c r="AH45" i="72" s="1" a="1"/>
  <c r="AH45" i="72" s="1"/>
  <c r="X32" i="4"/>
  <c r="BP62" i="72"/>
  <c r="BS62" i="72" s="1"/>
  <c r="AN62" i="72"/>
  <c r="BC13" i="69"/>
  <c r="AN79" i="72"/>
  <c r="L65" i="72"/>
  <c r="BH65" i="72"/>
  <c r="AW65" i="72" s="1" a="1"/>
  <c r="AW65" i="72" s="1"/>
  <c r="BU65" i="72"/>
  <c r="AO65" i="72"/>
  <c r="BE65" i="72"/>
  <c r="R65" i="72"/>
  <c r="AJ65" i="72"/>
  <c r="BN65" i="72" a="1"/>
  <c r="BN65" i="72" s="1"/>
  <c r="BO65" i="72" a="1"/>
  <c r="BO65" i="72" s="1"/>
  <c r="AQ65" i="72" a="1"/>
  <c r="AQ65" i="72" s="1"/>
  <c r="BC74" i="69"/>
  <c r="AR38" i="4"/>
  <c r="AQ38" i="4"/>
  <c r="AN46" i="72"/>
  <c r="D45" i="72" a="1"/>
  <c r="D45" i="72" s="1"/>
  <c r="BT68" i="72"/>
  <c r="E68" i="72"/>
  <c r="AE21" i="69" a="1"/>
  <c r="AE21" i="69" s="1"/>
  <c r="AZ21" i="69"/>
  <c r="BA21" i="69"/>
  <c r="AE13" i="72"/>
  <c r="A357" i="13"/>
  <c r="AX357" i="13" s="1"/>
  <c r="AX257" i="13"/>
  <c r="BJ65" i="69"/>
  <c r="BM65" i="69" s="1"/>
  <c r="AZ65" i="69"/>
  <c r="BA65" i="69"/>
  <c r="I432" i="15" a="1"/>
  <c r="I432" i="15" s="1"/>
  <c r="F79" i="72"/>
  <c r="F79" i="69"/>
  <c r="AN25" i="72"/>
  <c r="Z1526" i="13"/>
  <c r="AX1422" i="13"/>
  <c r="A1521" i="13"/>
  <c r="AV1422" i="13"/>
  <c r="BQ28" i="72"/>
  <c r="BP28" i="72" s="1"/>
  <c r="BS28" i="72" s="1"/>
  <c r="BE28" i="72"/>
  <c r="AJ28" i="72"/>
  <c r="R28" i="72"/>
  <c r="AQ28" i="72" a="1"/>
  <c r="AQ28" i="72" s="1"/>
  <c r="BN28" i="72" a="1"/>
  <c r="BN28" i="72" s="1"/>
  <c r="BU28" i="72"/>
  <c r="BO28" i="72" a="1"/>
  <c r="BO28" i="72" s="1"/>
  <c r="AO28" i="72"/>
  <c r="AL28" i="72"/>
  <c r="BH28" i="72"/>
  <c r="AX28" i="72" s="1" a="1"/>
  <c r="AX28" i="72" s="1"/>
  <c r="AN28" i="72"/>
  <c r="H45" i="69"/>
  <c r="AW55" i="4"/>
  <c r="AV57" i="13"/>
  <c r="F55" i="4"/>
  <c r="F97" i="4" s="1"/>
  <c r="BC105" i="4" s="1"/>
  <c r="BC107" i="4" s="1"/>
  <c r="BF107" i="4" s="1"/>
  <c r="Z1351" i="13"/>
  <c r="AY55" i="4"/>
  <c r="L55" i="4"/>
  <c r="AP55" i="4"/>
  <c r="AV357" i="13" s="1"/>
  <c r="AV457" i="13" s="1"/>
  <c r="BK43" i="69"/>
  <c r="BJ43" i="69" s="1"/>
  <c r="BM43" i="69" s="1"/>
  <c r="AK43" i="69" a="1"/>
  <c r="AK43" i="69" s="1"/>
  <c r="BI43" i="69" a="1"/>
  <c r="BI43" i="69" s="1"/>
  <c r="BH43" i="69" a="1"/>
  <c r="BH43" i="69" s="1"/>
  <c r="AY43" i="69"/>
  <c r="R43" i="69"/>
  <c r="BB43" i="69"/>
  <c r="AQ43" i="69" s="1" a="1"/>
  <c r="AQ43" i="69" s="1"/>
  <c r="BO43" i="69"/>
  <c r="BN86" i="69"/>
  <c r="U68" i="69" a="1"/>
  <c r="U68" i="69" s="1"/>
  <c r="BQ21" i="72"/>
  <c r="BP21" i="72" s="1"/>
  <c r="BS21" i="72" s="1"/>
  <c r="DD57" i="4" a="1"/>
  <c r="DD57" i="4" s="1"/>
  <c r="BC50" i="69"/>
  <c r="BL78" i="69" a="1"/>
  <c r="BL78" i="69" s="1"/>
  <c r="R78" i="69"/>
  <c r="BB78" i="69"/>
  <c r="AQ78" i="69" s="1" a="1"/>
  <c r="AQ78" i="69" s="1"/>
  <c r="AY78" i="69"/>
  <c r="BI78" i="69" a="1"/>
  <c r="BI78" i="69" s="1"/>
  <c r="BH78" i="69" a="1"/>
  <c r="BH78" i="69" s="1"/>
  <c r="AK78" i="69" a="1"/>
  <c r="AK78" i="69" s="1"/>
  <c r="BO78" i="69"/>
  <c r="I336" i="15" a="1"/>
  <c r="I336" i="15" s="1"/>
  <c r="AS25" i="69" a="1"/>
  <c r="AS25" i="69" s="1"/>
  <c r="D25" i="69" a="1"/>
  <c r="D25" i="69" s="1"/>
  <c r="BT74" i="4"/>
  <c r="BD74" i="4"/>
  <c r="X74" i="4" s="1"/>
  <c r="AZ85" i="72" a="1"/>
  <c r="AZ85" i="72" s="1"/>
  <c r="BP85" i="72"/>
  <c r="BS85" i="72" s="1"/>
  <c r="BG85" i="72"/>
  <c r="BF85" i="72"/>
  <c r="AH85" i="72" s="1" a="1"/>
  <c r="AH85" i="72" s="1"/>
  <c r="AK85" i="72"/>
  <c r="BC41" i="69"/>
  <c r="BA41" i="69"/>
  <c r="AZ41" i="69"/>
  <c r="AI41" i="69" s="1" a="1"/>
  <c r="AI41" i="69" s="1"/>
  <c r="BJ20" i="72"/>
  <c r="BW20" i="72"/>
  <c r="AU20" i="72" a="1"/>
  <c r="AU20" i="72" s="1"/>
  <c r="I257" i="15" a="1"/>
  <c r="I257" i="15" s="1"/>
  <c r="AY86" i="72" a="1"/>
  <c r="AY86" i="72" s="1"/>
  <c r="BB86" i="72" a="1"/>
  <c r="BB86" i="72" s="1"/>
  <c r="AR86" i="72" a="1"/>
  <c r="AR86" i="72" s="1"/>
  <c r="BA86" i="72" a="1"/>
  <c r="BA86" i="72" s="1"/>
  <c r="AV86" i="72" a="1"/>
  <c r="AV86" i="72" s="1"/>
  <c r="AM86" i="72" a="1"/>
  <c r="AM86" i="72" s="1"/>
  <c r="BQ86" i="72"/>
  <c r="BP86" i="72" s="1"/>
  <c r="BS86" i="72" s="1"/>
  <c r="AO86" i="72"/>
  <c r="R86" i="72"/>
  <c r="AP86" i="72" s="1" a="1"/>
  <c r="AP86" i="72" s="1"/>
  <c r="BN86" i="72" a="1"/>
  <c r="BN86" i="72" s="1"/>
  <c r="AJ86" i="72"/>
  <c r="BO86" i="72" a="1"/>
  <c r="BO86" i="72" s="1"/>
  <c r="AQ86" i="72" a="1"/>
  <c r="AQ86" i="72" s="1"/>
  <c r="BH86" i="72"/>
  <c r="AX86" i="72" s="1" a="1"/>
  <c r="AX86" i="72" s="1"/>
  <c r="BE86" i="72"/>
  <c r="BU86" i="72"/>
  <c r="BD44" i="69"/>
  <c r="AO44" i="69" a="1"/>
  <c r="AO44" i="69" s="1"/>
  <c r="BQ44" i="69"/>
  <c r="AX1443" i="13"/>
  <c r="AV1443" i="13"/>
  <c r="A1542" i="13"/>
  <c r="Z1547" i="13"/>
  <c r="BJ78" i="72"/>
  <c r="Z1575" i="13"/>
  <c r="A1570" i="13"/>
  <c r="AX1471" i="13"/>
  <c r="AV1471" i="13"/>
  <c r="BA82" i="69"/>
  <c r="AZ82" i="69"/>
  <c r="AG82" i="69" s="1" a="1"/>
  <c r="AG82" i="69" s="1"/>
  <c r="I249" i="15" a="1"/>
  <c r="I249" i="15" s="1"/>
  <c r="I440" i="15" a="1"/>
  <c r="I440" i="15" s="1"/>
  <c r="K61" i="72" a="1"/>
  <c r="K61" i="72" s="1"/>
  <c r="AK61" i="72"/>
  <c r="BF61" i="72"/>
  <c r="AL61" i="72" s="1"/>
  <c r="BG61" i="72"/>
  <c r="BP61" i="72"/>
  <c r="BS61" i="72" s="1"/>
  <c r="BJ14" i="69"/>
  <c r="BM14" i="69" s="1"/>
  <c r="AQ65" i="4"/>
  <c r="AR65" i="4"/>
  <c r="AZ72" i="72" a="1"/>
  <c r="AZ72" i="72" s="1"/>
  <c r="BJ41" i="72"/>
  <c r="AR93" i="4"/>
  <c r="AQ93" i="4"/>
  <c r="AT11" i="69" a="1"/>
  <c r="AT11" i="69" s="1"/>
  <c r="K44" i="72" a="1"/>
  <c r="K44" i="72" s="1"/>
  <c r="AU44" i="72" a="1"/>
  <c r="AU44" i="72" s="1"/>
  <c r="BW44" i="72"/>
  <c r="BG44" i="72"/>
  <c r="BP44" i="72"/>
  <c r="BS44" i="72" s="1"/>
  <c r="BF44" i="72"/>
  <c r="AL44" i="72" s="1"/>
  <c r="AK44" i="72"/>
  <c r="E26" i="69"/>
  <c r="D44" i="72" a="1"/>
  <c r="D44" i="72" s="1"/>
  <c r="BH86" i="4"/>
  <c r="BF30" i="69"/>
  <c r="A1510" i="13"/>
  <c r="AV1411" i="13"/>
  <c r="Z1515" i="13"/>
  <c r="AX1411" i="13"/>
  <c r="BI64" i="72"/>
  <c r="S64" i="72"/>
  <c r="AN64" i="72"/>
  <c r="AT73" i="69" a="1"/>
  <c r="AT73" i="69" s="1"/>
  <c r="G73" i="69"/>
  <c r="AQ30" i="4"/>
  <c r="AR30" i="4"/>
  <c r="K39" i="72" a="1"/>
  <c r="K39" i="72" s="1"/>
  <c r="AN14" i="72"/>
  <c r="AV1354" i="13"/>
  <c r="G58" i="72"/>
  <c r="G58" i="69"/>
  <c r="BC56" i="69"/>
  <c r="AT8" i="69" a="1"/>
  <c r="AT8" i="69" s="1"/>
  <c r="BR14" i="4"/>
  <c r="AE14" i="72" s="1"/>
  <c r="H494" i="15" a="1"/>
  <c r="H494" i="15" s="1"/>
  <c r="I66" i="72"/>
  <c r="I66" i="69"/>
  <c r="AZ26" i="72" a="1"/>
  <c r="AZ26" i="72" s="1"/>
  <c r="AF30" i="72" a="1"/>
  <c r="AF30" i="72" s="1"/>
  <c r="BO30" i="72" s="1" a="1"/>
  <c r="BO30" i="72" s="1"/>
  <c r="E30" i="72"/>
  <c r="AD29" i="69"/>
  <c r="BA64" i="69"/>
  <c r="BJ64" i="69"/>
  <c r="BM64" i="69" s="1"/>
  <c r="AZ64" i="69"/>
  <c r="AI64" i="69" s="1" a="1"/>
  <c r="AI64" i="69" s="1"/>
  <c r="C9" i="72"/>
  <c r="D9" i="72" s="1" a="1"/>
  <c r="D9" i="72" s="1"/>
  <c r="C9" i="69"/>
  <c r="D9" i="69" s="1" a="1"/>
  <c r="D9" i="69" s="1"/>
  <c r="AY56" i="72" a="1"/>
  <c r="AY56" i="72" s="1"/>
  <c r="BT8" i="72"/>
  <c r="E8" i="72"/>
  <c r="BK19" i="69"/>
  <c r="BJ19" i="69" s="1"/>
  <c r="BM19" i="69" s="1"/>
  <c r="C34" i="72"/>
  <c r="D34" i="72" s="1" a="1"/>
  <c r="D34" i="72" s="1"/>
  <c r="BW34" i="72"/>
  <c r="AU34" i="72" a="1"/>
  <c r="AU34" i="72" s="1"/>
  <c r="AZ36" i="72" a="1"/>
  <c r="AZ36" i="72" s="1"/>
  <c r="BC57" i="69"/>
  <c r="AT5" i="69" a="1"/>
  <c r="AT5" i="69" s="1"/>
  <c r="BQ5" i="69"/>
  <c r="AO5" i="69" a="1"/>
  <c r="AO5" i="69" s="1"/>
  <c r="BP17" i="72"/>
  <c r="BS17" i="72" s="1"/>
  <c r="I422" i="15" a="1"/>
  <c r="I422" i="15" s="1"/>
  <c r="BF52" i="69"/>
  <c r="H536" i="15" a="1"/>
  <c r="H536" i="15" s="1"/>
  <c r="E89" i="69"/>
  <c r="BI29" i="72"/>
  <c r="BG77" i="72"/>
  <c r="AK77" i="72"/>
  <c r="BF77" i="72"/>
  <c r="AH77" i="72" s="1" a="1"/>
  <c r="AH77" i="72" s="1"/>
  <c r="A1651" i="13"/>
  <c r="AX1651" i="13" s="1"/>
  <c r="AV1552" i="13"/>
  <c r="AV1651" i="13" s="1"/>
  <c r="AX1552" i="13"/>
  <c r="BT19" i="72"/>
  <c r="BT94" i="4"/>
  <c r="BD94" i="4"/>
  <c r="BR94" i="4" s="1"/>
  <c r="AE94" i="72" s="1"/>
  <c r="AI42" i="72"/>
  <c r="BP57" i="72"/>
  <c r="BS57" i="72" s="1"/>
  <c r="BR57" i="72" a="1"/>
  <c r="BR57" i="72" s="1"/>
  <c r="AJ57" i="72"/>
  <c r="BH57" i="72"/>
  <c r="BE57" i="72"/>
  <c r="AO57" i="72"/>
  <c r="BN57" i="72" a="1"/>
  <c r="BN57" i="72" s="1"/>
  <c r="R57" i="72"/>
  <c r="BU57" i="72"/>
  <c r="BD17" i="69"/>
  <c r="C17" i="69"/>
  <c r="D17" i="69" s="1" a="1"/>
  <c r="D17" i="69" s="1"/>
  <c r="BW47" i="72"/>
  <c r="AU47" i="72" a="1"/>
  <c r="AU47" i="72" s="1"/>
  <c r="H3" i="72"/>
  <c r="H3" i="69"/>
  <c r="BQ91" i="72"/>
  <c r="BP91" i="72" s="1"/>
  <c r="BS91" i="72" s="1"/>
  <c r="BN91" i="72" a="1"/>
  <c r="BN91" i="72" s="1"/>
  <c r="AO91" i="72"/>
  <c r="BE91" i="72"/>
  <c r="BH91" i="72"/>
  <c r="AX91" i="72" s="1" a="1"/>
  <c r="AX91" i="72" s="1"/>
  <c r="R91" i="72"/>
  <c r="AJ91" i="72"/>
  <c r="BU91" i="72"/>
  <c r="BO91" i="72" a="1"/>
  <c r="BO91" i="72" s="1"/>
  <c r="AT84" i="69" a="1"/>
  <c r="AT84" i="69" s="1"/>
  <c r="E84" i="69"/>
  <c r="AN52" i="72"/>
  <c r="L48" i="69"/>
  <c r="AR6" i="4"/>
  <c r="AQ6" i="4"/>
  <c r="I573" i="15" a="1"/>
  <c r="I573" i="15" s="1"/>
  <c r="BQ76" i="69"/>
  <c r="AO76" i="69" a="1"/>
  <c r="AO76" i="69" s="1"/>
  <c r="AZ77" i="69"/>
  <c r="AI77" i="69" s="1" a="1"/>
  <c r="AI77" i="69" s="1"/>
  <c r="BA77" i="69"/>
  <c r="AD6" i="69"/>
  <c r="BA6" i="69"/>
  <c r="AZ6" i="69"/>
  <c r="BQ6" i="69"/>
  <c r="I23" i="72"/>
  <c r="AE16" i="72"/>
  <c r="BJ16" i="72"/>
  <c r="AE59" i="69" a="1"/>
  <c r="AE59" i="69" s="1"/>
  <c r="AO59" i="69" s="1" a="1"/>
  <c r="AO59" i="69" s="1"/>
  <c r="BJ12" i="72"/>
  <c r="BQ32" i="69"/>
  <c r="AO32" i="69" a="1"/>
  <c r="AO32" i="69" s="1"/>
  <c r="Z1583" i="13"/>
  <c r="A1578" i="13"/>
  <c r="AX1479" i="13"/>
  <c r="AV1479" i="13"/>
  <c r="AY76" i="72" a="1"/>
  <c r="AY76" i="72" s="1"/>
  <c r="AZ6" i="72" a="1"/>
  <c r="AZ6" i="72" s="1"/>
  <c r="AF81" i="72" a="1"/>
  <c r="AF81" i="72" s="1"/>
  <c r="AQ81" i="72" s="1" a="1"/>
  <c r="AQ81" i="72" s="1"/>
  <c r="H648" i="15" a="1"/>
  <c r="H648" i="15" s="1"/>
  <c r="G59" i="72"/>
  <c r="C12" i="69"/>
  <c r="D12" i="69" s="1" a="1"/>
  <c r="D12" i="69" s="1"/>
  <c r="A1567" i="13"/>
  <c r="AV1468" i="13"/>
  <c r="AX1468" i="13"/>
  <c r="Z1572" i="13"/>
  <c r="I482" i="15" a="1"/>
  <c r="I482" i="15" s="1"/>
  <c r="BW40" i="72"/>
  <c r="AU40" i="72" a="1"/>
  <c r="AU40" i="72" s="1"/>
  <c r="O40" i="72"/>
  <c r="AE54" i="72"/>
  <c r="BP54" i="72"/>
  <c r="BS54" i="72" s="1"/>
  <c r="BF54" i="72"/>
  <c r="AL54" i="72" s="1"/>
  <c r="AK54" i="72"/>
  <c r="BG54" i="72"/>
  <c r="AS90" i="69" a="1"/>
  <c r="AS90" i="69" s="1"/>
  <c r="AT67" i="69" a="1"/>
  <c r="AT67" i="69" s="1"/>
  <c r="BJ53" i="69"/>
  <c r="BM53" i="69" s="1"/>
  <c r="BA53" i="69"/>
  <c r="AZ53" i="69"/>
  <c r="AI53" i="69" s="1" a="1"/>
  <c r="AI53" i="69" s="1"/>
  <c r="BD78" i="4"/>
  <c r="X78" i="4" s="1"/>
  <c r="BG72" i="4"/>
  <c r="AV1170" i="13" s="1"/>
  <c r="BR72" i="4"/>
  <c r="AD72" i="69" s="1"/>
  <c r="L72" i="4"/>
  <c r="BF89" i="4"/>
  <c r="BG71" i="4"/>
  <c r="AV1169" i="13" s="1"/>
  <c r="BR71" i="4"/>
  <c r="L71" i="4"/>
  <c r="X57" i="4"/>
  <c r="BG57" i="4"/>
  <c r="AV1155" i="13" s="1"/>
  <c r="BR57" i="4"/>
  <c r="AD57" i="69" s="1"/>
  <c r="L57" i="4"/>
  <c r="BF63" i="4"/>
  <c r="BF95" i="4"/>
  <c r="BG76" i="4"/>
  <c r="AV1174" i="13" s="1"/>
  <c r="BR76" i="4"/>
  <c r="L76" i="4"/>
  <c r="BM95" i="4"/>
  <c r="BE95" i="4" s="1" a="1"/>
  <c r="BE95" i="4" s="1"/>
  <c r="BD95" i="69"/>
  <c r="BJ95" i="72"/>
  <c r="BT71" i="72"/>
  <c r="BL27" i="69" a="1"/>
  <c r="BL27" i="69" s="1"/>
  <c r="I549" i="15" a="1"/>
  <c r="I549" i="15" s="1"/>
  <c r="I628" i="15" a="1"/>
  <c r="I628" i="15" s="1"/>
  <c r="BJ66" i="69"/>
  <c r="BM66" i="69" s="1"/>
  <c r="BA66" i="69"/>
  <c r="AZ66" i="69"/>
  <c r="AI66" i="69" s="1" a="1"/>
  <c r="AI66" i="69" s="1"/>
  <c r="F486" i="15" a="1"/>
  <c r="F486" i="15" s="1"/>
  <c r="H486" i="15" a="1"/>
  <c r="H486" i="15" s="1"/>
  <c r="F554" i="15" a="1"/>
  <c r="F554" i="15" s="1"/>
  <c r="AT40" i="69" a="1"/>
  <c r="AT40" i="69" s="1"/>
  <c r="BW69" i="72"/>
  <c r="AU69" i="72" a="1"/>
  <c r="AU69" i="72" s="1"/>
  <c r="BW33" i="72"/>
  <c r="AU33" i="72" a="1"/>
  <c r="AU33" i="72" s="1"/>
  <c r="BI90" i="72"/>
  <c r="AN90" i="72"/>
  <c r="AZ67" i="72" a="1"/>
  <c r="AZ67" i="72" s="1"/>
  <c r="AE53" i="72"/>
  <c r="E37" i="69"/>
  <c r="BN92" i="69"/>
  <c r="AF51" i="72" a="1"/>
  <c r="AF51" i="72" s="1"/>
  <c r="AD18" i="69"/>
  <c r="AO18" i="69" a="1"/>
  <c r="AO18" i="69" s="1"/>
  <c r="BQ18" i="69"/>
  <c r="BR49" i="72" a="1"/>
  <c r="BR49" i="72" s="1"/>
  <c r="BI80" i="72"/>
  <c r="AQ20" i="4"/>
  <c r="AR20" i="4"/>
  <c r="I91" i="72"/>
  <c r="I91" i="69"/>
  <c r="AQ18" i="4"/>
  <c r="AR18" i="4"/>
  <c r="O24" i="72"/>
  <c r="AI71" i="72"/>
  <c r="I83" i="72"/>
  <c r="I83" i="69"/>
  <c r="I369" i="15" a="1"/>
  <c r="I369" i="15" s="1"/>
  <c r="BL38" i="69" a="1"/>
  <c r="BL38" i="69" s="1"/>
  <c r="R38" i="69"/>
  <c r="AY38" i="69"/>
  <c r="AJ38" i="69" s="1" a="1"/>
  <c r="AJ38" i="69" s="1"/>
  <c r="BH38" i="69" a="1"/>
  <c r="BH38" i="69" s="1"/>
  <c r="BB38" i="69"/>
  <c r="AQ38" i="69" s="1" a="1"/>
  <c r="AQ38" i="69" s="1"/>
  <c r="BO38" i="69"/>
  <c r="BI38" i="69" a="1"/>
  <c r="BI38" i="69" s="1"/>
  <c r="AK38" i="69" a="1"/>
  <c r="AK38" i="69" s="1"/>
  <c r="E38" i="69"/>
  <c r="AE46" i="69" a="1"/>
  <c r="AE46" i="69" s="1"/>
  <c r="BI46" i="69" s="1" a="1"/>
  <c r="BI46" i="69" s="1"/>
  <c r="BT31" i="72"/>
  <c r="F76" i="72"/>
  <c r="F76" i="69"/>
  <c r="AR80" i="4"/>
  <c r="AQ80" i="4"/>
  <c r="BP37" i="72"/>
  <c r="BS37" i="72" s="1"/>
  <c r="BR37" i="72" a="1"/>
  <c r="BR37" i="72" s="1"/>
  <c r="AJ37" i="72"/>
  <c r="BN37" i="72" a="1"/>
  <c r="BN37" i="72" s="1"/>
  <c r="BU37" i="72"/>
  <c r="AQ37" i="72" a="1"/>
  <c r="AQ37" i="72" s="1"/>
  <c r="BO37" i="72" a="1"/>
  <c r="BO37" i="72" s="1"/>
  <c r="R37" i="72"/>
  <c r="BH37" i="72"/>
  <c r="AW37" i="72" s="1" a="1"/>
  <c r="AW37" i="72" s="1"/>
  <c r="AO37" i="72"/>
  <c r="BE37" i="72"/>
  <c r="AF88" i="72" a="1"/>
  <c r="AF88" i="72" s="1"/>
  <c r="BO88" i="72" s="1" a="1"/>
  <c r="BO88" i="72" s="1"/>
  <c r="AK88" i="72"/>
  <c r="BF88" i="72"/>
  <c r="BG88" i="72"/>
  <c r="AF92" i="72" a="1"/>
  <c r="AF92" i="72" s="1"/>
  <c r="AQ92" i="72" s="1" a="1"/>
  <c r="AQ92" i="72" s="1"/>
  <c r="AN92" i="72"/>
  <c r="O51" i="69"/>
  <c r="AZ15" i="72" a="1"/>
  <c r="AZ15" i="72" s="1"/>
  <c r="BR45" i="72" a="1"/>
  <c r="BR45" i="72" s="1"/>
  <c r="BN45" i="72" a="1"/>
  <c r="BN45" i="72" s="1"/>
  <c r="AJ45" i="72"/>
  <c r="AL45" i="72"/>
  <c r="AO45" i="72"/>
  <c r="BH45" i="72"/>
  <c r="AX45" i="72" s="1" a="1"/>
  <c r="AX45" i="72" s="1"/>
  <c r="AQ45" i="72" a="1"/>
  <c r="AQ45" i="72" s="1"/>
  <c r="BO45" i="72" a="1"/>
  <c r="BO45" i="72" s="1"/>
  <c r="BU45" i="72"/>
  <c r="BE45" i="72"/>
  <c r="AP45" i="72" s="1" a="1"/>
  <c r="AP45" i="72" s="1"/>
  <c r="R45" i="72"/>
  <c r="BR18" i="72" a="1"/>
  <c r="BR18" i="72" s="1"/>
  <c r="AI22" i="72"/>
  <c r="BR62" i="72" a="1"/>
  <c r="BR62" i="72" s="1"/>
  <c r="AJ62" i="72"/>
  <c r="BU62" i="72"/>
  <c r="AO62" i="72"/>
  <c r="BE62" i="72"/>
  <c r="BH62" i="72"/>
  <c r="AX62" i="72" s="1" a="1"/>
  <c r="AX62" i="72" s="1"/>
  <c r="R62" i="72"/>
  <c r="BN62" i="72" a="1"/>
  <c r="BN62" i="72" s="1"/>
  <c r="BO62" i="72" a="1"/>
  <c r="BO62" i="72" s="1"/>
  <c r="AQ62" i="72" a="1"/>
  <c r="AQ62" i="72" s="1"/>
  <c r="BT79" i="72"/>
  <c r="AK96" i="69" a="1"/>
  <c r="AK96" i="69" s="1"/>
  <c r="BQ74" i="69"/>
  <c r="AO74" i="69" a="1"/>
  <c r="AO74" i="69" s="1"/>
  <c r="AF46" i="72" a="1"/>
  <c r="AF46" i="72" s="1"/>
  <c r="AU46" i="72" s="1" a="1"/>
  <c r="AU46" i="72" s="1"/>
  <c r="BH89" i="4"/>
  <c r="L68" i="72"/>
  <c r="BK21" i="69"/>
  <c r="BJ21" i="69" s="1"/>
  <c r="BM21" i="69" s="1"/>
  <c r="E21" i="69"/>
  <c r="BJ13" i="72"/>
  <c r="AY50" i="72" a="1"/>
  <c r="AY50" i="72" s="1"/>
  <c r="L65" i="69"/>
  <c r="O25" i="72"/>
  <c r="AZ74" i="72" a="1"/>
  <c r="AZ74" i="72" s="1"/>
  <c r="AR47" i="4"/>
  <c r="AQ47" i="4"/>
  <c r="E28" i="72"/>
  <c r="BG28" i="72"/>
  <c r="BF28" i="72"/>
  <c r="AH28" i="72" s="1" a="1"/>
  <c r="AH28" i="72" s="1"/>
  <c r="AK28" i="72"/>
  <c r="K45" i="69" a="1"/>
  <c r="K45" i="69" s="1"/>
  <c r="I629" i="15" a="1"/>
  <c r="I629" i="15" s="1"/>
  <c r="L68" i="69"/>
  <c r="AE21" i="72"/>
  <c r="BD78" i="69"/>
  <c r="AV1440" i="13"/>
  <c r="AX1440" i="13"/>
  <c r="A1539" i="13"/>
  <c r="Z1544" i="13"/>
  <c r="K25" i="69" a="1"/>
  <c r="K25" i="69" s="1"/>
  <c r="O25" i="69"/>
  <c r="AZ25" i="69"/>
  <c r="AG25" i="69" s="1" a="1"/>
  <c r="AG25" i="69" s="1"/>
  <c r="BA25" i="69"/>
  <c r="BI70" i="72"/>
  <c r="BW70" i="72"/>
  <c r="AU70" i="72" a="1"/>
  <c r="AU70" i="72" s="1"/>
  <c r="I361" i="15" a="1"/>
  <c r="I361" i="15" s="1"/>
  <c r="BW85" i="72"/>
  <c r="AU85" i="72" a="1"/>
  <c r="AU85" i="72" s="1"/>
  <c r="BK72" i="69"/>
  <c r="BJ72" i="69" s="1"/>
  <c r="BM72" i="69" s="1"/>
  <c r="BH72" i="69" a="1"/>
  <c r="BH72" i="69" s="1"/>
  <c r="BI72" i="69" a="1"/>
  <c r="BI72" i="69" s="1"/>
  <c r="R72" i="69"/>
  <c r="BO72" i="69"/>
  <c r="AY72" i="69"/>
  <c r="AK72" i="69" a="1"/>
  <c r="AK72" i="69" s="1"/>
  <c r="BB72" i="69"/>
  <c r="AQ72" i="69" s="1" a="1"/>
  <c r="AQ72" i="69" s="1"/>
  <c r="AI20" i="72"/>
  <c r="BJ22" i="69"/>
  <c r="BM22" i="69" s="1"/>
  <c r="BA22" i="69"/>
  <c r="AZ22" i="69"/>
  <c r="AG22" i="69" s="1" a="1"/>
  <c r="AG22" i="69" s="1"/>
  <c r="E43" i="72"/>
  <c r="AD44" i="69"/>
  <c r="AZ78" i="72" a="1"/>
  <c r="AZ78" i="72" s="1"/>
  <c r="BQ78" i="72"/>
  <c r="BP78" i="72" s="1"/>
  <c r="BS78" i="72" s="1"/>
  <c r="BE78" i="72"/>
  <c r="BN78" i="72" a="1"/>
  <c r="BN78" i="72" s="1"/>
  <c r="R78" i="72"/>
  <c r="AL78" i="72"/>
  <c r="AJ78" i="72"/>
  <c r="AO78" i="72"/>
  <c r="BH78" i="72"/>
  <c r="BU78" i="72"/>
  <c r="BK82" i="69"/>
  <c r="BJ82" i="69" s="1"/>
  <c r="BM82" i="69" s="1"/>
  <c r="BB82" i="69"/>
  <c r="AQ82" i="69" s="1" a="1"/>
  <c r="AQ82" i="69" s="1"/>
  <c r="BO82" i="69"/>
  <c r="AY82" i="69"/>
  <c r="AJ82" i="69" s="1" a="1"/>
  <c r="AJ82" i="69" s="1"/>
  <c r="BI82" i="69" a="1"/>
  <c r="BI82" i="69" s="1"/>
  <c r="BH82" i="69" a="1"/>
  <c r="BH82" i="69" s="1"/>
  <c r="R82" i="69"/>
  <c r="AK82" i="69" a="1"/>
  <c r="AK82" i="69" s="1"/>
  <c r="S82" i="69"/>
  <c r="H107" i="15" a="1"/>
  <c r="H107" i="15" s="1"/>
  <c r="AI61" i="72"/>
  <c r="AG61" i="72" s="1" a="1"/>
  <c r="AG61" i="72" s="1"/>
  <c r="BD79" i="4"/>
  <c r="X79" i="4" s="1"/>
  <c r="AF41" i="72" a="1"/>
  <c r="AF41" i="72" s="1"/>
  <c r="AQ41" i="72" s="1" a="1"/>
  <c r="AQ41" i="72" s="1"/>
  <c r="BD63" i="69"/>
  <c r="BQ34" i="69"/>
  <c r="AO34" i="69" a="1"/>
  <c r="AO34" i="69" s="1"/>
  <c r="AD11" i="69"/>
  <c r="AE44" i="72"/>
  <c r="BN26" i="69"/>
  <c r="AQ88" i="4"/>
  <c r="AR88" i="4"/>
  <c r="I452" i="15" a="1"/>
  <c r="I452" i="15" s="1"/>
  <c r="K64" i="72" a="1"/>
  <c r="K64" i="72" s="1"/>
  <c r="BG64" i="72"/>
  <c r="AK64" i="72"/>
  <c r="BF64" i="72"/>
  <c r="AL64" i="72" s="1"/>
  <c r="AE73" i="69" a="1"/>
  <c r="AE73" i="69" s="1"/>
  <c r="AF39" i="72" a="1"/>
  <c r="AF39" i="72" s="1"/>
  <c r="AQ39" i="72" s="1" a="1"/>
  <c r="AQ39" i="72" s="1"/>
  <c r="BC75" i="69"/>
  <c r="AV1255" i="13"/>
  <c r="B58" i="72"/>
  <c r="S58" i="69"/>
  <c r="B58" i="69"/>
  <c r="S58" i="72"/>
  <c r="AJ58" i="72" s="1"/>
  <c r="AT56" i="69" a="1"/>
  <c r="AT56" i="69" s="1"/>
  <c r="L8" i="69"/>
  <c r="AY8" i="69"/>
  <c r="AJ8" i="69" s="1" a="1"/>
  <c r="AJ8" i="69" s="1"/>
  <c r="BB8" i="69"/>
  <c r="AQ8" i="69" s="1" a="1"/>
  <c r="AQ8" i="69" s="1"/>
  <c r="BI8" i="69" a="1"/>
  <c r="BI8" i="69" s="1"/>
  <c r="AK8" i="69" a="1"/>
  <c r="AK8" i="69" s="1"/>
  <c r="R8" i="69"/>
  <c r="BO8" i="69"/>
  <c r="BH8" i="69" a="1"/>
  <c r="BH8" i="69" s="1"/>
  <c r="A1572" i="13"/>
  <c r="AX1473" i="13"/>
  <c r="AV1473" i="13"/>
  <c r="Z1577" i="13"/>
  <c r="I337" i="15" a="1"/>
  <c r="I337" i="15" s="1"/>
  <c r="L11" i="72"/>
  <c r="I494" i="15" a="1"/>
  <c r="I494" i="15" s="1"/>
  <c r="AU26" i="72" a="1"/>
  <c r="AU26" i="72" s="1"/>
  <c r="BW26" i="72"/>
  <c r="AX1417" i="13"/>
  <c r="AV1417" i="13"/>
  <c r="A1516" i="13"/>
  <c r="Z1521" i="13"/>
  <c r="AN30" i="72"/>
  <c r="H549" i="15" a="1"/>
  <c r="H549" i="15" s="1"/>
  <c r="AR50" i="4"/>
  <c r="AQ50" i="4"/>
  <c r="H9" i="69"/>
  <c r="H9" i="72"/>
  <c r="BN39" i="69"/>
  <c r="D75" i="72" a="1"/>
  <c r="D75" i="72" s="1"/>
  <c r="BR75" i="72" a="1"/>
  <c r="BR75" i="72" s="1"/>
  <c r="E75" i="72"/>
  <c r="BH73" i="4"/>
  <c r="AF8" i="72" a="1"/>
  <c r="AF8" i="72" s="1"/>
  <c r="BO8" i="72" s="1" a="1"/>
  <c r="BO8" i="72" s="1"/>
  <c r="AT19" i="69" a="1"/>
  <c r="AT19" i="69" s="1"/>
  <c r="BA19" i="69"/>
  <c r="AZ19" i="69"/>
  <c r="BI34" i="72"/>
  <c r="AN34" i="72"/>
  <c r="BP87" i="72"/>
  <c r="BS87" i="72" s="1"/>
  <c r="BG87" i="72"/>
  <c r="BF87" i="72"/>
  <c r="AL87" i="72" s="1"/>
  <c r="AK87" i="72"/>
  <c r="BQ36" i="72"/>
  <c r="BP36" i="72" s="1"/>
  <c r="BS36" i="72" s="1"/>
  <c r="E36" i="72"/>
  <c r="L57" i="69"/>
  <c r="AS5" i="69" a="1"/>
  <c r="AS5" i="69" s="1"/>
  <c r="AZ5" i="69"/>
  <c r="BA5" i="69"/>
  <c r="AS47" i="69" a="1"/>
  <c r="AS47" i="69" s="1"/>
  <c r="BK47" i="69"/>
  <c r="BJ47" i="69" s="1"/>
  <c r="BM47" i="69" s="1"/>
  <c r="BQ47" i="69"/>
  <c r="AO47" i="69" a="1"/>
  <c r="AO47" i="69" s="1"/>
  <c r="DD85" i="4" a="1"/>
  <c r="DD85" i="4" s="1"/>
  <c r="BK91" i="69"/>
  <c r="BJ91" i="69" s="1"/>
  <c r="BM91" i="69" s="1"/>
  <c r="AK84" i="72"/>
  <c r="BP84" i="72"/>
  <c r="BS84" i="72" s="1"/>
  <c r="BF84" i="72"/>
  <c r="AL84" i="72" s="1"/>
  <c r="BG84" i="72"/>
  <c r="AN84" i="72"/>
  <c r="H256" i="15" a="1"/>
  <c r="H256" i="15" s="1"/>
  <c r="AD52" i="69"/>
  <c r="L52" i="69"/>
  <c r="R52" i="69"/>
  <c r="BB52" i="69"/>
  <c r="AQ52" i="69" s="1" a="1"/>
  <c r="AQ52" i="69" s="1"/>
  <c r="BH52" i="69" a="1"/>
  <c r="BH52" i="69" s="1"/>
  <c r="BO52" i="69"/>
  <c r="AY52" i="69"/>
  <c r="BI52" i="69" a="1"/>
  <c r="BI52" i="69" s="1"/>
  <c r="AK52" i="69" a="1"/>
  <c r="AK52" i="69" s="1"/>
  <c r="I536" i="15" a="1"/>
  <c r="I536" i="15" s="1"/>
  <c r="K89" i="69" a="1"/>
  <c r="K89" i="69" s="1"/>
  <c r="S89" i="69"/>
  <c r="H29" i="72"/>
  <c r="AI77" i="72"/>
  <c r="Z1657" i="13"/>
  <c r="S65" i="4"/>
  <c r="T65" i="4"/>
  <c r="BI19" i="72"/>
  <c r="AN19" i="72"/>
  <c r="X8" i="4"/>
  <c r="AX1483" i="13"/>
  <c r="Z1587" i="13"/>
  <c r="A1582" i="13"/>
  <c r="AV1483" i="13"/>
  <c r="BJ42" i="72"/>
  <c r="BF35" i="69"/>
  <c r="BT93" i="72"/>
  <c r="BW93" i="72"/>
  <c r="AU93" i="72" a="1"/>
  <c r="AU93" i="72" s="1"/>
  <c r="BN36" i="69"/>
  <c r="H471" i="15" a="1"/>
  <c r="H471" i="15" s="1"/>
  <c r="BT5" i="72"/>
  <c r="BQ47" i="72"/>
  <c r="BP47" i="72" s="1"/>
  <c r="BS47" i="72" s="1"/>
  <c r="BA1769" i="13" a="1"/>
  <c r="BA1769" i="13" s="1"/>
  <c r="BF1769" i="13" s="1"/>
  <c r="BK84" i="69"/>
  <c r="BJ84" i="69" s="1"/>
  <c r="BM84" i="69" s="1"/>
  <c r="BA84" i="69"/>
  <c r="AZ84" i="69"/>
  <c r="AI84" i="69" s="1" a="1"/>
  <c r="AI84" i="69" s="1"/>
  <c r="BO96" i="72" a="1"/>
  <c r="BO96" i="72" s="1"/>
  <c r="BL52" i="72"/>
  <c r="E52" i="72"/>
  <c r="Z1564" i="13"/>
  <c r="A1559" i="13"/>
  <c r="AV1460" i="13"/>
  <c r="AX1460" i="13"/>
  <c r="BC76" i="69"/>
  <c r="K77" i="69" a="1"/>
  <c r="K77" i="69" s="1"/>
  <c r="O6" i="69"/>
  <c r="BJ81" i="69"/>
  <c r="BM81" i="69" s="1"/>
  <c r="BA81" i="69"/>
  <c r="AZ81" i="69"/>
  <c r="AI81" i="69" s="1" a="1"/>
  <c r="AI81" i="69" s="1"/>
  <c r="D41" i="72" a="1"/>
  <c r="D41" i="72" s="1"/>
  <c r="AF16" i="72" a="1"/>
  <c r="AF16" i="72" s="1"/>
  <c r="AQ16" i="72" s="1" a="1"/>
  <c r="AQ16" i="72" s="1"/>
  <c r="L59" i="69"/>
  <c r="G93" i="69"/>
  <c r="AZ12" i="72" a="1"/>
  <c r="AZ12" i="72" s="1"/>
  <c r="BT6" i="72"/>
  <c r="BI81" i="72"/>
  <c r="BA83" i="69"/>
  <c r="BJ83" i="69"/>
  <c r="BM83" i="69" s="1"/>
  <c r="AZ83" i="69"/>
  <c r="AI83" i="69" s="1" a="1"/>
  <c r="AI83" i="69" s="1"/>
  <c r="AV1474" i="13"/>
  <c r="AX1474" i="13"/>
  <c r="Z1578" i="13"/>
  <c r="A1573" i="13"/>
  <c r="F648" i="15" a="1"/>
  <c r="F648" i="15" s="1"/>
  <c r="BR59" i="72" a="1"/>
  <c r="BR59" i="72" s="1"/>
  <c r="AJ59" i="72"/>
  <c r="BU59" i="72"/>
  <c r="R59" i="72"/>
  <c r="AL59" i="72"/>
  <c r="BO59" i="72" a="1"/>
  <c r="BO59" i="72" s="1"/>
  <c r="AO59" i="72"/>
  <c r="BE59" i="72"/>
  <c r="BN59" i="72" a="1"/>
  <c r="BN59" i="72" s="1"/>
  <c r="BH59" i="72"/>
  <c r="AQ59" i="72" a="1"/>
  <c r="AQ59" i="72" s="1"/>
  <c r="AZ12" i="69"/>
  <c r="AG12" i="69" s="1" a="1"/>
  <c r="AG12" i="69" s="1"/>
  <c r="BA12" i="69"/>
  <c r="BQ32" i="72"/>
  <c r="BP32" i="72" s="1"/>
  <c r="BS32" i="72" s="1"/>
  <c r="AN40" i="72"/>
  <c r="D38" i="72" a="1"/>
  <c r="D38" i="72" s="1"/>
  <c r="H54" i="72"/>
  <c r="BW54" i="72"/>
  <c r="AU54" i="72" a="1"/>
  <c r="AU54" i="72" s="1"/>
  <c r="AD33" i="69"/>
  <c r="BF53" i="69"/>
  <c r="BQ53" i="69"/>
  <c r="AO53" i="69" a="1"/>
  <c r="AO53" i="69" s="1"/>
  <c r="BH77" i="4"/>
  <c r="BD1767" i="13" a="1"/>
  <c r="BD1767" i="13" s="1"/>
  <c r="AD55" i="4"/>
  <c r="AD97" i="4" s="1"/>
  <c r="BF91" i="4"/>
  <c r="BF71" i="4"/>
  <c r="BF57" i="4"/>
  <c r="BG63" i="4"/>
  <c r="AV1161" i="13" s="1"/>
  <c r="X63" i="4"/>
  <c r="BR63" i="4"/>
  <c r="AE63" i="72" s="1"/>
  <c r="L63" i="4"/>
  <c r="BG56" i="4"/>
  <c r="AV1154" i="13" s="1"/>
  <c r="BR56" i="4"/>
  <c r="L56" i="4"/>
  <c r="BR81" i="4"/>
  <c r="BG81" i="4"/>
  <c r="AV1179" i="13" s="1"/>
  <c r="X81" i="4"/>
  <c r="L81" i="4"/>
  <c r="BF76" i="4"/>
  <c r="BF93" i="4"/>
  <c r="AZ51" i="72" a="1"/>
  <c r="AZ51" i="72" s="1"/>
  <c r="BP67" i="72"/>
  <c r="BS67" i="72" s="1"/>
  <c r="BC27" i="69"/>
  <c r="AN33" i="72"/>
  <c r="A1502" i="13"/>
  <c r="AV1403" i="13"/>
  <c r="Z1507" i="13"/>
  <c r="AX1403" i="13"/>
  <c r="BT90" i="72"/>
  <c r="BW53" i="72"/>
  <c r="AU53" i="72" a="1"/>
  <c r="AU53" i="72" s="1"/>
  <c r="AE92" i="69" a="1"/>
  <c r="AE92" i="69" s="1"/>
  <c r="BI92" i="69" s="1" a="1"/>
  <c r="BI92" i="69" s="1"/>
  <c r="AT18" i="69" a="1"/>
  <c r="AT18" i="69" s="1"/>
  <c r="AF49" i="72" a="1"/>
  <c r="AF49" i="72" s="1"/>
  <c r="BO49" i="72" s="1" a="1"/>
  <c r="BO49" i="72" s="1"/>
  <c r="AI49" i="72"/>
  <c r="AN71" i="72"/>
  <c r="AZ69" i="69"/>
  <c r="AG69" i="69" s="1" a="1"/>
  <c r="AG69" i="69" s="1"/>
  <c r="BA69" i="69"/>
  <c r="BH93" i="4"/>
  <c r="AV595" i="13"/>
  <c r="BL93" i="4"/>
  <c r="DV93" i="4"/>
  <c r="BN38" i="69"/>
  <c r="BN46" i="69"/>
  <c r="BR31" i="72" a="1"/>
  <c r="BR31" i="72" s="1"/>
  <c r="BU31" i="72"/>
  <c r="R31" i="72"/>
  <c r="AO31" i="72"/>
  <c r="BE31" i="72"/>
  <c r="BH31" i="72"/>
  <c r="AX31" i="72" s="1" a="1"/>
  <c r="AX31" i="72" s="1"/>
  <c r="AJ31" i="72"/>
  <c r="BN31" i="72" a="1"/>
  <c r="BN31" i="72" s="1"/>
  <c r="BO31" i="72" a="1"/>
  <c r="BO31" i="72" s="1"/>
  <c r="AQ31" i="72" a="1"/>
  <c r="AQ31" i="72" s="1"/>
  <c r="AZ37" i="72" a="1"/>
  <c r="AZ37" i="72" s="1"/>
  <c r="BG37" i="72"/>
  <c r="BF37" i="72"/>
  <c r="AL37" i="72" s="1"/>
  <c r="AK37" i="72"/>
  <c r="BI88" i="72"/>
  <c r="AN88" i="72"/>
  <c r="BT92" i="72"/>
  <c r="B92" i="72"/>
  <c r="AD51" i="69"/>
  <c r="E51" i="69"/>
  <c r="BQ15" i="72"/>
  <c r="BP15" i="72" s="1"/>
  <c r="BS15" i="72" s="1"/>
  <c r="AU15" i="72" a="1"/>
  <c r="AU15" i="72" s="1"/>
  <c r="BW15" i="72"/>
  <c r="BL82" i="4"/>
  <c r="BH82" i="4"/>
  <c r="AV584" i="13"/>
  <c r="DV82" i="4"/>
  <c r="BT45" i="72"/>
  <c r="AI45" i="72"/>
  <c r="BI18" i="72"/>
  <c r="BW18" i="72"/>
  <c r="AU18" i="72" a="1"/>
  <c r="AU18" i="72" s="1"/>
  <c r="E18" i="72"/>
  <c r="L22" i="72"/>
  <c r="BU22" i="72"/>
  <c r="AO22" i="72"/>
  <c r="BO22" i="72" a="1"/>
  <c r="BO22" i="72" s="1"/>
  <c r="BE22" i="72"/>
  <c r="BH22" i="72"/>
  <c r="AW22" i="72" s="1" a="1"/>
  <c r="AW22" i="72" s="1"/>
  <c r="AQ22" i="72" a="1"/>
  <c r="AQ22" i="72" s="1"/>
  <c r="BN22" i="72" a="1"/>
  <c r="BN22" i="72" s="1"/>
  <c r="R22" i="72"/>
  <c r="AJ22" i="72"/>
  <c r="Y49" i="4"/>
  <c r="AT49" i="4" a="1"/>
  <c r="AT49" i="4" s="1"/>
  <c r="AU49" i="4"/>
  <c r="AV49" i="4" a="1"/>
  <c r="AV49" i="4" s="1"/>
  <c r="CY49" i="4"/>
  <c r="CZ49" i="4" s="1"/>
  <c r="BQ49" i="4"/>
  <c r="CA49" i="4"/>
  <c r="I91" i="15" a="1"/>
  <c r="I91" i="15" s="1"/>
  <c r="G91" i="15"/>
  <c r="L13" i="69"/>
  <c r="AI79" i="72"/>
  <c r="BQ24" i="69"/>
  <c r="AO24" i="69" a="1"/>
  <c r="AO24" i="69" s="1"/>
  <c r="BT46" i="72"/>
  <c r="BW46" i="72"/>
  <c r="AQ91" i="4"/>
  <c r="AR91" i="4"/>
  <c r="AV1425" i="13"/>
  <c r="A1524" i="13"/>
  <c r="AX1425" i="13"/>
  <c r="Z1529" i="13"/>
  <c r="BQ68" i="72"/>
  <c r="BP68" i="72" s="1"/>
  <c r="BS68" i="72" s="1"/>
  <c r="BW13" i="72"/>
  <c r="AU13" i="72" a="1"/>
  <c r="AU13" i="72" s="1"/>
  <c r="AQ17" i="4"/>
  <c r="AR17" i="4"/>
  <c r="AE79" i="69" a="1"/>
  <c r="AE79" i="69" s="1"/>
  <c r="AK79" i="69" s="1" a="1"/>
  <c r="AK79" i="69" s="1"/>
  <c r="BI50" i="72"/>
  <c r="AE65" i="69" a="1"/>
  <c r="AE65" i="69" s="1"/>
  <c r="AK65" i="69" s="1" a="1"/>
  <c r="AK65" i="69" s="1"/>
  <c r="H433" i="15" a="1"/>
  <c r="H433" i="15" s="1"/>
  <c r="AX1435" i="13"/>
  <c r="Z1539" i="13"/>
  <c r="AV1435" i="13"/>
  <c r="A1534" i="13"/>
  <c r="BR25" i="72" a="1"/>
  <c r="BR25" i="72" s="1"/>
  <c r="AI25" i="72"/>
  <c r="BQ74" i="72"/>
  <c r="BP74" i="72" s="1"/>
  <c r="BS74" i="72" s="1"/>
  <c r="AE70" i="69" a="1"/>
  <c r="AE70" i="69" s="1"/>
  <c r="AO70" i="69" s="1" a="1"/>
  <c r="AO70" i="69" s="1"/>
  <c r="BR7" i="72" a="1"/>
  <c r="BR7" i="72" s="1"/>
  <c r="AO7" i="72"/>
  <c r="AJ7" i="72"/>
  <c r="R7" i="72"/>
  <c r="AQ7" i="72" a="1"/>
  <c r="AQ7" i="72" s="1"/>
  <c r="BN7" i="72" a="1"/>
  <c r="BN7" i="72" s="1"/>
  <c r="BO7" i="72" a="1"/>
  <c r="BO7" i="72" s="1"/>
  <c r="BH7" i="72"/>
  <c r="AX7" i="72" s="1" a="1"/>
  <c r="AX7" i="72" s="1"/>
  <c r="BU7" i="72"/>
  <c r="BE7" i="72"/>
  <c r="BN45" i="69"/>
  <c r="AY45" i="69"/>
  <c r="AJ45" i="69" s="1" a="1"/>
  <c r="AJ45" i="69" s="1"/>
  <c r="BO45" i="69"/>
  <c r="AK45" i="69" a="1"/>
  <c r="AK45" i="69" s="1"/>
  <c r="BB45" i="69"/>
  <c r="AR45" i="69" s="1" a="1"/>
  <c r="AR45" i="69" s="1"/>
  <c r="BH45" i="69" a="1"/>
  <c r="BH45" i="69" s="1"/>
  <c r="R45" i="69"/>
  <c r="BI45" i="69" a="1"/>
  <c r="BI45" i="69" s="1"/>
  <c r="BA43" i="69"/>
  <c r="AZ43" i="69"/>
  <c r="AG43" i="69" s="1" a="1"/>
  <c r="AG43" i="69" s="1"/>
  <c r="BK68" i="69"/>
  <c r="BJ68" i="69" s="1"/>
  <c r="BM68" i="69" s="1"/>
  <c r="BR21" i="72" a="1"/>
  <c r="BR21" i="72" s="1"/>
  <c r="AN21" i="72"/>
  <c r="BN50" i="69"/>
  <c r="BP82" i="72"/>
  <c r="BS82" i="72" s="1"/>
  <c r="D13" i="69" a="1"/>
  <c r="D13" i="69" s="1"/>
  <c r="BK25" i="69"/>
  <c r="BJ25" i="69" s="1"/>
  <c r="BM25" i="69" s="1"/>
  <c r="BQ25" i="69"/>
  <c r="AO25" i="69" a="1"/>
  <c r="AO25" i="69" s="1"/>
  <c r="BR70" i="72" a="1"/>
  <c r="BR70" i="72" s="1"/>
  <c r="AN70" i="72"/>
  <c r="L7" i="69"/>
  <c r="BO7" i="69"/>
  <c r="AK7" i="69" a="1"/>
  <c r="AK7" i="69" s="1"/>
  <c r="AY7" i="69"/>
  <c r="BI7" i="69" a="1"/>
  <c r="BI7" i="69" s="1"/>
  <c r="BB7" i="69"/>
  <c r="AR7" i="69" s="1" a="1"/>
  <c r="AR7" i="69" s="1"/>
  <c r="R7" i="69"/>
  <c r="BH7" i="69" a="1"/>
  <c r="BH7" i="69" s="1"/>
  <c r="I16" i="27"/>
  <c r="F19" i="27"/>
  <c r="AS41" i="69" a="1"/>
  <c r="AS41" i="69" s="1"/>
  <c r="BR43" i="72" a="1"/>
  <c r="BR43" i="72" s="1"/>
  <c r="BN43" i="72" a="1"/>
  <c r="BN43" i="72" s="1"/>
  <c r="AO43" i="72"/>
  <c r="BH43" i="72"/>
  <c r="AJ43" i="72"/>
  <c r="BU43" i="72"/>
  <c r="BE43" i="72"/>
  <c r="R43" i="72"/>
  <c r="AQ43" i="72" a="1"/>
  <c r="AQ43" i="72" s="1"/>
  <c r="BF86" i="72"/>
  <c r="AL86" i="72" s="1"/>
  <c r="BG86" i="72"/>
  <c r="AK86" i="72"/>
  <c r="AL44" i="69" a="1"/>
  <c r="AL44" i="69" s="1"/>
  <c r="AU44" i="69" a="1"/>
  <c r="AU44" i="69" s="1"/>
  <c r="AH44" i="69" a="1"/>
  <c r="AH44" i="69" s="1"/>
  <c r="AP44" i="69" a="1"/>
  <c r="AP44" i="69" s="1"/>
  <c r="AV44" i="69" a="1"/>
  <c r="AV44" i="69" s="1"/>
  <c r="AF44" i="69" a="1"/>
  <c r="AF44" i="69" s="1"/>
  <c r="AI44" i="69" a="1"/>
  <c r="AI44" i="69" s="1"/>
  <c r="BO44" i="69"/>
  <c r="BB44" i="69"/>
  <c r="AR44" i="69" s="1" a="1"/>
  <c r="AR44" i="69" s="1"/>
  <c r="AK44" i="69" a="1"/>
  <c r="AK44" i="69" s="1"/>
  <c r="R44" i="69"/>
  <c r="BI44" i="69" a="1"/>
  <c r="BI44" i="69" s="1"/>
  <c r="AY44" i="69"/>
  <c r="AJ44" i="69" s="1" a="1"/>
  <c r="AJ44" i="69" s="1"/>
  <c r="BH44" i="69" a="1"/>
  <c r="BH44" i="69" s="1"/>
  <c r="AF78" i="72" a="1"/>
  <c r="AF78" i="72" s="1"/>
  <c r="G78" i="72"/>
  <c r="AQ7" i="4"/>
  <c r="AR7" i="4"/>
  <c r="F306" i="15" a="1"/>
  <c r="F306" i="15" s="1"/>
  <c r="H306" i="15" a="1"/>
  <c r="H306" i="15" s="1"/>
  <c r="AV82" i="69" a="1"/>
  <c r="AV82" i="69" s="1"/>
  <c r="AP82" i="69" a="1"/>
  <c r="AP82" i="69" s="1"/>
  <c r="AH82" i="69" a="1"/>
  <c r="AH82" i="69" s="1"/>
  <c r="AU82" i="69" a="1"/>
  <c r="AU82" i="69" s="1"/>
  <c r="AF82" i="69" a="1"/>
  <c r="AF82" i="69" s="1"/>
  <c r="AL82" i="69" a="1"/>
  <c r="AL82" i="69" s="1"/>
  <c r="BQ82" i="69"/>
  <c r="AO82" i="69" a="1"/>
  <c r="AO82" i="69" s="1"/>
  <c r="I107" i="15" a="1"/>
  <c r="I107" i="15" s="1"/>
  <c r="G107" i="15"/>
  <c r="B73" i="72"/>
  <c r="AQ72" i="72" a="1"/>
  <c r="AQ72" i="72" s="1"/>
  <c r="AH72" i="72" a="1"/>
  <c r="AH72" i="72" s="1"/>
  <c r="AG72" i="72" a="1"/>
  <c r="AG72" i="72" s="1"/>
  <c r="AV72" i="72" a="1"/>
  <c r="AV72" i="72" s="1"/>
  <c r="BA72" i="72" a="1"/>
  <c r="BA72" i="72" s="1"/>
  <c r="AP72" i="72" a="1"/>
  <c r="AP72" i="72" s="1"/>
  <c r="AR72" i="72" a="1"/>
  <c r="AR72" i="72" s="1"/>
  <c r="BB72" i="72" a="1"/>
  <c r="BB72" i="72" s="1"/>
  <c r="AM72" i="72" a="1"/>
  <c r="AM72" i="72" s="1"/>
  <c r="BQ41" i="72"/>
  <c r="BP41" i="72" s="1"/>
  <c r="BS41" i="72" s="1"/>
  <c r="R41" i="72"/>
  <c r="BU41" i="72"/>
  <c r="AJ41" i="72"/>
  <c r="BE41" i="72"/>
  <c r="AL41" i="72"/>
  <c r="BH41" i="72"/>
  <c r="BN41" i="72" a="1"/>
  <c r="BN41" i="72" s="1"/>
  <c r="AO41" i="72"/>
  <c r="AZ34" i="69"/>
  <c r="AI34" i="69" s="1" a="1"/>
  <c r="AI34" i="69" s="1"/>
  <c r="BA34" i="69"/>
  <c r="BJ34" i="69"/>
  <c r="BM34" i="69" s="1"/>
  <c r="AE11" i="69" a="1"/>
  <c r="AE11" i="69" s="1"/>
  <c r="AK11" i="69" s="1" a="1"/>
  <c r="AK11" i="69" s="1"/>
  <c r="AT26" i="69" a="1"/>
  <c r="AT26" i="69" s="1"/>
  <c r="O30" i="69"/>
  <c r="I247" i="15" a="1"/>
  <c r="I247" i="15" s="1"/>
  <c r="AV61" i="69" a="1"/>
  <c r="AV61" i="69" s="1"/>
  <c r="AP61" i="69" a="1"/>
  <c r="AP61" i="69" s="1"/>
  <c r="AF61" i="69" a="1"/>
  <c r="AF61" i="69" s="1"/>
  <c r="AL61" i="69" a="1"/>
  <c r="AL61" i="69" s="1"/>
  <c r="AH61" i="69" a="1"/>
  <c r="AH61" i="69" s="1"/>
  <c r="AU61" i="69" a="1"/>
  <c r="AU61" i="69" s="1"/>
  <c r="AQ61" i="69" a="1"/>
  <c r="AQ61" i="69" s="1"/>
  <c r="AG61" i="69" a="1"/>
  <c r="AG61" i="69" s="1"/>
  <c r="AN39" i="72"/>
  <c r="Z36" i="14"/>
  <c r="Y60" i="14"/>
  <c r="Q60" i="14"/>
  <c r="N60" i="14"/>
  <c r="V60" i="14"/>
  <c r="J60" i="14"/>
  <c r="Z60" i="14"/>
  <c r="G60" i="14"/>
  <c r="X60" i="14"/>
  <c r="S60" i="14"/>
  <c r="T60" i="14"/>
  <c r="U60" i="14"/>
  <c r="O60" i="14"/>
  <c r="I60" i="14"/>
  <c r="E57" i="14"/>
  <c r="P60" i="14"/>
  <c r="L60" i="14"/>
  <c r="K60" i="14"/>
  <c r="W60" i="14"/>
  <c r="F60" i="14"/>
  <c r="H60" i="14"/>
  <c r="R60" i="14"/>
  <c r="M60" i="14"/>
  <c r="T36" i="14"/>
  <c r="H36" i="14"/>
  <c r="J36" i="14"/>
  <c r="G36" i="14"/>
  <c r="S36" i="14"/>
  <c r="N36" i="14"/>
  <c r="F36" i="14"/>
  <c r="V36" i="14"/>
  <c r="U36" i="14"/>
  <c r="W36" i="14"/>
  <c r="L36" i="14"/>
  <c r="I36" i="14"/>
  <c r="K36" i="14"/>
  <c r="Y36" i="14"/>
  <c r="X36" i="14"/>
  <c r="Q36" i="14"/>
  <c r="O36" i="14"/>
  <c r="M36" i="14"/>
  <c r="P36" i="14"/>
  <c r="R36" i="14"/>
  <c r="AV360" i="13"/>
  <c r="AV460" i="13" s="1"/>
  <c r="U58" i="72" a="1"/>
  <c r="U58" i="72" s="1"/>
  <c r="U58" i="69" a="1"/>
  <c r="U58" i="69" s="1"/>
  <c r="AE56" i="69" a="1"/>
  <c r="AE56" i="69" s="1"/>
  <c r="BC8" i="69"/>
  <c r="H641" i="15" a="1"/>
  <c r="H641" i="15" s="1"/>
  <c r="BI11" i="72"/>
  <c r="E11" i="72"/>
  <c r="C26" i="72"/>
  <c r="D26" i="72" s="1" a="1"/>
  <c r="D26" i="72" s="1"/>
  <c r="BR26" i="72" a="1"/>
  <c r="BR26" i="72" s="1"/>
  <c r="BE26" i="72"/>
  <c r="AP26" i="72" s="1" a="1"/>
  <c r="AP26" i="72" s="1"/>
  <c r="AL26" i="72"/>
  <c r="BU26" i="72"/>
  <c r="R26" i="72"/>
  <c r="AO26" i="72"/>
  <c r="BH26" i="72"/>
  <c r="AW26" i="72" s="1" a="1"/>
  <c r="AW26" i="72" s="1"/>
  <c r="BN26" i="72" a="1"/>
  <c r="BN26" i="72" s="1"/>
  <c r="AJ26" i="72"/>
  <c r="AQ26" i="72" a="1"/>
  <c r="AQ26" i="72" s="1"/>
  <c r="BO26" i="72" a="1"/>
  <c r="BO26" i="72" s="1"/>
  <c r="BA1768" i="13" a="1"/>
  <c r="BA1768" i="13" s="1"/>
  <c r="BF1768" i="13" s="1"/>
  <c r="AE30" i="72"/>
  <c r="BF30" i="72"/>
  <c r="AL30" i="72" s="1"/>
  <c r="BG30" i="72"/>
  <c r="AK30" i="72"/>
  <c r="I90" i="72"/>
  <c r="I90" i="69"/>
  <c r="BA29" i="69"/>
  <c r="BJ29" i="69"/>
  <c r="BM29" i="69" s="1"/>
  <c r="AZ29" i="69"/>
  <c r="AI29" i="69" s="1" a="1"/>
  <c r="AI29" i="69" s="1"/>
  <c r="B64" i="69"/>
  <c r="BK39" i="69"/>
  <c r="BJ39" i="69" s="1"/>
  <c r="BM39" i="69" s="1"/>
  <c r="R39" i="69"/>
  <c r="AK39" i="69" a="1"/>
  <c r="AK39" i="69" s="1"/>
  <c r="BO39" i="69"/>
  <c r="BH39" i="69" a="1"/>
  <c r="BH39" i="69" s="1"/>
  <c r="BB39" i="69"/>
  <c r="AR39" i="69" s="1" a="1"/>
  <c r="AR39" i="69" s="1"/>
  <c r="AY39" i="69"/>
  <c r="BI39" i="69" a="1"/>
  <c r="BI39" i="69" s="1"/>
  <c r="AE75" i="72"/>
  <c r="BP75" i="72"/>
  <c r="BS75" i="72" s="1"/>
  <c r="BF75" i="72"/>
  <c r="AH75" i="72" s="1" a="1"/>
  <c r="AH75" i="72" s="1"/>
  <c r="AK75" i="72"/>
  <c r="BG75" i="72"/>
  <c r="AQ75" i="4"/>
  <c r="AR75" i="4"/>
  <c r="D8" i="72" a="1"/>
  <c r="D8" i="72" s="1"/>
  <c r="L8" i="72"/>
  <c r="AE34" i="72"/>
  <c r="AI34" i="72"/>
  <c r="AG34" i="72" s="1" a="1"/>
  <c r="AG34" i="72" s="1"/>
  <c r="BI36" i="72"/>
  <c r="AE57" i="69" a="1"/>
  <c r="AE57" i="69" s="1"/>
  <c r="AE17" i="72"/>
  <c r="K47" i="69" a="1"/>
  <c r="K47" i="69" s="1"/>
  <c r="I120" i="15" a="1"/>
  <c r="I120" i="15" s="1"/>
  <c r="G120" i="15"/>
  <c r="H52" i="69"/>
  <c r="BR60" i="4"/>
  <c r="O60" i="72" s="1"/>
  <c r="BN89" i="69"/>
  <c r="B89" i="69"/>
  <c r="K29" i="72" a="1"/>
  <c r="K29" i="72" s="1"/>
  <c r="BW77" i="72"/>
  <c r="AU77" i="72" a="1"/>
  <c r="AU77" i="72" s="1"/>
  <c r="AR27" i="4"/>
  <c r="AQ27" i="4"/>
  <c r="BQ19" i="72"/>
  <c r="BP19" i="72" s="1"/>
  <c r="BS19" i="72" s="1"/>
  <c r="BW19" i="72"/>
  <c r="AU19" i="72" a="1"/>
  <c r="AU19" i="72" s="1"/>
  <c r="BD87" i="69"/>
  <c r="AF42" i="72" a="1"/>
  <c r="AF42" i="72" s="1"/>
  <c r="BO42" i="72" s="1" a="1"/>
  <c r="BO42" i="72" s="1"/>
  <c r="BD35" i="69"/>
  <c r="H16" i="69"/>
  <c r="BC36" i="69"/>
  <c r="I471" i="15" a="1"/>
  <c r="I471" i="15" s="1"/>
  <c r="F66" i="72"/>
  <c r="F66" i="69"/>
  <c r="AF57" i="72" a="1"/>
  <c r="AF57" i="72" s="1"/>
  <c r="BF57" i="72"/>
  <c r="AL57" i="72" s="1"/>
  <c r="AK57" i="72"/>
  <c r="BG57" i="72"/>
  <c r="E57" i="72"/>
  <c r="BQ5" i="72"/>
  <c r="BP5" i="72" s="1"/>
  <c r="BS5" i="72" s="1"/>
  <c r="BE5" i="72"/>
  <c r="AO5" i="72"/>
  <c r="BU5" i="72"/>
  <c r="R5" i="72"/>
  <c r="AJ5" i="72"/>
  <c r="BH5" i="72"/>
  <c r="BN5" i="72" a="1"/>
  <c r="BN5" i="72" s="1"/>
  <c r="BW5" i="72"/>
  <c r="BC17" i="69"/>
  <c r="BK17" i="69"/>
  <c r="BJ17" i="69" s="1"/>
  <c r="BM17" i="69" s="1"/>
  <c r="AY17" i="69"/>
  <c r="BI17" i="69" a="1"/>
  <c r="BI17" i="69" s="1"/>
  <c r="BO17" i="69"/>
  <c r="BH17" i="69" a="1"/>
  <c r="BH17" i="69" s="1"/>
  <c r="AK17" i="69" a="1"/>
  <c r="AK17" i="69" s="1"/>
  <c r="BB17" i="69"/>
  <c r="AQ17" i="69" s="1" a="1"/>
  <c r="AQ17" i="69" s="1"/>
  <c r="R17" i="69"/>
  <c r="BG91" i="72"/>
  <c r="BF91" i="72"/>
  <c r="AL91" i="72" s="1"/>
  <c r="AK91" i="72"/>
  <c r="I654" i="15" a="1"/>
  <c r="I654" i="15" s="1"/>
  <c r="G654" i="15"/>
  <c r="AQ96" i="72" a="1"/>
  <c r="AQ96" i="72" s="1"/>
  <c r="BJ52" i="72"/>
  <c r="BQ52" i="72"/>
  <c r="BP52" i="72" s="1"/>
  <c r="BS52" i="72" s="1"/>
  <c r="AO52" i="72"/>
  <c r="R52" i="72"/>
  <c r="AL52" i="72"/>
  <c r="BN52" i="72" a="1"/>
  <c r="BN52" i="72" s="1"/>
  <c r="BE52" i="72"/>
  <c r="BH52" i="72"/>
  <c r="AX52" i="72" s="1" a="1"/>
  <c r="AX52" i="72" s="1"/>
  <c r="AJ52" i="72"/>
  <c r="BU52" i="72"/>
  <c r="AQ52" i="72" a="1"/>
  <c r="AQ52" i="72" s="1"/>
  <c r="BO52" i="72" a="1"/>
  <c r="BO52" i="72" s="1"/>
  <c r="BD48" i="69"/>
  <c r="BQ48" i="69"/>
  <c r="AO48" i="69" a="1"/>
  <c r="AO48" i="69" s="1"/>
  <c r="BJ76" i="69"/>
  <c r="BM76" i="69" s="1"/>
  <c r="BA76" i="69"/>
  <c r="AZ76" i="69"/>
  <c r="AG76" i="69" s="1" a="1"/>
  <c r="AG76" i="69" s="1"/>
  <c r="BK77" i="69"/>
  <c r="BJ77" i="69" s="1"/>
  <c r="BM77" i="69" s="1"/>
  <c r="AK77" i="69" a="1"/>
  <c r="AK77" i="69" s="1"/>
  <c r="BH77" i="69" a="1"/>
  <c r="BH77" i="69" s="1"/>
  <c r="AY77" i="69"/>
  <c r="BI77" i="69" a="1"/>
  <c r="BI77" i="69" s="1"/>
  <c r="BO77" i="69"/>
  <c r="R77" i="69"/>
  <c r="BB77" i="69"/>
  <c r="AQ77" i="69" s="1" a="1"/>
  <c r="AQ77" i="69" s="1"/>
  <c r="AE6" i="69" a="1"/>
  <c r="AE6" i="69" s="1"/>
  <c r="AO6" i="69" s="1" a="1"/>
  <c r="AO6" i="69" s="1"/>
  <c r="U81" i="69" a="1"/>
  <c r="U81" i="69" s="1"/>
  <c r="BQ35" i="72"/>
  <c r="BP35" i="72" s="1"/>
  <c r="BS35" i="72" s="1"/>
  <c r="C35" i="72"/>
  <c r="D35" i="72" s="1" a="1"/>
  <c r="D35" i="72" s="1"/>
  <c r="BL35" i="72"/>
  <c r="L16" i="72"/>
  <c r="AJ16" i="72"/>
  <c r="BN16" i="72" a="1"/>
  <c r="BN16" i="72" s="1"/>
  <c r="BH16" i="72"/>
  <c r="BU16" i="72"/>
  <c r="BE16" i="72"/>
  <c r="AO16" i="72"/>
  <c r="R16" i="72"/>
  <c r="AE12" i="72"/>
  <c r="BE12" i="72"/>
  <c r="BN12" i="72" a="1"/>
  <c r="BN12" i="72" s="1"/>
  <c r="AJ12" i="72"/>
  <c r="BO12" i="72" a="1"/>
  <c r="BO12" i="72" s="1"/>
  <c r="BU12" i="72"/>
  <c r="BH12" i="72"/>
  <c r="AW12" i="72" s="1" a="1"/>
  <c r="AW12" i="72" s="1"/>
  <c r="AO12" i="72"/>
  <c r="AQ12" i="72" a="1"/>
  <c r="AQ12" i="72" s="1"/>
  <c r="R12" i="72"/>
  <c r="K32" i="69" a="1"/>
  <c r="K32" i="69" s="1"/>
  <c r="BJ32" i="69"/>
  <c r="BM32" i="69" s="1"/>
  <c r="AZ32" i="69"/>
  <c r="AI32" i="69" s="1" a="1"/>
  <c r="AI32" i="69" s="1"/>
  <c r="BA32" i="69"/>
  <c r="BL32" i="69" a="1"/>
  <c r="BL32" i="69" s="1"/>
  <c r="BH32" i="69" a="1"/>
  <c r="BH32" i="69" s="1"/>
  <c r="BO32" i="69"/>
  <c r="AK32" i="69" a="1"/>
  <c r="AK32" i="69" s="1"/>
  <c r="R32" i="69"/>
  <c r="BI32" i="69" a="1"/>
  <c r="BI32" i="69" s="1"/>
  <c r="BB32" i="69"/>
  <c r="AR32" i="69" s="1" a="1"/>
  <c r="AR32" i="69" s="1"/>
  <c r="AY32" i="69"/>
  <c r="L48" i="72"/>
  <c r="R48" i="72"/>
  <c r="BH48" i="72"/>
  <c r="BE48" i="72"/>
  <c r="BU48" i="72"/>
  <c r="AO48" i="72"/>
  <c r="AJ48" i="72"/>
  <c r="BN48" i="72" a="1"/>
  <c r="BN48" i="72" s="1"/>
  <c r="BP48" i="72"/>
  <c r="BS48" i="72" s="1"/>
  <c r="AK48" i="72"/>
  <c r="BG48" i="72"/>
  <c r="BF48" i="72"/>
  <c r="AL48" i="72" s="1"/>
  <c r="AX1419" i="13"/>
  <c r="AV1419" i="13"/>
  <c r="Z1523" i="13"/>
  <c r="A1518" i="13"/>
  <c r="AU76" i="72" a="1"/>
  <c r="AU76" i="72" s="1"/>
  <c r="BW76" i="72"/>
  <c r="G81" i="72"/>
  <c r="F425" i="15" a="1"/>
  <c r="F425" i="15" s="1"/>
  <c r="BJ27" i="72"/>
  <c r="Z1561" i="13"/>
  <c r="A1556" i="13"/>
  <c r="AX1457" i="13"/>
  <c r="BF59" i="72"/>
  <c r="BG59" i="72"/>
  <c r="AK59" i="72"/>
  <c r="O12" i="69"/>
  <c r="AU32" i="72" a="1"/>
  <c r="AU32" i="72" s="1"/>
  <c r="BW32" i="72"/>
  <c r="D42" i="69" a="1"/>
  <c r="D42" i="69" s="1"/>
  <c r="I76" i="15" a="1"/>
  <c r="I76" i="15" s="1"/>
  <c r="G76" i="15"/>
  <c r="BI83" i="72"/>
  <c r="F405" i="15" a="1"/>
  <c r="F405" i="15" s="1"/>
  <c r="BF72" i="4"/>
  <c r="BF73" i="4"/>
  <c r="BR61" i="4"/>
  <c r="BG61" i="4"/>
  <c r="AV1159" i="13" s="1"/>
  <c r="L61" i="4"/>
  <c r="BF77" i="4"/>
  <c r="BG58" i="4"/>
  <c r="AV1156" i="13" s="1"/>
  <c r="BR58" i="4"/>
  <c r="L58" i="4"/>
  <c r="BG82" i="4"/>
  <c r="AV1180" i="13" s="1"/>
  <c r="X82" i="4"/>
  <c r="L82" i="4"/>
  <c r="X93" i="4"/>
  <c r="BG93" i="4"/>
  <c r="AV1191" i="13" s="1"/>
  <c r="BR93" i="4"/>
  <c r="L93" i="4"/>
  <c r="AR26" i="4"/>
  <c r="AQ26" i="4"/>
  <c r="R54" i="69"/>
  <c r="BB54" i="69"/>
  <c r="AR54" i="69" s="1" a="1"/>
  <c r="AR54" i="69" s="1"/>
  <c r="AY54" i="69"/>
  <c r="BO54" i="69"/>
  <c r="BH54" i="69" a="1"/>
  <c r="BH54" i="69" s="1"/>
  <c r="BI54" i="69" a="1"/>
  <c r="BI54" i="69" s="1"/>
  <c r="AK54" i="69" a="1"/>
  <c r="AK54" i="69" s="1"/>
  <c r="BQ71" i="72"/>
  <c r="BP71" i="72" s="1"/>
  <c r="BS71" i="72" s="1"/>
  <c r="BE71" i="72"/>
  <c r="BH71" i="72"/>
  <c r="AX71" i="72" s="1" a="1"/>
  <c r="AX71" i="72" s="1"/>
  <c r="BU71" i="72"/>
  <c r="R71" i="72"/>
  <c r="AQ71" i="72" a="1"/>
  <c r="AQ71" i="72" s="1"/>
  <c r="BO71" i="72" a="1"/>
  <c r="BO71" i="72" s="1"/>
  <c r="AO71" i="72"/>
  <c r="BN71" i="72" a="1"/>
  <c r="BN71" i="72" s="1"/>
  <c r="AJ71" i="72"/>
  <c r="AL71" i="72"/>
  <c r="AY38" i="72" a="1"/>
  <c r="AY38" i="72" s="1"/>
  <c r="D40" i="69" a="1"/>
  <c r="D40" i="69" s="1"/>
  <c r="BJ40" i="69"/>
  <c r="BM40" i="69" s="1"/>
  <c r="AZ40" i="69"/>
  <c r="BA40" i="69"/>
  <c r="BJ54" i="69"/>
  <c r="BM54" i="69" s="1"/>
  <c r="BA54" i="69"/>
  <c r="AZ54" i="69"/>
  <c r="AG54" i="69" s="1" a="1"/>
  <c r="AG54" i="69" s="1"/>
  <c r="AF90" i="72" a="1"/>
  <c r="AF90" i="72" s="1"/>
  <c r="BO90" i="72" s="1" a="1"/>
  <c r="BO90" i="72" s="1"/>
  <c r="I465" i="15" a="1"/>
  <c r="I465" i="15" s="1"/>
  <c r="BI49" i="72"/>
  <c r="AE28" i="69" a="1"/>
  <c r="AE28" i="69" s="1"/>
  <c r="AO28" i="69" s="1" a="1"/>
  <c r="AO28" i="69" s="1"/>
  <c r="BQ28" i="69"/>
  <c r="BM94" i="4"/>
  <c r="BE94" i="4" s="1" a="1"/>
  <c r="BE94" i="4" s="1"/>
  <c r="BD94" i="69"/>
  <c r="BJ94" i="72"/>
  <c r="AV564" i="13"/>
  <c r="DV62" i="4"/>
  <c r="BH62" i="4"/>
  <c r="BL62" i="4"/>
  <c r="AI24" i="72"/>
  <c r="E71" i="72"/>
  <c r="I615" i="15" a="1"/>
  <c r="I615" i="15" s="1"/>
  <c r="G69" i="69"/>
  <c r="BK46" i="69"/>
  <c r="BJ46" i="69" s="1"/>
  <c r="BM46" i="69" s="1"/>
  <c r="AY46" i="69"/>
  <c r="R46" i="69"/>
  <c r="BH46" i="69" a="1"/>
  <c r="BH46" i="69" s="1"/>
  <c r="BB46" i="69"/>
  <c r="BO46" i="69"/>
  <c r="Z1566" i="13"/>
  <c r="AV1462" i="13"/>
  <c r="AX1462" i="13"/>
  <c r="A1561" i="13"/>
  <c r="AX1412" i="13"/>
  <c r="Z1516" i="13"/>
  <c r="A1511" i="13"/>
  <c r="AV1412" i="13"/>
  <c r="AS49" i="69" a="1"/>
  <c r="AS49" i="69" s="1"/>
  <c r="AZ88" i="72" a="1"/>
  <c r="AZ88" i="72" s="1"/>
  <c r="BW88" i="72"/>
  <c r="AZ92" i="72" a="1"/>
  <c r="AZ92" i="72" s="1"/>
  <c r="BW92" i="72"/>
  <c r="BK51" i="69"/>
  <c r="BJ51" i="69" s="1"/>
  <c r="BM51" i="69" s="1"/>
  <c r="BQ51" i="69"/>
  <c r="AO51" i="69" a="1"/>
  <c r="AO51" i="69" s="1"/>
  <c r="AZ80" i="69"/>
  <c r="AI80" i="69" s="1" a="1"/>
  <c r="AI80" i="69" s="1"/>
  <c r="BA80" i="69"/>
  <c r="BJ80" i="69"/>
  <c r="BM80" i="69" s="1"/>
  <c r="BI15" i="72"/>
  <c r="AZ18" i="72" a="1"/>
  <c r="AZ18" i="72" s="1"/>
  <c r="AN18" i="72"/>
  <c r="BN20" i="69"/>
  <c r="AD13" i="69"/>
  <c r="E24" i="69"/>
  <c r="AZ46" i="72" a="1"/>
  <c r="AZ46" i="72" s="1"/>
  <c r="E46" i="72"/>
  <c r="BJ15" i="69"/>
  <c r="BM15" i="69" s="1"/>
  <c r="BA15" i="69"/>
  <c r="AZ15" i="69"/>
  <c r="AG15" i="69" s="1" a="1"/>
  <c r="AG15" i="69" s="1"/>
  <c r="AZ68" i="72" a="1"/>
  <c r="AZ68" i="72" s="1"/>
  <c r="BN21" i="69"/>
  <c r="L13" i="72"/>
  <c r="BN13" i="72" a="1"/>
  <c r="BN13" i="72" s="1"/>
  <c r="BO13" i="72" a="1"/>
  <c r="BO13" i="72" s="1"/>
  <c r="BH13" i="72"/>
  <c r="AX13" i="72" s="1" a="1"/>
  <c r="AX13" i="72" s="1"/>
  <c r="BU13" i="72"/>
  <c r="BE13" i="72"/>
  <c r="AO13" i="72"/>
  <c r="R13" i="72"/>
  <c r="AJ13" i="72"/>
  <c r="AQ13" i="72" a="1"/>
  <c r="AQ13" i="72" s="1"/>
  <c r="BQ79" i="69"/>
  <c r="D50" i="72" a="1"/>
  <c r="D50" i="72" s="1"/>
  <c r="BN65" i="69"/>
  <c r="H512" i="15" a="1"/>
  <c r="H512" i="15" s="1"/>
  <c r="E25" i="72"/>
  <c r="L74" i="72"/>
  <c r="AK74" i="72"/>
  <c r="BF74" i="72"/>
  <c r="AL74" i="72" s="1"/>
  <c r="BG74" i="72"/>
  <c r="BK70" i="69"/>
  <c r="BJ70" i="69" s="1"/>
  <c r="BM70" i="69" s="1"/>
  <c r="BQ70" i="69"/>
  <c r="I488" i="15" a="1"/>
  <c r="I488" i="15" s="1"/>
  <c r="BI7" i="72"/>
  <c r="AE28" i="72"/>
  <c r="AU28" i="72" a="1"/>
  <c r="AU28" i="72" s="1"/>
  <c r="BW28" i="72"/>
  <c r="BK45" i="69"/>
  <c r="BJ45" i="69" s="1"/>
  <c r="BM45" i="69" s="1"/>
  <c r="BC43" i="69"/>
  <c r="AO43" i="69" a="1"/>
  <c r="AO43" i="69" s="1"/>
  <c r="BQ43" i="69"/>
  <c r="BD67" i="4"/>
  <c r="X67" i="4" s="1"/>
  <c r="BC68" i="69"/>
  <c r="BJ21" i="72"/>
  <c r="AK21" i="72"/>
  <c r="BG21" i="72"/>
  <c r="BF21" i="72"/>
  <c r="AL21" i="72" s="1"/>
  <c r="BD64" i="4"/>
  <c r="BR64" i="4" s="1"/>
  <c r="AG82" i="72" a="1"/>
  <c r="AG82" i="72" s="1"/>
  <c r="AV82" i="72" a="1"/>
  <c r="AV82" i="72" s="1"/>
  <c r="AH82" i="72" a="1"/>
  <c r="AH82" i="72" s="1"/>
  <c r="AX82" i="72" a="1"/>
  <c r="AX82" i="72" s="1"/>
  <c r="BA82" i="72" a="1"/>
  <c r="BA82" i="72" s="1"/>
  <c r="AR82" i="72" a="1"/>
  <c r="AR82" i="72" s="1"/>
  <c r="AM82" i="72" a="1"/>
  <c r="AM82" i="72" s="1"/>
  <c r="BB82" i="72" a="1"/>
  <c r="BB82" i="72" s="1"/>
  <c r="AI82" i="72"/>
  <c r="I436" i="15" a="1"/>
  <c r="I436" i="15" s="1"/>
  <c r="BL25" i="69" a="1"/>
  <c r="BL25" i="69" s="1"/>
  <c r="BF70" i="72"/>
  <c r="AL70" i="72" s="1"/>
  <c r="BG70" i="72"/>
  <c r="AK70" i="72"/>
  <c r="BP70" i="72"/>
  <c r="BS70" i="72" s="1"/>
  <c r="BJ7" i="69"/>
  <c r="BM7" i="69" s="1"/>
  <c r="BA7" i="69"/>
  <c r="AZ7" i="69"/>
  <c r="AG7" i="69" s="1" a="1"/>
  <c r="AG7" i="69" s="1"/>
  <c r="E7" i="69"/>
  <c r="AN85" i="72"/>
  <c r="H646" i="15" a="1"/>
  <c r="H646" i="15" s="1"/>
  <c r="L20" i="72"/>
  <c r="BO20" i="72" a="1"/>
  <c r="BO20" i="72" s="1"/>
  <c r="R20" i="72"/>
  <c r="AQ20" i="72" a="1"/>
  <c r="AQ20" i="72" s="1"/>
  <c r="AJ20" i="72"/>
  <c r="BH20" i="72"/>
  <c r="AW20" i="72" s="1" a="1"/>
  <c r="AW20" i="72" s="1"/>
  <c r="BE20" i="72"/>
  <c r="BN20" i="72" a="1"/>
  <c r="BN20" i="72" s="1"/>
  <c r="BU20" i="72"/>
  <c r="AO20" i="72"/>
  <c r="L43" i="72"/>
  <c r="BW43" i="72"/>
  <c r="AU43" i="72" a="1"/>
  <c r="AU43" i="72" s="1"/>
  <c r="CA23" i="4"/>
  <c r="AT23" i="4" a="1"/>
  <c r="AT23" i="4" s="1"/>
  <c r="H23" i="69" s="1"/>
  <c r="AU23" i="4"/>
  <c r="AV23" i="4" a="1"/>
  <c r="AV23" i="4" s="1"/>
  <c r="C23" i="69" s="1"/>
  <c r="D23" i="69" s="1" a="1"/>
  <c r="D23" i="69" s="1"/>
  <c r="Y23" i="4"/>
  <c r="CY23" i="4"/>
  <c r="CZ23" i="4" s="1"/>
  <c r="BQ23" i="4"/>
  <c r="BN44" i="69"/>
  <c r="DD59" i="4" a="1"/>
  <c r="DD59" i="4" s="1"/>
  <c r="AE7" i="72"/>
  <c r="BM7" i="4"/>
  <c r="BE7" i="4" s="1" a="1"/>
  <c r="BE7" i="4" s="1"/>
  <c r="AT82" i="69" a="1"/>
  <c r="AT82" i="69" s="1"/>
  <c r="G82" i="69"/>
  <c r="Z1584" i="13"/>
  <c r="A1579" i="13"/>
  <c r="AX1480" i="13"/>
  <c r="AV1480" i="13"/>
  <c r="S73" i="72"/>
  <c r="AI73" i="72"/>
  <c r="H472" i="15" a="1"/>
  <c r="H472" i="15" s="1"/>
  <c r="AZ61" i="72" a="1"/>
  <c r="AZ61" i="72" s="1"/>
  <c r="C14" i="69"/>
  <c r="D14" i="69" s="1" a="1"/>
  <c r="D14" i="69" s="1"/>
  <c r="BI72" i="72"/>
  <c r="BR72" i="72" a="1"/>
  <c r="BR72" i="72" s="1"/>
  <c r="R72" i="72"/>
  <c r="AO72" i="72"/>
  <c r="BN72" i="72" a="1"/>
  <c r="BN72" i="72" s="1"/>
  <c r="BH72" i="72"/>
  <c r="AW72" i="72" s="1" a="1"/>
  <c r="AW72" i="72" s="1"/>
  <c r="BO72" i="72" a="1"/>
  <c r="BO72" i="72" s="1"/>
  <c r="AJ72" i="72"/>
  <c r="BU72" i="72"/>
  <c r="BE72" i="72"/>
  <c r="AL72" i="72"/>
  <c r="AQ29" i="4"/>
  <c r="AR29" i="4"/>
  <c r="BR41" i="72" a="1"/>
  <c r="BR41" i="72" s="1"/>
  <c r="AN41" i="72"/>
  <c r="BN63" i="69"/>
  <c r="BJ63" i="72"/>
  <c r="F57" i="72"/>
  <c r="F57" i="69"/>
  <c r="BD11" i="69"/>
  <c r="BQ11" i="69"/>
  <c r="AR77" i="4"/>
  <c r="AQ77" i="4"/>
  <c r="BK26" i="69"/>
  <c r="BJ26" i="69" s="1"/>
  <c r="BM26" i="69" s="1"/>
  <c r="DD56" i="4" a="1"/>
  <c r="DD56" i="4" s="1"/>
  <c r="BA1766" i="13" a="1"/>
  <c r="BA1766" i="13" s="1"/>
  <c r="K30" i="69" a="1"/>
  <c r="K30" i="69" s="1"/>
  <c r="BK30" i="69"/>
  <c r="BJ30" i="69" s="1"/>
  <c r="BM30" i="69" s="1"/>
  <c r="BB30" i="69"/>
  <c r="AQ30" i="69" s="1" a="1"/>
  <c r="AQ30" i="69" s="1"/>
  <c r="R30" i="69"/>
  <c r="AK30" i="69" a="1"/>
  <c r="AK30" i="69" s="1"/>
  <c r="AY30" i="69"/>
  <c r="BO30" i="69"/>
  <c r="BI30" i="69" a="1"/>
  <c r="BI30" i="69" s="1"/>
  <c r="BH30" i="69" a="1"/>
  <c r="BH30" i="69" s="1"/>
  <c r="I598" i="15" a="1"/>
  <c r="I598" i="15" s="1"/>
  <c r="B64" i="72"/>
  <c r="AQ24" i="4"/>
  <c r="AR24" i="4"/>
  <c r="BC61" i="69"/>
  <c r="BL39" i="72"/>
  <c r="BW14" i="72"/>
  <c r="AU14" i="72" a="1"/>
  <c r="AU14" i="72" s="1"/>
  <c r="BR14" i="72" a="1"/>
  <c r="BR14" i="72" s="1"/>
  <c r="BN14" i="72" a="1"/>
  <c r="BN14" i="72" s="1"/>
  <c r="BU14" i="72"/>
  <c r="AL14" i="72"/>
  <c r="BE14" i="72"/>
  <c r="BH14" i="72"/>
  <c r="AJ14" i="72"/>
  <c r="AO14" i="72"/>
  <c r="R14" i="72"/>
  <c r="AQ14" i="72" a="1"/>
  <c r="AQ14" i="72" s="1"/>
  <c r="BN75" i="69"/>
  <c r="F58" i="72"/>
  <c r="F58" i="69"/>
  <c r="BH57" i="4"/>
  <c r="X80" i="4"/>
  <c r="I641" i="15" a="1"/>
  <c r="I641" i="15" s="1"/>
  <c r="AZ11" i="72" a="1"/>
  <c r="AZ11" i="72" s="1"/>
  <c r="BJ26" i="72"/>
  <c r="AN26" i="72"/>
  <c r="DD91" i="4" a="1"/>
  <c r="DD91" i="4" s="1"/>
  <c r="L30" i="72"/>
  <c r="BW89" i="72"/>
  <c r="AO39" i="69" a="1"/>
  <c r="AO39" i="69" s="1"/>
  <c r="BQ39" i="69"/>
  <c r="BJ75" i="72"/>
  <c r="AE19" i="69" a="1"/>
  <c r="AE19" i="69" s="1"/>
  <c r="AO19" i="69" s="1" a="1"/>
  <c r="AO19" i="69" s="1"/>
  <c r="H442" i="15" a="1"/>
  <c r="H442" i="15" s="1"/>
  <c r="AF87" i="72" a="1"/>
  <c r="AF87" i="72" s="1"/>
  <c r="AU87" i="72" s="1" a="1"/>
  <c r="AU87" i="72" s="1"/>
  <c r="L87" i="72"/>
  <c r="BH87" i="72"/>
  <c r="BE87" i="72"/>
  <c r="AO87" i="72"/>
  <c r="R87" i="72"/>
  <c r="BN87" i="72" a="1"/>
  <c r="BN87" i="72" s="1"/>
  <c r="BU87" i="72"/>
  <c r="AJ87" i="72"/>
  <c r="K36" i="72" a="1"/>
  <c r="K36" i="72" s="1"/>
  <c r="AT57" i="69" a="1"/>
  <c r="AT57" i="69" s="1"/>
  <c r="K95" i="69" a="1"/>
  <c r="K95" i="69" s="1"/>
  <c r="BD5" i="69"/>
  <c r="O17" i="72"/>
  <c r="AZ47" i="69"/>
  <c r="AI47" i="69" s="1" a="1"/>
  <c r="AI47" i="69" s="1"/>
  <c r="BA47" i="69"/>
  <c r="BN91" i="69"/>
  <c r="U91" i="69" a="1"/>
  <c r="U91" i="69" s="1"/>
  <c r="DD55" i="4" a="1"/>
  <c r="DD55" i="4" s="1"/>
  <c r="H215" i="15" a="1"/>
  <c r="H215" i="15" s="1"/>
  <c r="K52" i="69" a="1"/>
  <c r="K52" i="69" s="1"/>
  <c r="BD52" i="69"/>
  <c r="BK89" i="69"/>
  <c r="BJ89" i="69" s="1"/>
  <c r="BM89" i="69" s="1"/>
  <c r="C29" i="72"/>
  <c r="D29" i="72" s="1" a="1"/>
  <c r="D29" i="72" s="1"/>
  <c r="D31" i="69" a="1"/>
  <c r="D31" i="69" s="1"/>
  <c r="AZ19" i="72" a="1"/>
  <c r="AZ19" i="72" s="1"/>
  <c r="AK19" i="72"/>
  <c r="BG19" i="72"/>
  <c r="BF19" i="72"/>
  <c r="AL19" i="72" s="1"/>
  <c r="BC87" i="69"/>
  <c r="BQ87" i="69"/>
  <c r="I457" i="15" a="1"/>
  <c r="I457" i="15" s="1"/>
  <c r="BQ42" i="72"/>
  <c r="BP42" i="72" s="1"/>
  <c r="BS42" i="72" s="1"/>
  <c r="BK16" i="69"/>
  <c r="BJ16" i="69" s="1"/>
  <c r="BM16" i="69" s="1"/>
  <c r="O36" i="69"/>
  <c r="I526" i="15" a="1"/>
  <c r="I526" i="15" s="1"/>
  <c r="AZ57" i="72" a="1"/>
  <c r="AZ57" i="72" s="1"/>
  <c r="AF5" i="72" a="1"/>
  <c r="AF5" i="72" s="1"/>
  <c r="BO5" i="72" s="1" a="1"/>
  <c r="BO5" i="72" s="1"/>
  <c r="BL17" i="69" a="1"/>
  <c r="BL17" i="69" s="1"/>
  <c r="AZ17" i="69"/>
  <c r="AI17" i="69" s="1" a="1"/>
  <c r="AI17" i="69" s="1"/>
  <c r="BA17" i="69"/>
  <c r="BT47" i="72"/>
  <c r="AI47" i="72"/>
  <c r="BT91" i="72"/>
  <c r="BW91" i="72"/>
  <c r="AU91" i="72" a="1"/>
  <c r="AU91" i="72" s="1"/>
  <c r="BC84" i="69"/>
  <c r="AE52" i="72"/>
  <c r="AD48" i="69"/>
  <c r="BN77" i="69"/>
  <c r="BL6" i="69" a="1"/>
  <c r="BL6" i="69" s="1"/>
  <c r="BO6" i="69"/>
  <c r="BH6" i="69" a="1"/>
  <c r="BH6" i="69" s="1"/>
  <c r="BB6" i="69"/>
  <c r="R6" i="69"/>
  <c r="AY6" i="69"/>
  <c r="K81" i="69" a="1"/>
  <c r="K81" i="69" s="1"/>
  <c r="AD42" i="69"/>
  <c r="AY42" i="69"/>
  <c r="AJ42" i="69" s="1" a="1"/>
  <c r="AJ42" i="69" s="1"/>
  <c r="BB42" i="69"/>
  <c r="AQ42" i="69" s="1" a="1"/>
  <c r="AQ42" i="69" s="1"/>
  <c r="BO42" i="69"/>
  <c r="R42" i="69"/>
  <c r="BH42" i="69" a="1"/>
  <c r="BH42" i="69" s="1"/>
  <c r="BI42" i="69" a="1"/>
  <c r="BI42" i="69" s="1"/>
  <c r="AK42" i="69" a="1"/>
  <c r="AK42" i="69" s="1"/>
  <c r="BR35" i="72" a="1"/>
  <c r="BR35" i="72" s="1"/>
  <c r="K35" i="72" a="1"/>
  <c r="K35" i="72" s="1"/>
  <c r="AN16" i="72"/>
  <c r="K59" i="69" a="1"/>
  <c r="K59" i="69" s="1"/>
  <c r="AS93" i="69" a="1"/>
  <c r="AS93" i="69" s="1"/>
  <c r="BL93" i="69" a="1"/>
  <c r="BL93" i="69" s="1"/>
  <c r="AK93" i="69" a="1"/>
  <c r="AK93" i="69" s="1"/>
  <c r="BI93" i="69" a="1"/>
  <c r="BI93" i="69" s="1"/>
  <c r="BB93" i="69"/>
  <c r="AR93" i="69" s="1" a="1"/>
  <c r="AR93" i="69" s="1"/>
  <c r="BH93" i="69" a="1"/>
  <c r="BH93" i="69" s="1"/>
  <c r="R93" i="69"/>
  <c r="BO93" i="69"/>
  <c r="AY93" i="69"/>
  <c r="BJ93" i="69"/>
  <c r="BM93" i="69" s="1"/>
  <c r="BA93" i="69"/>
  <c r="AZ93" i="69"/>
  <c r="AI93" i="69" s="1" a="1"/>
  <c r="AI93" i="69" s="1"/>
  <c r="BQ12" i="72"/>
  <c r="BP12" i="72" s="1"/>
  <c r="BS12" i="72" s="1"/>
  <c r="A1576" i="13"/>
  <c r="AX1477" i="13"/>
  <c r="AV1477" i="13"/>
  <c r="Z1581" i="13"/>
  <c r="F68" i="72"/>
  <c r="F68" i="69"/>
  <c r="AF48" i="72" a="1"/>
  <c r="AF48" i="72" s="1"/>
  <c r="BO48" i="72" s="1" a="1"/>
  <c r="BO48" i="72" s="1"/>
  <c r="O48" i="72"/>
  <c r="AI76" i="72"/>
  <c r="BJ6" i="72"/>
  <c r="E6" i="72"/>
  <c r="BL83" i="69" a="1"/>
  <c r="BL83" i="69" s="1"/>
  <c r="AY83" i="69"/>
  <c r="R83" i="69"/>
  <c r="BB83" i="69"/>
  <c r="AQ83" i="69" s="1" a="1"/>
  <c r="AQ83" i="69" s="1"/>
  <c r="BO83" i="69"/>
  <c r="BH83" i="69" a="1"/>
  <c r="BH83" i="69" s="1"/>
  <c r="AK83" i="69" a="1"/>
  <c r="AK83" i="69" s="1"/>
  <c r="I108" i="15" a="1"/>
  <c r="I108" i="15" s="1"/>
  <c r="G108" i="15"/>
  <c r="AV27" i="72" a="1"/>
  <c r="AV27" i="72" s="1"/>
  <c r="AP27" i="72" a="1"/>
  <c r="AP27" i="72" s="1"/>
  <c r="BB27" i="72" a="1"/>
  <c r="BB27" i="72" s="1"/>
  <c r="AM27" i="72" a="1"/>
  <c r="AM27" i="72" s="1"/>
  <c r="AR27" i="72" a="1"/>
  <c r="AR27" i="72" s="1"/>
  <c r="BA27" i="72" a="1"/>
  <c r="BA27" i="72" s="1"/>
  <c r="AG27" i="72" a="1"/>
  <c r="AG27" i="72" s="1"/>
  <c r="AW27" i="72" a="1"/>
  <c r="AW27" i="72" s="1"/>
  <c r="BF27" i="72"/>
  <c r="AL27" i="72" s="1"/>
  <c r="BP27" i="72"/>
  <c r="BS27" i="72" s="1"/>
  <c r="BG27" i="72"/>
  <c r="AK27" i="72"/>
  <c r="BW59" i="72"/>
  <c r="AU59" i="72" a="1"/>
  <c r="AU59" i="72" s="1"/>
  <c r="BK12" i="69"/>
  <c r="BJ12" i="69" s="1"/>
  <c r="BM12" i="69" s="1"/>
  <c r="R12" i="69"/>
  <c r="BB12" i="69"/>
  <c r="AQ12" i="69" s="1" a="1"/>
  <c r="AQ12" i="69" s="1"/>
  <c r="BO12" i="69"/>
  <c r="BH12" i="69" a="1"/>
  <c r="BH12" i="69" s="1"/>
  <c r="AY12" i="69"/>
  <c r="AK12" i="69" a="1"/>
  <c r="AK12" i="69" s="1"/>
  <c r="AZ32" i="72" a="1"/>
  <c r="AZ32" i="72" s="1"/>
  <c r="DD80" i="4" a="1"/>
  <c r="DD80" i="4" s="1"/>
  <c r="AU95" i="72" a="1"/>
  <c r="AU95" i="72" s="1"/>
  <c r="BL90" i="69" a="1"/>
  <c r="BL90" i="69" s="1"/>
  <c r="BA67" i="69"/>
  <c r="AZ67" i="69"/>
  <c r="AG67" i="69" s="1" a="1"/>
  <c r="AG67" i="69" s="1"/>
  <c r="O53" i="69"/>
  <c r="BT83" i="72"/>
  <c r="AQ79" i="4"/>
  <c r="AR79" i="4"/>
  <c r="BG59" i="4"/>
  <c r="AV1157" i="13" s="1"/>
  <c r="X59" i="4"/>
  <c r="L59" i="4"/>
  <c r="Z55" i="4"/>
  <c r="AV1252" i="13" s="1"/>
  <c r="BF61" i="4"/>
  <c r="BG91" i="4"/>
  <c r="AV1189" i="13" s="1"/>
  <c r="X91" i="4"/>
  <c r="BR91" i="4"/>
  <c r="AD91" i="69" s="1"/>
  <c r="L91" i="4"/>
  <c r="BF79" i="4"/>
  <c r="BF23" i="4"/>
  <c r="BI97" i="4"/>
  <c r="BF82" i="4"/>
  <c r="BF70" i="4"/>
  <c r="AL55" i="4"/>
  <c r="AL97" i="4" s="1"/>
  <c r="F87" i="69" l="1"/>
  <c r="F87" i="72"/>
  <c r="AZ103" i="4"/>
  <c r="AU14" i="69" a="1"/>
  <c r="AU14" i="69" s="1"/>
  <c r="AG66" i="72" a="1"/>
  <c r="AG66" i="72" s="1"/>
  <c r="AL69" i="69" a="1"/>
  <c r="AL69" i="69" s="1"/>
  <c r="AL67" i="72"/>
  <c r="BO18" i="72" a="1"/>
  <c r="BO18" i="72" s="1"/>
  <c r="AU8" i="69" a="1"/>
  <c r="AU8" i="69" s="1"/>
  <c r="BO29" i="72" a="1"/>
  <c r="BO29" i="72" s="1"/>
  <c r="AI68" i="69" a="1"/>
  <c r="AI68" i="69" s="1"/>
  <c r="AO77" i="69" a="1"/>
  <c r="AO77" i="69" s="1"/>
  <c r="F17" i="69"/>
  <c r="AV69" i="69" a="1"/>
  <c r="AV69" i="69" s="1"/>
  <c r="AU69" i="69" a="1"/>
  <c r="AU69" i="69" s="1"/>
  <c r="I17" i="69"/>
  <c r="I17" i="72"/>
  <c r="AO84" i="69" a="1"/>
  <c r="AO84" i="69" s="1"/>
  <c r="AY62" i="72" a="1"/>
  <c r="AY62" i="72" s="1"/>
  <c r="AY47" i="72" a="1"/>
  <c r="AY47" i="72" s="1"/>
  <c r="B7" i="27"/>
  <c r="AG62" i="72" a="1"/>
  <c r="AG62" i="72" s="1"/>
  <c r="I40" i="69"/>
  <c r="I40" i="72"/>
  <c r="P51" i="14"/>
  <c r="Z51" i="23"/>
  <c r="AH84" i="69" a="1"/>
  <c r="AH84" i="69" s="1"/>
  <c r="I87" i="69"/>
  <c r="I87" i="72"/>
  <c r="F35" i="72"/>
  <c r="F35" i="69"/>
  <c r="AP8" i="69" a="1"/>
  <c r="AP8" i="69" s="1"/>
  <c r="AU73" i="72" a="1"/>
  <c r="AU73" i="72" s="1"/>
  <c r="AF8" i="69" a="1"/>
  <c r="AF8" i="69" s="1"/>
  <c r="AV15" i="69" a="1"/>
  <c r="AV15" i="69" s="1"/>
  <c r="AR47" i="69" a="1"/>
  <c r="AR47" i="69" s="1"/>
  <c r="AO13" i="69" a="1"/>
  <c r="AO13" i="69" s="1"/>
  <c r="AS30" i="69" a="1"/>
  <c r="AS30" i="69" s="1"/>
  <c r="AV66" i="72" a="1"/>
  <c r="AV66" i="72" s="1"/>
  <c r="AH50" i="72" a="1"/>
  <c r="AH50" i="72" s="1"/>
  <c r="AP54" i="72" a="1"/>
  <c r="AP54" i="72" s="1"/>
  <c r="AH97" i="4"/>
  <c r="AP30" i="69" a="1"/>
  <c r="AP30" i="69" s="1"/>
  <c r="K78" i="69" a="1"/>
  <c r="K78" i="69" s="1"/>
  <c r="AF15" i="69" a="1"/>
  <c r="AF15" i="69" s="1"/>
  <c r="AV8" i="69" a="1"/>
  <c r="AV8" i="69" s="1"/>
  <c r="I28" i="72"/>
  <c r="AY54" i="72" a="1"/>
  <c r="AY54" i="72" s="1"/>
  <c r="AV54" i="72" a="1"/>
  <c r="AV54" i="72" s="1"/>
  <c r="AR54" i="72" a="1"/>
  <c r="AR54" i="72" s="1"/>
  <c r="BA54" i="72" a="1"/>
  <c r="BA54" i="72" s="1"/>
  <c r="BB54" i="72" a="1"/>
  <c r="BB54" i="72" s="1"/>
  <c r="AS69" i="69" a="1"/>
  <c r="AS69" i="69" s="1"/>
  <c r="AD86" i="69"/>
  <c r="AF69" i="69" a="1"/>
  <c r="AF69" i="69" s="1"/>
  <c r="AJ15" i="69" a="1"/>
  <c r="AJ15" i="69" s="1"/>
  <c r="BJ60" i="72"/>
  <c r="AL15" i="69" a="1"/>
  <c r="AL15" i="69" s="1"/>
  <c r="AL84" i="69" a="1"/>
  <c r="AL84" i="69" s="1"/>
  <c r="AM32" i="72" a="1"/>
  <c r="AM32" i="72" s="1"/>
  <c r="AL33" i="69" a="1"/>
  <c r="AL33" i="69" s="1"/>
  <c r="AP18" i="72" a="1"/>
  <c r="AP18" i="72" s="1"/>
  <c r="AP32" i="72" a="1"/>
  <c r="AP32" i="72" s="1"/>
  <c r="AG32" i="72" a="1"/>
  <c r="AG32" i="72" s="1"/>
  <c r="AF33" i="69" a="1"/>
  <c r="AF33" i="69" s="1"/>
  <c r="AP33" i="69" a="1"/>
  <c r="AP33" i="69" s="1"/>
  <c r="AG47" i="72" a="1"/>
  <c r="AG47" i="72" s="1"/>
  <c r="AJ33" i="69" a="1"/>
  <c r="AJ33" i="69" s="1"/>
  <c r="F11" i="72"/>
  <c r="F11" i="69"/>
  <c r="BO84" i="72" a="1"/>
  <c r="BO84" i="72" s="1"/>
  <c r="AO12" i="69" a="1"/>
  <c r="AO12" i="69" s="1"/>
  <c r="AU7" i="72" a="1"/>
  <c r="AU7" i="72" s="1"/>
  <c r="BA32" i="72" a="1"/>
  <c r="BA32" i="72" s="1"/>
  <c r="AU38" i="69" a="1"/>
  <c r="AU38" i="69" s="1"/>
  <c r="K59" i="72" a="1"/>
  <c r="K59" i="72" s="1"/>
  <c r="BB32" i="72" a="1"/>
  <c r="BB32" i="72" s="1"/>
  <c r="AK29" i="69" a="1"/>
  <c r="AK29" i="69" s="1"/>
  <c r="AV32" i="72" a="1"/>
  <c r="AV32" i="72" s="1"/>
  <c r="AP84" i="69" a="1"/>
  <c r="AP84" i="69" s="1"/>
  <c r="AV33" i="69" a="1"/>
  <c r="AV33" i="69" s="1"/>
  <c r="AV39" i="69" a="1"/>
  <c r="AV39" i="69" s="1"/>
  <c r="F48" i="72"/>
  <c r="AQ47" i="72" a="1"/>
  <c r="AQ47" i="72" s="1"/>
  <c r="F53" i="72"/>
  <c r="F53" i="69"/>
  <c r="AL74" i="69" a="1"/>
  <c r="AL74" i="69" s="1"/>
  <c r="AH74" i="69" a="1"/>
  <c r="AH74" i="69" s="1"/>
  <c r="BI29" i="69" a="1"/>
  <c r="BI29" i="69" s="1"/>
  <c r="AL38" i="69" a="1"/>
  <c r="AL38" i="69" s="1"/>
  <c r="BB47" i="72" a="1"/>
  <c r="BB47" i="72" s="1"/>
  <c r="AH14" i="69" a="1"/>
  <c r="AH14" i="69" s="1"/>
  <c r="AW76" i="72" a="1"/>
  <c r="AW76" i="72" s="1"/>
  <c r="AV47" i="72" a="1"/>
  <c r="AV47" i="72" s="1"/>
  <c r="AU45" i="69" a="1"/>
  <c r="AU45" i="69" s="1"/>
  <c r="AJ43" i="69" a="1"/>
  <c r="AJ43" i="69" s="1"/>
  <c r="AP43" i="69" a="1"/>
  <c r="AP43" i="69" s="1"/>
  <c r="AY32" i="72" a="1"/>
  <c r="AY32" i="72" s="1"/>
  <c r="BB33" i="72" a="1"/>
  <c r="BB33" i="72" s="1"/>
  <c r="AM73" i="72" a="1"/>
  <c r="AM73" i="72" s="1"/>
  <c r="AP73" i="72" a="1"/>
  <c r="AP73" i="72" s="1"/>
  <c r="BA47" i="72" a="1"/>
  <c r="BA47" i="72" s="1"/>
  <c r="AP47" i="72" a="1"/>
  <c r="AP47" i="72" s="1"/>
  <c r="AU39" i="69" a="1"/>
  <c r="AU39" i="69" s="1"/>
  <c r="AL43" i="69" a="1"/>
  <c r="AL43" i="69" s="1"/>
  <c r="AQ89" i="72" a="1"/>
  <c r="AQ89" i="72" s="1"/>
  <c r="AU83" i="72" a="1"/>
  <c r="AU83" i="72" s="1"/>
  <c r="AY93" i="72" a="1"/>
  <c r="AY93" i="72" s="1"/>
  <c r="AV14" i="69" a="1"/>
  <c r="AV14" i="69" s="1"/>
  <c r="BR77" i="4"/>
  <c r="AR47" i="72" a="1"/>
  <c r="AR47" i="72" s="1"/>
  <c r="AP38" i="69" a="1"/>
  <c r="AP38" i="69" s="1"/>
  <c r="AJ72" i="69" a="1"/>
  <c r="AJ72" i="69" s="1"/>
  <c r="AU72" i="69" a="1"/>
  <c r="AU72" i="69" s="1"/>
  <c r="BR90" i="4"/>
  <c r="AL14" i="69" a="1"/>
  <c r="AL14" i="69" s="1"/>
  <c r="AS74" i="69" a="1"/>
  <c r="AS74" i="69" s="1"/>
  <c r="AP69" i="69" a="1"/>
  <c r="AP69" i="69" s="1"/>
  <c r="AP74" i="69" a="1"/>
  <c r="AP74" i="69" s="1"/>
  <c r="AQ13" i="69" a="1"/>
  <c r="AQ13" i="69" s="1"/>
  <c r="AF38" i="69" a="1"/>
  <c r="AF38" i="69" s="1"/>
  <c r="AV38" i="69" a="1"/>
  <c r="AV38" i="69" s="1"/>
  <c r="AP63" i="72" a="1"/>
  <c r="AP63" i="72" s="1"/>
  <c r="X69" i="4"/>
  <c r="K93" i="72" a="1"/>
  <c r="K93" i="72" s="1"/>
  <c r="AF83" i="69" a="1"/>
  <c r="AF83" i="69" s="1"/>
  <c r="AU43" i="69" a="1"/>
  <c r="AU43" i="69" s="1"/>
  <c r="AF74" i="69" a="1"/>
  <c r="AF74" i="69" s="1"/>
  <c r="AK69" i="69" a="1"/>
  <c r="AK69" i="69" s="1"/>
  <c r="AY77" i="72" a="1"/>
  <c r="AY77" i="72" s="1"/>
  <c r="BB93" i="72" a="1"/>
  <c r="BB93" i="72" s="1"/>
  <c r="BA15" i="72" a="1"/>
  <c r="BA15" i="72" s="1"/>
  <c r="BA93" i="72" a="1"/>
  <c r="BA93" i="72" s="1"/>
  <c r="AV74" i="69" a="1"/>
  <c r="AV74" i="69" s="1"/>
  <c r="AX44" i="72" a="1"/>
  <c r="AX44" i="72" s="1"/>
  <c r="AS39" i="69" a="1"/>
  <c r="AS39" i="69" s="1"/>
  <c r="K63" i="69" a="1"/>
  <c r="K63" i="69" s="1"/>
  <c r="K76" i="69" a="1"/>
  <c r="K76" i="69" s="1"/>
  <c r="AH39" i="69" a="1"/>
  <c r="AH39" i="69" s="1"/>
  <c r="K73" i="69" a="1"/>
  <c r="K73" i="69" s="1"/>
  <c r="AP39" i="69" a="1"/>
  <c r="AP39" i="69" s="1"/>
  <c r="AD94" i="69"/>
  <c r="AJ39" i="69" a="1"/>
  <c r="AJ39" i="69" s="1"/>
  <c r="AF39" i="69" a="1"/>
  <c r="AF39" i="69" s="1"/>
  <c r="AS45" i="69" a="1"/>
  <c r="AS45" i="69" s="1"/>
  <c r="AY63" i="72" a="1"/>
  <c r="AY63" i="72" s="1"/>
  <c r="AL45" i="69" a="1"/>
  <c r="AL45" i="69" s="1"/>
  <c r="AV25" i="72" a="1"/>
  <c r="AV25" i="72" s="1"/>
  <c r="X68" i="4"/>
  <c r="AU11" i="72" a="1"/>
  <c r="AU11" i="72" s="1"/>
  <c r="AR63" i="72" a="1"/>
  <c r="AR63" i="72" s="1"/>
  <c r="AZ104" i="4"/>
  <c r="Z1752" i="13" s="1"/>
  <c r="AV15" i="72" a="1"/>
  <c r="AV15" i="72" s="1"/>
  <c r="AJ18" i="69" a="1"/>
  <c r="AJ18" i="69" s="1"/>
  <c r="K82" i="69" a="1"/>
  <c r="K82" i="69" s="1"/>
  <c r="AL67" i="69" a="1"/>
  <c r="AL67" i="69" s="1"/>
  <c r="AS81" i="69" a="1"/>
  <c r="AS81" i="69" s="1"/>
  <c r="AQ84" i="72" a="1"/>
  <c r="AQ84" i="72" s="1"/>
  <c r="AJ67" i="69" a="1"/>
  <c r="AJ67" i="69" s="1"/>
  <c r="AM77" i="72" a="1"/>
  <c r="AM77" i="72" s="1"/>
  <c r="BA77" i="72" a="1"/>
  <c r="BA77" i="72" s="1"/>
  <c r="AM63" i="72" a="1"/>
  <c r="AM63" i="72" s="1"/>
  <c r="AV72" i="69" a="1"/>
  <c r="AV72" i="69" s="1"/>
  <c r="AG15" i="72" a="1"/>
  <c r="AG15" i="72" s="1"/>
  <c r="AV63" i="72" a="1"/>
  <c r="AV63" i="72" s="1"/>
  <c r="AF72" i="69" a="1"/>
  <c r="AF72" i="69" s="1"/>
  <c r="AY15" i="72" a="1"/>
  <c r="AY15" i="72" s="1"/>
  <c r="AR11" i="72" a="1"/>
  <c r="AR11" i="72" s="1"/>
  <c r="AF14" i="69" a="1"/>
  <c r="AF14" i="69" s="1"/>
  <c r="AP67" i="69" a="1"/>
  <c r="AP67" i="69" s="1"/>
  <c r="AG73" i="72" a="1"/>
  <c r="AG73" i="72" s="1"/>
  <c r="AS72" i="69" a="1"/>
  <c r="AS72" i="69" s="1"/>
  <c r="AP15" i="72" a="1"/>
  <c r="AP15" i="72" s="1"/>
  <c r="K60" i="72" a="1"/>
  <c r="K60" i="72" s="1"/>
  <c r="AH45" i="69" a="1"/>
  <c r="AH45" i="69" s="1"/>
  <c r="AL72" i="69" a="1"/>
  <c r="AL72" i="69" s="1"/>
  <c r="BB15" i="72" a="1"/>
  <c r="BB15" i="72" s="1"/>
  <c r="K75" i="72" a="1"/>
  <c r="K75" i="72" s="1"/>
  <c r="AY11" i="72" a="1"/>
  <c r="AY11" i="72" s="1"/>
  <c r="AH83" i="69" a="1"/>
  <c r="AH83" i="69" s="1"/>
  <c r="AY18" i="72" a="1"/>
  <c r="AY18" i="72" s="1"/>
  <c r="AP72" i="69" a="1"/>
  <c r="AP72" i="69" s="1"/>
  <c r="AM15" i="72" a="1"/>
  <c r="AM15" i="72" s="1"/>
  <c r="AM71" i="72" a="1"/>
  <c r="AM71" i="72" s="1"/>
  <c r="AM34" i="72" a="1"/>
  <c r="AM34" i="72" s="1"/>
  <c r="AR77" i="72" a="1"/>
  <c r="AR77" i="72" s="1"/>
  <c r="BB7" i="72" a="1"/>
  <c r="BB7" i="72" s="1"/>
  <c r="BA18" i="72" a="1"/>
  <c r="BA18" i="72" s="1"/>
  <c r="AK46" i="69" a="1"/>
  <c r="AK46" i="69" s="1"/>
  <c r="AV11" i="72" a="1"/>
  <c r="AV11" i="72" s="1"/>
  <c r="AJ14" i="69" a="1"/>
  <c r="AJ14" i="69" s="1"/>
  <c r="AL76" i="69" a="1"/>
  <c r="AL76" i="69" s="1"/>
  <c r="AW75" i="72" a="1"/>
  <c r="AW75" i="72" s="1"/>
  <c r="AR24" i="69" a="1"/>
  <c r="AR24" i="69" s="1"/>
  <c r="BB18" i="72" a="1"/>
  <c r="BB18" i="72" s="1"/>
  <c r="AY71" i="72" a="1"/>
  <c r="AY71" i="72" s="1"/>
  <c r="AJ54" i="69" a="1"/>
  <c r="AJ54" i="69" s="1"/>
  <c r="AV80" i="69" a="1"/>
  <c r="AV80" i="69" s="1"/>
  <c r="AU80" i="69" a="1"/>
  <c r="AU80" i="69" s="1"/>
  <c r="AK68" i="69" a="1"/>
  <c r="AK68" i="69" s="1"/>
  <c r="AP97" i="4"/>
  <c r="BC1770" i="13"/>
  <c r="AU67" i="69" a="1"/>
  <c r="AU67" i="69" s="1"/>
  <c r="AQ77" i="72" a="1"/>
  <c r="AQ77" i="72" s="1"/>
  <c r="AR25" i="72" a="1"/>
  <c r="AR25" i="72" s="1"/>
  <c r="AQ80" i="72" a="1"/>
  <c r="AQ80" i="72" s="1"/>
  <c r="BO17" i="72" a="1"/>
  <c r="BO17" i="72" s="1"/>
  <c r="AF67" i="69" a="1"/>
  <c r="AF67" i="69" s="1"/>
  <c r="AS38" i="69" a="1"/>
  <c r="AS38" i="69" s="1"/>
  <c r="AO79" i="69" a="1"/>
  <c r="AO79" i="69" s="1"/>
  <c r="AV77" i="72" a="1"/>
  <c r="AV77" i="72" s="1"/>
  <c r="AV67" i="69" a="1"/>
  <c r="AV67" i="69" s="1"/>
  <c r="AP77" i="72" a="1"/>
  <c r="AP77" i="72" s="1"/>
  <c r="AF80" i="69" a="1"/>
  <c r="AF80" i="69" s="1"/>
  <c r="BA71" i="72" a="1"/>
  <c r="BA71" i="72" s="1"/>
  <c r="BA7" i="72" a="1"/>
  <c r="BA7" i="72" s="1"/>
  <c r="AV76" i="69" a="1"/>
  <c r="AV76" i="69" s="1"/>
  <c r="AR7" i="72" a="1"/>
  <c r="AR7" i="72" s="1"/>
  <c r="AM93" i="72" a="1"/>
  <c r="AM93" i="72" s="1"/>
  <c r="AV43" i="69" a="1"/>
  <c r="AV43" i="69" s="1"/>
  <c r="AR49" i="69" a="1"/>
  <c r="AR49" i="69" s="1"/>
  <c r="AQ29" i="69" a="1"/>
  <c r="AQ29" i="69" s="1"/>
  <c r="AR71" i="72" a="1"/>
  <c r="AR71" i="72" s="1"/>
  <c r="AG77" i="72" a="1"/>
  <c r="AG77" i="72" s="1"/>
  <c r="AH80" i="69" a="1"/>
  <c r="AH80" i="69" s="1"/>
  <c r="AS14" i="69" a="1"/>
  <c r="AS14" i="69" s="1"/>
  <c r="AL29" i="69" a="1"/>
  <c r="AL29" i="69" s="1"/>
  <c r="BI18" i="69" a="1"/>
  <c r="BI18" i="69" s="1"/>
  <c r="AF29" i="69" a="1"/>
  <c r="AF29" i="69" s="1"/>
  <c r="AU17" i="72" a="1"/>
  <c r="AU17" i="72" s="1"/>
  <c r="K56" i="72" a="1"/>
  <c r="K56" i="72" s="1"/>
  <c r="AQ18" i="69" a="1"/>
  <c r="AQ18" i="69" s="1"/>
  <c r="AG33" i="72" a="1"/>
  <c r="AG33" i="72" s="1"/>
  <c r="AP54" i="69" a="1"/>
  <c r="AP54" i="69" s="1"/>
  <c r="AP25" i="72" a="1"/>
  <c r="AP25" i="72" s="1"/>
  <c r="AM33" i="72" a="1"/>
  <c r="AM33" i="72" s="1"/>
  <c r="BA25" i="72" a="1"/>
  <c r="BA25" i="72" s="1"/>
  <c r="BA33" i="72" a="1"/>
  <c r="BA33" i="72" s="1"/>
  <c r="AS76" i="69" a="1"/>
  <c r="AS76" i="69" s="1"/>
  <c r="AM18" i="72" a="1"/>
  <c r="AM18" i="72" s="1"/>
  <c r="AF45" i="69" a="1"/>
  <c r="AF45" i="69" s="1"/>
  <c r="AU76" i="69" a="1"/>
  <c r="AU76" i="69" s="1"/>
  <c r="AV81" i="69" a="1"/>
  <c r="AV81" i="69" s="1"/>
  <c r="AR93" i="72" a="1"/>
  <c r="AR93" i="72" s="1"/>
  <c r="AG90" i="69" a="1"/>
  <c r="AG90" i="69" s="1"/>
  <c r="AH76" i="69" a="1"/>
  <c r="AH76" i="69" s="1"/>
  <c r="AP81" i="69" a="1"/>
  <c r="AP81" i="69" s="1"/>
  <c r="AG93" i="72" a="1"/>
  <c r="AG93" i="72" s="1"/>
  <c r="AS43" i="69" a="1"/>
  <c r="AS43" i="69" s="1"/>
  <c r="AG3" i="1" a="1"/>
  <c r="AG3" i="1" s="1"/>
  <c r="AG101" i="1" s="1"/>
  <c r="AR66" i="69" a="1"/>
  <c r="AR66" i="69" s="1"/>
  <c r="AO54" i="69" a="1"/>
  <c r="AO54" i="69" s="1"/>
  <c r="AS67" i="69" a="1"/>
  <c r="AS67" i="69" s="1"/>
  <c r="AS54" i="69" a="1"/>
  <c r="AS54" i="69" s="1"/>
  <c r="AR18" i="72" a="1"/>
  <c r="AR18" i="72" s="1"/>
  <c r="BA63" i="72" a="1"/>
  <c r="BA63" i="72" s="1"/>
  <c r="AF32" i="69" a="1"/>
  <c r="AF32" i="69" s="1"/>
  <c r="AH43" i="69" a="1"/>
  <c r="AH43" i="69" s="1"/>
  <c r="AI91" i="69" a="1"/>
  <c r="AI91" i="69" s="1"/>
  <c r="K84" i="69" a="1"/>
  <c r="K84" i="69" s="1"/>
  <c r="AK18" i="69" a="1"/>
  <c r="AK18" i="69" s="1"/>
  <c r="AP71" i="72" a="1"/>
  <c r="AP71" i="72" s="1"/>
  <c r="AP83" i="69" a="1"/>
  <c r="AP83" i="69" s="1"/>
  <c r="AJ83" i="69" a="1"/>
  <c r="AJ83" i="69" s="1"/>
  <c r="AP18" i="69" a="1"/>
  <c r="AP18" i="69" s="1"/>
  <c r="AP76" i="69" a="1"/>
  <c r="AP76" i="69" s="1"/>
  <c r="AV71" i="72" a="1"/>
  <c r="AV71" i="72" s="1"/>
  <c r="BI83" i="69" a="1"/>
  <c r="BI83" i="69" s="1"/>
  <c r="AH18" i="69" a="1"/>
  <c r="AH18" i="69" s="1"/>
  <c r="AM7" i="72" a="1"/>
  <c r="AM7" i="72" s="1"/>
  <c r="AH29" i="69" a="1"/>
  <c r="AH29" i="69" s="1"/>
  <c r="BA34" i="72" a="1"/>
  <c r="BA34" i="72" s="1"/>
  <c r="AL18" i="69" a="1"/>
  <c r="AL18" i="69" s="1"/>
  <c r="AG25" i="72" a="1"/>
  <c r="AG25" i="72" s="1"/>
  <c r="AY33" i="72" a="1"/>
  <c r="AY33" i="72" s="1"/>
  <c r="AU81" i="69" a="1"/>
  <c r="AU81" i="69" s="1"/>
  <c r="AR33" i="72" a="1"/>
  <c r="AR33" i="72" s="1"/>
  <c r="AP45" i="69" a="1"/>
  <c r="AP45" i="69" s="1"/>
  <c r="BD60" i="69"/>
  <c r="AF76" i="69" a="1"/>
  <c r="AF76" i="69" s="1"/>
  <c r="AY25" i="72" a="1"/>
  <c r="AY25" i="72" s="1"/>
  <c r="BO33" i="72" a="1"/>
  <c r="BO33" i="72" s="1"/>
  <c r="AW38" i="72" a="1"/>
  <c r="AW38" i="72" s="1"/>
  <c r="AV1484" i="13"/>
  <c r="AV18" i="69" a="1"/>
  <c r="AV18" i="69" s="1"/>
  <c r="AM25" i="72" a="1"/>
  <c r="AM25" i="72" s="1"/>
  <c r="AV29" i="69" a="1"/>
  <c r="AV29" i="69" s="1"/>
  <c r="AS32" i="69" a="1"/>
  <c r="AS32" i="69" s="1"/>
  <c r="AF54" i="69" a="1"/>
  <c r="AF54" i="69" s="1"/>
  <c r="K83" i="69" a="1"/>
  <c r="K83" i="69" s="1"/>
  <c r="AP77" i="69" a="1"/>
  <c r="AP77" i="69" s="1"/>
  <c r="AH54" i="69" a="1"/>
  <c r="AH54" i="69" s="1"/>
  <c r="AS18" i="69" a="1"/>
  <c r="AS18" i="69" s="1"/>
  <c r="AJ29" i="69" a="1"/>
  <c r="AJ29" i="69" s="1"/>
  <c r="AG18" i="72" a="1"/>
  <c r="AG18" i="72" s="1"/>
  <c r="AV33" i="72" a="1"/>
  <c r="AV33" i="72" s="1"/>
  <c r="AP93" i="72" a="1"/>
  <c r="AP93" i="72" s="1"/>
  <c r="AV73" i="72" a="1"/>
  <c r="AV73" i="72" s="1"/>
  <c r="AV1482" i="13"/>
  <c r="AP36" i="69" a="1"/>
  <c r="AP36" i="69" s="1"/>
  <c r="AI82" i="69" a="1"/>
  <c r="AI82" i="69" s="1"/>
  <c r="K58" i="72" a="1"/>
  <c r="K58" i="72" s="1"/>
  <c r="BF23" i="69"/>
  <c r="AH32" i="69" a="1"/>
  <c r="AH32" i="69" s="1"/>
  <c r="K76" i="72" a="1"/>
  <c r="K76" i="72" s="1"/>
  <c r="O23" i="69"/>
  <c r="AQ68" i="69" a="1"/>
  <c r="AQ68" i="69" s="1"/>
  <c r="AL32" i="69" a="1"/>
  <c r="AL32" i="69" s="1"/>
  <c r="BB71" i="72" a="1"/>
  <c r="BB71" i="72" s="1"/>
  <c r="X65" i="4"/>
  <c r="BR65" i="4"/>
  <c r="AO63" i="69" a="1"/>
  <c r="AO63" i="69" s="1"/>
  <c r="BB11" i="72" a="1"/>
  <c r="BB11" i="72" s="1"/>
  <c r="AJ80" i="69" a="1"/>
  <c r="AJ80" i="69" s="1"/>
  <c r="AV77" i="69" a="1"/>
  <c r="AV77" i="69" s="1"/>
  <c r="AL54" i="69" a="1"/>
  <c r="AL54" i="69" s="1"/>
  <c r="BA11" i="72" a="1"/>
  <c r="BA11" i="72" s="1"/>
  <c r="AP80" i="69" a="1"/>
  <c r="AP80" i="69" s="1"/>
  <c r="AL80" i="69" a="1"/>
  <c r="AL80" i="69" s="1"/>
  <c r="AU83" i="69" a="1"/>
  <c r="AU83" i="69" s="1"/>
  <c r="AH81" i="69" a="1"/>
  <c r="AH81" i="69" s="1"/>
  <c r="AF18" i="69" a="1"/>
  <c r="AF18" i="69" s="1"/>
  <c r="AU29" i="69" a="1"/>
  <c r="AU29" i="69" s="1"/>
  <c r="BI60" i="72"/>
  <c r="AF36" i="69" a="1"/>
  <c r="AF36" i="69" s="1"/>
  <c r="AK6" i="69" a="1"/>
  <c r="AK6" i="69" s="1"/>
  <c r="BO80" i="72" a="1"/>
  <c r="BO80" i="72" s="1"/>
  <c r="AR75" i="69" a="1"/>
  <c r="AR75" i="69" s="1"/>
  <c r="AJ77" i="69" a="1"/>
  <c r="AJ77" i="69" s="1"/>
  <c r="AV7" i="72" a="1"/>
  <c r="AV7" i="72" s="1"/>
  <c r="AP29" i="69" a="1"/>
  <c r="AP29" i="69" s="1"/>
  <c r="AP32" i="69" a="1"/>
  <c r="AP32" i="69" s="1"/>
  <c r="AH77" i="69" a="1"/>
  <c r="AH77" i="69" s="1"/>
  <c r="AY34" i="72" a="1"/>
  <c r="AY34" i="72" s="1"/>
  <c r="AY7" i="72" a="1"/>
  <c r="AY7" i="72" s="1"/>
  <c r="AO29" i="69" a="1"/>
  <c r="AO29" i="69" s="1"/>
  <c r="AV32" i="69" a="1"/>
  <c r="AV32" i="69" s="1"/>
  <c r="AL77" i="69" a="1"/>
  <c r="AL77" i="69" s="1"/>
  <c r="AV34" i="72" a="1"/>
  <c r="AV34" i="72" s="1"/>
  <c r="AS83" i="69" a="1"/>
  <c r="AS83" i="69" s="1"/>
  <c r="AR34" i="72" a="1"/>
  <c r="AR34" i="72" s="1"/>
  <c r="AV83" i="69" a="1"/>
  <c r="AV83" i="69" s="1"/>
  <c r="AV1463" i="13"/>
  <c r="AU36" i="69" a="1"/>
  <c r="AU36" i="69" s="1"/>
  <c r="AY73" i="72" a="1"/>
  <c r="AY73" i="72" s="1"/>
  <c r="AU88" i="72" a="1"/>
  <c r="AU88" i="72" s="1"/>
  <c r="AD14" i="69"/>
  <c r="H422" i="15" a="1"/>
  <c r="H422" i="15" s="1"/>
  <c r="K61" i="69" a="1"/>
  <c r="K61" i="69" s="1"/>
  <c r="K94" i="72" a="1"/>
  <c r="K94" i="72" s="1"/>
  <c r="AW17" i="72" a="1"/>
  <c r="AW17" i="72" s="1"/>
  <c r="AH36" i="69" a="1"/>
  <c r="AH36" i="69" s="1"/>
  <c r="BI23" i="72"/>
  <c r="AO36" i="69" a="1"/>
  <c r="AO36" i="69" s="1"/>
  <c r="BB73" i="72" a="1"/>
  <c r="BB73" i="72" s="1"/>
  <c r="BA73" i="72" a="1"/>
  <c r="BA73" i="72" s="1"/>
  <c r="X92" i="4"/>
  <c r="BC60" i="69"/>
  <c r="AO11" i="69" a="1"/>
  <c r="AO11" i="69" s="1"/>
  <c r="AR82" i="69" a="1"/>
  <c r="AR82" i="69" s="1"/>
  <c r="AU54" i="69" a="1"/>
  <c r="AU54" i="69" s="1"/>
  <c r="AS36" i="69" a="1"/>
  <c r="AS36" i="69" s="1"/>
  <c r="AM11" i="72" a="1"/>
  <c r="AM11" i="72" s="1"/>
  <c r="AV36" i="69" a="1"/>
  <c r="AV36" i="69" s="1"/>
  <c r="AU77" i="69" a="1"/>
  <c r="AU77" i="69" s="1"/>
  <c r="AR37" i="69" a="1"/>
  <c r="AR37" i="69" s="1"/>
  <c r="BS108" i="4"/>
  <c r="AR90" i="69" a="1"/>
  <c r="AR90" i="69" s="1"/>
  <c r="BR66" i="4"/>
  <c r="AE66" i="72" s="1"/>
  <c r="AQ25" i="69" a="1"/>
  <c r="AQ25" i="69" s="1"/>
  <c r="BO36" i="72" a="1"/>
  <c r="BO36" i="72" s="1"/>
  <c r="AN23" i="72"/>
  <c r="AS77" i="69" a="1"/>
  <c r="AS77" i="69" s="1"/>
  <c r="AF81" i="69" a="1"/>
  <c r="AF81" i="69" s="1"/>
  <c r="AG7" i="72" a="1"/>
  <c r="AG7" i="72" s="1"/>
  <c r="AG63" i="72" a="1"/>
  <c r="AG63" i="72" s="1"/>
  <c r="BT60" i="72"/>
  <c r="K95" i="72" a="1"/>
  <c r="K95" i="72" s="1"/>
  <c r="AL81" i="69" a="1"/>
  <c r="AL81" i="69" s="1"/>
  <c r="AU32" i="69" a="1"/>
  <c r="AU32" i="69" s="1"/>
  <c r="AE60" i="69" a="1"/>
  <c r="AE60" i="69" s="1"/>
  <c r="AS60" i="69" s="1" a="1"/>
  <c r="AS60" i="69" s="1"/>
  <c r="AR6" i="69" a="1"/>
  <c r="AR6" i="69" s="1"/>
  <c r="AX16" i="72" a="1"/>
  <c r="AX16" i="72" s="1"/>
  <c r="AW86" i="72" a="1"/>
  <c r="AW86" i="72" s="1"/>
  <c r="AI60" i="72"/>
  <c r="BI63" i="69" a="1"/>
  <c r="BI63" i="69" s="1"/>
  <c r="AV69" i="72" a="1"/>
  <c r="AV69" i="72" s="1"/>
  <c r="BT23" i="72"/>
  <c r="U3" i="1" a="1"/>
  <c r="U3" i="1" s="1"/>
  <c r="U101" i="1" s="1"/>
  <c r="X88" i="4"/>
  <c r="AE23" i="69" a="1"/>
  <c r="AE23" i="69" s="1"/>
  <c r="AS23" i="69" s="1" a="1"/>
  <c r="AS23" i="69" s="1"/>
  <c r="AW19" i="72" a="1"/>
  <c r="AW19" i="72" s="1"/>
  <c r="BA69" i="72" a="1"/>
  <c r="BA69" i="72" s="1"/>
  <c r="AU5" i="72" a="1"/>
  <c r="AU5" i="72" s="1"/>
  <c r="K56" i="69" a="1"/>
  <c r="K56" i="69" s="1"/>
  <c r="AR51" i="69" a="1"/>
  <c r="AR51" i="69" s="1"/>
  <c r="AM69" i="72" a="1"/>
  <c r="AM69" i="72" s="1"/>
  <c r="AG62" i="69" a="1"/>
  <c r="AG62" i="69" s="1"/>
  <c r="AX5" i="72" a="1"/>
  <c r="AX5" i="72" s="1"/>
  <c r="BO16" i="72" a="1"/>
  <c r="BO16" i="72" s="1"/>
  <c r="AQ5" i="72" a="1"/>
  <c r="AQ5" i="72" s="1"/>
  <c r="AG49" i="72" a="1"/>
  <c r="AG49" i="72" s="1"/>
  <c r="AW68" i="72" a="1"/>
  <c r="AW68" i="72" s="1"/>
  <c r="L60" i="69"/>
  <c r="K87" i="72" a="1"/>
  <c r="K87" i="72" s="1"/>
  <c r="BL60" i="69" a="1"/>
  <c r="BL60" i="69" s="1"/>
  <c r="BI6" i="69" a="1"/>
  <c r="BI6" i="69" s="1"/>
  <c r="BS104" i="4"/>
  <c r="Z1746" i="13" s="1"/>
  <c r="AB1746" i="13" s="1"/>
  <c r="AV1452" i="13"/>
  <c r="AG35" i="69" a="1"/>
  <c r="AG35" i="69" s="1"/>
  <c r="AY69" i="72" a="1"/>
  <c r="AY69" i="72" s="1"/>
  <c r="AR16" i="69" a="1"/>
  <c r="AR16" i="69" s="1"/>
  <c r="AT60" i="69" a="1"/>
  <c r="AT60" i="69" s="1"/>
  <c r="AR69" i="72" a="1"/>
  <c r="AR69" i="72" s="1"/>
  <c r="AX37" i="72" a="1"/>
  <c r="AX37" i="72" s="1"/>
  <c r="K93" i="69" a="1"/>
  <c r="K93" i="69" s="1"/>
  <c r="AG69" i="72" a="1"/>
  <c r="AG69" i="72" s="1"/>
  <c r="AG21" i="69" a="1"/>
  <c r="AG21" i="69" s="1"/>
  <c r="BN60" i="69"/>
  <c r="BE1770" i="13"/>
  <c r="AD64" i="69"/>
  <c r="BF64" i="69"/>
  <c r="BL64" i="72"/>
  <c r="O64" i="69"/>
  <c r="O64" i="72"/>
  <c r="AE64" i="72"/>
  <c r="AV1726" i="13"/>
  <c r="AB1726" i="13"/>
  <c r="Z1681" i="13"/>
  <c r="S89" i="4"/>
  <c r="T89" i="4"/>
  <c r="AT91" i="4" a="1"/>
  <c r="AT91" i="4" s="1"/>
  <c r="AU91" i="4"/>
  <c r="Y91" i="4"/>
  <c r="AV91" i="4" a="1"/>
  <c r="AV91" i="4" s="1"/>
  <c r="BQ91" i="4"/>
  <c r="CA91" i="4"/>
  <c r="S24" i="4"/>
  <c r="Z1616" i="13"/>
  <c r="T24" i="4"/>
  <c r="BF91" i="69"/>
  <c r="O91" i="72"/>
  <c r="BL91" i="72"/>
  <c r="O91" i="69"/>
  <c r="A1675" i="13"/>
  <c r="AX1675" i="13" s="1"/>
  <c r="AV1576" i="13"/>
  <c r="AV1675" i="13" s="1"/>
  <c r="AX1576" i="13"/>
  <c r="AM5" i="72" a="1"/>
  <c r="AM5" i="72" s="1"/>
  <c r="AR5" i="72" a="1"/>
  <c r="AR5" i="72" s="1"/>
  <c r="BB5" i="72" a="1"/>
  <c r="BB5" i="72" s="1"/>
  <c r="AW5" i="72" a="1"/>
  <c r="AW5" i="72" s="1"/>
  <c r="AV5" i="72" a="1"/>
  <c r="AV5" i="72" s="1"/>
  <c r="BA5" i="72" a="1"/>
  <c r="BA5" i="72" s="1"/>
  <c r="AH5" i="72" a="1"/>
  <c r="AH5" i="72" s="1"/>
  <c r="AY5" i="72" a="1"/>
  <c r="AY5" i="72" s="1"/>
  <c r="O58" i="72"/>
  <c r="BL58" i="72"/>
  <c r="BF58" i="69"/>
  <c r="O58" i="69"/>
  <c r="AP16" i="72" a="1"/>
  <c r="AP16" i="72" s="1"/>
  <c r="AP5" i="72" a="1"/>
  <c r="AP5" i="72" s="1"/>
  <c r="H49" i="72"/>
  <c r="H49" i="69"/>
  <c r="BM93" i="4"/>
  <c r="BE93" i="4" s="1" a="1"/>
  <c r="BE93" i="4" s="1"/>
  <c r="AD93" i="69"/>
  <c r="AE93" i="72"/>
  <c r="BD93" i="69"/>
  <c r="BJ93" i="72"/>
  <c r="Y81" i="4"/>
  <c r="AT81" i="4" a="1"/>
  <c r="AT81" i="4" s="1"/>
  <c r="AV81" i="4" a="1"/>
  <c r="AV81" i="4" s="1"/>
  <c r="AU81" i="4"/>
  <c r="BQ81" i="4"/>
  <c r="CA81" i="4"/>
  <c r="AX1582" i="13"/>
  <c r="A1681" i="13"/>
  <c r="AX1681" i="13" s="1"/>
  <c r="AV1582" i="13"/>
  <c r="AV1681" i="13" s="1"/>
  <c r="AL73" i="69" a="1"/>
  <c r="AL73" i="69" s="1"/>
  <c r="AF73" i="69" a="1"/>
  <c r="AF73" i="69" s="1"/>
  <c r="AJ73" i="69" a="1"/>
  <c r="AJ73" i="69" s="1"/>
  <c r="AV73" i="69" a="1"/>
  <c r="AV73" i="69" s="1"/>
  <c r="AU73" i="69" a="1"/>
  <c r="AU73" i="69" s="1"/>
  <c r="AP73" i="69" a="1"/>
  <c r="AP73" i="69" s="1"/>
  <c r="AH73" i="69" a="1"/>
  <c r="AH73" i="69" s="1"/>
  <c r="AG73" i="69" a="1"/>
  <c r="AG73" i="69" s="1"/>
  <c r="AR73" i="69" a="1"/>
  <c r="AR73" i="69" s="1"/>
  <c r="AS73" i="69" a="1"/>
  <c r="AS73" i="69" s="1"/>
  <c r="AE76" i="72"/>
  <c r="O76" i="69"/>
  <c r="O76" i="72"/>
  <c r="BL76" i="72"/>
  <c r="BF76" i="69"/>
  <c r="F55" i="72"/>
  <c r="CA55" i="4"/>
  <c r="AV55" i="4" a="1"/>
  <c r="AV55" i="4" s="1"/>
  <c r="C55" i="72" s="1"/>
  <c r="Y55" i="4"/>
  <c r="AU55" i="4"/>
  <c r="AT55" i="4" a="1"/>
  <c r="AT55" i="4" s="1"/>
  <c r="H55" i="72" s="1"/>
  <c r="BQ55" i="4"/>
  <c r="O96" i="72"/>
  <c r="O96" i="69"/>
  <c r="BF96" i="69"/>
  <c r="BL96" i="72"/>
  <c r="BM88" i="4"/>
  <c r="BE88" i="4" s="1" a="1"/>
  <c r="BE88" i="4" s="1"/>
  <c r="AD88" i="69"/>
  <c r="BD88" i="69"/>
  <c r="AE88" i="72"/>
  <c r="BJ88" i="72"/>
  <c r="AR81" i="4"/>
  <c r="AQ81" i="4"/>
  <c r="AR52" i="69" a="1"/>
  <c r="AR52" i="69" s="1"/>
  <c r="AV1418" i="13"/>
  <c r="Z1522" i="13"/>
  <c r="AX1418" i="13"/>
  <c r="A1517" i="13"/>
  <c r="Z1636" i="13"/>
  <c r="S44" i="4"/>
  <c r="T44" i="4"/>
  <c r="AR25" i="4"/>
  <c r="AQ25" i="4"/>
  <c r="AW31" i="72" a="1"/>
  <c r="AW31" i="72" s="1"/>
  <c r="X64" i="4"/>
  <c r="A1680" i="13"/>
  <c r="AX1680" i="13" s="1"/>
  <c r="AV1581" i="13"/>
  <c r="AV1680" i="13" s="1"/>
  <c r="AX1581" i="13"/>
  <c r="AV1527" i="13"/>
  <c r="AV1626" i="13" s="1"/>
  <c r="A1626" i="13"/>
  <c r="AX1626" i="13" s="1"/>
  <c r="AX1527" i="13"/>
  <c r="G110" i="15"/>
  <c r="BO81" i="72" a="1"/>
  <c r="BO81" i="72" s="1"/>
  <c r="AG93" i="69" a="1"/>
  <c r="AG93" i="69" s="1"/>
  <c r="L60" i="72"/>
  <c r="AN60" i="72"/>
  <c r="A1661" i="13"/>
  <c r="AX1661" i="13" s="1"/>
  <c r="AX1562" i="13"/>
  <c r="AV1562" i="13"/>
  <c r="AV1661" i="13" s="1"/>
  <c r="A1636" i="13"/>
  <c r="AX1636" i="13" s="1"/>
  <c r="AX1537" i="13"/>
  <c r="AV1537" i="13"/>
  <c r="AV1636" i="13" s="1"/>
  <c r="X98" i="69"/>
  <c r="S96" i="4"/>
  <c r="Z1688" i="13"/>
  <c r="T96" i="4"/>
  <c r="BM66" i="4"/>
  <c r="BE66" i="4" s="1" a="1"/>
  <c r="BE66" i="4" s="1"/>
  <c r="BJ66" i="72"/>
  <c r="BD66" i="69"/>
  <c r="C23" i="72"/>
  <c r="D23" i="72" s="1" a="1"/>
  <c r="D23" i="72" s="1"/>
  <c r="AX1565" i="13"/>
  <c r="A1664" i="13"/>
  <c r="AX1664" i="13" s="1"/>
  <c r="AV1565" i="13"/>
  <c r="AV1664" i="13" s="1"/>
  <c r="BR85" i="4"/>
  <c r="AV62" i="4" a="1"/>
  <c r="AV62" i="4" s="1"/>
  <c r="Y62" i="4"/>
  <c r="AT62" i="4" a="1"/>
  <c r="AT62" i="4" s="1"/>
  <c r="AU62" i="4"/>
  <c r="BQ62" i="4"/>
  <c r="CY62" i="4"/>
  <c r="CZ62" i="4" s="1"/>
  <c r="CA62" i="4"/>
  <c r="AU39" i="72" a="1"/>
  <c r="AU39" i="72" s="1"/>
  <c r="AU41" i="72" a="1"/>
  <c r="AU41" i="72" s="1"/>
  <c r="BN23" i="69"/>
  <c r="BJ23" i="69"/>
  <c r="BM23" i="69" s="1"/>
  <c r="BA23" i="69"/>
  <c r="AZ23" i="69"/>
  <c r="AR65" i="69" a="1"/>
  <c r="AR65" i="69" s="1"/>
  <c r="A1674" i="13"/>
  <c r="AX1674" i="13" s="1"/>
  <c r="AV1575" i="13"/>
  <c r="AV1674" i="13" s="1"/>
  <c r="AX1575" i="13"/>
  <c r="AS78" i="69" a="1"/>
  <c r="AS78" i="69" s="1"/>
  <c r="AP78" i="69" a="1"/>
  <c r="AP78" i="69" s="1"/>
  <c r="AV78" i="69" a="1"/>
  <c r="AV78" i="69" s="1"/>
  <c r="AF78" i="69" a="1"/>
  <c r="AF78" i="69" s="1"/>
  <c r="AJ78" i="69" a="1"/>
  <c r="AJ78" i="69" s="1"/>
  <c r="AH78" i="69" a="1"/>
  <c r="AH78" i="69" s="1"/>
  <c r="AU78" i="69" a="1"/>
  <c r="AU78" i="69" s="1"/>
  <c r="AL78" i="69" a="1"/>
  <c r="AL78" i="69" s="1"/>
  <c r="AR78" i="69" a="1"/>
  <c r="AR78" i="69" s="1"/>
  <c r="AI78" i="69" a="1"/>
  <c r="AI78" i="69" s="1"/>
  <c r="AG70" i="69" a="1"/>
  <c r="AG70" i="69" s="1"/>
  <c r="Z1619" i="13"/>
  <c r="S27" i="4"/>
  <c r="T27" i="4"/>
  <c r="I270" i="15" a="1"/>
  <c r="I270" i="15" s="1"/>
  <c r="AX1545" i="13"/>
  <c r="AV1545" i="13"/>
  <c r="AV1644" i="13" s="1"/>
  <c r="A1644" i="13"/>
  <c r="AX1644" i="13" s="1"/>
  <c r="AV1564" i="13"/>
  <c r="AV1663" i="13" s="1"/>
  <c r="AX1564" i="13"/>
  <c r="A1663" i="13"/>
  <c r="AX1663" i="13" s="1"/>
  <c r="AV74" i="4" a="1"/>
  <c r="AV74" i="4" s="1"/>
  <c r="Y74" i="4"/>
  <c r="AU74" i="4"/>
  <c r="AT74" i="4" a="1"/>
  <c r="AT74" i="4" s="1"/>
  <c r="CA74" i="4"/>
  <c r="BQ74" i="4"/>
  <c r="AU81" i="72" a="1"/>
  <c r="AU81" i="72" s="1"/>
  <c r="BM58" i="4"/>
  <c r="BE58" i="4" s="1" a="1"/>
  <c r="BE58" i="4" s="1"/>
  <c r="BJ58" i="72"/>
  <c r="BD58" i="69"/>
  <c r="AE58" i="72"/>
  <c r="AD58" i="69"/>
  <c r="AI25" i="69" a="1"/>
  <c r="AI25" i="69" s="1"/>
  <c r="AL13" i="69" a="1"/>
  <c r="AL13" i="69" s="1"/>
  <c r="AV13" i="69" a="1"/>
  <c r="AV13" i="69" s="1"/>
  <c r="AH13" i="69" a="1"/>
  <c r="AH13" i="69" s="1"/>
  <c r="AU13" i="69" a="1"/>
  <c r="AU13" i="69" s="1"/>
  <c r="AF13" i="69" a="1"/>
  <c r="AF13" i="69" s="1"/>
  <c r="AJ13" i="69" a="1"/>
  <c r="AJ13" i="69" s="1"/>
  <c r="AP13" i="69" a="1"/>
  <c r="AP13" i="69" s="1"/>
  <c r="AR13" i="69" a="1"/>
  <c r="AR13" i="69" s="1"/>
  <c r="AG13" i="69" a="1"/>
  <c r="AG13" i="69" s="1"/>
  <c r="AS13" i="69" a="1"/>
  <c r="AS13" i="69" s="1"/>
  <c r="AT87" i="4" a="1"/>
  <c r="AT87" i="4" s="1"/>
  <c r="AV87" i="4" a="1"/>
  <c r="AV87" i="4" s="1"/>
  <c r="Y87" i="4"/>
  <c r="AU87" i="4"/>
  <c r="BQ87" i="4"/>
  <c r="CA87" i="4"/>
  <c r="K89" i="72" a="1"/>
  <c r="K89" i="72" s="1"/>
  <c r="I540" i="15" a="1"/>
  <c r="I540" i="15" s="1"/>
  <c r="Z1655" i="13"/>
  <c r="S63" i="4"/>
  <c r="T63" i="4"/>
  <c r="AV1508" i="13"/>
  <c r="AV1607" i="13" s="1"/>
  <c r="A1607" i="13"/>
  <c r="AX1607" i="13" s="1"/>
  <c r="AX1508" i="13"/>
  <c r="AU90" i="72" a="1"/>
  <c r="AU90" i="72" s="1"/>
  <c r="AH54" i="72" a="1"/>
  <c r="AH54" i="72" s="1"/>
  <c r="AQ76" i="69" a="1"/>
  <c r="AQ76" i="69" s="1"/>
  <c r="AR83" i="69" a="1"/>
  <c r="AR83" i="69" s="1"/>
  <c r="AI54" i="69" a="1"/>
  <c r="AI54" i="69" s="1"/>
  <c r="AG87" i="69" a="1"/>
  <c r="AG87" i="69" s="1"/>
  <c r="AW25" i="72" a="1"/>
  <c r="AW25" i="72" s="1"/>
  <c r="AG29" i="69" a="1"/>
  <c r="AG29" i="69" s="1"/>
  <c r="AX11" i="72" a="1"/>
  <c r="AX11" i="72" s="1"/>
  <c r="AH18" i="72" a="1"/>
  <c r="AH18" i="72" s="1"/>
  <c r="AW63" i="72" a="1"/>
  <c r="AW63" i="72" s="1"/>
  <c r="AX93" i="72" a="1"/>
  <c r="AX93" i="72" s="1"/>
  <c r="AD7" i="69"/>
  <c r="G131" i="15"/>
  <c r="AR8" i="69" a="1"/>
  <c r="AR8" i="69" s="1"/>
  <c r="AI22" i="69" a="1"/>
  <c r="AI22" i="69" s="1"/>
  <c r="A1610" i="13"/>
  <c r="AX1610" i="13" s="1"/>
  <c r="AX1511" i="13"/>
  <c r="AV1511" i="13"/>
  <c r="AV1610" i="13" s="1"/>
  <c r="C49" i="72"/>
  <c r="D49" i="72" s="1" a="1"/>
  <c r="D49" i="72" s="1"/>
  <c r="C49" i="69"/>
  <c r="D49" i="69" s="1" a="1"/>
  <c r="D49" i="69" s="1"/>
  <c r="AV1561" i="13"/>
  <c r="AV1660" i="13" s="1"/>
  <c r="A1660" i="13"/>
  <c r="AX1660" i="13" s="1"/>
  <c r="AX1561" i="13"/>
  <c r="I425" i="15" a="1"/>
  <c r="I425" i="15" s="1"/>
  <c r="AR57" i="69" a="1"/>
  <c r="AR57" i="69" s="1"/>
  <c r="AJ57" i="69" a="1"/>
  <c r="AJ57" i="69" s="1"/>
  <c r="AL57" i="69" a="1"/>
  <c r="AL57" i="69" s="1"/>
  <c r="AU57" i="69" a="1"/>
  <c r="AU57" i="69" s="1"/>
  <c r="AH57" i="69" a="1"/>
  <c r="AH57" i="69" s="1"/>
  <c r="AF57" i="69" a="1"/>
  <c r="AF57" i="69" s="1"/>
  <c r="AP57" i="69" a="1"/>
  <c r="AP57" i="69" s="1"/>
  <c r="AV57" i="69" a="1"/>
  <c r="AV57" i="69" s="1"/>
  <c r="AG57" i="69" a="1"/>
  <c r="AG57" i="69" s="1"/>
  <c r="AS57" i="69" a="1"/>
  <c r="AS57" i="69" s="1"/>
  <c r="AG56" i="69" a="1"/>
  <c r="AG56" i="69" s="1"/>
  <c r="AV56" i="69" a="1"/>
  <c r="AV56" i="69" s="1"/>
  <c r="AP56" i="69" a="1"/>
  <c r="AP56" i="69" s="1"/>
  <c r="AU56" i="69" a="1"/>
  <c r="AU56" i="69" s="1"/>
  <c r="AF56" i="69" a="1"/>
  <c r="AF56" i="69" s="1"/>
  <c r="AL56" i="69" a="1"/>
  <c r="AL56" i="69" s="1"/>
  <c r="AH56" i="69" a="1"/>
  <c r="AH56" i="69" s="1"/>
  <c r="AR56" i="69" a="1"/>
  <c r="AR56" i="69" s="1"/>
  <c r="AS56" i="69" a="1"/>
  <c r="AS56" i="69" s="1"/>
  <c r="AP11" i="69" a="1"/>
  <c r="AP11" i="69" s="1"/>
  <c r="AU11" i="69" a="1"/>
  <c r="AU11" i="69" s="1"/>
  <c r="AV11" i="69" a="1"/>
  <c r="AV11" i="69" s="1"/>
  <c r="AH11" i="69" a="1"/>
  <c r="AH11" i="69" s="1"/>
  <c r="AF11" i="69" a="1"/>
  <c r="AF11" i="69" s="1"/>
  <c r="AQ11" i="69" a="1"/>
  <c r="AQ11" i="69" s="1"/>
  <c r="AL11" i="69" a="1"/>
  <c r="AL11" i="69" s="1"/>
  <c r="AG11" i="69" a="1"/>
  <c r="AG11" i="69" s="1"/>
  <c r="AS11" i="69" a="1"/>
  <c r="AS11" i="69" s="1"/>
  <c r="AQ95" i="4"/>
  <c r="AR95" i="4"/>
  <c r="T95" i="4"/>
  <c r="S95" i="4"/>
  <c r="Z1687" i="13"/>
  <c r="F55" i="69"/>
  <c r="A1666" i="13"/>
  <c r="AX1666" i="13" s="1"/>
  <c r="AX1567" i="13"/>
  <c r="AV1567" i="13"/>
  <c r="AV1666" i="13" s="1"/>
  <c r="Z1615" i="13"/>
  <c r="S23" i="4"/>
  <c r="T23" i="4"/>
  <c r="AH21" i="69" a="1"/>
  <c r="AH21" i="69" s="1"/>
  <c r="AP21" i="69" a="1"/>
  <c r="AP21" i="69" s="1"/>
  <c r="AU21" i="69" a="1"/>
  <c r="AU21" i="69" s="1"/>
  <c r="AV21" i="69" a="1"/>
  <c r="AV21" i="69" s="1"/>
  <c r="AF21" i="69" a="1"/>
  <c r="AF21" i="69" s="1"/>
  <c r="AI21" i="69" a="1"/>
  <c r="AI21" i="69" s="1"/>
  <c r="AL21" i="69" a="1"/>
  <c r="AL21" i="69" s="1"/>
  <c r="AQ21" i="69" a="1"/>
  <c r="AQ21" i="69" s="1"/>
  <c r="AS21" i="69" a="1"/>
  <c r="AS21" i="69" s="1"/>
  <c r="AQ5" i="69" a="1"/>
  <c r="AQ5" i="69" s="1"/>
  <c r="AQ64" i="72" a="1"/>
  <c r="AQ64" i="72" s="1"/>
  <c r="AV64" i="72" a="1"/>
  <c r="AV64" i="72" s="1"/>
  <c r="BA64" i="72" a="1"/>
  <c r="BA64" i="72" s="1"/>
  <c r="BB64" i="72" a="1"/>
  <c r="BB64" i="72" s="1"/>
  <c r="AM64" i="72" a="1"/>
  <c r="AM64" i="72" s="1"/>
  <c r="AR64" i="72" a="1"/>
  <c r="AR64" i="72" s="1"/>
  <c r="AP64" i="72" a="1"/>
  <c r="AP64" i="72" s="1"/>
  <c r="AG64" i="72" a="1"/>
  <c r="AG64" i="72" s="1"/>
  <c r="AX64" i="72" a="1"/>
  <c r="AX64" i="72" s="1"/>
  <c r="AH64" i="72" a="1"/>
  <c r="AH64" i="72" s="1"/>
  <c r="AW64" i="72" a="1"/>
  <c r="AW64" i="72" s="1"/>
  <c r="AY64" i="72" a="1"/>
  <c r="AY64" i="72" s="1"/>
  <c r="AH41" i="72" a="1"/>
  <c r="AH41" i="72" s="1"/>
  <c r="AQ57" i="69" a="1"/>
  <c r="AQ57" i="69" s="1"/>
  <c r="AQ19" i="69" a="1"/>
  <c r="AQ19" i="69" s="1"/>
  <c r="AG75" i="69" a="1"/>
  <c r="AG75" i="69" s="1"/>
  <c r="AX1533" i="13"/>
  <c r="A1632" i="13"/>
  <c r="AX1632" i="13" s="1"/>
  <c r="AV1533" i="13"/>
  <c r="AV1632" i="13" s="1"/>
  <c r="AT84" i="4" a="1"/>
  <c r="AT84" i="4" s="1"/>
  <c r="AV84" i="4" a="1"/>
  <c r="AV84" i="4" s="1"/>
  <c r="AU84" i="4"/>
  <c r="Y84" i="4"/>
  <c r="BQ84" i="4"/>
  <c r="CA84" i="4"/>
  <c r="BI11" i="69" a="1"/>
  <c r="BI11" i="69" s="1"/>
  <c r="T40" i="4"/>
  <c r="Z1632" i="13"/>
  <c r="S40" i="4"/>
  <c r="I284" i="15" a="1"/>
  <c r="I284" i="15" s="1"/>
  <c r="AI57" i="69" a="1"/>
  <c r="AI57" i="69" s="1"/>
  <c r="H23" i="72"/>
  <c r="BO92" i="72" a="1"/>
  <c r="BO92" i="72" s="1"/>
  <c r="AR82" i="4"/>
  <c r="AQ82" i="4"/>
  <c r="E60" i="69"/>
  <c r="I560" i="15" a="1"/>
  <c r="I560" i="15" s="1"/>
  <c r="K94" i="69" a="1"/>
  <c r="K94" i="69" s="1"/>
  <c r="AO73" i="69" a="1"/>
  <c r="AO73" i="69" s="1"/>
  <c r="AY67" i="72" a="1"/>
  <c r="AY67" i="72" s="1"/>
  <c r="AV67" i="72" a="1"/>
  <c r="AV67" i="72" s="1"/>
  <c r="BA67" i="72" a="1"/>
  <c r="BA67" i="72" s="1"/>
  <c r="BB67" i="72" a="1"/>
  <c r="BB67" i="72" s="1"/>
  <c r="AP67" i="72" a="1"/>
  <c r="AP67" i="72" s="1"/>
  <c r="AM67" i="72" a="1"/>
  <c r="AM67" i="72" s="1"/>
  <c r="AG67" i="72" a="1"/>
  <c r="AG67" i="72" s="1"/>
  <c r="AR67" i="72" a="1"/>
  <c r="AR67" i="72" s="1"/>
  <c r="AW67" i="72" a="1"/>
  <c r="AW67" i="72" s="1"/>
  <c r="T19" i="4"/>
  <c r="Z1611" i="13"/>
  <c r="S19" i="4"/>
  <c r="T41" i="4"/>
  <c r="S41" i="4"/>
  <c r="Z1633" i="13"/>
  <c r="Z1680" i="13"/>
  <c r="S88" i="4"/>
  <c r="T88" i="4"/>
  <c r="AK88" i="69" a="1"/>
  <c r="AK88" i="69" s="1"/>
  <c r="AF88" i="69" a="1"/>
  <c r="AF88" i="69" s="1"/>
  <c r="AH88" i="69" a="1"/>
  <c r="AH88" i="69" s="1"/>
  <c r="AV88" i="69" a="1"/>
  <c r="AV88" i="69" s="1"/>
  <c r="AL88" i="69" a="1"/>
  <c r="AL88" i="69" s="1"/>
  <c r="AU88" i="69" a="1"/>
  <c r="AU88" i="69" s="1"/>
  <c r="AP88" i="69" a="1"/>
  <c r="AP88" i="69" s="1"/>
  <c r="AG88" i="69" a="1"/>
  <c r="AG88" i="69" s="1"/>
  <c r="AI88" i="69" a="1"/>
  <c r="AI88" i="69" s="1"/>
  <c r="AQ88" i="69" a="1"/>
  <c r="AQ88" i="69" s="1"/>
  <c r="AR88" i="69" a="1"/>
  <c r="AR88" i="69" s="1"/>
  <c r="AJ88" i="69" a="1"/>
  <c r="AJ88" i="69" s="1"/>
  <c r="AS88" i="69" a="1"/>
  <c r="AS88" i="69" s="1"/>
  <c r="AW51" i="72" a="1"/>
  <c r="AW51" i="72" s="1"/>
  <c r="T58" i="4"/>
  <c r="S58" i="4"/>
  <c r="Z1650" i="13"/>
  <c r="H30" i="69"/>
  <c r="H30" i="72"/>
  <c r="BR74" i="4"/>
  <c r="AW42" i="72" a="1"/>
  <c r="AW42" i="72" s="1"/>
  <c r="AQ60" i="4"/>
  <c r="AR60" i="4"/>
  <c r="BI79" i="69" a="1"/>
  <c r="BI79" i="69" s="1"/>
  <c r="AX49" i="72" a="1"/>
  <c r="AX49" i="72" s="1"/>
  <c r="AV1486" i="13"/>
  <c r="T43" i="4"/>
  <c r="S43" i="4"/>
  <c r="Z1635" i="13"/>
  <c r="DI3" i="4" a="1"/>
  <c r="AV1550" i="13"/>
  <c r="AV1649" i="13" s="1"/>
  <c r="A1649" i="13"/>
  <c r="AX1649" i="13" s="1"/>
  <c r="AX1550" i="13"/>
  <c r="Z1613" i="13"/>
  <c r="T21" i="4"/>
  <c r="S21" i="4"/>
  <c r="A1640" i="13"/>
  <c r="AX1640" i="13" s="1"/>
  <c r="AV1541" i="13"/>
  <c r="AV1640" i="13" s="1"/>
  <c r="AX1541" i="13"/>
  <c r="AR92" i="69" a="1"/>
  <c r="AR92" i="69" s="1"/>
  <c r="Z1679" i="13"/>
  <c r="S87" i="4"/>
  <c r="T87" i="4"/>
  <c r="AW54" i="72" a="1"/>
  <c r="AW54" i="72" s="1"/>
  <c r="AR33" i="69" a="1"/>
  <c r="AR33" i="69" s="1"/>
  <c r="AW34" i="72" a="1"/>
  <c r="AW34" i="72" s="1"/>
  <c r="K84" i="72" a="1"/>
  <c r="K84" i="72" s="1"/>
  <c r="AX66" i="72" a="1"/>
  <c r="AX66" i="72" s="1"/>
  <c r="AQ87" i="69" a="1"/>
  <c r="AQ87" i="69" s="1"/>
  <c r="AW18" i="72" a="1"/>
  <c r="AW18" i="72" s="1"/>
  <c r="H425" i="15" a="1"/>
  <c r="H425" i="15" s="1"/>
  <c r="AI8" i="69" a="1"/>
  <c r="AI8" i="69" s="1"/>
  <c r="AX6" i="72" a="1"/>
  <c r="AX6" i="72" s="1"/>
  <c r="AR48" i="72" a="1"/>
  <c r="AR48" i="72" s="1"/>
  <c r="BA48" i="72" a="1"/>
  <c r="BA48" i="72" s="1"/>
  <c r="AM48" i="72" a="1"/>
  <c r="AM48" i="72" s="1"/>
  <c r="AP48" i="72" a="1"/>
  <c r="AP48" i="72" s="1"/>
  <c r="AX48" i="72" a="1"/>
  <c r="AX48" i="72" s="1"/>
  <c r="AW48" i="72" a="1"/>
  <c r="AW48" i="72" s="1"/>
  <c r="AG48" i="72" a="1"/>
  <c r="AG48" i="72" s="1"/>
  <c r="AV48" i="72" a="1"/>
  <c r="AV48" i="72" s="1"/>
  <c r="AH48" i="72" a="1"/>
  <c r="AH48" i="72" s="1"/>
  <c r="BB48" i="72" a="1"/>
  <c r="BB48" i="72" s="1"/>
  <c r="AY48" i="72" a="1"/>
  <c r="AY48" i="72" s="1"/>
  <c r="BA1770" i="13"/>
  <c r="BF1766" i="13"/>
  <c r="AY57" i="72" a="1"/>
  <c r="AY57" i="72" s="1"/>
  <c r="BB57" i="72" a="1"/>
  <c r="BB57" i="72" s="1"/>
  <c r="AP57" i="72" a="1"/>
  <c r="AP57" i="72" s="1"/>
  <c r="AG57" i="72" a="1"/>
  <c r="AG57" i="72" s="1"/>
  <c r="AM57" i="72" a="1"/>
  <c r="AM57" i="72" s="1"/>
  <c r="AR57" i="72" a="1"/>
  <c r="AR57" i="72" s="1"/>
  <c r="AX57" i="72" a="1"/>
  <c r="AX57" i="72" s="1"/>
  <c r="AV57" i="72" a="1"/>
  <c r="AV57" i="72" s="1"/>
  <c r="BA57" i="72" a="1"/>
  <c r="BA57" i="72" s="1"/>
  <c r="AH57" i="72" a="1"/>
  <c r="AH57" i="72" s="1"/>
  <c r="AP78" i="72" a="1"/>
  <c r="AP78" i="72" s="1"/>
  <c r="AR78" i="72" a="1"/>
  <c r="AR78" i="72" s="1"/>
  <c r="BA78" i="72" a="1"/>
  <c r="BA78" i="72" s="1"/>
  <c r="AG78" i="72" a="1"/>
  <c r="AG78" i="72" s="1"/>
  <c r="AV78" i="72" a="1"/>
  <c r="AV78" i="72" s="1"/>
  <c r="AM78" i="72" a="1"/>
  <c r="AM78" i="72" s="1"/>
  <c r="BB78" i="72" a="1"/>
  <c r="BB78" i="72" s="1"/>
  <c r="AX78" i="72" a="1"/>
  <c r="AX78" i="72" s="1"/>
  <c r="AY78" i="72" a="1"/>
  <c r="AY78" i="72" s="1"/>
  <c r="AU92" i="72" a="1"/>
  <c r="AU92" i="72" s="1"/>
  <c r="AT93" i="4" a="1"/>
  <c r="AT93" i="4" s="1"/>
  <c r="AU93" i="4"/>
  <c r="Y93" i="4"/>
  <c r="AV93" i="4" a="1"/>
  <c r="AV93" i="4" s="1"/>
  <c r="CA93" i="4"/>
  <c r="BQ93" i="4"/>
  <c r="CY93" i="4"/>
  <c r="CZ93" i="4" s="1"/>
  <c r="AQ48" i="72" a="1"/>
  <c r="AQ48" i="72" s="1"/>
  <c r="AX1534" i="13"/>
  <c r="AV1534" i="13"/>
  <c r="AV1633" i="13" s="1"/>
  <c r="A1633" i="13"/>
  <c r="AX1633" i="13" s="1"/>
  <c r="AI19" i="69" a="1"/>
  <c r="AI19" i="69" s="1"/>
  <c r="BO78" i="72" a="1"/>
  <c r="BO78" i="72" s="1"/>
  <c r="AU72" i="4"/>
  <c r="AV72" i="4" a="1"/>
  <c r="AV72" i="4" s="1"/>
  <c r="AT72" i="4" a="1"/>
  <c r="AT72" i="4" s="1"/>
  <c r="Y72" i="4"/>
  <c r="CA72" i="4"/>
  <c r="CY72" i="4"/>
  <c r="CZ72" i="4" s="1"/>
  <c r="BQ72" i="4"/>
  <c r="AX1570" i="13"/>
  <c r="AV1570" i="13"/>
  <c r="AV1669" i="13" s="1"/>
  <c r="A1669" i="13"/>
  <c r="AX1669" i="13" s="1"/>
  <c r="AV1538" i="13"/>
  <c r="AV1637" i="13" s="1"/>
  <c r="A1637" i="13"/>
  <c r="AX1637" i="13" s="1"/>
  <c r="AX1538" i="13"/>
  <c r="AH91" i="72" a="1"/>
  <c r="AH91" i="72" s="1"/>
  <c r="AJ19" i="69" a="1"/>
  <c r="AJ19" i="69" s="1"/>
  <c r="AX1577" i="13"/>
  <c r="AV1577" i="13"/>
  <c r="AV1676" i="13" s="1"/>
  <c r="A1676" i="13"/>
  <c r="AX1676" i="13" s="1"/>
  <c r="Z1604" i="13"/>
  <c r="S12" i="4"/>
  <c r="T10" i="4"/>
  <c r="S10" i="4"/>
  <c r="T12" i="4"/>
  <c r="BI70" i="69" a="1"/>
  <c r="BI70" i="69" s="1"/>
  <c r="AH31" i="72" a="1"/>
  <c r="AH31" i="72" s="1"/>
  <c r="CA90" i="4"/>
  <c r="AT90" i="4" a="1"/>
  <c r="AT90" i="4" s="1"/>
  <c r="AV90" i="4" a="1"/>
  <c r="AV90" i="4" s="1"/>
  <c r="Y90" i="4"/>
  <c r="AU90" i="4"/>
  <c r="BQ90" i="4"/>
  <c r="CY90" i="4"/>
  <c r="CZ90" i="4" s="1"/>
  <c r="AJ11" i="69" a="1"/>
  <c r="AJ11" i="69" s="1"/>
  <c r="E3" i="1"/>
  <c r="E101" i="1" s="1"/>
  <c r="F97" i="1"/>
  <c r="AU49" i="72" a="1"/>
  <c r="AU49" i="72" s="1"/>
  <c r="D60" i="72" a="1"/>
  <c r="D60" i="72" s="1"/>
  <c r="BW60" i="72"/>
  <c r="AG5" i="72" a="1"/>
  <c r="AG5" i="72" s="1"/>
  <c r="AR68" i="4"/>
  <c r="AQ68" i="4"/>
  <c r="Z1662" i="13"/>
  <c r="S70" i="4"/>
  <c r="T70" i="4"/>
  <c r="F195" i="15" a="1"/>
  <c r="F195" i="15" s="1"/>
  <c r="H195" i="15" a="1"/>
  <c r="H195" i="15" s="1"/>
  <c r="AL7" i="69" a="1"/>
  <c r="AL7" i="69" s="1"/>
  <c r="AQ7" i="69" a="1"/>
  <c r="AQ7" i="69" s="1"/>
  <c r="AF7" i="69" a="1"/>
  <c r="AF7" i="69" s="1"/>
  <c r="AJ7" i="69" a="1"/>
  <c r="AJ7" i="69" s="1"/>
  <c r="AV7" i="69" a="1"/>
  <c r="AV7" i="69" s="1"/>
  <c r="AH7" i="69" a="1"/>
  <c r="AH7" i="69" s="1"/>
  <c r="AU7" i="69" a="1"/>
  <c r="AU7" i="69" s="1"/>
  <c r="AP7" i="69" a="1"/>
  <c r="AP7" i="69" s="1"/>
  <c r="AI7" i="69" a="1"/>
  <c r="AI7" i="69" s="1"/>
  <c r="AS7" i="69" a="1"/>
  <c r="AS7" i="69" s="1"/>
  <c r="AE23" i="72"/>
  <c r="E23" i="72"/>
  <c r="A1450" i="13"/>
  <c r="AX1351" i="13"/>
  <c r="AT94" i="4" a="1"/>
  <c r="AT94" i="4" s="1"/>
  <c r="AU94" i="4"/>
  <c r="AV94" i="4" a="1"/>
  <c r="AV94" i="4" s="1"/>
  <c r="Y94" i="4"/>
  <c r="BQ94" i="4"/>
  <c r="CA94" i="4"/>
  <c r="CY94" i="4"/>
  <c r="CZ94" i="4" s="1"/>
  <c r="AD60" i="69"/>
  <c r="AO57" i="69" a="1"/>
  <c r="AO57" i="69" s="1"/>
  <c r="AW39" i="72" a="1"/>
  <c r="AW39" i="72" s="1"/>
  <c r="AO40" i="69" a="1"/>
  <c r="AO40" i="69" s="1"/>
  <c r="I390" i="15" a="1"/>
  <c r="I390" i="15" s="1"/>
  <c r="AO42" i="69" a="1"/>
  <c r="AO42" i="69" s="1"/>
  <c r="AL42" i="69" a="1"/>
  <c r="AL42" i="69" s="1"/>
  <c r="AF42" i="69" a="1"/>
  <c r="AF42" i="69" s="1"/>
  <c r="AH42" i="69" a="1"/>
  <c r="AH42" i="69" s="1"/>
  <c r="AP42" i="69" a="1"/>
  <c r="AP42" i="69" s="1"/>
  <c r="AV42" i="69" a="1"/>
  <c r="AV42" i="69" s="1"/>
  <c r="AI42" i="69" a="1"/>
  <c r="AI42" i="69" s="1"/>
  <c r="AU42" i="69" a="1"/>
  <c r="AU42" i="69" s="1"/>
  <c r="AR42" i="69" a="1"/>
  <c r="AR42" i="69" s="1"/>
  <c r="AG42" i="69" a="1"/>
  <c r="AG42" i="69" s="1"/>
  <c r="AS42" i="69" a="1"/>
  <c r="AS42" i="69" s="1"/>
  <c r="AI89" i="69" a="1"/>
  <c r="AI89" i="69" s="1"/>
  <c r="AX1528" i="13"/>
  <c r="A1627" i="13"/>
  <c r="AX1627" i="13" s="1"/>
  <c r="AV1528" i="13"/>
  <c r="AV1627" i="13" s="1"/>
  <c r="C30" i="72"/>
  <c r="D30" i="72" s="1" a="1"/>
  <c r="D30" i="72" s="1"/>
  <c r="C30" i="69"/>
  <c r="D30" i="69" s="1" a="1"/>
  <c r="D30" i="69" s="1"/>
  <c r="AG66" i="69" a="1"/>
  <c r="AG66" i="69" s="1"/>
  <c r="K96" i="72" a="1"/>
  <c r="K96" i="72" s="1"/>
  <c r="K75" i="69" a="1"/>
  <c r="K75" i="69" s="1"/>
  <c r="AX85" i="72" a="1"/>
  <c r="AX85" i="72" s="1"/>
  <c r="BO67" i="72" a="1"/>
  <c r="BO67" i="72" s="1"/>
  <c r="BF87" i="69"/>
  <c r="O87" i="72"/>
  <c r="BL87" i="72"/>
  <c r="O87" i="69"/>
  <c r="A1684" i="13"/>
  <c r="AX1684" i="13" s="1"/>
  <c r="AV1585" i="13"/>
  <c r="AV1684" i="13" s="1"/>
  <c r="AX1585" i="13"/>
  <c r="Z1646" i="13"/>
  <c r="S54" i="4"/>
  <c r="T54" i="4"/>
  <c r="S48" i="4"/>
  <c r="Z1640" i="13"/>
  <c r="T48" i="4"/>
  <c r="AI86" i="69" a="1"/>
  <c r="AI86" i="69" s="1"/>
  <c r="AH61" i="72" a="1"/>
  <c r="AH61" i="72" s="1"/>
  <c r="AW62" i="72" a="1"/>
  <c r="AW62" i="72" s="1"/>
  <c r="AR18" i="69" a="1"/>
  <c r="AR18" i="69" s="1"/>
  <c r="AQ36" i="69" a="1"/>
  <c r="AQ36" i="69" s="1"/>
  <c r="AG32" i="69" a="1"/>
  <c r="AG32" i="69" s="1"/>
  <c r="AX47" i="72" a="1"/>
  <c r="AX47" i="72" s="1"/>
  <c r="AI69" i="69" a="1"/>
  <c r="AI69" i="69" s="1"/>
  <c r="BL93" i="72"/>
  <c r="BF93" i="69"/>
  <c r="O93" i="69"/>
  <c r="O93" i="72"/>
  <c r="Y61" i="4"/>
  <c r="AV61" i="4" a="1"/>
  <c r="AV61" i="4" s="1"/>
  <c r="AU61" i="4"/>
  <c r="AT61" i="4" a="1"/>
  <c r="AT61" i="4" s="1"/>
  <c r="CA61" i="4"/>
  <c r="BQ61" i="4"/>
  <c r="CY61" i="4"/>
  <c r="CZ61" i="4" s="1"/>
  <c r="T37" i="4"/>
  <c r="Z1629" i="13"/>
  <c r="S37" i="4"/>
  <c r="Z1607" i="13"/>
  <c r="S15" i="4"/>
  <c r="T15" i="4"/>
  <c r="O81" i="69"/>
  <c r="BL81" i="72"/>
  <c r="BF81" i="69"/>
  <c r="O81" i="72"/>
  <c r="O72" i="69"/>
  <c r="BF72" i="69"/>
  <c r="BL72" i="72"/>
  <c r="O72" i="72"/>
  <c r="AU59" i="69" a="1"/>
  <c r="AU59" i="69" s="1"/>
  <c r="AL59" i="69" a="1"/>
  <c r="AL59" i="69" s="1"/>
  <c r="AV59" i="69" a="1"/>
  <c r="AV59" i="69" s="1"/>
  <c r="AP59" i="69" a="1"/>
  <c r="AP59" i="69" s="1"/>
  <c r="AH59" i="69" a="1"/>
  <c r="AH59" i="69" s="1"/>
  <c r="AF59" i="69" a="1"/>
  <c r="AF59" i="69" s="1"/>
  <c r="AQ59" i="69" a="1"/>
  <c r="AQ59" i="69" s="1"/>
  <c r="AJ59" i="69" a="1"/>
  <c r="AJ59" i="69" s="1"/>
  <c r="AG59" i="69" a="1"/>
  <c r="AG59" i="69" s="1"/>
  <c r="AS59" i="69" a="1"/>
  <c r="AS59" i="69" s="1"/>
  <c r="AX1510" i="13"/>
  <c r="A1609" i="13"/>
  <c r="AX1609" i="13" s="1"/>
  <c r="AV1510" i="13"/>
  <c r="AV1609" i="13" s="1"/>
  <c r="Z1675" i="13"/>
  <c r="T83" i="4"/>
  <c r="S83" i="4"/>
  <c r="BH55" i="4"/>
  <c r="BH97" i="4" s="1"/>
  <c r="BE108" i="4" s="1"/>
  <c r="BF108" i="4" s="1"/>
  <c r="BL55" i="4"/>
  <c r="G3" i="1" s="1" a="1"/>
  <c r="G3" i="1" s="1"/>
  <c r="G101" i="1" s="1"/>
  <c r="AV557" i="13"/>
  <c r="DV55" i="4"/>
  <c r="AU69" i="4"/>
  <c r="Y69" i="4"/>
  <c r="AT69" i="4" a="1"/>
  <c r="AT69" i="4" s="1"/>
  <c r="AV69" i="4" a="1"/>
  <c r="AV69" i="4" s="1"/>
  <c r="CA69" i="4"/>
  <c r="BQ69" i="4"/>
  <c r="AX30" i="72" a="1"/>
  <c r="AX30" i="72" s="1"/>
  <c r="Y95" i="4"/>
  <c r="AU95" i="4"/>
  <c r="AT95" i="4" a="1"/>
  <c r="AT95" i="4" s="1"/>
  <c r="AV95" i="4" a="1"/>
  <c r="AV95" i="4" s="1"/>
  <c r="CY95" i="4"/>
  <c r="CZ95" i="4" s="1"/>
  <c r="BQ95" i="4"/>
  <c r="CA95" i="4"/>
  <c r="AK19" i="69" a="1"/>
  <c r="AK19" i="69" s="1"/>
  <c r="AK56" i="69" a="1"/>
  <c r="AK56" i="69" s="1"/>
  <c r="T90" i="4"/>
  <c r="Z1682" i="13"/>
  <c r="S90" i="4"/>
  <c r="X84" i="4"/>
  <c r="AR11" i="69" a="1"/>
  <c r="AR11" i="69" s="1"/>
  <c r="AV1509" i="13"/>
  <c r="AV1608" i="13" s="1"/>
  <c r="A1608" i="13"/>
  <c r="AX1608" i="13" s="1"/>
  <c r="AX1509" i="13"/>
  <c r="AQ61" i="4"/>
  <c r="AR61" i="4"/>
  <c r="Y80" i="4"/>
  <c r="AV80" i="4" a="1"/>
  <c r="AV80" i="4" s="1"/>
  <c r="AU80" i="4"/>
  <c r="AT80" i="4" a="1"/>
  <c r="AT80" i="4" s="1"/>
  <c r="CA80" i="4"/>
  <c r="CY80" i="4"/>
  <c r="CZ80" i="4" s="1"/>
  <c r="BQ80" i="4"/>
  <c r="BF60" i="72"/>
  <c r="AL60" i="72" s="1"/>
  <c r="BG60" i="72"/>
  <c r="AK60" i="72"/>
  <c r="BQ60" i="72"/>
  <c r="BP60" i="72" s="1"/>
  <c r="BS60" i="72" s="1"/>
  <c r="BU60" i="72"/>
  <c r="AO60" i="72"/>
  <c r="R60" i="72"/>
  <c r="BH60" i="72"/>
  <c r="AJ60" i="72"/>
  <c r="BN60" i="72" a="1"/>
  <c r="BN60" i="72" s="1"/>
  <c r="BE60" i="72"/>
  <c r="A1656" i="13"/>
  <c r="AX1656" i="13" s="1"/>
  <c r="AX1557" i="13"/>
  <c r="AV1557" i="13"/>
  <c r="AV1656" i="13" s="1"/>
  <c r="F166" i="15" a="1"/>
  <c r="F166" i="15" s="1"/>
  <c r="H166" i="15" a="1"/>
  <c r="H166" i="15" s="1"/>
  <c r="BF69" i="69"/>
  <c r="O69" i="72"/>
  <c r="O69" i="69"/>
  <c r="BL69" i="72"/>
  <c r="AI23" i="72"/>
  <c r="Z1663" i="13"/>
  <c r="T71" i="4"/>
  <c r="S71" i="4"/>
  <c r="H47" i="72"/>
  <c r="H47" i="69"/>
  <c r="X94" i="4"/>
  <c r="O62" i="69"/>
  <c r="BF62" i="69"/>
  <c r="BL62" i="72"/>
  <c r="O62" i="72"/>
  <c r="AR21" i="69" a="1"/>
  <c r="AR21" i="69" s="1"/>
  <c r="AS35" i="69" a="1"/>
  <c r="AS35" i="69" s="1"/>
  <c r="AH35" i="69" a="1"/>
  <c r="AH35" i="69" s="1"/>
  <c r="AV35" i="69" a="1"/>
  <c r="AV35" i="69" s="1"/>
  <c r="AF35" i="69" a="1"/>
  <c r="AF35" i="69" s="1"/>
  <c r="AU35" i="69" a="1"/>
  <c r="AU35" i="69" s="1"/>
  <c r="AP35" i="69" a="1"/>
  <c r="AP35" i="69" s="1"/>
  <c r="AL35" i="69" a="1"/>
  <c r="AL35" i="69" s="1"/>
  <c r="AJ35" i="69" a="1"/>
  <c r="AJ35" i="69" s="1"/>
  <c r="AI35" i="69" a="1"/>
  <c r="AI35" i="69" s="1"/>
  <c r="AR35" i="69" a="1"/>
  <c r="AR35" i="69" s="1"/>
  <c r="T53" i="4"/>
  <c r="S53" i="4"/>
  <c r="Z1645" i="13"/>
  <c r="BB74" i="72" a="1"/>
  <c r="BB74" i="72" s="1"/>
  <c r="BA74" i="72" a="1"/>
  <c r="BA74" i="72" s="1"/>
  <c r="AV74" i="72" a="1"/>
  <c r="AV74" i="72" s="1"/>
  <c r="AR74" i="72" a="1"/>
  <c r="AR74" i="72" s="1"/>
  <c r="AM74" i="72" a="1"/>
  <c r="AM74" i="72" s="1"/>
  <c r="AG74" i="72" a="1"/>
  <c r="AG74" i="72" s="1"/>
  <c r="AH74" i="72" a="1"/>
  <c r="AH74" i="72" s="1"/>
  <c r="AX74" i="72" a="1"/>
  <c r="AX74" i="72" s="1"/>
  <c r="AY74" i="72" a="1"/>
  <c r="AY74" i="72" s="1"/>
  <c r="K74" i="69" a="1"/>
  <c r="K74" i="69" s="1"/>
  <c r="S93" i="4"/>
  <c r="Z1685" i="13"/>
  <c r="T93" i="4"/>
  <c r="AT70" i="4" a="1"/>
  <c r="AT70" i="4" s="1"/>
  <c r="AU70" i="4"/>
  <c r="AV70" i="4" a="1"/>
  <c r="AV70" i="4" s="1"/>
  <c r="Y70" i="4"/>
  <c r="BQ70" i="4"/>
  <c r="CA70" i="4"/>
  <c r="AH59" i="72" a="1"/>
  <c r="AH59" i="72" s="1"/>
  <c r="AP59" i="72" a="1"/>
  <c r="AP59" i="72" s="1"/>
  <c r="AR59" i="72" a="1"/>
  <c r="AR59" i="72" s="1"/>
  <c r="AG59" i="72" a="1"/>
  <c r="AG59" i="72" s="1"/>
  <c r="BA59" i="72" a="1"/>
  <c r="BA59" i="72" s="1"/>
  <c r="AX59" i="72" a="1"/>
  <c r="AX59" i="72" s="1"/>
  <c r="AV59" i="72" a="1"/>
  <c r="AV59" i="72" s="1"/>
  <c r="AW59" i="72" a="1"/>
  <c r="AW59" i="72" s="1"/>
  <c r="BB59" i="72" a="1"/>
  <c r="BB59" i="72" s="1"/>
  <c r="AM59" i="72" a="1"/>
  <c r="AM59" i="72" s="1"/>
  <c r="AY59" i="72" a="1"/>
  <c r="AY59" i="72" s="1"/>
  <c r="AU57" i="72" a="1"/>
  <c r="AU57" i="72" s="1"/>
  <c r="I446" i="15" a="1"/>
  <c r="I446" i="15" s="1"/>
  <c r="AQ67" i="72" a="1"/>
  <c r="AQ67" i="72" s="1"/>
  <c r="AX83" i="72" a="1"/>
  <c r="AX83" i="72" s="1"/>
  <c r="AV1470" i="13"/>
  <c r="I191" i="15" a="1"/>
  <c r="I191" i="15" s="1"/>
  <c r="AV1587" i="13"/>
  <c r="AV1686" i="13" s="1"/>
  <c r="AX1587" i="13"/>
  <c r="A1686" i="13"/>
  <c r="AX1686" i="13" s="1"/>
  <c r="BI103" i="4"/>
  <c r="Z1618" i="13"/>
  <c r="S26" i="4"/>
  <c r="T26" i="4"/>
  <c r="T61" i="4"/>
  <c r="Z1653" i="13"/>
  <c r="S61" i="4"/>
  <c r="AG84" i="69" a="1"/>
  <c r="AG84" i="69" s="1"/>
  <c r="AI15" i="69" a="1"/>
  <c r="AI15" i="69" s="1"/>
  <c r="AG34" i="69" a="1"/>
  <c r="AG34" i="69" s="1"/>
  <c r="AX61" i="72" a="1"/>
  <c r="AX61" i="72" s="1"/>
  <c r="AQ54" i="69" a="1"/>
  <c r="AQ54" i="69" s="1"/>
  <c r="AI50" i="69" a="1"/>
  <c r="AI50" i="69" s="1"/>
  <c r="AX65" i="72" a="1"/>
  <c r="AX65" i="72" s="1"/>
  <c r="AG18" i="69" a="1"/>
  <c r="AG18" i="69" s="1"/>
  <c r="AH25" i="72" a="1"/>
  <c r="AH25" i="72" s="1"/>
  <c r="AX33" i="72" a="1"/>
  <c r="AX33" i="72" s="1"/>
  <c r="AQ32" i="69" a="1"/>
  <c r="AQ32" i="69" s="1"/>
  <c r="AG45" i="69" a="1"/>
  <c r="AG45" i="69" s="1"/>
  <c r="AW69" i="72" a="1"/>
  <c r="AW69" i="72" s="1"/>
  <c r="Z1666" i="13"/>
  <c r="T74" i="4"/>
  <c r="S74" i="4"/>
  <c r="T47" i="4"/>
  <c r="Z1639" i="13"/>
  <c r="S47" i="4"/>
  <c r="AT56" i="4" a="1"/>
  <c r="AT56" i="4" s="1"/>
  <c r="Y56" i="4"/>
  <c r="AU56" i="4"/>
  <c r="AV56" i="4" a="1"/>
  <c r="AV56" i="4" s="1"/>
  <c r="BQ56" i="4"/>
  <c r="CA56" i="4"/>
  <c r="AX1559" i="13"/>
  <c r="A1658" i="13"/>
  <c r="AX1658" i="13" s="1"/>
  <c r="AV1559" i="13"/>
  <c r="AV1658" i="13" s="1"/>
  <c r="Z1677" i="13"/>
  <c r="T85" i="4"/>
  <c r="S85" i="4"/>
  <c r="AV41" i="72" a="1"/>
  <c r="AV41" i="72" s="1"/>
  <c r="AR41" i="72" a="1"/>
  <c r="AR41" i="72" s="1"/>
  <c r="AG41" i="72" a="1"/>
  <c r="AG41" i="72" s="1"/>
  <c r="AM41" i="72" a="1"/>
  <c r="AM41" i="72" s="1"/>
  <c r="BB41" i="72" a="1"/>
  <c r="BB41" i="72" s="1"/>
  <c r="BA41" i="72" a="1"/>
  <c r="BA41" i="72" s="1"/>
  <c r="AP41" i="72" a="1"/>
  <c r="AP41" i="72" s="1"/>
  <c r="AX41" i="72" a="1"/>
  <c r="AX41" i="72" s="1"/>
  <c r="AY41" i="72" a="1"/>
  <c r="AY41" i="72" s="1"/>
  <c r="AO46" i="69" a="1"/>
  <c r="AO46" i="69" s="1"/>
  <c r="AP46" i="69" a="1"/>
  <c r="AP46" i="69" s="1"/>
  <c r="AU46" i="69" a="1"/>
  <c r="AU46" i="69" s="1"/>
  <c r="AQ46" i="69" a="1"/>
  <c r="AQ46" i="69" s="1"/>
  <c r="AR46" i="69" a="1"/>
  <c r="AR46" i="69" s="1"/>
  <c r="AG46" i="69" a="1"/>
  <c r="AG46" i="69" s="1"/>
  <c r="AH46" i="69" a="1"/>
  <c r="AH46" i="69" s="1"/>
  <c r="AL46" i="69" a="1"/>
  <c r="AL46" i="69" s="1"/>
  <c r="AJ46" i="69" a="1"/>
  <c r="AJ46" i="69" s="1"/>
  <c r="AV46" i="69" a="1"/>
  <c r="AV46" i="69" s="1"/>
  <c r="AI46" i="69" a="1"/>
  <c r="AI46" i="69" s="1"/>
  <c r="AF46" i="69" a="1"/>
  <c r="AF46" i="69" s="1"/>
  <c r="AS46" i="69" a="1"/>
  <c r="AS46" i="69" s="1"/>
  <c r="AT57" i="4" a="1"/>
  <c r="AT57" i="4" s="1"/>
  <c r="Y57" i="4"/>
  <c r="AV57" i="4" a="1"/>
  <c r="AV57" i="4" s="1"/>
  <c r="AU57" i="4"/>
  <c r="BQ57" i="4"/>
  <c r="CA57" i="4"/>
  <c r="BL94" i="72"/>
  <c r="BF94" i="69"/>
  <c r="O94" i="72"/>
  <c r="O94" i="69"/>
  <c r="AY30" i="72" a="1"/>
  <c r="AY30" i="72" s="1"/>
  <c r="BA30" i="72" a="1"/>
  <c r="BA30" i="72" s="1"/>
  <c r="AH30" i="72" a="1"/>
  <c r="AH30" i="72" s="1"/>
  <c r="AG30" i="72" a="1"/>
  <c r="AG30" i="72" s="1"/>
  <c r="BB30" i="72" a="1"/>
  <c r="BB30" i="72" s="1"/>
  <c r="AV30" i="72" a="1"/>
  <c r="AV30" i="72" s="1"/>
  <c r="AR30" i="72" a="1"/>
  <c r="AR30" i="72" s="1"/>
  <c r="AM30" i="72" a="1"/>
  <c r="AM30" i="72" s="1"/>
  <c r="AP30" i="72" a="1"/>
  <c r="AP30" i="72" s="1"/>
  <c r="AW30" i="72" a="1"/>
  <c r="AW30" i="72" s="1"/>
  <c r="AR12" i="69" a="1"/>
  <c r="AR12" i="69" s="1"/>
  <c r="T51" i="4"/>
  <c r="Z1643" i="13"/>
  <c r="S51" i="4"/>
  <c r="AE95" i="72"/>
  <c r="O95" i="69"/>
  <c r="BL95" i="72"/>
  <c r="O95" i="72"/>
  <c r="BF95" i="69"/>
  <c r="A1618" i="13"/>
  <c r="AX1618" i="13" s="1"/>
  <c r="AX1519" i="13"/>
  <c r="AV1519" i="13"/>
  <c r="AV1618" i="13" s="1"/>
  <c r="AH19" i="72" a="1"/>
  <c r="AH19" i="72" s="1"/>
  <c r="BI57" i="69" a="1"/>
  <c r="BI57" i="69" s="1"/>
  <c r="BI56" i="69" a="1"/>
  <c r="BI56" i="69" s="1"/>
  <c r="AX1499" i="13"/>
  <c r="AV1499" i="13"/>
  <c r="A1598" i="13"/>
  <c r="AX1598" i="13" s="1"/>
  <c r="Z1648" i="13"/>
  <c r="T56" i="4"/>
  <c r="S56" i="4"/>
  <c r="AT92" i="4" a="1"/>
  <c r="AT92" i="4" s="1"/>
  <c r="AU92" i="4"/>
  <c r="AV92" i="4" a="1"/>
  <c r="AV92" i="4" s="1"/>
  <c r="Y92" i="4"/>
  <c r="BQ92" i="4"/>
  <c r="CY92" i="4"/>
  <c r="CZ92" i="4" s="1"/>
  <c r="P94" i="9" s="1"/>
  <c r="CA92" i="4"/>
  <c r="O90" i="72"/>
  <c r="O90" i="69"/>
  <c r="BF90" i="69"/>
  <c r="BL90" i="72"/>
  <c r="AG47" i="69" a="1"/>
  <c r="AG47" i="69" s="1"/>
  <c r="T22" i="4"/>
  <c r="S22" i="4"/>
  <c r="Z1614" i="13"/>
  <c r="AU79" i="72" a="1"/>
  <c r="AU79" i="72" s="1"/>
  <c r="AW79" i="72" a="1"/>
  <c r="AW79" i="72" s="1"/>
  <c r="AP79" i="72" a="1"/>
  <c r="AP79" i="72" s="1"/>
  <c r="BB79" i="72" a="1"/>
  <c r="BB79" i="72" s="1"/>
  <c r="AV79" i="72" a="1"/>
  <c r="AV79" i="72" s="1"/>
  <c r="AX79" i="72" a="1"/>
  <c r="AX79" i="72" s="1"/>
  <c r="AH79" i="72" a="1"/>
  <c r="AH79" i="72" s="1"/>
  <c r="BA79" i="72" a="1"/>
  <c r="BA79" i="72" s="1"/>
  <c r="AM79" i="72" a="1"/>
  <c r="AM79" i="72" s="1"/>
  <c r="AR79" i="72" a="1"/>
  <c r="AR79" i="72" s="1"/>
  <c r="AG79" i="72" a="1"/>
  <c r="AG79" i="72" s="1"/>
  <c r="AY79" i="72" a="1"/>
  <c r="AY79" i="72" s="1"/>
  <c r="BM59" i="4"/>
  <c r="BE59" i="4" s="1" a="1"/>
  <c r="BE59" i="4" s="1"/>
  <c r="AE59" i="72"/>
  <c r="BJ59" i="72"/>
  <c r="AD59" i="69"/>
  <c r="BD59" i="69"/>
  <c r="T64" i="4"/>
  <c r="Z1656" i="13"/>
  <c r="S64" i="4"/>
  <c r="BF80" i="69"/>
  <c r="O80" i="72"/>
  <c r="BL80" i="72"/>
  <c r="O80" i="69"/>
  <c r="AQ93" i="69" a="1"/>
  <c r="AQ93" i="69" s="1"/>
  <c r="AE60" i="72"/>
  <c r="AV36" i="72" a="1"/>
  <c r="AV36" i="72" s="1"/>
  <c r="AM36" i="72" a="1"/>
  <c r="AM36" i="72" s="1"/>
  <c r="AW36" i="72" a="1"/>
  <c r="AW36" i="72" s="1"/>
  <c r="BA36" i="72" a="1"/>
  <c r="BA36" i="72" s="1"/>
  <c r="BB36" i="72" a="1"/>
  <c r="BB36" i="72" s="1"/>
  <c r="AR36" i="72" a="1"/>
  <c r="AR36" i="72" s="1"/>
  <c r="AX36" i="72" a="1"/>
  <c r="AX36" i="72" s="1"/>
  <c r="AP36" i="72" a="1"/>
  <c r="AP36" i="72" s="1"/>
  <c r="AH36" i="72" a="1"/>
  <c r="AH36" i="72" s="1"/>
  <c r="AG36" i="72" a="1"/>
  <c r="AG36" i="72" s="1"/>
  <c r="AY36" i="72" a="1"/>
  <c r="AY36" i="72" s="1"/>
  <c r="AK23" i="72"/>
  <c r="BF23" i="72"/>
  <c r="BG23" i="72"/>
  <c r="C47" i="72"/>
  <c r="D47" i="72" s="1" a="1"/>
  <c r="D47" i="72" s="1"/>
  <c r="C47" i="69"/>
  <c r="D47" i="69" s="1" a="1"/>
  <c r="D47" i="69" s="1"/>
  <c r="AV1457" i="13"/>
  <c r="Z55" i="69"/>
  <c r="S55" i="69"/>
  <c r="S97" i="69" s="1"/>
  <c r="AN55" i="69"/>
  <c r="AA55" i="69"/>
  <c r="AC55" i="69"/>
  <c r="M55" i="69"/>
  <c r="J55" i="69"/>
  <c r="AW55" i="69"/>
  <c r="G55" i="69"/>
  <c r="BD55" i="69"/>
  <c r="N55" i="69" a="1"/>
  <c r="N55" i="69" s="1"/>
  <c r="Q55" i="69"/>
  <c r="A55" i="69"/>
  <c r="Y55" i="69"/>
  <c r="W55" i="69"/>
  <c r="U55" i="69" a="1"/>
  <c r="U55" i="69" s="1"/>
  <c r="U97" i="69" s="1"/>
  <c r="K55" i="69" a="1"/>
  <c r="K55" i="69" s="1"/>
  <c r="T55" i="69"/>
  <c r="B8" i="27" s="1"/>
  <c r="V55" i="69"/>
  <c r="B55" i="69" s="1"/>
  <c r="P55" i="69"/>
  <c r="AB55" i="69" a="1"/>
  <c r="AB55" i="69" s="1"/>
  <c r="AX55" i="69"/>
  <c r="BP55" i="69"/>
  <c r="AM55" i="69"/>
  <c r="H55" i="69"/>
  <c r="C55" i="69"/>
  <c r="BL55" i="69" a="1"/>
  <c r="BL55" i="69" s="1"/>
  <c r="K62" i="69" a="1"/>
  <c r="K62" i="69" s="1"/>
  <c r="K66" i="69" a="1"/>
  <c r="K66" i="69" s="1"/>
  <c r="K70" i="69" a="1"/>
  <c r="K70" i="69" s="1"/>
  <c r="K80" i="69" a="1"/>
  <c r="K80" i="69" s="1"/>
  <c r="K88" i="69" a="1"/>
  <c r="K88" i="69" s="1"/>
  <c r="K72" i="69" a="1"/>
  <c r="K72" i="69" s="1"/>
  <c r="K92" i="69" a="1"/>
  <c r="K92" i="69" s="1"/>
  <c r="K58" i="69" a="1"/>
  <c r="K58" i="69" s="1"/>
  <c r="K79" i="69" a="1"/>
  <c r="K79" i="69" s="1"/>
  <c r="K69" i="69" a="1"/>
  <c r="K69" i="69" s="1"/>
  <c r="K86" i="69" a="1"/>
  <c r="K86" i="69" s="1"/>
  <c r="K71" i="69" a="1"/>
  <c r="K71" i="69" s="1"/>
  <c r="O60" i="69"/>
  <c r="AU89" i="72" a="1"/>
  <c r="AU89" i="72" s="1"/>
  <c r="BB89" i="72" a="1"/>
  <c r="BB89" i="72" s="1"/>
  <c r="AV89" i="72" a="1"/>
  <c r="AV89" i="72" s="1"/>
  <c r="AP89" i="72" a="1"/>
  <c r="AP89" i="72" s="1"/>
  <c r="AM89" i="72" a="1"/>
  <c r="AM89" i="72" s="1"/>
  <c r="AR89" i="72" a="1"/>
  <c r="AR89" i="72" s="1"/>
  <c r="AX89" i="72" a="1"/>
  <c r="AX89" i="72" s="1"/>
  <c r="AW89" i="72" a="1"/>
  <c r="AW89" i="72" s="1"/>
  <c r="AH89" i="72" a="1"/>
  <c r="AH89" i="72" s="1"/>
  <c r="AG89" i="72" a="1"/>
  <c r="AG89" i="72" s="1"/>
  <c r="BA89" i="72" a="1"/>
  <c r="BA89" i="72" s="1"/>
  <c r="AY89" i="72" a="1"/>
  <c r="AY89" i="72" s="1"/>
  <c r="BD23" i="69"/>
  <c r="AO23" i="69" a="1"/>
  <c r="AO23" i="69" s="1"/>
  <c r="BQ23" i="69"/>
  <c r="BI21" i="69" a="1"/>
  <c r="BI21" i="69" s="1"/>
  <c r="I265" i="15" a="1"/>
  <c r="I265" i="15" s="1"/>
  <c r="AI28" i="69" a="1"/>
  <c r="AI28" i="69" s="1"/>
  <c r="AV1506" i="13"/>
  <c r="AV1605" i="13" s="1"/>
  <c r="AX1506" i="13"/>
  <c r="A1605" i="13"/>
  <c r="AX1605" i="13" s="1"/>
  <c r="G141" i="15"/>
  <c r="K91" i="69" a="1"/>
  <c r="K91" i="69" s="1"/>
  <c r="K85" i="72" a="1"/>
  <c r="K85" i="72" s="1"/>
  <c r="AR62" i="4"/>
  <c r="AQ62" i="4"/>
  <c r="BR70" i="4"/>
  <c r="AT86" i="4" a="1"/>
  <c r="AT86" i="4" s="1"/>
  <c r="AV86" i="4" a="1"/>
  <c r="AV86" i="4" s="1"/>
  <c r="AU86" i="4"/>
  <c r="Y86" i="4"/>
  <c r="CY86" i="4"/>
  <c r="CZ86" i="4" s="1"/>
  <c r="BQ86" i="4"/>
  <c r="CA86" i="4"/>
  <c r="I400" i="15" a="1"/>
  <c r="I400" i="15" s="1"/>
  <c r="H419" i="15" a="1"/>
  <c r="H419" i="15" s="1"/>
  <c r="AV1501" i="13"/>
  <c r="A1600" i="13"/>
  <c r="AX1600" i="13" s="1"/>
  <c r="AX1501" i="13"/>
  <c r="BO43" i="72" a="1"/>
  <c r="BO43" i="72" s="1"/>
  <c r="AX43" i="72" a="1"/>
  <c r="AX43" i="72" s="1"/>
  <c r="AM43" i="72" a="1"/>
  <c r="AM43" i="72" s="1"/>
  <c r="AP43" i="72" a="1"/>
  <c r="AP43" i="72" s="1"/>
  <c r="AH43" i="72" a="1"/>
  <c r="AH43" i="72" s="1"/>
  <c r="BA43" i="72" a="1"/>
  <c r="BA43" i="72" s="1"/>
  <c r="AG43" i="72" a="1"/>
  <c r="AG43" i="72" s="1"/>
  <c r="AW43" i="72" a="1"/>
  <c r="AW43" i="72" s="1"/>
  <c r="BB43" i="72" a="1"/>
  <c r="BB43" i="72" s="1"/>
  <c r="AV43" i="72" a="1"/>
  <c r="AV43" i="72" s="1"/>
  <c r="AR43" i="72" a="1"/>
  <c r="AR43" i="72" s="1"/>
  <c r="AY43" i="72" a="1"/>
  <c r="AY43" i="72" s="1"/>
  <c r="BF59" i="69"/>
  <c r="O59" i="72"/>
  <c r="BL59" i="72"/>
  <c r="O59" i="69"/>
  <c r="AP49" i="72" a="1"/>
  <c r="AP49" i="72" s="1"/>
  <c r="Y79" i="4"/>
  <c r="AU79" i="4"/>
  <c r="AV79" i="4" a="1"/>
  <c r="AV79" i="4" s="1"/>
  <c r="AT79" i="4" a="1"/>
  <c r="AT79" i="4" s="1"/>
  <c r="BQ79" i="4"/>
  <c r="CA79" i="4"/>
  <c r="AK35" i="69" a="1"/>
  <c r="AK35" i="69" s="1"/>
  <c r="I479" i="15" a="1"/>
  <c r="I479" i="15" s="1"/>
  <c r="AX1566" i="13"/>
  <c r="AV1566" i="13"/>
  <c r="AV1665" i="13" s="1"/>
  <c r="A1665" i="13"/>
  <c r="AX1665" i="13" s="1"/>
  <c r="A1647" i="13"/>
  <c r="AX1647" i="13" s="1"/>
  <c r="AV1548" i="13"/>
  <c r="AV1647" i="13" s="1"/>
  <c r="AX1548" i="13"/>
  <c r="AI26" i="69" a="1"/>
  <c r="AI26" i="69" s="1"/>
  <c r="AG71" i="69" a="1"/>
  <c r="AG71" i="69" s="1"/>
  <c r="AH66" i="72" a="1"/>
  <c r="AH66" i="72" s="1"/>
  <c r="AH65" i="72" a="1"/>
  <c r="AH65" i="72" s="1"/>
  <c r="AI36" i="69" a="1"/>
  <c r="AI36" i="69" s="1"/>
  <c r="AQ80" i="69" a="1"/>
  <c r="AQ80" i="69" s="1"/>
  <c r="AX40" i="72" a="1"/>
  <c r="AX40" i="72" s="1"/>
  <c r="AQ45" i="69" a="1"/>
  <c r="AQ45" i="69" s="1"/>
  <c r="AW35" i="72" a="1"/>
  <c r="AW35" i="72" s="1"/>
  <c r="AT59" i="4" a="1"/>
  <c r="AT59" i="4" s="1"/>
  <c r="Y59" i="4"/>
  <c r="AU59" i="4"/>
  <c r="AV59" i="4" a="1"/>
  <c r="AV59" i="4" s="1"/>
  <c r="CA59" i="4"/>
  <c r="CY59" i="4"/>
  <c r="CZ59" i="4" s="1"/>
  <c r="BQ59" i="4"/>
  <c r="S92" i="4"/>
  <c r="T92" i="4"/>
  <c r="Z1684" i="13"/>
  <c r="AP28" i="69" a="1"/>
  <c r="AP28" i="69" s="1"/>
  <c r="AJ28" i="69" a="1"/>
  <c r="AJ28" i="69" s="1"/>
  <c r="AL28" i="69" a="1"/>
  <c r="AL28" i="69" s="1"/>
  <c r="AH28" i="69" a="1"/>
  <c r="AH28" i="69" s="1"/>
  <c r="AV28" i="69" a="1"/>
  <c r="AV28" i="69" s="1"/>
  <c r="AU28" i="69" a="1"/>
  <c r="AU28" i="69" s="1"/>
  <c r="AF28" i="69" a="1"/>
  <c r="AF28" i="69" s="1"/>
  <c r="AR28" i="69" a="1"/>
  <c r="AR28" i="69" s="1"/>
  <c r="AG28" i="69" a="1"/>
  <c r="AG28" i="69" s="1"/>
  <c r="AS28" i="69" a="1"/>
  <c r="AS28" i="69" s="1"/>
  <c r="O61" i="72"/>
  <c r="BL61" i="72"/>
  <c r="AE61" i="72"/>
  <c r="O61" i="69"/>
  <c r="BF61" i="69"/>
  <c r="AD61" i="69"/>
  <c r="AV1518" i="13"/>
  <c r="AV1617" i="13" s="1"/>
  <c r="A1617" i="13"/>
  <c r="AX1617" i="13" s="1"/>
  <c r="AX1518" i="13"/>
  <c r="BO41" i="72" a="1"/>
  <c r="BO41" i="72" s="1"/>
  <c r="AX72" i="72" a="1"/>
  <c r="AX72" i="72" s="1"/>
  <c r="A8" i="27"/>
  <c r="A7" i="27" s="1"/>
  <c r="C15" i="27"/>
  <c r="AF17" i="27"/>
  <c r="AX1524" i="13"/>
  <c r="A1623" i="13"/>
  <c r="AX1623" i="13" s="1"/>
  <c r="AV1524" i="13"/>
  <c r="AV1623" i="13" s="1"/>
  <c r="AX1502" i="13"/>
  <c r="A1601" i="13"/>
  <c r="AX1601" i="13" s="1"/>
  <c r="AV1502" i="13"/>
  <c r="AV1601" i="13" s="1"/>
  <c r="O56" i="72"/>
  <c r="O56" i="69"/>
  <c r="BL56" i="72"/>
  <c r="BF56" i="69"/>
  <c r="I648" i="15" a="1"/>
  <c r="I648" i="15" s="1"/>
  <c r="Z1664" i="13"/>
  <c r="T72" i="4"/>
  <c r="S72" i="4"/>
  <c r="AV8" i="72" a="1"/>
  <c r="AV8" i="72" s="1"/>
  <c r="AR8" i="72" a="1"/>
  <c r="AR8" i="72" s="1"/>
  <c r="BA8" i="72" a="1"/>
  <c r="BA8" i="72" s="1"/>
  <c r="BB8" i="72" a="1"/>
  <c r="BB8" i="72" s="1"/>
  <c r="AM8" i="72" a="1"/>
  <c r="AM8" i="72" s="1"/>
  <c r="AG8" i="72" a="1"/>
  <c r="AG8" i="72" s="1"/>
  <c r="AH8" i="72" a="1"/>
  <c r="AH8" i="72" s="1"/>
  <c r="AX8" i="72" a="1"/>
  <c r="AX8" i="72" s="1"/>
  <c r="AY8" i="72" a="1"/>
  <c r="AY8" i="72" s="1"/>
  <c r="Z1621" i="13"/>
  <c r="S29" i="4"/>
  <c r="T29" i="4"/>
  <c r="O57" i="72"/>
  <c r="BL57" i="72"/>
  <c r="BF57" i="69"/>
  <c r="O57" i="69"/>
  <c r="BA81" i="72" a="1"/>
  <c r="BA81" i="72" s="1"/>
  <c r="AV81" i="72" a="1"/>
  <c r="AV81" i="72" s="1"/>
  <c r="BB81" i="72" a="1"/>
  <c r="BB81" i="72" s="1"/>
  <c r="AG81" i="72" a="1"/>
  <c r="AG81" i="72" s="1"/>
  <c r="AM81" i="72" a="1"/>
  <c r="AM81" i="72" s="1"/>
  <c r="AP81" i="72" a="1"/>
  <c r="AP81" i="72" s="1"/>
  <c r="AX81" i="72" a="1"/>
  <c r="AX81" i="72" s="1"/>
  <c r="AR81" i="72" a="1"/>
  <c r="AR81" i="72" s="1"/>
  <c r="AH81" i="72" a="1"/>
  <c r="AH81" i="72" s="1"/>
  <c r="AY81" i="72" a="1"/>
  <c r="AY81" i="72" s="1"/>
  <c r="T55" i="4"/>
  <c r="Z1647" i="13"/>
  <c r="S55" i="4"/>
  <c r="AG65" i="69" a="1"/>
  <c r="AG65" i="69" s="1"/>
  <c r="AI5" i="69" a="1"/>
  <c r="AI5" i="69" s="1"/>
  <c r="AQ30" i="72" a="1"/>
  <c r="AQ30" i="72" s="1"/>
  <c r="BS193" i="4"/>
  <c r="AX1553" i="13"/>
  <c r="A1652" i="13"/>
  <c r="AX1652" i="13" s="1"/>
  <c r="AV1553" i="13"/>
  <c r="AV1652" i="13" s="1"/>
  <c r="AX1584" i="13"/>
  <c r="AV1584" i="13"/>
  <c r="AV1683" i="13" s="1"/>
  <c r="A1683" i="13"/>
  <c r="AX1683" i="13" s="1"/>
  <c r="S32" i="4"/>
  <c r="T32" i="4"/>
  <c r="Z1624" i="13"/>
  <c r="AW91" i="72" a="1"/>
  <c r="AW91" i="72" s="1"/>
  <c r="BM92" i="4"/>
  <c r="BE92" i="4" s="1" a="1"/>
  <c r="BE92" i="4" s="1"/>
  <c r="AE92" i="72"/>
  <c r="AD92" i="69"/>
  <c r="BD92" i="69"/>
  <c r="BJ92" i="72"/>
  <c r="BM56" i="4"/>
  <c r="BE56" i="4" s="1" a="1"/>
  <c r="BE56" i="4" s="1"/>
  <c r="BJ56" i="72"/>
  <c r="AE56" i="72"/>
  <c r="AD56" i="69"/>
  <c r="BD56" i="69"/>
  <c r="AW81" i="72" a="1"/>
  <c r="AW81" i="72" s="1"/>
  <c r="H142" i="15" a="1"/>
  <c r="H142" i="15" s="1"/>
  <c r="F142" i="15" a="1"/>
  <c r="F142" i="15" s="1"/>
  <c r="H141" i="15" a="1"/>
  <c r="H141" i="15" s="1"/>
  <c r="AZ23" i="72" a="1"/>
  <c r="AZ23" i="72" s="1"/>
  <c r="BQ23" i="72"/>
  <c r="BP23" i="72" s="1"/>
  <c r="BS23" i="72" s="1"/>
  <c r="BE23" i="72"/>
  <c r="BH23" i="72"/>
  <c r="BU23" i="72"/>
  <c r="AO23" i="72"/>
  <c r="BN23" i="72" a="1"/>
  <c r="BN23" i="72" s="1"/>
  <c r="AL23" i="72"/>
  <c r="R23" i="72"/>
  <c r="AJ23" i="72"/>
  <c r="AQ79" i="72" a="1"/>
  <c r="AQ79" i="72" s="1"/>
  <c r="T13" i="4"/>
  <c r="Z1605" i="13"/>
  <c r="S13" i="4"/>
  <c r="K66" i="72" a="1"/>
  <c r="K66" i="72" s="1"/>
  <c r="U55" i="72" a="1"/>
  <c r="U55" i="72" s="1"/>
  <c r="U97" i="72" s="1"/>
  <c r="BC55" i="72"/>
  <c r="Z55" i="72"/>
  <c r="K55" i="72" a="1"/>
  <c r="K55" i="72" s="1"/>
  <c r="G55" i="72"/>
  <c r="BV55" i="72"/>
  <c r="J55" i="72"/>
  <c r="BD55" i="72"/>
  <c r="V55" i="72"/>
  <c r="B55" i="72" s="1"/>
  <c r="A55" i="72"/>
  <c r="W55" i="72"/>
  <c r="BQ55" i="72" s="1"/>
  <c r="Q55" i="72"/>
  <c r="AB55" i="72" a="1"/>
  <c r="AB55" i="72" s="1"/>
  <c r="P55" i="72"/>
  <c r="AT55" i="72"/>
  <c r="T55" i="72"/>
  <c r="AD55" i="72"/>
  <c r="N55" i="72" a="1"/>
  <c r="N55" i="72" s="1"/>
  <c r="AS55" i="72"/>
  <c r="Y55" i="72"/>
  <c r="AA55" i="72"/>
  <c r="AC55" i="72"/>
  <c r="S55" i="72"/>
  <c r="S97" i="72" s="1"/>
  <c r="M55" i="72"/>
  <c r="K80" i="72" a="1"/>
  <c r="K80" i="72" s="1"/>
  <c r="K92" i="72" a="1"/>
  <c r="K92" i="72" s="1"/>
  <c r="K88" i="72" a="1"/>
  <c r="K88" i="72" s="1"/>
  <c r="K70" i="72" a="1"/>
  <c r="K70" i="72" s="1"/>
  <c r="K79" i="72" a="1"/>
  <c r="K79" i="72" s="1"/>
  <c r="K62" i="72" a="1"/>
  <c r="K62" i="72" s="1"/>
  <c r="K90" i="72" a="1"/>
  <c r="K90" i="72" s="1"/>
  <c r="K82" i="72" a="1"/>
  <c r="K82" i="72" s="1"/>
  <c r="K65" i="72" a="1"/>
  <c r="K65" i="72" s="1"/>
  <c r="K71" i="72" a="1"/>
  <c r="K71" i="72" s="1"/>
  <c r="K68" i="72" a="1"/>
  <c r="K68" i="72" s="1"/>
  <c r="K67" i="72" a="1"/>
  <c r="K67" i="72" s="1"/>
  <c r="K78" i="72" a="1"/>
  <c r="K78" i="72" s="1"/>
  <c r="K86" i="72" a="1"/>
  <c r="K86" i="72" s="1"/>
  <c r="K74" i="72" a="1"/>
  <c r="K74" i="72" s="1"/>
  <c r="K69" i="72" a="1"/>
  <c r="K69" i="72" s="1"/>
  <c r="BK60" i="69"/>
  <c r="BJ60" i="69" s="1"/>
  <c r="BM60" i="69" s="1"/>
  <c r="AE91" i="72"/>
  <c r="AU64" i="72" a="1"/>
  <c r="AU64" i="72" s="1"/>
  <c r="I355" i="15" a="1"/>
  <c r="I355" i="15" s="1"/>
  <c r="AT23" i="69" a="1"/>
  <c r="AT23" i="69" s="1"/>
  <c r="BM69" i="4"/>
  <c r="BE69" i="4" s="1" a="1"/>
  <c r="BE69" i="4" s="1"/>
  <c r="BD69" i="69"/>
  <c r="AD69" i="69"/>
  <c r="BJ69" i="72"/>
  <c r="AE69" i="72"/>
  <c r="AT68" i="4" a="1"/>
  <c r="AT68" i="4" s="1"/>
  <c r="Y68" i="4"/>
  <c r="AV68" i="4" a="1"/>
  <c r="AV68" i="4" s="1"/>
  <c r="AU68" i="4"/>
  <c r="CA68" i="4"/>
  <c r="BQ68" i="4"/>
  <c r="CY68" i="4"/>
  <c r="CZ68" i="4" s="1"/>
  <c r="P70" i="9" s="1"/>
  <c r="AU36" i="72" a="1"/>
  <c r="AU36" i="72" s="1"/>
  <c r="O7" i="69"/>
  <c r="BL7" i="72"/>
  <c r="BF7" i="69"/>
  <c r="O7" i="72"/>
  <c r="AX1540" i="13"/>
  <c r="A1639" i="13"/>
  <c r="AX1639" i="13" s="1"/>
  <c r="AV1540" i="13"/>
  <c r="AV1639" i="13" s="1"/>
  <c r="A1679" i="13"/>
  <c r="AX1679" i="13" s="1"/>
  <c r="AX1580" i="13"/>
  <c r="AV1580" i="13"/>
  <c r="AV1679" i="13" s="1"/>
  <c r="AG27" i="69" a="1"/>
  <c r="AG27" i="69" s="1"/>
  <c r="AE57" i="72"/>
  <c r="AK73" i="69" a="1"/>
  <c r="AK73" i="69" s="1"/>
  <c r="AQ85" i="72" a="1"/>
  <c r="AQ85" i="72" s="1"/>
  <c r="BR79" i="4"/>
  <c r="AD79" i="69" s="1"/>
  <c r="BI35" i="69" a="1"/>
  <c r="BI35" i="69" s="1"/>
  <c r="Z1674" i="13"/>
  <c r="T82" i="4"/>
  <c r="S82" i="4"/>
  <c r="T84" i="4"/>
  <c r="S84" i="4"/>
  <c r="Z1676" i="13"/>
  <c r="AX1547" i="13"/>
  <c r="AV1547" i="13"/>
  <c r="AV1646" i="13" s="1"/>
  <c r="A1646" i="13"/>
  <c r="AX1646" i="13" s="1"/>
  <c r="AR30" i="69" a="1"/>
  <c r="AR30" i="69" s="1"/>
  <c r="AR15" i="69" a="1"/>
  <c r="AR15" i="69" s="1"/>
  <c r="AI76" i="69" a="1"/>
  <c r="AI76" i="69" s="1"/>
  <c r="AQ26" i="69" a="1"/>
  <c r="AQ26" i="69" s="1"/>
  <c r="AQ71" i="69" a="1"/>
  <c r="AQ71" i="69" s="1"/>
  <c r="AH62" i="72" a="1"/>
  <c r="AH62" i="72" s="1"/>
  <c r="AG17" i="69" a="1"/>
  <c r="AG17" i="69" s="1"/>
  <c r="AG80" i="69" a="1"/>
  <c r="AG80" i="69" s="1"/>
  <c r="AH40" i="72" a="1"/>
  <c r="AH40" i="72" s="1"/>
  <c r="AR43" i="69" a="1"/>
  <c r="AR43" i="69" s="1"/>
  <c r="AR74" i="69" a="1"/>
  <c r="AR74" i="69" s="1"/>
  <c r="AW15" i="72" a="1"/>
  <c r="AW15" i="72" s="1"/>
  <c r="AX24" i="72" a="1"/>
  <c r="AX24" i="72" s="1"/>
  <c r="AR69" i="69" a="1"/>
  <c r="AR69" i="69" s="1"/>
  <c r="AH69" i="72" a="1"/>
  <c r="AH69" i="72" s="1"/>
  <c r="BM62" i="4"/>
  <c r="BE62" i="4" s="1" a="1"/>
  <c r="BE62" i="4" s="1"/>
  <c r="AE62" i="72"/>
  <c r="BJ62" i="72"/>
  <c r="BD62" i="69"/>
  <c r="AD62" i="69"/>
  <c r="I55" i="72"/>
  <c r="S31" i="4"/>
  <c r="T31" i="4"/>
  <c r="Z1623" i="13"/>
  <c r="AV42" i="72" a="1"/>
  <c r="AV42" i="72" s="1"/>
  <c r="BB42" i="72" a="1"/>
  <c r="BB42" i="72" s="1"/>
  <c r="BA42" i="72" a="1"/>
  <c r="BA42" i="72" s="1"/>
  <c r="AR42" i="72" a="1"/>
  <c r="AR42" i="72" s="1"/>
  <c r="AM42" i="72" a="1"/>
  <c r="AM42" i="72" s="1"/>
  <c r="AG42" i="72" a="1"/>
  <c r="AG42" i="72" s="1"/>
  <c r="AH42" i="72" a="1"/>
  <c r="AH42" i="72" s="1"/>
  <c r="AX42" i="72" a="1"/>
  <c r="AX42" i="72" s="1"/>
  <c r="AY42" i="72" a="1"/>
  <c r="AY42" i="72" s="1"/>
  <c r="C36" i="14"/>
  <c r="B36" i="14"/>
  <c r="I306" i="15" a="1"/>
  <c r="I306" i="15" s="1"/>
  <c r="AQ44" i="69" a="1"/>
  <c r="AQ44" i="69" s="1"/>
  <c r="AV1573" i="13"/>
  <c r="AV1672" i="13" s="1"/>
  <c r="A1672" i="13"/>
  <c r="AX1672" i="13" s="1"/>
  <c r="AX1573" i="13"/>
  <c r="BA16" i="72" a="1"/>
  <c r="BA16" i="72" s="1"/>
  <c r="AV16" i="72" a="1"/>
  <c r="AV16" i="72" s="1"/>
  <c r="BB16" i="72" a="1"/>
  <c r="BB16" i="72" s="1"/>
  <c r="AM16" i="72" a="1"/>
  <c r="AM16" i="72" s="1"/>
  <c r="AG16" i="72" a="1"/>
  <c r="AG16" i="72" s="1"/>
  <c r="AR16" i="72" a="1"/>
  <c r="AR16" i="72" s="1"/>
  <c r="AW16" i="72" a="1"/>
  <c r="AW16" i="72" s="1"/>
  <c r="AH16" i="72" a="1"/>
  <c r="AH16" i="72" s="1"/>
  <c r="AY16" i="72" a="1"/>
  <c r="AY16" i="72" s="1"/>
  <c r="AV1516" i="13"/>
  <c r="AV1615" i="13" s="1"/>
  <c r="AX1516" i="13"/>
  <c r="A1615" i="13"/>
  <c r="AX1615" i="13" s="1"/>
  <c r="AW78" i="72" a="1"/>
  <c r="AW78" i="72" s="1"/>
  <c r="BB92" i="72" a="1"/>
  <c r="BB92" i="72" s="1"/>
  <c r="AR92" i="72" a="1"/>
  <c r="AR92" i="72" s="1"/>
  <c r="AG92" i="72" a="1"/>
  <c r="AG92" i="72" s="1"/>
  <c r="AH92" i="72" a="1"/>
  <c r="AH92" i="72" s="1"/>
  <c r="BA92" i="72" a="1"/>
  <c r="BA92" i="72" s="1"/>
  <c r="AV92" i="72" a="1"/>
  <c r="AV92" i="72" s="1"/>
  <c r="AP92" i="72" a="1"/>
  <c r="AP92" i="72" s="1"/>
  <c r="AX92" i="72" a="1"/>
  <c r="AX92" i="72" s="1"/>
  <c r="AM92" i="72" a="1"/>
  <c r="AM92" i="72" s="1"/>
  <c r="AY92" i="72" a="1"/>
  <c r="AY92" i="72" s="1"/>
  <c r="AX1542" i="13"/>
  <c r="AV1542" i="13"/>
  <c r="AV1641" i="13" s="1"/>
  <c r="A1641" i="13"/>
  <c r="AX1641" i="13" s="1"/>
  <c r="Z1617" i="13"/>
  <c r="S25" i="4"/>
  <c r="T25" i="4"/>
  <c r="AT89" i="4" a="1"/>
  <c r="AT89" i="4" s="1"/>
  <c r="AV89" i="4" a="1"/>
  <c r="AV89" i="4" s="1"/>
  <c r="AU89" i="4"/>
  <c r="Y89" i="4"/>
  <c r="CY89" i="4"/>
  <c r="CZ89" i="4" s="1"/>
  <c r="P91" i="9" s="1"/>
  <c r="CA89" i="4"/>
  <c r="BQ89" i="4"/>
  <c r="AG5" i="69" a="1"/>
  <c r="AG5" i="69" s="1"/>
  <c r="AB1748" i="13"/>
  <c r="AV1748" i="13"/>
  <c r="Z1769" i="13"/>
  <c r="S66" i="4"/>
  <c r="Z1658" i="13"/>
  <c r="T66" i="4"/>
  <c r="BS106" i="4"/>
  <c r="AK57" i="69" a="1"/>
  <c r="AK57" i="69" s="1"/>
  <c r="AJ56" i="69" a="1"/>
  <c r="AJ56" i="69" s="1"/>
  <c r="AE72" i="72"/>
  <c r="BD1770" i="13"/>
  <c r="AX1543" i="13"/>
  <c r="AV1543" i="13"/>
  <c r="AV1642" i="13" s="1"/>
  <c r="A1642" i="13"/>
  <c r="AX1642" i="13" s="1"/>
  <c r="A1631" i="13"/>
  <c r="AX1631" i="13" s="1"/>
  <c r="AV1532" i="13"/>
  <c r="AV1631" i="13" s="1"/>
  <c r="AX1532" i="13"/>
  <c r="AR83" i="4"/>
  <c r="AQ83" i="4"/>
  <c r="AV1551" i="13"/>
  <c r="AV1650" i="13" s="1"/>
  <c r="A1650" i="13"/>
  <c r="AX1650" i="13" s="1"/>
  <c r="AX1551" i="13"/>
  <c r="AT88" i="4" a="1"/>
  <c r="AT88" i="4" s="1"/>
  <c r="AV88" i="4" a="1"/>
  <c r="AV88" i="4" s="1"/>
  <c r="AU88" i="4"/>
  <c r="Y88" i="4"/>
  <c r="BQ88" i="4"/>
  <c r="CY88" i="4"/>
  <c r="CZ88" i="4" s="1"/>
  <c r="CA88" i="4"/>
  <c r="I179" i="15" a="1"/>
  <c r="I179" i="15" s="1"/>
  <c r="BR60" i="72" a="1"/>
  <c r="BR60" i="72" s="1"/>
  <c r="O82" i="69"/>
  <c r="BF82" i="69"/>
  <c r="BL82" i="72"/>
  <c r="O82" i="72"/>
  <c r="BM84" i="4"/>
  <c r="BE84" i="4" s="1" a="1"/>
  <c r="BE84" i="4" s="1"/>
  <c r="BD84" i="69"/>
  <c r="AD84" i="69"/>
  <c r="AE84" i="72"/>
  <c r="BJ84" i="72"/>
  <c r="AI11" i="69" a="1"/>
  <c r="AI11" i="69" s="1"/>
  <c r="F164" i="15" a="1"/>
  <c r="F164" i="15" s="1"/>
  <c r="H164" i="15" a="1"/>
  <c r="H164" i="15" s="1"/>
  <c r="AF23" i="72" a="1"/>
  <c r="AF23" i="72" s="1"/>
  <c r="AU23" i="72" s="1" a="1"/>
  <c r="AU23" i="72" s="1"/>
  <c r="G102" i="15"/>
  <c r="G71" i="15"/>
  <c r="I71" i="15" a="1"/>
  <c r="I71" i="15" s="1"/>
  <c r="AX1558" i="13"/>
  <c r="AV1558" i="13"/>
  <c r="AV1657" i="13" s="1"/>
  <c r="A1657" i="13"/>
  <c r="AX1657" i="13" s="1"/>
  <c r="BO79" i="72" a="1"/>
  <c r="BO79" i="72" s="1"/>
  <c r="AV1500" i="13"/>
  <c r="A1599" i="13"/>
  <c r="AX1599" i="13" s="1"/>
  <c r="AX1500" i="13"/>
  <c r="AK40" i="69" a="1"/>
  <c r="AK40" i="69" s="1"/>
  <c r="AP40" i="69" a="1"/>
  <c r="AP40" i="69" s="1"/>
  <c r="AF40" i="69" a="1"/>
  <c r="AF40" i="69" s="1"/>
  <c r="AJ40" i="69" a="1"/>
  <c r="AJ40" i="69" s="1"/>
  <c r="AG40" i="69" a="1"/>
  <c r="AG40" i="69" s="1"/>
  <c r="AL40" i="69" a="1"/>
  <c r="AL40" i="69" s="1"/>
  <c r="AR40" i="69" a="1"/>
  <c r="AR40" i="69" s="1"/>
  <c r="AV40" i="69" a="1"/>
  <c r="AV40" i="69" s="1"/>
  <c r="AH40" i="69" a="1"/>
  <c r="AH40" i="69" s="1"/>
  <c r="AI40" i="69" a="1"/>
  <c r="AI40" i="69" s="1"/>
  <c r="AQ40" i="69" a="1"/>
  <c r="AQ40" i="69" s="1"/>
  <c r="AU40" i="69" a="1"/>
  <c r="AU40" i="69" s="1"/>
  <c r="AS40" i="69" a="1"/>
  <c r="AS40" i="69" s="1"/>
  <c r="I240" i="15" a="1"/>
  <c r="I240" i="15" s="1"/>
  <c r="BF60" i="69"/>
  <c r="E23" i="69"/>
  <c r="AU22" i="72" a="1"/>
  <c r="AU22" i="72" s="1"/>
  <c r="BA22" i="72" a="1"/>
  <c r="BA22" i="72" s="1"/>
  <c r="AH22" i="72" a="1"/>
  <c r="AH22" i="72" s="1"/>
  <c r="AX22" i="72" a="1"/>
  <c r="AX22" i="72" s="1"/>
  <c r="AP22" i="72" a="1"/>
  <c r="AP22" i="72" s="1"/>
  <c r="AM22" i="72" a="1"/>
  <c r="AM22" i="72" s="1"/>
  <c r="BB22" i="72" a="1"/>
  <c r="BB22" i="72" s="1"/>
  <c r="AV22" i="72" a="1"/>
  <c r="AV22" i="72" s="1"/>
  <c r="AR22" i="72" a="1"/>
  <c r="AR22" i="72" s="1"/>
  <c r="AG22" i="72" a="1"/>
  <c r="AG22" i="72" s="1"/>
  <c r="AY22" i="72" a="1"/>
  <c r="AY22" i="72" s="1"/>
  <c r="AQ71" i="4"/>
  <c r="AR71" i="4"/>
  <c r="AQ92" i="4"/>
  <c r="AR92" i="4"/>
  <c r="AW84" i="72" a="1"/>
  <c r="AW84" i="72" s="1"/>
  <c r="AP84" i="72" a="1"/>
  <c r="AP84" i="72" s="1"/>
  <c r="AX84" i="72" a="1"/>
  <c r="AX84" i="72" s="1"/>
  <c r="BA84" i="72" a="1"/>
  <c r="BA84" i="72" s="1"/>
  <c r="AG84" i="72" a="1"/>
  <c r="AG84" i="72" s="1"/>
  <c r="AV84" i="72" a="1"/>
  <c r="AV84" i="72" s="1"/>
  <c r="AR84" i="72" a="1"/>
  <c r="AR84" i="72" s="1"/>
  <c r="BB84" i="72" a="1"/>
  <c r="BB84" i="72" s="1"/>
  <c r="AM84" i="72" a="1"/>
  <c r="AM84" i="72" s="1"/>
  <c r="AH84" i="72" a="1"/>
  <c r="AH84" i="72" s="1"/>
  <c r="AY84" i="72" a="1"/>
  <c r="AY84" i="72" s="1"/>
  <c r="K85" i="69" a="1"/>
  <c r="K85" i="69" s="1"/>
  <c r="AO21" i="69" a="1"/>
  <c r="AO21" i="69" s="1"/>
  <c r="AX53" i="72" a="1"/>
  <c r="AX53" i="72" s="1"/>
  <c r="AM53" i="72" a="1"/>
  <c r="AM53" i="72" s="1"/>
  <c r="BB53" i="72" a="1"/>
  <c r="BB53" i="72" s="1"/>
  <c r="BA53" i="72" a="1"/>
  <c r="BA53" i="72" s="1"/>
  <c r="AR53" i="72" a="1"/>
  <c r="AR53" i="72" s="1"/>
  <c r="AH53" i="72" a="1"/>
  <c r="AH53" i="72" s="1"/>
  <c r="AV53" i="72" a="1"/>
  <c r="AV53" i="72" s="1"/>
  <c r="AW53" i="72" a="1"/>
  <c r="AW53" i="72" s="1"/>
  <c r="AP53" i="72" a="1"/>
  <c r="AP53" i="72" s="1"/>
  <c r="AG53" i="72" a="1"/>
  <c r="AG53" i="72" s="1"/>
  <c r="AY53" i="72" a="1"/>
  <c r="AY53" i="72" s="1"/>
  <c r="AV1523" i="13"/>
  <c r="AV1622" i="13" s="1"/>
  <c r="A1622" i="13"/>
  <c r="AX1622" i="13" s="1"/>
  <c r="AX1523" i="13"/>
  <c r="I608" i="15" a="1"/>
  <c r="I608" i="15" s="1"/>
  <c r="AS48" i="69" a="1"/>
  <c r="AS48" i="69" s="1"/>
  <c r="AF48" i="69" a="1"/>
  <c r="AF48" i="69" s="1"/>
  <c r="AH48" i="69" a="1"/>
  <c r="AH48" i="69" s="1"/>
  <c r="AP48" i="69" a="1"/>
  <c r="AP48" i="69" s="1"/>
  <c r="AV48" i="69" a="1"/>
  <c r="AV48" i="69" s="1"/>
  <c r="AI48" i="69" a="1"/>
  <c r="AI48" i="69" s="1"/>
  <c r="AJ48" i="69" a="1"/>
  <c r="AJ48" i="69" s="1"/>
  <c r="AG48" i="69" a="1"/>
  <c r="AG48" i="69" s="1"/>
  <c r="AL48" i="69" a="1"/>
  <c r="AL48" i="69" s="1"/>
  <c r="AR48" i="69" a="1"/>
  <c r="AR48" i="69" s="1"/>
  <c r="AQ48" i="69" a="1"/>
  <c r="AQ48" i="69" s="1"/>
  <c r="AU48" i="69" a="1"/>
  <c r="AU48" i="69" s="1"/>
  <c r="S3" i="1" a="1"/>
  <c r="S3" i="1" s="1"/>
  <c r="S101" i="1" s="1"/>
  <c r="AI51" i="69" a="1"/>
  <c r="AI51" i="69" s="1"/>
  <c r="AH80" i="72" a="1"/>
  <c r="AH80" i="72" s="1"/>
  <c r="I279" i="15" a="1"/>
  <c r="I279" i="15" s="1"/>
  <c r="A1668" i="13"/>
  <c r="AX1668" i="13" s="1"/>
  <c r="AV1569" i="13"/>
  <c r="AV1668" i="13" s="1"/>
  <c r="AX1569" i="13"/>
  <c r="K96" i="69" a="1"/>
  <c r="K96" i="69" s="1"/>
  <c r="K63" i="72" a="1"/>
  <c r="K63" i="72" s="1"/>
  <c r="BT107" i="4"/>
  <c r="AV1513" i="13"/>
  <c r="AV1612" i="13" s="1"/>
  <c r="AX1513" i="13"/>
  <c r="A1612" i="13"/>
  <c r="AX1612" i="13" s="1"/>
  <c r="AV1469" i="13"/>
  <c r="AU67" i="72" a="1"/>
  <c r="AU67" i="72" s="1"/>
  <c r="AW77" i="72" a="1"/>
  <c r="AW77" i="72" s="1"/>
  <c r="AQ50" i="69" a="1"/>
  <c r="AQ50" i="69" s="1"/>
  <c r="AW52" i="72" a="1"/>
  <c r="AW52" i="72" s="1"/>
  <c r="AH20" i="72" a="1"/>
  <c r="AH20" i="72" s="1"/>
  <c r="AR17" i="69" a="1"/>
  <c r="AR17" i="69" s="1"/>
  <c r="AR20" i="69" a="1"/>
  <c r="AR20" i="69" s="1"/>
  <c r="AG72" i="69" a="1"/>
  <c r="AG72" i="69" s="1"/>
  <c r="AG74" i="69" a="1"/>
  <c r="AG74" i="69" s="1"/>
  <c r="I55" i="69"/>
  <c r="AL65" i="69" a="1"/>
  <c r="AL65" i="69" s="1"/>
  <c r="AH65" i="69" a="1"/>
  <c r="AH65" i="69" s="1"/>
  <c r="AU65" i="69" a="1"/>
  <c r="AU65" i="69" s="1"/>
  <c r="AP65" i="69" a="1"/>
  <c r="AP65" i="69" s="1"/>
  <c r="AJ65" i="69" a="1"/>
  <c r="AJ65" i="69" s="1"/>
  <c r="AF65" i="69" a="1"/>
  <c r="AF65" i="69" s="1"/>
  <c r="AQ65" i="69" a="1"/>
  <c r="AQ65" i="69" s="1"/>
  <c r="AI65" i="69" a="1"/>
  <c r="AI65" i="69" s="1"/>
  <c r="AV65" i="69" a="1"/>
  <c r="AV65" i="69" s="1"/>
  <c r="AS65" i="69" a="1"/>
  <c r="AS65" i="69" s="1"/>
  <c r="AQ84" i="4"/>
  <c r="AR84" i="4"/>
  <c r="Y63" i="4"/>
  <c r="AV63" i="4" a="1"/>
  <c r="AV63" i="4" s="1"/>
  <c r="AT63" i="4" a="1"/>
  <c r="AT63" i="4" s="1"/>
  <c r="AU63" i="4"/>
  <c r="BQ63" i="4"/>
  <c r="CY63" i="4"/>
  <c r="CZ63" i="4" s="1"/>
  <c r="CA63" i="4"/>
  <c r="Z1678" i="13"/>
  <c r="S86" i="4"/>
  <c r="T86" i="4"/>
  <c r="AV1572" i="13"/>
  <c r="AV1671" i="13" s="1"/>
  <c r="AX1572" i="13"/>
  <c r="A1671" i="13"/>
  <c r="AX1671" i="13" s="1"/>
  <c r="AY51" i="72" a="1"/>
  <c r="AY51" i="72" s="1"/>
  <c r="AP51" i="72" a="1"/>
  <c r="AP51" i="72" s="1"/>
  <c r="AV51" i="72" a="1"/>
  <c r="AV51" i="72" s="1"/>
  <c r="AG51" i="72" a="1"/>
  <c r="AG51" i="72" s="1"/>
  <c r="BB51" i="72" a="1"/>
  <c r="BB51" i="72" s="1"/>
  <c r="BA51" i="72" a="1"/>
  <c r="BA51" i="72" s="1"/>
  <c r="AM51" i="72" a="1"/>
  <c r="AM51" i="72" s="1"/>
  <c r="AH51" i="72" a="1"/>
  <c r="AH51" i="72" s="1"/>
  <c r="AX51" i="72" a="1"/>
  <c r="AX51" i="72" s="1"/>
  <c r="AR51" i="72" a="1"/>
  <c r="AR51" i="72" s="1"/>
  <c r="I554" i="15" a="1"/>
  <c r="I554" i="15" s="1"/>
  <c r="O89" i="72"/>
  <c r="BL89" i="72"/>
  <c r="BF89" i="69"/>
  <c r="O89" i="69"/>
  <c r="AU42" i="72" a="1"/>
  <c r="AU42" i="72" s="1"/>
  <c r="Z1665" i="13"/>
  <c r="T73" i="4"/>
  <c r="S73" i="4"/>
  <c r="AG21" i="72" a="1"/>
  <c r="AG21" i="72" s="1"/>
  <c r="BB21" i="72" a="1"/>
  <c r="BB21" i="72" s="1"/>
  <c r="BA21" i="72" a="1"/>
  <c r="BA21" i="72" s="1"/>
  <c r="AP21" i="72" a="1"/>
  <c r="AP21" i="72" s="1"/>
  <c r="AV21" i="72" a="1"/>
  <c r="AV21" i="72" s="1"/>
  <c r="AR21" i="72" a="1"/>
  <c r="AR21" i="72" s="1"/>
  <c r="AX21" i="72" a="1"/>
  <c r="AX21" i="72" s="1"/>
  <c r="AH21" i="72" a="1"/>
  <c r="AH21" i="72" s="1"/>
  <c r="AW21" i="72" a="1"/>
  <c r="AW21" i="72" s="1"/>
  <c r="AM21" i="72" a="1"/>
  <c r="AM21" i="72" s="1"/>
  <c r="AY21" i="72" a="1"/>
  <c r="AY21" i="72" s="1"/>
  <c r="AO65" i="69" a="1"/>
  <c r="AO65" i="69" s="1"/>
  <c r="BS107" i="4"/>
  <c r="AX1505" i="13"/>
  <c r="AV1505" i="13"/>
  <c r="AV1604" i="13" s="1"/>
  <c r="A1604" i="13"/>
  <c r="AX1604" i="13" s="1"/>
  <c r="BI19" i="69" a="1"/>
  <c r="BI19" i="69" s="1"/>
  <c r="AH44" i="72" a="1"/>
  <c r="AH44" i="72" s="1"/>
  <c r="AQ21" i="72" a="1"/>
  <c r="AQ21" i="72" s="1"/>
  <c r="AR94" i="4"/>
  <c r="AQ94" i="4"/>
  <c r="O92" i="72"/>
  <c r="BL92" i="72"/>
  <c r="O92" i="69"/>
  <c r="BF92" i="69"/>
  <c r="AR58" i="4"/>
  <c r="AQ58" i="4"/>
  <c r="I55" i="15" a="1"/>
  <c r="I55" i="15" s="1"/>
  <c r="G55" i="15"/>
  <c r="T33" i="4"/>
  <c r="Z1625" i="13"/>
  <c r="S33" i="4"/>
  <c r="AR31" i="69" a="1"/>
  <c r="AR31" i="69" s="1"/>
  <c r="O88" i="72"/>
  <c r="O88" i="69"/>
  <c r="BL88" i="72"/>
  <c r="BF88" i="69"/>
  <c r="AF60" i="72" a="1"/>
  <c r="AF60" i="72" s="1"/>
  <c r="BO60" i="72" s="1" a="1"/>
  <c r="BO60" i="72" s="1"/>
  <c r="AR86" i="4"/>
  <c r="AQ86" i="4"/>
  <c r="K68" i="69" a="1"/>
  <c r="K68" i="69" s="1"/>
  <c r="BW23" i="72"/>
  <c r="AI92" i="69" a="1"/>
  <c r="AI92" i="69" s="1"/>
  <c r="BO39" i="72" a="1"/>
  <c r="BO39" i="72" s="1"/>
  <c r="AJ21" i="69" a="1"/>
  <c r="AJ21" i="69" s="1"/>
  <c r="BF68" i="69"/>
  <c r="O68" i="69"/>
  <c r="BL68" i="72"/>
  <c r="O68" i="72"/>
  <c r="AI56" i="69" a="1"/>
  <c r="AI56" i="69" s="1"/>
  <c r="Z97" i="4"/>
  <c r="AQ51" i="72" a="1"/>
  <c r="AQ51" i="72" s="1"/>
  <c r="AH27" i="69" a="1"/>
  <c r="AH27" i="69" s="1"/>
  <c r="AL27" i="69" a="1"/>
  <c r="AL27" i="69" s="1"/>
  <c r="AF27" i="69" a="1"/>
  <c r="AF27" i="69" s="1"/>
  <c r="AV27" i="69" a="1"/>
  <c r="AV27" i="69" s="1"/>
  <c r="AP27" i="69" a="1"/>
  <c r="AP27" i="69" s="1"/>
  <c r="AU27" i="69" a="1"/>
  <c r="AU27" i="69" s="1"/>
  <c r="AI27" i="69" a="1"/>
  <c r="AI27" i="69" s="1"/>
  <c r="AR27" i="69" a="1"/>
  <c r="AR27" i="69" s="1"/>
  <c r="AS27" i="69" a="1"/>
  <c r="AS27" i="69" s="1"/>
  <c r="AV77" i="4" a="1"/>
  <c r="AV77" i="4" s="1"/>
  <c r="AU77" i="4"/>
  <c r="Y77" i="4"/>
  <c r="AT77" i="4" a="1"/>
  <c r="AT77" i="4" s="1"/>
  <c r="CA77" i="4"/>
  <c r="CY77" i="4"/>
  <c r="CZ77" i="4" s="1"/>
  <c r="P79" i="9" s="1"/>
  <c r="BQ77" i="4"/>
  <c r="Z1628" i="13"/>
  <c r="T36" i="4"/>
  <c r="S36" i="4"/>
  <c r="AQ42" i="72" a="1"/>
  <c r="AQ42" i="72" s="1"/>
  <c r="Z1606" i="13"/>
  <c r="S14" i="4"/>
  <c r="T14" i="4"/>
  <c r="AQ35" i="69" a="1"/>
  <c r="AQ35" i="69" s="1"/>
  <c r="BI104" i="4"/>
  <c r="BT104" i="4"/>
  <c r="Z1747" i="13" s="1"/>
  <c r="Z1768" i="13" s="1"/>
  <c r="S79" i="4"/>
  <c r="Z1671" i="13"/>
  <c r="T79" i="4"/>
  <c r="AX1568" i="13"/>
  <c r="AV1568" i="13"/>
  <c r="AV1667" i="13" s="1"/>
  <c r="A1667" i="13"/>
  <c r="AX1667" i="13" s="1"/>
  <c r="BI28" i="69" a="1"/>
  <c r="BI28" i="69" s="1"/>
  <c r="AQ39" i="69" a="1"/>
  <c r="AQ39" i="69" s="1"/>
  <c r="AG30" i="69" a="1"/>
  <c r="AG30" i="69" s="1"/>
  <c r="AQ86" i="69" a="1"/>
  <c r="AQ86" i="69" s="1"/>
  <c r="AR77" i="69" a="1"/>
  <c r="AR77" i="69" s="1"/>
  <c r="AH34" i="72" a="1"/>
  <c r="AH34" i="72" s="1"/>
  <c r="AW71" i="72" a="1"/>
  <c r="AW71" i="72" s="1"/>
  <c r="AG83" i="69" a="1"/>
  <c r="AG83" i="69" s="1"/>
  <c r="AQ34" i="69" a="1"/>
  <c r="AQ34" i="69" s="1"/>
  <c r="AX20" i="72" a="1"/>
  <c r="AX20" i="72" s="1"/>
  <c r="AR29" i="69" a="1"/>
  <c r="AR29" i="69" s="1"/>
  <c r="AH63" i="72" a="1"/>
  <c r="AH63" i="72" s="1"/>
  <c r="AH73" i="72" a="1"/>
  <c r="AH73" i="72" s="1"/>
  <c r="AR38" i="69" a="1"/>
  <c r="AR38" i="69" s="1"/>
  <c r="A1678" i="13"/>
  <c r="AX1678" i="13" s="1"/>
  <c r="AX1579" i="13"/>
  <c r="AV1579" i="13"/>
  <c r="AV1678" i="13" s="1"/>
  <c r="Y82" i="4"/>
  <c r="AU82" i="4"/>
  <c r="AT82" i="4" a="1"/>
  <c r="AT82" i="4" s="1"/>
  <c r="AV82" i="4" a="1"/>
  <c r="AV82" i="4" s="1"/>
  <c r="CA82" i="4"/>
  <c r="CY82" i="4"/>
  <c r="CZ82" i="4" s="1"/>
  <c r="BQ82" i="4"/>
  <c r="AW41" i="72" a="1"/>
  <c r="AW41" i="72" s="1"/>
  <c r="BA49" i="72" a="1"/>
  <c r="BA49" i="72" s="1"/>
  <c r="AV49" i="72" a="1"/>
  <c r="AV49" i="72" s="1"/>
  <c r="BB49" i="72" a="1"/>
  <c r="BB49" i="72" s="1"/>
  <c r="AM49" i="72" a="1"/>
  <c r="AM49" i="72" s="1"/>
  <c r="AR49" i="72" a="1"/>
  <c r="AR49" i="72" s="1"/>
  <c r="AH49" i="72" a="1"/>
  <c r="AH49" i="72" s="1"/>
  <c r="AW49" i="72" a="1"/>
  <c r="AW49" i="72" s="1"/>
  <c r="AY49" i="72" a="1"/>
  <c r="AY49" i="72" s="1"/>
  <c r="BL63" i="72"/>
  <c r="O63" i="69"/>
  <c r="O63" i="72"/>
  <c r="BF63" i="69"/>
  <c r="AT71" i="4" a="1"/>
  <c r="AT71" i="4" s="1"/>
  <c r="AV71" i="4" a="1"/>
  <c r="AV71" i="4" s="1"/>
  <c r="AU71" i="4"/>
  <c r="Y71" i="4"/>
  <c r="CA71" i="4"/>
  <c r="CY71" i="4"/>
  <c r="CZ71" i="4" s="1"/>
  <c r="BQ71" i="4"/>
  <c r="AX1521" i="13"/>
  <c r="A1620" i="13"/>
  <c r="AX1620" i="13" s="1"/>
  <c r="AV1521" i="13"/>
  <c r="AV1620" i="13" s="1"/>
  <c r="AX1512" i="13"/>
  <c r="AV1512" i="13"/>
  <c r="AV1611" i="13" s="1"/>
  <c r="A1611" i="13"/>
  <c r="AX1611" i="13" s="1"/>
  <c r="AI12" i="69" a="1"/>
  <c r="AI12" i="69" s="1"/>
  <c r="AU16" i="72" a="1"/>
  <c r="AU16" i="72" s="1"/>
  <c r="AV1560" i="13"/>
  <c r="AV1659" i="13" s="1"/>
  <c r="A1659" i="13"/>
  <c r="AX1659" i="13" s="1"/>
  <c r="AX1560" i="13"/>
  <c r="I481" i="15" a="1"/>
  <c r="I481" i="15" s="1"/>
  <c r="AG64" i="69" a="1"/>
  <c r="AG64" i="69" s="1"/>
  <c r="Z1651" i="13"/>
  <c r="S59" i="4"/>
  <c r="T59" i="4"/>
  <c r="T45" i="4"/>
  <c r="Z1637" i="13"/>
  <c r="S45" i="4"/>
  <c r="AI3" i="1" a="1"/>
  <c r="AI3" i="1" s="1"/>
  <c r="AI101" i="1" s="1"/>
  <c r="AK59" i="69" a="1"/>
  <c r="AK59" i="69" s="1"/>
  <c r="AW8" i="72" a="1"/>
  <c r="AW8" i="72" s="1"/>
  <c r="BM81" i="4"/>
  <c r="BE81" i="4" s="1" a="1"/>
  <c r="BE81" i="4" s="1"/>
  <c r="AE81" i="72"/>
  <c r="BJ81" i="72"/>
  <c r="AD81" i="69"/>
  <c r="BD81" i="69"/>
  <c r="BL60" i="72"/>
  <c r="E60" i="72"/>
  <c r="AJ60" i="69" a="1"/>
  <c r="AJ60" i="69" s="1"/>
  <c r="AP60" i="69" a="1"/>
  <c r="AP60" i="69" s="1"/>
  <c r="AU60" i="69" a="1"/>
  <c r="AU60" i="69" s="1"/>
  <c r="AF60" i="69" a="1"/>
  <c r="AF60" i="69" s="1"/>
  <c r="AV60" i="69" a="1"/>
  <c r="AV60" i="69" s="1"/>
  <c r="AL60" i="69" a="1"/>
  <c r="AL60" i="69" s="1"/>
  <c r="AH60" i="69" a="1"/>
  <c r="AH60" i="69" s="1"/>
  <c r="BA60" i="69"/>
  <c r="AZ60" i="69"/>
  <c r="AI60" i="69" s="1" a="1"/>
  <c r="AI60" i="69" s="1"/>
  <c r="AU78" i="72" a="1"/>
  <c r="AU78" i="72" s="1"/>
  <c r="AD23" i="69"/>
  <c r="BL23" i="69" a="1"/>
  <c r="BL23" i="69" s="1"/>
  <c r="BB23" i="69"/>
  <c r="AQ23" i="69" s="1" a="1"/>
  <c r="AQ23" i="69" s="1"/>
  <c r="R23" i="69"/>
  <c r="BI23" i="69" a="1"/>
  <c r="BI23" i="69" s="1"/>
  <c r="AK23" i="69" a="1"/>
  <c r="AK23" i="69" s="1"/>
  <c r="AY23" i="69"/>
  <c r="BH23" i="69" a="1"/>
  <c r="BH23" i="69" s="1"/>
  <c r="BO23" i="69"/>
  <c r="AK21" i="69" a="1"/>
  <c r="AK21" i="69" s="1"/>
  <c r="BM90" i="4"/>
  <c r="BE90" i="4" s="1" a="1"/>
  <c r="BE90" i="4" s="1"/>
  <c r="AE90" i="72"/>
  <c r="BD90" i="69"/>
  <c r="BJ90" i="72"/>
  <c r="AD90" i="69"/>
  <c r="AI59" i="69" a="1"/>
  <c r="AI59" i="69" s="1"/>
  <c r="I594" i="15" a="1"/>
  <c r="I594" i="15" s="1"/>
  <c r="AI73" i="69" a="1"/>
  <c r="AI73" i="69" s="1"/>
  <c r="BO51" i="72" a="1"/>
  <c r="BO51" i="72" s="1"/>
  <c r="AV1544" i="13"/>
  <c r="AV1643" i="13" s="1"/>
  <c r="A1643" i="13"/>
  <c r="AX1643" i="13" s="1"/>
  <c r="AX1544" i="13"/>
  <c r="AY83" i="72" a="1"/>
  <c r="AY83" i="72" s="1"/>
  <c r="BA83" i="72" a="1"/>
  <c r="BA83" i="72" s="1"/>
  <c r="AM83" i="72" a="1"/>
  <c r="AM83" i="72" s="1"/>
  <c r="BB83" i="72" a="1"/>
  <c r="BB83" i="72" s="1"/>
  <c r="AP83" i="72" a="1"/>
  <c r="AP83" i="72" s="1"/>
  <c r="AG83" i="72" a="1"/>
  <c r="AG83" i="72" s="1"/>
  <c r="AH83" i="72" a="1"/>
  <c r="AH83" i="72" s="1"/>
  <c r="AR83" i="72" a="1"/>
  <c r="AR83" i="72" s="1"/>
  <c r="AV83" i="72" a="1"/>
  <c r="AV83" i="72" s="1"/>
  <c r="AW83" i="72" a="1"/>
  <c r="AW83" i="72" s="1"/>
  <c r="AO56" i="69" a="1"/>
  <c r="AO56" i="69" s="1"/>
  <c r="AV1464" i="13"/>
  <c r="AQ49" i="72" a="1"/>
  <c r="AQ49" i="72" s="1"/>
  <c r="AQ83" i="72" a="1"/>
  <c r="AQ83" i="72" s="1"/>
  <c r="AU48" i="72" a="1"/>
  <c r="AU48" i="72" s="1"/>
  <c r="G81" i="15"/>
  <c r="I81" i="15" a="1"/>
  <c r="I81" i="15" s="1"/>
  <c r="BB103" i="4"/>
  <c r="BC103" i="4"/>
  <c r="AV1571" i="13"/>
  <c r="AV1670" i="13" s="1"/>
  <c r="AX1571" i="13"/>
  <c r="A1670" i="13"/>
  <c r="AX1670" i="13" s="1"/>
  <c r="AG79" i="69" a="1"/>
  <c r="AG79" i="69" s="1"/>
  <c r="T60" i="4"/>
  <c r="Z1652" i="13"/>
  <c r="S60" i="4"/>
  <c r="S38" i="4"/>
  <c r="Z1630" i="13"/>
  <c r="T38" i="4"/>
  <c r="G62" i="15"/>
  <c r="I62" i="15" a="1"/>
  <c r="I62" i="15" s="1"/>
  <c r="AI39" i="69" a="1"/>
  <c r="AI39" i="69" s="1"/>
  <c r="AI33" i="69" a="1"/>
  <c r="AI33" i="69" s="1"/>
  <c r="AQ67" i="69" a="1"/>
  <c r="AQ67" i="69" s="1"/>
  <c r="AG81" i="69" a="1"/>
  <c r="AG81" i="69" s="1"/>
  <c r="AI20" i="69" a="1"/>
  <c r="AI20" i="69" s="1"/>
  <c r="AW73" i="72" a="1"/>
  <c r="AW73" i="72" s="1"/>
  <c r="AR72" i="69" a="1"/>
  <c r="AR72" i="69" s="1"/>
  <c r="AI38" i="69" a="1"/>
  <c r="AI38" i="69" s="1"/>
  <c r="AH24" i="72" a="1"/>
  <c r="AH24" i="72" s="1"/>
  <c r="BG55" i="4"/>
  <c r="BE104" i="4" s="1"/>
  <c r="Z1735" i="13" s="1"/>
  <c r="BP194" i="4"/>
  <c r="AS19" i="69" a="1"/>
  <c r="AS19" i="69" s="1"/>
  <c r="AL19" i="69" a="1"/>
  <c r="AL19" i="69" s="1"/>
  <c r="AP19" i="69" a="1"/>
  <c r="AP19" i="69" s="1"/>
  <c r="AV19" i="69" a="1"/>
  <c r="AV19" i="69" s="1"/>
  <c r="AF19" i="69" a="1"/>
  <c r="AF19" i="69" s="1"/>
  <c r="AU19" i="69" a="1"/>
  <c r="AU19" i="69" s="1"/>
  <c r="AH19" i="69" a="1"/>
  <c r="AH19" i="69" s="1"/>
  <c r="AR19" i="69" a="1"/>
  <c r="AR19" i="69" s="1"/>
  <c r="AG19" i="69" a="1"/>
  <c r="AG19" i="69" s="1"/>
  <c r="AR64" i="4"/>
  <c r="AQ64" i="4"/>
  <c r="AQ90" i="72" a="1"/>
  <c r="AQ90" i="72" s="1"/>
  <c r="AM90" i="72" a="1"/>
  <c r="AM90" i="72" s="1"/>
  <c r="AH90" i="72" a="1"/>
  <c r="AH90" i="72" s="1"/>
  <c r="AW90" i="72" a="1"/>
  <c r="AW90" i="72" s="1"/>
  <c r="AX90" i="72" a="1"/>
  <c r="AX90" i="72" s="1"/>
  <c r="BB90" i="72" a="1"/>
  <c r="BB90" i="72" s="1"/>
  <c r="BA90" i="72" a="1"/>
  <c r="BA90" i="72" s="1"/>
  <c r="AR90" i="72" a="1"/>
  <c r="AR90" i="72" s="1"/>
  <c r="AP90" i="72" a="1"/>
  <c r="AP90" i="72" s="1"/>
  <c r="AV90" i="72" a="1"/>
  <c r="AV90" i="72" s="1"/>
  <c r="AG90" i="72" a="1"/>
  <c r="AG90" i="72" s="1"/>
  <c r="AY90" i="72" a="1"/>
  <c r="AY90" i="72" s="1"/>
  <c r="I405" i="15" a="1"/>
  <c r="I405" i="15" s="1"/>
  <c r="R35" i="14"/>
  <c r="J35" i="14"/>
  <c r="Z35" i="14"/>
  <c r="H35" i="14"/>
  <c r="N35" i="14"/>
  <c r="F35" i="14"/>
  <c r="L35" i="14"/>
  <c r="X35" i="14"/>
  <c r="K35" i="14"/>
  <c r="P35" i="14"/>
  <c r="O35" i="14"/>
  <c r="G35" i="14"/>
  <c r="Y35" i="14"/>
  <c r="Q35" i="14"/>
  <c r="V35" i="14"/>
  <c r="T35" i="14"/>
  <c r="W35" i="14"/>
  <c r="U35" i="14"/>
  <c r="I35" i="14"/>
  <c r="M35" i="14"/>
  <c r="S35" i="14"/>
  <c r="AP79" i="69" a="1"/>
  <c r="AP79" i="69" s="1"/>
  <c r="AV79" i="69" a="1"/>
  <c r="AV79" i="69" s="1"/>
  <c r="AU79" i="69" a="1"/>
  <c r="AU79" i="69" s="1"/>
  <c r="AJ79" i="69" a="1"/>
  <c r="AJ79" i="69" s="1"/>
  <c r="AF79" i="69" a="1"/>
  <c r="AF79" i="69" s="1"/>
  <c r="AH79" i="69" a="1"/>
  <c r="AH79" i="69" s="1"/>
  <c r="AL79" i="69" a="1"/>
  <c r="AL79" i="69" s="1"/>
  <c r="AI79" i="69" a="1"/>
  <c r="AI79" i="69" s="1"/>
  <c r="AQ79" i="69" a="1"/>
  <c r="AQ79" i="69" s="1"/>
  <c r="AS79" i="69" a="1"/>
  <c r="AS79" i="69" s="1"/>
  <c r="BM82" i="4"/>
  <c r="BE82" i="4" s="1" a="1"/>
  <c r="BE82" i="4" s="1"/>
  <c r="AE82" i="72"/>
  <c r="AD82" i="69"/>
  <c r="BD82" i="69"/>
  <c r="BJ82" i="72"/>
  <c r="T52" i="4"/>
  <c r="S52" i="4"/>
  <c r="Z1644" i="13"/>
  <c r="I486" i="15" a="1"/>
  <c r="I486" i="15" s="1"/>
  <c r="O71" i="69"/>
  <c r="O71" i="72"/>
  <c r="BF71" i="69"/>
  <c r="BL71" i="72"/>
  <c r="AD71" i="69"/>
  <c r="AE71" i="72"/>
  <c r="AG6" i="69" a="1"/>
  <c r="AG6" i="69" s="1"/>
  <c r="AQ57" i="72" a="1"/>
  <c r="AQ57" i="72" s="1"/>
  <c r="O14" i="72"/>
  <c r="O14" i="69"/>
  <c r="BF14" i="69"/>
  <c r="BL14" i="72"/>
  <c r="BM89" i="4"/>
  <c r="BE89" i="4" s="1" a="1"/>
  <c r="BE89" i="4" s="1"/>
  <c r="AE89" i="72"/>
  <c r="BJ89" i="72"/>
  <c r="AD89" i="69"/>
  <c r="BD89" i="69"/>
  <c r="AD63" i="69"/>
  <c r="A1685" i="13"/>
  <c r="AX1685" i="13" s="1"/>
  <c r="AV1586" i="13"/>
  <c r="AV1685" i="13" s="1"/>
  <c r="AX1586" i="13"/>
  <c r="BM79" i="4"/>
  <c r="BE79" i="4" s="1" a="1"/>
  <c r="BE79" i="4" s="1"/>
  <c r="BJ79" i="72"/>
  <c r="BD79" i="69"/>
  <c r="AV78" i="4" a="1"/>
  <c r="AV78" i="4" s="1"/>
  <c r="AT78" i="4" a="1"/>
  <c r="AT78" i="4" s="1"/>
  <c r="Y78" i="4"/>
  <c r="AU78" i="4"/>
  <c r="CA78" i="4"/>
  <c r="BQ78" i="4"/>
  <c r="BD55" i="4"/>
  <c r="X55" i="4" s="1"/>
  <c r="X97" i="4" s="1"/>
  <c r="BT55" i="4"/>
  <c r="BT97" i="4" s="1"/>
  <c r="E97" i="4"/>
  <c r="BB105" i="4" s="1"/>
  <c r="C1754" i="13" s="1"/>
  <c r="BS103" i="4"/>
  <c r="Z1725" i="13" s="1"/>
  <c r="Z1610" i="13"/>
  <c r="S18" i="4"/>
  <c r="T18" i="4"/>
  <c r="AQ56" i="69" a="1"/>
  <c r="AQ56" i="69" s="1"/>
  <c r="AG41" i="69" a="1"/>
  <c r="AG41" i="69" s="1"/>
  <c r="BI59" i="69" a="1"/>
  <c r="BI59" i="69" s="1"/>
  <c r="AQ8" i="72" a="1"/>
  <c r="AQ8" i="72" s="1"/>
  <c r="T28" i="4"/>
  <c r="S28" i="4"/>
  <c r="Z1620" i="13"/>
  <c r="AX26" i="72" a="1"/>
  <c r="AX26" i="72" s="1"/>
  <c r="A1554" i="13"/>
  <c r="AX1455" i="13"/>
  <c r="Z1559" i="13"/>
  <c r="AV1455" i="13"/>
  <c r="I377" i="15" a="1"/>
  <c r="I377" i="15" s="1"/>
  <c r="AH78" i="72" a="1"/>
  <c r="AH78" i="72" s="1"/>
  <c r="A1619" i="13"/>
  <c r="AX1619" i="13" s="1"/>
  <c r="AX1520" i="13"/>
  <c r="AV1520" i="13"/>
  <c r="AV1619" i="13" s="1"/>
  <c r="AZ60" i="72" a="1"/>
  <c r="AZ60" i="72" s="1"/>
  <c r="AR78" i="4"/>
  <c r="AQ78" i="4"/>
  <c r="BJ23" i="72"/>
  <c r="O19" i="69"/>
  <c r="BF19" i="69"/>
  <c r="AE19" i="72"/>
  <c r="AD19" i="69"/>
  <c r="BL19" i="72"/>
  <c r="O19" i="72"/>
  <c r="AU66" i="4"/>
  <c r="AV66" i="4" a="1"/>
  <c r="AV66" i="4" s="1"/>
  <c r="Y66" i="4"/>
  <c r="AT66" i="4" a="1"/>
  <c r="AT66" i="4" s="1"/>
  <c r="CA66" i="4"/>
  <c r="BQ66" i="4"/>
  <c r="CY66" i="4"/>
  <c r="CZ66" i="4" s="1"/>
  <c r="AS63" i="69" a="1"/>
  <c r="AS63" i="69" s="1"/>
  <c r="AH63" i="69" a="1"/>
  <c r="AH63" i="69" s="1"/>
  <c r="AQ63" i="69" a="1"/>
  <c r="AQ63" i="69" s="1"/>
  <c r="AL63" i="69" a="1"/>
  <c r="AL63" i="69" s="1"/>
  <c r="AP63" i="69" a="1"/>
  <c r="AP63" i="69" s="1"/>
  <c r="AU63" i="69" a="1"/>
  <c r="AU63" i="69" s="1"/>
  <c r="AR63" i="69" a="1"/>
  <c r="AR63" i="69" s="1"/>
  <c r="AF63" i="69" a="1"/>
  <c r="AF63" i="69" s="1"/>
  <c r="AI63" i="69" a="1"/>
  <c r="AI63" i="69" s="1"/>
  <c r="AG63" i="69" a="1"/>
  <c r="AG63" i="69" s="1"/>
  <c r="AJ63" i="69" a="1"/>
  <c r="AJ63" i="69" s="1"/>
  <c r="AV63" i="69" a="1"/>
  <c r="AV63" i="69" s="1"/>
  <c r="BC23" i="69"/>
  <c r="AU67" i="4"/>
  <c r="Y67" i="4"/>
  <c r="AT67" i="4" a="1"/>
  <c r="AT67" i="4" s="1"/>
  <c r="AV67" i="4" a="1"/>
  <c r="AV67" i="4" s="1"/>
  <c r="CA67" i="4"/>
  <c r="CY67" i="4"/>
  <c r="CZ67" i="4" s="1"/>
  <c r="BQ67" i="4"/>
  <c r="K81" i="72" a="1"/>
  <c r="K81" i="72" s="1"/>
  <c r="O11" i="72"/>
  <c r="O11" i="69"/>
  <c r="BF11" i="69"/>
  <c r="BL11" i="72"/>
  <c r="K65" i="69" a="1"/>
  <c r="K65" i="69" s="1"/>
  <c r="BO53" i="72" a="1"/>
  <c r="BO53" i="72" s="1"/>
  <c r="AF62" i="69" a="1"/>
  <c r="AF62" i="69" s="1"/>
  <c r="AV62" i="69" a="1"/>
  <c r="AV62" i="69" s="1"/>
  <c r="AH62" i="69" a="1"/>
  <c r="AH62" i="69" s="1"/>
  <c r="AP62" i="69" a="1"/>
  <c r="AP62" i="69" s="1"/>
  <c r="AU62" i="69" a="1"/>
  <c r="AU62" i="69" s="1"/>
  <c r="AL62" i="69" a="1"/>
  <c r="AL62" i="69" s="1"/>
  <c r="AJ62" i="69" a="1"/>
  <c r="AJ62" i="69" s="1"/>
  <c r="AI62" i="69" a="1"/>
  <c r="AI62" i="69" s="1"/>
  <c r="AR62" i="69" a="1"/>
  <c r="AR62" i="69" s="1"/>
  <c r="AS62" i="69" a="1"/>
  <c r="AS62" i="69" s="1"/>
  <c r="O77" i="72"/>
  <c r="BL77" i="72"/>
  <c r="AE77" i="72"/>
  <c r="AD77" i="69"/>
  <c r="BF77" i="69"/>
  <c r="O77" i="69"/>
  <c r="AL53" i="69" a="1"/>
  <c r="AL53" i="69" s="1"/>
  <c r="AV53" i="69" a="1"/>
  <c r="AV53" i="69" s="1"/>
  <c r="AP53" i="69" a="1"/>
  <c r="AP53" i="69" s="1"/>
  <c r="AG53" i="69" a="1"/>
  <c r="AG53" i="69" s="1"/>
  <c r="AR53" i="69" a="1"/>
  <c r="AR53" i="69" s="1"/>
  <c r="AJ53" i="69" a="1"/>
  <c r="AJ53" i="69" s="1"/>
  <c r="AH53" i="69" a="1"/>
  <c r="AH53" i="69" s="1"/>
  <c r="AU53" i="69" a="1"/>
  <c r="AU53" i="69" s="1"/>
  <c r="AQ53" i="69" a="1"/>
  <c r="AQ53" i="69" s="1"/>
  <c r="AF53" i="69" a="1"/>
  <c r="AF53" i="69" s="1"/>
  <c r="AS53" i="69" a="1"/>
  <c r="AS53" i="69" s="1"/>
  <c r="AM29" i="72" a="1"/>
  <c r="AM29" i="72" s="1"/>
  <c r="AV29" i="72" a="1"/>
  <c r="AV29" i="72" s="1"/>
  <c r="BA29" i="72" a="1"/>
  <c r="BA29" i="72" s="1"/>
  <c r="BB29" i="72" a="1"/>
  <c r="BB29" i="72" s="1"/>
  <c r="AR29" i="72" a="1"/>
  <c r="AR29" i="72" s="1"/>
  <c r="AH29" i="72" a="1"/>
  <c r="AH29" i="72" s="1"/>
  <c r="AP29" i="72" a="1"/>
  <c r="AP29" i="72" s="1"/>
  <c r="AG29" i="72" a="1"/>
  <c r="AG29" i="72" s="1"/>
  <c r="AX29" i="72" a="1"/>
  <c r="AX29" i="72" s="1"/>
  <c r="AY29" i="72" a="1"/>
  <c r="AY29" i="72" s="1"/>
  <c r="T49" i="4"/>
  <c r="S49" i="4"/>
  <c r="Z1641" i="13"/>
  <c r="AQ73" i="69" a="1"/>
  <c r="AQ73" i="69" s="1"/>
  <c r="AX1522" i="13"/>
  <c r="AV1522" i="13"/>
  <c r="AV1621" i="13" s="1"/>
  <c r="A1621" i="13"/>
  <c r="AX1621" i="13" s="1"/>
  <c r="AX67" i="72" a="1"/>
  <c r="AX67" i="72" s="1"/>
  <c r="BG202" i="4"/>
  <c r="Z1731" i="13"/>
  <c r="AZ105" i="4"/>
  <c r="AU73" i="4"/>
  <c r="AT73" i="4" a="1"/>
  <c r="AT73" i="4" s="1"/>
  <c r="AV73" i="4" a="1"/>
  <c r="AV73" i="4" s="1"/>
  <c r="Y73" i="4"/>
  <c r="CA73" i="4"/>
  <c r="BQ73" i="4"/>
  <c r="I223" i="15" a="1"/>
  <c r="I223" i="15" s="1"/>
  <c r="BB1770" i="13"/>
  <c r="BB104" i="4"/>
  <c r="BP103" i="4"/>
  <c r="A1624" i="13"/>
  <c r="AX1624" i="13" s="1"/>
  <c r="AV1525" i="13"/>
  <c r="AV1624" i="13" s="1"/>
  <c r="AX1525" i="13"/>
  <c r="Z1673" i="13"/>
  <c r="T81" i="4"/>
  <c r="S81" i="4"/>
  <c r="AQ70" i="4"/>
  <c r="AR70" i="4"/>
  <c r="AQ28" i="69" a="1"/>
  <c r="AQ28" i="69" s="1"/>
  <c r="AG77" i="69" a="1"/>
  <c r="AG77" i="69" s="1"/>
  <c r="AI67" i="69" a="1"/>
  <c r="AI67" i="69" s="1"/>
  <c r="AQ81" i="69" a="1"/>
  <c r="AQ81" i="69" s="1"/>
  <c r="AI43" i="69" a="1"/>
  <c r="AI43" i="69" s="1"/>
  <c r="AH47" i="72" a="1"/>
  <c r="AH47" i="72" s="1"/>
  <c r="H191" i="15" a="1"/>
  <c r="H191" i="15" s="1"/>
  <c r="BF55" i="4"/>
  <c r="BF97" i="4" s="1"/>
  <c r="AX87" i="72" a="1"/>
  <c r="AX87" i="72" s="1"/>
  <c r="AH87" i="72" a="1"/>
  <c r="AH87" i="72" s="1"/>
  <c r="AM87" i="72" a="1"/>
  <c r="AM87" i="72" s="1"/>
  <c r="BA87" i="72" a="1"/>
  <c r="BA87" i="72" s="1"/>
  <c r="AW87" i="72" a="1"/>
  <c r="AW87" i="72" s="1"/>
  <c r="AR87" i="72" a="1"/>
  <c r="AR87" i="72" s="1"/>
  <c r="AV87" i="72" a="1"/>
  <c r="AV87" i="72" s="1"/>
  <c r="BB87" i="72" a="1"/>
  <c r="BB87" i="72" s="1"/>
  <c r="AG87" i="72" a="1"/>
  <c r="AG87" i="72" s="1"/>
  <c r="AP87" i="72" a="1"/>
  <c r="AP87" i="72" s="1"/>
  <c r="AY87" i="72" a="1"/>
  <c r="AY87" i="72" s="1"/>
  <c r="BO87" i="72" a="1"/>
  <c r="BO87" i="72" s="1"/>
  <c r="AQ87" i="72" a="1"/>
  <c r="AQ87" i="72" s="1"/>
  <c r="AP92" i="69" a="1"/>
  <c r="AP92" i="69" s="1"/>
  <c r="AU92" i="69" a="1"/>
  <c r="AU92" i="69" s="1"/>
  <c r="AH92" i="69" a="1"/>
  <c r="AH92" i="69" s="1"/>
  <c r="AV92" i="69" a="1"/>
  <c r="AV92" i="69" s="1"/>
  <c r="AJ92" i="69" a="1"/>
  <c r="AJ92" i="69" s="1"/>
  <c r="AL92" i="69" a="1"/>
  <c r="AL92" i="69" s="1"/>
  <c r="AF92" i="69" a="1"/>
  <c r="AF92" i="69" s="1"/>
  <c r="AG92" i="69" a="1"/>
  <c r="AG92" i="69" s="1"/>
  <c r="AQ92" i="69" a="1"/>
  <c r="AQ92" i="69" s="1"/>
  <c r="AS92" i="69" a="1"/>
  <c r="AS92" i="69" s="1"/>
  <c r="AQ78" i="72" a="1"/>
  <c r="AQ78" i="72" s="1"/>
  <c r="AX1539" i="13"/>
  <c r="A1638" i="13"/>
  <c r="AX1638" i="13" s="1"/>
  <c r="AV1539" i="13"/>
  <c r="AV1638" i="13" s="1"/>
  <c r="Z1672" i="13"/>
  <c r="S80" i="4"/>
  <c r="T80" i="4"/>
  <c r="A1677" i="13"/>
  <c r="AX1677" i="13" s="1"/>
  <c r="AV1578" i="13"/>
  <c r="AV1677" i="13" s="1"/>
  <c r="AX1578" i="13"/>
  <c r="BO57" i="72" a="1"/>
  <c r="BO57" i="72" s="1"/>
  <c r="AH86" i="72" a="1"/>
  <c r="AH86" i="72" s="1"/>
  <c r="S34" i="4"/>
  <c r="T34" i="4"/>
  <c r="Z1626" i="13"/>
  <c r="AO92" i="69" a="1"/>
  <c r="AO92" i="69" s="1"/>
  <c r="AU83" i="4"/>
  <c r="Y83" i="4"/>
  <c r="AV83" i="4" a="1"/>
  <c r="AV83" i="4" s="1"/>
  <c r="AT83" i="4" a="1"/>
  <c r="AT83" i="4" s="1"/>
  <c r="BQ83" i="4"/>
  <c r="CA83" i="4"/>
  <c r="BR78" i="4"/>
  <c r="A1630" i="13"/>
  <c r="AX1630" i="13" s="1"/>
  <c r="AV1531" i="13"/>
  <c r="AV1630" i="13" s="1"/>
  <c r="AX1531" i="13"/>
  <c r="T46" i="4"/>
  <c r="S46" i="4"/>
  <c r="Z1638" i="13"/>
  <c r="AW45" i="72" a="1"/>
  <c r="AW45" i="72" s="1"/>
  <c r="T39" i="4"/>
  <c r="S39" i="4"/>
  <c r="Z1631" i="13"/>
  <c r="AU64" i="4"/>
  <c r="AV64" i="4" a="1"/>
  <c r="AV64" i="4" s="1"/>
  <c r="AT64" i="4" a="1"/>
  <c r="AT64" i="4" s="1"/>
  <c r="Y64" i="4"/>
  <c r="CA64" i="4"/>
  <c r="BQ64" i="4"/>
  <c r="AR59" i="69" a="1"/>
  <c r="AR59" i="69" s="1"/>
  <c r="Z1612" i="13"/>
  <c r="T20" i="4"/>
  <c r="S20" i="4"/>
  <c r="O84" i="72"/>
  <c r="BL84" i="72"/>
  <c r="BF84" i="69"/>
  <c r="O84" i="69"/>
  <c r="AP8" i="72" a="1"/>
  <c r="AP8" i="72" s="1"/>
  <c r="AV1515" i="13"/>
  <c r="AV1614" i="13" s="1"/>
  <c r="A1614" i="13"/>
  <c r="AX1614" i="13" s="1"/>
  <c r="AX1515" i="13"/>
  <c r="AX1529" i="13"/>
  <c r="A1628" i="13"/>
  <c r="AX1628" i="13" s="1"/>
  <c r="AV1529" i="13"/>
  <c r="AV1628" i="13" s="1"/>
  <c r="AU21" i="72" a="1"/>
  <c r="AU21" i="72" s="1"/>
  <c r="S75" i="4"/>
  <c r="T75" i="4"/>
  <c r="Z1667" i="13"/>
  <c r="BM76" i="4"/>
  <c r="BE76" i="4" s="1" a="1"/>
  <c r="BE76" i="4" s="1"/>
  <c r="BJ76" i="72"/>
  <c r="BD76" i="69"/>
  <c r="AD76" i="69"/>
  <c r="AW13" i="72" a="1"/>
  <c r="AW13" i="72" s="1"/>
  <c r="AP13" i="72" a="1"/>
  <c r="AP13" i="72" s="1"/>
  <c r="AR13" i="72" a="1"/>
  <c r="AR13" i="72" s="1"/>
  <c r="AG13" i="72" a="1"/>
  <c r="AG13" i="72" s="1"/>
  <c r="BA13" i="72" a="1"/>
  <c r="BA13" i="72" s="1"/>
  <c r="BB13" i="72" a="1"/>
  <c r="BB13" i="72" s="1"/>
  <c r="AV13" i="72" a="1"/>
  <c r="AV13" i="72" s="1"/>
  <c r="AM13" i="72" a="1"/>
  <c r="AM13" i="72" s="1"/>
  <c r="AH13" i="72" a="1"/>
  <c r="AH13" i="72" s="1"/>
  <c r="AY13" i="72" a="1"/>
  <c r="AY13" i="72" s="1"/>
  <c r="Z1670" i="13"/>
  <c r="S78" i="4"/>
  <c r="T78" i="4"/>
  <c r="Y85" i="4"/>
  <c r="AU85" i="4"/>
  <c r="AT85" i="4" a="1"/>
  <c r="AT85" i="4" s="1"/>
  <c r="AV85" i="4" a="1"/>
  <c r="AV85" i="4" s="1"/>
  <c r="BQ85" i="4"/>
  <c r="CA85" i="4"/>
  <c r="BF66" i="69"/>
  <c r="O66" i="72"/>
  <c r="BL66" i="72"/>
  <c r="O66" i="69"/>
  <c r="I299" i="15" a="1"/>
  <c r="I299" i="15" s="1"/>
  <c r="AU8" i="72" a="1"/>
  <c r="AU8" i="72" s="1"/>
  <c r="AP85" i="72" a="1"/>
  <c r="AP85" i="72" s="1"/>
  <c r="AR85" i="72" a="1"/>
  <c r="AR85" i="72" s="1"/>
  <c r="BA85" i="72" a="1"/>
  <c r="BA85" i="72" s="1"/>
  <c r="AG85" i="72" a="1"/>
  <c r="AG85" i="72" s="1"/>
  <c r="AV85" i="72" a="1"/>
  <c r="AV85" i="72" s="1"/>
  <c r="AM85" i="72" a="1"/>
  <c r="AM85" i="72" s="1"/>
  <c r="BB85" i="72" a="1"/>
  <c r="BB85" i="72" s="1"/>
  <c r="AW85" i="72" a="1"/>
  <c r="AW85" i="72" s="1"/>
  <c r="AY85" i="72" a="1"/>
  <c r="AY85" i="72" s="1"/>
  <c r="BR67" i="4"/>
  <c r="AV1476" i="13"/>
  <c r="K73" i="72" a="1"/>
  <c r="K73" i="72" s="1"/>
  <c r="A1654" i="13"/>
  <c r="AX1654" i="13" s="1"/>
  <c r="AX1555" i="13"/>
  <c r="AV1555" i="13"/>
  <c r="AV1654" i="13" s="1"/>
  <c r="Z1649" i="13"/>
  <c r="S57" i="4"/>
  <c r="T57" i="4"/>
  <c r="AU51" i="72" a="1"/>
  <c r="AU51" i="72" s="1"/>
  <c r="K67" i="69" a="1"/>
  <c r="K67" i="69" s="1"/>
  <c r="AM12" i="72" a="1"/>
  <c r="AM12" i="72" s="1"/>
  <c r="BB12" i="72" a="1"/>
  <c r="BB12" i="72" s="1"/>
  <c r="AV12" i="72" a="1"/>
  <c r="AV12" i="72" s="1"/>
  <c r="BA12" i="72" a="1"/>
  <c r="BA12" i="72" s="1"/>
  <c r="AR12" i="72" a="1"/>
  <c r="AR12" i="72" s="1"/>
  <c r="AP12" i="72" a="1"/>
  <c r="AP12" i="72" s="1"/>
  <c r="AG12" i="72" a="1"/>
  <c r="AG12" i="72" s="1"/>
  <c r="AH12" i="72" a="1"/>
  <c r="AH12" i="72" s="1"/>
  <c r="AX12" i="72" a="1"/>
  <c r="AX12" i="72" s="1"/>
  <c r="AY12" i="72" a="1"/>
  <c r="AY12" i="72" s="1"/>
  <c r="AH89" i="69" a="1"/>
  <c r="AH89" i="69" s="1"/>
  <c r="AJ89" i="69" a="1"/>
  <c r="AJ89" i="69" s="1"/>
  <c r="AL89" i="69" a="1"/>
  <c r="AL89" i="69" s="1"/>
  <c r="AV89" i="69" a="1"/>
  <c r="AV89" i="69" s="1"/>
  <c r="AG89" i="69" a="1"/>
  <c r="AG89" i="69" s="1"/>
  <c r="AP89" i="69" a="1"/>
  <c r="AP89" i="69" s="1"/>
  <c r="AU89" i="69" a="1"/>
  <c r="AU89" i="69" s="1"/>
  <c r="AQ89" i="69" a="1"/>
  <c r="AQ89" i="69" s="1"/>
  <c r="AF89" i="69" a="1"/>
  <c r="AF89" i="69" s="1"/>
  <c r="AS89" i="69" a="1"/>
  <c r="AS89" i="69" s="1"/>
  <c r="AV1536" i="13"/>
  <c r="AV1635" i="13" s="1"/>
  <c r="AX1536" i="13"/>
  <c r="A1635" i="13"/>
  <c r="AX1635" i="13" s="1"/>
  <c r="BI73" i="69" a="1"/>
  <c r="BI73" i="69" s="1"/>
  <c r="T35" i="4"/>
  <c r="Z1627" i="13"/>
  <c r="S35" i="4"/>
  <c r="D60" i="69" a="1"/>
  <c r="D60" i="69" s="1"/>
  <c r="A1662" i="13"/>
  <c r="AX1662" i="13" s="1"/>
  <c r="AV1563" i="13"/>
  <c r="AV1662" i="13" s="1"/>
  <c r="AX1563" i="13"/>
  <c r="AV1772" i="13"/>
  <c r="AB1772" i="13"/>
  <c r="AE73" i="72"/>
  <c r="AD73" i="69"/>
  <c r="O73" i="69"/>
  <c r="BL73" i="72"/>
  <c r="O73" i="72"/>
  <c r="BF73" i="69"/>
  <c r="AX1530" i="13"/>
  <c r="AV1530" i="13"/>
  <c r="AV1629" i="13" s="1"/>
  <c r="A1629" i="13"/>
  <c r="AX1629" i="13" s="1"/>
  <c r="BG104" i="4"/>
  <c r="BP104" i="4"/>
  <c r="BT106" i="4"/>
  <c r="AL68" i="69" a="1"/>
  <c r="AL68" i="69" s="1"/>
  <c r="AU68" i="69" a="1"/>
  <c r="AU68" i="69" s="1"/>
  <c r="AH68" i="69" a="1"/>
  <c r="AH68" i="69" s="1"/>
  <c r="AP68" i="69" a="1"/>
  <c r="AP68" i="69" s="1"/>
  <c r="AV68" i="69" a="1"/>
  <c r="AV68" i="69" s="1"/>
  <c r="AJ68" i="69" a="1"/>
  <c r="AJ68" i="69" s="1"/>
  <c r="AF68" i="69" a="1"/>
  <c r="AF68" i="69" s="1"/>
  <c r="AG68" i="69" a="1"/>
  <c r="AG68" i="69" s="1"/>
  <c r="AR68" i="69" a="1"/>
  <c r="AR68" i="69" s="1"/>
  <c r="AS68" i="69" a="1"/>
  <c r="AS68" i="69" s="1"/>
  <c r="BM68" i="4"/>
  <c r="BE68" i="4" s="1" a="1"/>
  <c r="BE68" i="4" s="1"/>
  <c r="BD68" i="69"/>
  <c r="AD68" i="69"/>
  <c r="BJ68" i="72"/>
  <c r="AE68" i="72"/>
  <c r="AK28" i="69" a="1"/>
  <c r="AK28" i="69" s="1"/>
  <c r="AW32" i="72" a="1"/>
  <c r="AW32" i="72" s="1"/>
  <c r="AW28" i="72" a="1"/>
  <c r="AW28" i="72" s="1"/>
  <c r="AH7" i="72" a="1"/>
  <c r="AH7" i="72" s="1"/>
  <c r="AQ14" i="69" a="1"/>
  <c r="AQ14" i="69" s="1"/>
  <c r="AH35" i="72" a="1"/>
  <c r="AH35" i="72" s="1"/>
  <c r="AH27" i="72" a="1"/>
  <c r="AH27" i="72" s="1"/>
  <c r="A1655" i="13"/>
  <c r="AX1655" i="13" s="1"/>
  <c r="AX1556" i="13"/>
  <c r="AV1556" i="13"/>
  <c r="AV1655" i="13" s="1"/>
  <c r="AK70" i="69" a="1"/>
  <c r="AK70" i="69" s="1"/>
  <c r="AP70" i="69" a="1"/>
  <c r="AP70" i="69" s="1"/>
  <c r="AH70" i="69" a="1"/>
  <c r="AH70" i="69" s="1"/>
  <c r="AU70" i="69" a="1"/>
  <c r="AU70" i="69" s="1"/>
  <c r="AQ70" i="69" a="1"/>
  <c r="AQ70" i="69" s="1"/>
  <c r="AF70" i="69" a="1"/>
  <c r="AF70" i="69" s="1"/>
  <c r="AV70" i="69" a="1"/>
  <c r="AV70" i="69" s="1"/>
  <c r="AJ70" i="69" a="1"/>
  <c r="AJ70" i="69" s="1"/>
  <c r="AL70" i="69" a="1"/>
  <c r="AL70" i="69" s="1"/>
  <c r="AR70" i="69" a="1"/>
  <c r="AR70" i="69" s="1"/>
  <c r="AI70" i="69" a="1"/>
  <c r="AI70" i="69" s="1"/>
  <c r="AS70" i="69" a="1"/>
  <c r="AS70" i="69" s="1"/>
  <c r="AV58" i="4" a="1"/>
  <c r="AV58" i="4" s="1"/>
  <c r="AU58" i="4"/>
  <c r="Y58" i="4"/>
  <c r="AT58" i="4" a="1"/>
  <c r="AT58" i="4" s="1"/>
  <c r="CA58" i="4"/>
  <c r="CY58" i="4"/>
  <c r="CZ58" i="4" s="1"/>
  <c r="BQ58" i="4"/>
  <c r="Z1661" i="13"/>
  <c r="S69" i="4"/>
  <c r="T69" i="4"/>
  <c r="AS6" i="69" a="1"/>
  <c r="AS6" i="69" s="1"/>
  <c r="AU6" i="69" a="1"/>
  <c r="AU6" i="69" s="1"/>
  <c r="AH6" i="69" a="1"/>
  <c r="AH6" i="69" s="1"/>
  <c r="AJ6" i="69" a="1"/>
  <c r="AJ6" i="69" s="1"/>
  <c r="AP6" i="69" a="1"/>
  <c r="AP6" i="69" s="1"/>
  <c r="AF6" i="69" a="1"/>
  <c r="AF6" i="69" s="1"/>
  <c r="AV6" i="69" a="1"/>
  <c r="AV6" i="69" s="1"/>
  <c r="AL6" i="69" a="1"/>
  <c r="AL6" i="69" s="1"/>
  <c r="AI6" i="69" a="1"/>
  <c r="AI6" i="69" s="1"/>
  <c r="AQ6" i="69" a="1"/>
  <c r="AQ6" i="69" s="1"/>
  <c r="AV39" i="72" a="1"/>
  <c r="AV39" i="72" s="1"/>
  <c r="AR39" i="72" a="1"/>
  <c r="AR39" i="72" s="1"/>
  <c r="BA39" i="72" a="1"/>
  <c r="BA39" i="72" s="1"/>
  <c r="AM39" i="72" a="1"/>
  <c r="AM39" i="72" s="1"/>
  <c r="BB39" i="72" a="1"/>
  <c r="BB39" i="72" s="1"/>
  <c r="AG39" i="72" a="1"/>
  <c r="AG39" i="72" s="1"/>
  <c r="AP39" i="72" a="1"/>
  <c r="AP39" i="72" s="1"/>
  <c r="AH39" i="72" a="1"/>
  <c r="AH39" i="72" s="1"/>
  <c r="AX39" i="72" a="1"/>
  <c r="AX39" i="72" s="1"/>
  <c r="AY39" i="72" a="1"/>
  <c r="AY39" i="72" s="1"/>
  <c r="AQ46" i="72" a="1"/>
  <c r="AQ46" i="72" s="1"/>
  <c r="AV46" i="72" a="1"/>
  <c r="AV46" i="72" s="1"/>
  <c r="AX46" i="72" a="1"/>
  <c r="AX46" i="72" s="1"/>
  <c r="BB46" i="72" a="1"/>
  <c r="BB46" i="72" s="1"/>
  <c r="AH46" i="72" a="1"/>
  <c r="AH46" i="72" s="1"/>
  <c r="AR46" i="72" a="1"/>
  <c r="AR46" i="72" s="1"/>
  <c r="BA46" i="72" a="1"/>
  <c r="BA46" i="72" s="1"/>
  <c r="AG46" i="72" a="1"/>
  <c r="AG46" i="72" s="1"/>
  <c r="AM46" i="72" a="1"/>
  <c r="AM46" i="72" s="1"/>
  <c r="AP46" i="72" a="1"/>
  <c r="AP46" i="72" s="1"/>
  <c r="AW46" i="72" a="1"/>
  <c r="AW46" i="72" s="1"/>
  <c r="AY46" i="72" a="1"/>
  <c r="AY46" i="72" s="1"/>
  <c r="AQ88" i="72" a="1"/>
  <c r="AQ88" i="72" s="1"/>
  <c r="AH88" i="72" a="1"/>
  <c r="AH88" i="72" s="1"/>
  <c r="AG88" i="72" a="1"/>
  <c r="AG88" i="72" s="1"/>
  <c r="AR88" i="72" a="1"/>
  <c r="AR88" i="72" s="1"/>
  <c r="AP88" i="72" a="1"/>
  <c r="AP88" i="72" s="1"/>
  <c r="AW88" i="72" a="1"/>
  <c r="AW88" i="72" s="1"/>
  <c r="BB88" i="72" a="1"/>
  <c r="BB88" i="72" s="1"/>
  <c r="AX88" i="72" a="1"/>
  <c r="AX88" i="72" s="1"/>
  <c r="AM88" i="72" a="1"/>
  <c r="AM88" i="72" s="1"/>
  <c r="BA88" i="72" a="1"/>
  <c r="BA88" i="72" s="1"/>
  <c r="AV88" i="72" a="1"/>
  <c r="AV88" i="72" s="1"/>
  <c r="AY88" i="72" a="1"/>
  <c r="AY88" i="72" s="1"/>
  <c r="Y76" i="4"/>
  <c r="AT76" i="4" a="1"/>
  <c r="AT76" i="4" s="1"/>
  <c r="AV76" i="4" a="1"/>
  <c r="AV76" i="4" s="1"/>
  <c r="AU76" i="4"/>
  <c r="BQ76" i="4"/>
  <c r="CA76" i="4"/>
  <c r="CY76" i="4"/>
  <c r="CZ76" i="4" s="1"/>
  <c r="Z1683" i="13"/>
  <c r="T91" i="4"/>
  <c r="S91" i="4"/>
  <c r="AW57" i="72" a="1"/>
  <c r="AW57" i="72" s="1"/>
  <c r="AU96" i="4"/>
  <c r="AT96" i="4" a="1"/>
  <c r="AT96" i="4" s="1"/>
  <c r="H96" i="72" s="1"/>
  <c r="AV96" i="4" a="1"/>
  <c r="AV96" i="4" s="1"/>
  <c r="Y96" i="4"/>
  <c r="CA96" i="4"/>
  <c r="CY96" i="4"/>
  <c r="CZ96" i="4" s="1"/>
  <c r="BQ96" i="4"/>
  <c r="O83" i="69"/>
  <c r="BL83" i="72"/>
  <c r="AE83" i="72"/>
  <c r="O83" i="72"/>
  <c r="AD83" i="69"/>
  <c r="BF83" i="69"/>
  <c r="AR90" i="4"/>
  <c r="AQ90" i="4"/>
  <c r="AH37" i="72" a="1"/>
  <c r="AH37" i="72" s="1"/>
  <c r="AG16" i="69" a="1"/>
  <c r="AG16" i="69" s="1"/>
  <c r="BF1767" i="13"/>
  <c r="BE23" i="4" a="1"/>
  <c r="BE23" i="4" s="1"/>
  <c r="AH70" i="72" a="1"/>
  <c r="AH70" i="72" s="1"/>
  <c r="AE96" i="72"/>
  <c r="A1645" i="13"/>
  <c r="AX1645" i="13" s="1"/>
  <c r="AV1546" i="13"/>
  <c r="AV1645" i="13" s="1"/>
  <c r="AX1546" i="13"/>
  <c r="I326" i="15" a="1"/>
  <c r="I326" i="15" s="1"/>
  <c r="AX1526" i="13"/>
  <c r="A1625" i="13"/>
  <c r="AX1625" i="13" s="1"/>
  <c r="AV1526" i="13"/>
  <c r="AV1625" i="13" s="1"/>
  <c r="I340" i="15" a="1"/>
  <c r="I340" i="15" s="1"/>
  <c r="AX1507" i="13"/>
  <c r="AV1507" i="13"/>
  <c r="AV1606" i="13" s="1"/>
  <c r="A1606" i="13"/>
  <c r="AX1606" i="13" s="1"/>
  <c r="Z1686" i="13"/>
  <c r="T94" i="4"/>
  <c r="S94" i="4"/>
  <c r="T42" i="4"/>
  <c r="Z1634" i="13"/>
  <c r="S42" i="4"/>
  <c r="AY80" i="72" a="1"/>
  <c r="AY80" i="72" s="1"/>
  <c r="AW80" i="72" a="1"/>
  <c r="AW80" i="72" s="1"/>
  <c r="AP80" i="72" a="1"/>
  <c r="AP80" i="72" s="1"/>
  <c r="AR80" i="72" a="1"/>
  <c r="AR80" i="72" s="1"/>
  <c r="BB80" i="72" a="1"/>
  <c r="BB80" i="72" s="1"/>
  <c r="AG80" i="72" a="1"/>
  <c r="AG80" i="72" s="1"/>
  <c r="AV80" i="72" a="1"/>
  <c r="AV80" i="72" s="1"/>
  <c r="BA80" i="72" a="1"/>
  <c r="BA80" i="72" s="1"/>
  <c r="AM80" i="72" a="1"/>
  <c r="AM80" i="72" s="1"/>
  <c r="AX80" i="72" a="1"/>
  <c r="AX80" i="72" s="1"/>
  <c r="S50" i="4"/>
  <c r="T50" i="4"/>
  <c r="Z1642" i="13"/>
  <c r="AX1583" i="13"/>
  <c r="AV1583" i="13"/>
  <c r="AV1682" i="13" s="1"/>
  <c r="A1682" i="13"/>
  <c r="AX1682" i="13" s="1"/>
  <c r="G413" i="15"/>
  <c r="AW92" i="72" a="1"/>
  <c r="AW92" i="72" s="1"/>
  <c r="BM80" i="4"/>
  <c r="BE80" i="4" s="1" a="1"/>
  <c r="BE80" i="4" s="1"/>
  <c r="AD80" i="69"/>
  <c r="BD80" i="69"/>
  <c r="AE80" i="72"/>
  <c r="BJ80" i="72"/>
  <c r="G464" i="15"/>
  <c r="K60" i="69" a="1"/>
  <c r="K60" i="69" s="1"/>
  <c r="BQ60" i="69"/>
  <c r="AO60" i="69" a="1"/>
  <c r="AO60" i="69" s="1"/>
  <c r="BO60" i="69"/>
  <c r="BI60" i="69" a="1"/>
  <c r="BI60" i="69" s="1"/>
  <c r="BB60" i="69"/>
  <c r="AR60" i="69" s="1" a="1"/>
  <c r="AR60" i="69" s="1"/>
  <c r="AY60" i="69"/>
  <c r="BH60" i="69" a="1"/>
  <c r="BH60" i="69" s="1"/>
  <c r="AK60" i="69" a="1"/>
  <c r="AK60" i="69" s="1"/>
  <c r="R60" i="69"/>
  <c r="BA17" i="72" a="1"/>
  <c r="BA17" i="72" s="1"/>
  <c r="AR17" i="72" a="1"/>
  <c r="AR17" i="72" s="1"/>
  <c r="AP17" i="72" a="1"/>
  <c r="AP17" i="72" s="1"/>
  <c r="AM17" i="72" a="1"/>
  <c r="AM17" i="72" s="1"/>
  <c r="AV17" i="72" a="1"/>
  <c r="AV17" i="72" s="1"/>
  <c r="BB17" i="72" a="1"/>
  <c r="BB17" i="72" s="1"/>
  <c r="AG17" i="72" a="1"/>
  <c r="AG17" i="72" s="1"/>
  <c r="AX17" i="72" a="1"/>
  <c r="AX17" i="72" s="1"/>
  <c r="AH17" i="72" a="1"/>
  <c r="AH17" i="72" s="1"/>
  <c r="AY17" i="72" a="1"/>
  <c r="AY17" i="72" s="1"/>
  <c r="BO14" i="72" a="1"/>
  <c r="BO14" i="72" s="1"/>
  <c r="AX14" i="72" a="1"/>
  <c r="AX14" i="72" s="1"/>
  <c r="BB14" i="72" a="1"/>
  <c r="BB14" i="72" s="1"/>
  <c r="AP14" i="72" a="1"/>
  <c r="AP14" i="72" s="1"/>
  <c r="AV14" i="72" a="1"/>
  <c r="AV14" i="72" s="1"/>
  <c r="AM14" i="72" a="1"/>
  <c r="AM14" i="72" s="1"/>
  <c r="AG14" i="72" a="1"/>
  <c r="AG14" i="72" s="1"/>
  <c r="AH14" i="72" a="1"/>
  <c r="AH14" i="72" s="1"/>
  <c r="BA14" i="72" a="1"/>
  <c r="BA14" i="72" s="1"/>
  <c r="AR14" i="72" a="1"/>
  <c r="AR14" i="72" s="1"/>
  <c r="AW14" i="72" a="1"/>
  <c r="AW14" i="72" s="1"/>
  <c r="AY14" i="72" a="1"/>
  <c r="AY14" i="72" s="1"/>
  <c r="AO7" i="69" a="1"/>
  <c r="AO7" i="69" s="1"/>
  <c r="BI65" i="69" a="1"/>
  <c r="BI65" i="69" s="1"/>
  <c r="BO46" i="72" a="1"/>
  <c r="BO46" i="72" s="1"/>
  <c r="K57" i="72" a="1"/>
  <c r="K57" i="72" s="1"/>
  <c r="K77" i="72" a="1"/>
  <c r="K77" i="72" s="1"/>
  <c r="G209" i="15"/>
  <c r="AG78" i="69" a="1"/>
  <c r="AG78" i="69" s="1"/>
  <c r="AW104" i="4" a="1"/>
  <c r="AW104" i="4" s="1"/>
  <c r="Z1660" i="13"/>
  <c r="S68" i="4"/>
  <c r="T68" i="4"/>
  <c r="AX1514" i="13"/>
  <c r="AV1514" i="13"/>
  <c r="AV1613" i="13" s="1"/>
  <c r="A1613" i="13"/>
  <c r="AX1613" i="13" s="1"/>
  <c r="S77" i="4"/>
  <c r="T77" i="4"/>
  <c r="Z1669" i="13"/>
  <c r="AP42" i="72" a="1"/>
  <c r="AP42" i="72" s="1"/>
  <c r="AU30" i="72" a="1"/>
  <c r="AU30" i="72" s="1"/>
  <c r="BI68" i="69" a="1"/>
  <c r="BI68" i="69" s="1"/>
  <c r="AR79" i="69" a="1"/>
  <c r="AR79" i="69" s="1"/>
  <c r="Z1668" i="13"/>
  <c r="T76" i="4"/>
  <c r="S76" i="4"/>
  <c r="X98" i="72"/>
  <c r="BF104" i="4"/>
  <c r="Z1736" i="13" s="1"/>
  <c r="BE5" i="4" a="1"/>
  <c r="BE5" i="4" s="1"/>
  <c r="AK92" i="69" a="1"/>
  <c r="AK92" i="69" s="1"/>
  <c r="A1673" i="13"/>
  <c r="AX1673" i="13" s="1"/>
  <c r="AX1574" i="13"/>
  <c r="AV1574" i="13"/>
  <c r="AV1673" i="13" s="1"/>
  <c r="AX1535" i="13"/>
  <c r="A1634" i="13"/>
  <c r="AX1634" i="13" s="1"/>
  <c r="AV1535" i="13"/>
  <c r="AV1634" i="13" s="1"/>
  <c r="AQ84" i="69" a="1"/>
  <c r="AQ84" i="69" s="1"/>
  <c r="AW7" i="72" a="1"/>
  <c r="AW7" i="72" s="1"/>
  <c r="AG14" i="69" a="1"/>
  <c r="AG14" i="69" s="1"/>
  <c r="H154" i="15" a="1"/>
  <c r="H154" i="15" s="1"/>
  <c r="AQ22" i="69" a="1"/>
  <c r="AQ22" i="69" s="1"/>
  <c r="Z51" i="14" l="1"/>
  <c r="Z38" i="23"/>
  <c r="X102" i="72"/>
  <c r="AD66" i="69"/>
  <c r="G327" i="15"/>
  <c r="G268" i="15"/>
  <c r="BL97" i="4"/>
  <c r="G326" i="15"/>
  <c r="G443" i="15"/>
  <c r="G538" i="15"/>
  <c r="G340" i="15"/>
  <c r="G581" i="15"/>
  <c r="G588" i="15"/>
  <c r="G442" i="15"/>
  <c r="F42" i="15"/>
  <c r="G299" i="15"/>
  <c r="I42" i="15" a="1"/>
  <c r="I42" i="15" s="1"/>
  <c r="G261" i="15"/>
  <c r="G405" i="15"/>
  <c r="AE79" i="72"/>
  <c r="G231" i="15"/>
  <c r="G354" i="15"/>
  <c r="G461" i="15"/>
  <c r="G223" i="15"/>
  <c r="G486" i="15"/>
  <c r="G269" i="15"/>
  <c r="G256" i="15"/>
  <c r="AV1746" i="13"/>
  <c r="BH104" i="4"/>
  <c r="Z1738" i="13" s="1"/>
  <c r="AV1738" i="13" s="1"/>
  <c r="BJ55" i="72"/>
  <c r="BJ97" i="72" s="1"/>
  <c r="AW103" i="4" a="1"/>
  <c r="AW103" i="4" s="1"/>
  <c r="AW105" i="4" s="1"/>
  <c r="AI23" i="69" a="1"/>
  <c r="AI23" i="69" s="1"/>
  <c r="G377" i="15"/>
  <c r="BT55" i="72"/>
  <c r="G228" i="15"/>
  <c r="G215" i="15"/>
  <c r="AL23" i="69" a="1"/>
  <c r="AL23" i="69" s="1"/>
  <c r="G472" i="15"/>
  <c r="G396" i="15"/>
  <c r="G498" i="15"/>
  <c r="G358" i="15"/>
  <c r="BR108" i="4"/>
  <c r="G594" i="15"/>
  <c r="G481" i="15"/>
  <c r="X103" i="72"/>
  <c r="G404" i="15"/>
  <c r="G295" i="15"/>
  <c r="BL65" i="72"/>
  <c r="O65" i="72"/>
  <c r="AD65" i="69"/>
  <c r="O65" i="69"/>
  <c r="AE65" i="72"/>
  <c r="BF65" i="69"/>
  <c r="X104" i="72"/>
  <c r="G375" i="15"/>
  <c r="BH103" i="4"/>
  <c r="Z1717" i="13" s="1"/>
  <c r="BK104" i="4"/>
  <c r="Z1740" i="13" s="1"/>
  <c r="AB1740" i="13" s="1"/>
  <c r="AJ23" i="69" a="1"/>
  <c r="AJ23" i="69" s="1"/>
  <c r="AG60" i="69" a="1"/>
  <c r="AG60" i="69" s="1"/>
  <c r="G348" i="15"/>
  <c r="AN55" i="72"/>
  <c r="AN97" i="72" s="1"/>
  <c r="G497" i="15"/>
  <c r="G279" i="15"/>
  <c r="X105" i="69"/>
  <c r="AH23" i="69" a="1"/>
  <c r="AH23" i="69" s="1"/>
  <c r="AV23" i="69" a="1"/>
  <c r="AV23" i="69" s="1"/>
  <c r="AP23" i="69" a="1"/>
  <c r="AP23" i="69" s="1"/>
  <c r="AU23" i="69" a="1"/>
  <c r="AU23" i="69" s="1"/>
  <c r="X105" i="72"/>
  <c r="G441" i="15"/>
  <c r="AF23" i="69" a="1"/>
  <c r="AF23" i="69" s="1"/>
  <c r="BP55" i="72"/>
  <c r="BS55" i="72" s="1"/>
  <c r="G516" i="15"/>
  <c r="AI55" i="72"/>
  <c r="X103" i="69"/>
  <c r="BD103" i="4"/>
  <c r="Z1713" i="13" s="1"/>
  <c r="BD97" i="69"/>
  <c r="AW23" i="72" a="1"/>
  <c r="AW23" i="72" s="1"/>
  <c r="G613" i="15"/>
  <c r="G281" i="15"/>
  <c r="G554" i="15"/>
  <c r="CA97" i="4"/>
  <c r="BR55" i="4"/>
  <c r="BF55" i="69" s="1"/>
  <c r="G240" i="15"/>
  <c r="AE55" i="69" a="1"/>
  <c r="AE55" i="69" s="1"/>
  <c r="AP55" i="69" s="1" a="1"/>
  <c r="AP55" i="69" s="1"/>
  <c r="G208" i="15"/>
  <c r="G608" i="15"/>
  <c r="BQ108" i="4"/>
  <c r="G368" i="15"/>
  <c r="BO104" i="4"/>
  <c r="G500" i="15"/>
  <c r="AB1768" i="13"/>
  <c r="AV1768" i="13"/>
  <c r="AX1768" i="13" s="1"/>
  <c r="AV1736" i="13"/>
  <c r="AB1736" i="13"/>
  <c r="Z1744" i="13"/>
  <c r="O67" i="69"/>
  <c r="BL67" i="72"/>
  <c r="AE67" i="72"/>
  <c r="BF67" i="69"/>
  <c r="O67" i="72"/>
  <c r="AD67" i="69"/>
  <c r="AV1153" i="13"/>
  <c r="AE3" i="1" s="1" a="1"/>
  <c r="AE3" i="1" s="1"/>
  <c r="AE101" i="1" s="1"/>
  <c r="BG97" i="4"/>
  <c r="BC203" i="4"/>
  <c r="Z1739" i="13"/>
  <c r="G278" i="15"/>
  <c r="G578" i="15"/>
  <c r="H89" i="72"/>
  <c r="H89" i="69"/>
  <c r="AZ55" i="72" a="1"/>
  <c r="AZ55" i="72" s="1"/>
  <c r="G283" i="15"/>
  <c r="I142" i="15" a="1"/>
  <c r="I142" i="15" s="1"/>
  <c r="G142" i="15"/>
  <c r="G336" i="15"/>
  <c r="G361" i="15"/>
  <c r="G494" i="15"/>
  <c r="G373" i="15"/>
  <c r="G603" i="15"/>
  <c r="G226" i="15"/>
  <c r="G583" i="15"/>
  <c r="G625" i="15"/>
  <c r="G480" i="15"/>
  <c r="G598" i="15"/>
  <c r="G641" i="15"/>
  <c r="G247" i="15"/>
  <c r="G304" i="15"/>
  <c r="G482" i="15"/>
  <c r="G474" i="15"/>
  <c r="G360" i="15"/>
  <c r="G249" i="15"/>
  <c r="G465" i="15"/>
  <c r="G531" i="15"/>
  <c r="G620" i="15"/>
  <c r="G445" i="15"/>
  <c r="G274" i="15"/>
  <c r="G395" i="15"/>
  <c r="G448" i="15"/>
  <c r="G257" i="15"/>
  <c r="G422" i="15"/>
  <c r="G488" i="15"/>
  <c r="G632" i="15"/>
  <c r="G571" i="15"/>
  <c r="G440" i="15"/>
  <c r="G573" i="15"/>
  <c r="G452" i="15"/>
  <c r="G535" i="15"/>
  <c r="G233" i="15"/>
  <c r="G238" i="15"/>
  <c r="G629" i="15"/>
  <c r="G397" i="15"/>
  <c r="G478" i="15"/>
  <c r="G200" i="15"/>
  <c r="G549" i="15"/>
  <c r="G457" i="15"/>
  <c r="G468" i="15"/>
  <c r="G432" i="15"/>
  <c r="G369" i="15"/>
  <c r="G337" i="15"/>
  <c r="G615" i="15"/>
  <c r="G526" i="15"/>
  <c r="G436" i="15"/>
  <c r="G241" i="15"/>
  <c r="G628" i="15"/>
  <c r="G536" i="15"/>
  <c r="G471" i="15"/>
  <c r="G235" i="15"/>
  <c r="G367" i="15"/>
  <c r="B12" i="27"/>
  <c r="D15" i="27"/>
  <c r="C16" i="27"/>
  <c r="H79" i="69"/>
  <c r="H79" i="72"/>
  <c r="L55" i="69"/>
  <c r="AY55" i="69"/>
  <c r="BO55" i="69"/>
  <c r="BH55" i="69" a="1"/>
  <c r="BH55" i="69" s="1"/>
  <c r="BB55" i="69"/>
  <c r="R55" i="69"/>
  <c r="C92" i="69"/>
  <c r="D92" i="69" s="1" a="1"/>
  <c r="D92" i="69" s="1"/>
  <c r="C92" i="72"/>
  <c r="D92" i="72" s="1" a="1"/>
  <c r="D92" i="72" s="1"/>
  <c r="C72" i="69"/>
  <c r="D72" i="69" s="1" a="1"/>
  <c r="D72" i="69" s="1"/>
  <c r="C72" i="72"/>
  <c r="D72" i="72" s="1" a="1"/>
  <c r="D72" i="72" s="1"/>
  <c r="G560" i="15"/>
  <c r="BG103" i="4"/>
  <c r="C87" i="69"/>
  <c r="D87" i="69" s="1" a="1"/>
  <c r="D87" i="69" s="1"/>
  <c r="C87" i="72"/>
  <c r="D87" i="72" s="1" a="1"/>
  <c r="D87" i="72" s="1"/>
  <c r="H91" i="72"/>
  <c r="H91" i="69"/>
  <c r="H78" i="72"/>
  <c r="H78" i="69"/>
  <c r="BH202" i="4"/>
  <c r="Z1712" i="13"/>
  <c r="BL103" i="4"/>
  <c r="C71" i="69"/>
  <c r="D71" i="69" s="1" a="1"/>
  <c r="D71" i="69" s="1"/>
  <c r="C71" i="72"/>
  <c r="D71" i="72" s="1" a="1"/>
  <c r="D71" i="72" s="1"/>
  <c r="AV1735" i="13"/>
  <c r="AB1735" i="13"/>
  <c r="O79" i="72"/>
  <c r="BL79" i="72"/>
  <c r="O79" i="69"/>
  <c r="BF79" i="69"/>
  <c r="H68" i="72"/>
  <c r="H68" i="69"/>
  <c r="G307" i="15"/>
  <c r="C79" i="69"/>
  <c r="D79" i="69" s="1" a="1"/>
  <c r="D79" i="69" s="1"/>
  <c r="C79" i="72"/>
  <c r="D79" i="72" s="1" a="1"/>
  <c r="D79" i="72" s="1"/>
  <c r="G400" i="15"/>
  <c r="H80" i="69"/>
  <c r="H80" i="72"/>
  <c r="I195" i="15" a="1"/>
  <c r="I195" i="15" s="1"/>
  <c r="G195" i="15"/>
  <c r="G402" i="15"/>
  <c r="BC104" i="4"/>
  <c r="H87" i="69"/>
  <c r="H87" i="72"/>
  <c r="G310" i="15"/>
  <c r="A1616" i="13"/>
  <c r="AX1616" i="13" s="1"/>
  <c r="AV1517" i="13"/>
  <c r="AV1616" i="13" s="1"/>
  <c r="AX1517" i="13"/>
  <c r="C78" i="72"/>
  <c r="D78" i="72" s="1" a="1"/>
  <c r="D78" i="72" s="1"/>
  <c r="C78" i="69"/>
  <c r="D78" i="69" s="1" a="1"/>
  <c r="D78" i="69" s="1"/>
  <c r="C1712" i="13"/>
  <c r="AY202" i="4"/>
  <c r="H71" i="69"/>
  <c r="H71" i="72"/>
  <c r="AB1769" i="13"/>
  <c r="AV1769" i="13"/>
  <c r="AX1769" i="13" s="1"/>
  <c r="H92" i="69"/>
  <c r="H92" i="72"/>
  <c r="G421" i="15"/>
  <c r="C93" i="72"/>
  <c r="D93" i="72" s="1" a="1"/>
  <c r="D93" i="72" s="1"/>
  <c r="C93" i="69"/>
  <c r="D93" i="69" s="1" a="1"/>
  <c r="D93" i="69" s="1"/>
  <c r="BF1765" i="13"/>
  <c r="BD104" i="4"/>
  <c r="BE103" i="4"/>
  <c r="Z1714" i="13" s="1"/>
  <c r="C74" i="69"/>
  <c r="D74" i="69" s="1" a="1"/>
  <c r="D74" i="69" s="1"/>
  <c r="C74" i="72"/>
  <c r="D74" i="72" s="1" a="1"/>
  <c r="D74" i="72" s="1"/>
  <c r="C76" i="72"/>
  <c r="D76" i="72" s="1" a="1"/>
  <c r="D76" i="72" s="1"/>
  <c r="C76" i="69"/>
  <c r="D76" i="69" s="1" a="1"/>
  <c r="D76" i="69" s="1"/>
  <c r="C64" i="69"/>
  <c r="D64" i="69" s="1" a="1"/>
  <c r="D64" i="69" s="1"/>
  <c r="C64" i="72"/>
  <c r="D64" i="72" s="1" a="1"/>
  <c r="D64" i="72" s="1"/>
  <c r="BF78" i="69"/>
  <c r="O78" i="69"/>
  <c r="BL78" i="72"/>
  <c r="O78" i="72"/>
  <c r="AE78" i="72"/>
  <c r="AD78" i="69"/>
  <c r="S67" i="4"/>
  <c r="Z1659" i="13"/>
  <c r="T67" i="4"/>
  <c r="H77" i="69"/>
  <c r="H77" i="72"/>
  <c r="H63" i="72"/>
  <c r="H63" i="69"/>
  <c r="O55" i="72"/>
  <c r="G512" i="15"/>
  <c r="BQ55" i="69"/>
  <c r="C56" i="69"/>
  <c r="D56" i="69" s="1" a="1"/>
  <c r="D56" i="69" s="1"/>
  <c r="C56" i="72"/>
  <c r="D56" i="72" s="1" a="1"/>
  <c r="D56" i="72" s="1"/>
  <c r="C70" i="72"/>
  <c r="D70" i="72" s="1" a="1"/>
  <c r="D70" i="72" s="1"/>
  <c r="C70" i="69"/>
  <c r="D70" i="69" s="1" a="1"/>
  <c r="D70" i="69" s="1"/>
  <c r="C80" i="69"/>
  <c r="D80" i="69" s="1" a="1"/>
  <c r="D80" i="69" s="1"/>
  <c r="C80" i="72"/>
  <c r="D80" i="72" s="1" a="1"/>
  <c r="D80" i="72" s="1"/>
  <c r="C69" i="69"/>
  <c r="D69" i="69" s="1" a="1"/>
  <c r="D69" i="69" s="1"/>
  <c r="C69" i="72"/>
  <c r="D69" i="72" s="1" a="1"/>
  <c r="D69" i="72" s="1"/>
  <c r="G399" i="15"/>
  <c r="BA202" i="4"/>
  <c r="BF103" i="4"/>
  <c r="Z1715" i="13" s="1"/>
  <c r="G296" i="15"/>
  <c r="T30" i="4"/>
  <c r="Z1622" i="13"/>
  <c r="S30" i="4"/>
  <c r="H76" i="72"/>
  <c r="H76" i="69"/>
  <c r="H66" i="72"/>
  <c r="H66" i="69"/>
  <c r="C35" i="14"/>
  <c r="B35" i="14"/>
  <c r="C63" i="72"/>
  <c r="D63" i="72" s="1" a="1"/>
  <c r="D63" i="72" s="1"/>
  <c r="C63" i="69"/>
  <c r="D63" i="69" s="1" a="1"/>
  <c r="D63" i="69" s="1"/>
  <c r="AE55" i="72"/>
  <c r="AK55" i="72"/>
  <c r="BF55" i="72"/>
  <c r="BF97" i="72" s="1"/>
  <c r="BG55" i="72"/>
  <c r="BG97" i="72" s="1"/>
  <c r="AB1738" i="13"/>
  <c r="G191" i="15"/>
  <c r="I166" i="15" a="1"/>
  <c r="I166" i="15" s="1"/>
  <c r="G166" i="15"/>
  <c r="H69" i="69"/>
  <c r="H69" i="72"/>
  <c r="G653" i="15"/>
  <c r="G634" i="15"/>
  <c r="AV1554" i="13"/>
  <c r="AV1653" i="13" s="1"/>
  <c r="A1653" i="13"/>
  <c r="AX1653" i="13" s="1"/>
  <c r="AX1554" i="13"/>
  <c r="AB1725" i="13"/>
  <c r="Z1767" i="13"/>
  <c r="AV1725" i="13"/>
  <c r="C88" i="72"/>
  <c r="D88" i="72" s="1" a="1"/>
  <c r="D88" i="72" s="1"/>
  <c r="C88" i="69"/>
  <c r="D88" i="69" s="1" a="1"/>
  <c r="D88" i="69" s="1"/>
  <c r="G419" i="15"/>
  <c r="AV1740" i="13"/>
  <c r="Z1749" i="13"/>
  <c r="H70" i="72"/>
  <c r="H70" i="69"/>
  <c r="H93" i="72"/>
  <c r="H93" i="69"/>
  <c r="G540" i="15"/>
  <c r="H42" i="15" a="1"/>
  <c r="H42" i="15" s="1"/>
  <c r="H83" i="69"/>
  <c r="H83" i="72"/>
  <c r="C73" i="69"/>
  <c r="D73" i="69" s="1" a="1"/>
  <c r="D73" i="69" s="1"/>
  <c r="C73" i="72"/>
  <c r="D73" i="72" s="1" a="1"/>
  <c r="D73" i="72" s="1"/>
  <c r="C66" i="72"/>
  <c r="D66" i="72" s="1" a="1"/>
  <c r="D66" i="72" s="1"/>
  <c r="C66" i="69"/>
  <c r="D66" i="69" s="1" a="1"/>
  <c r="D66" i="69" s="1"/>
  <c r="AQ60" i="69" a="1"/>
  <c r="AQ60" i="69" s="1"/>
  <c r="C77" i="72"/>
  <c r="D77" i="72" s="1" a="1"/>
  <c r="D77" i="72" s="1"/>
  <c r="C77" i="69"/>
  <c r="D77" i="69" s="1" a="1"/>
  <c r="D77" i="69" s="1"/>
  <c r="H88" i="69"/>
  <c r="H88" i="72"/>
  <c r="BW55" i="72"/>
  <c r="C59" i="69"/>
  <c r="D59" i="69" s="1" a="1"/>
  <c r="D59" i="69" s="1"/>
  <c r="C59" i="72"/>
  <c r="D59" i="72" s="1" a="1"/>
  <c r="D59" i="72" s="1"/>
  <c r="G479" i="15"/>
  <c r="D55" i="69" a="1"/>
  <c r="D55" i="69" s="1"/>
  <c r="C57" i="72"/>
  <c r="D57" i="72" s="1" a="1"/>
  <c r="D57" i="72" s="1"/>
  <c r="C57" i="69"/>
  <c r="D57" i="69" s="1" a="1"/>
  <c r="D57" i="69" s="1"/>
  <c r="H56" i="69"/>
  <c r="H56" i="72"/>
  <c r="C84" i="72"/>
  <c r="D84" i="72" s="1" a="1"/>
  <c r="D84" i="72" s="1"/>
  <c r="C84" i="69"/>
  <c r="D84" i="69" s="1" a="1"/>
  <c r="D84" i="69" s="1"/>
  <c r="G425" i="15"/>
  <c r="G254" i="15"/>
  <c r="AR23" i="69" a="1"/>
  <c r="AR23" i="69" s="1"/>
  <c r="H64" i="69"/>
  <c r="H64" i="72"/>
  <c r="C85" i="72"/>
  <c r="D85" i="72" s="1" a="1"/>
  <c r="D85" i="72" s="1"/>
  <c r="C85" i="69"/>
  <c r="D85" i="69" s="1" a="1"/>
  <c r="D85" i="69" s="1"/>
  <c r="C83" i="69"/>
  <c r="D83" i="69" s="1" a="1"/>
  <c r="D83" i="69" s="1"/>
  <c r="C83" i="72"/>
  <c r="D83" i="72" s="1" a="1"/>
  <c r="D83" i="72" s="1"/>
  <c r="H73" i="72"/>
  <c r="H73" i="69"/>
  <c r="AV1717" i="13"/>
  <c r="AB1717" i="13"/>
  <c r="BR55" i="72" a="1"/>
  <c r="BR55" i="72" s="1"/>
  <c r="BU55" i="72"/>
  <c r="R55" i="72"/>
  <c r="BH55" i="72"/>
  <c r="AJ55" i="72"/>
  <c r="AJ97" i="72" s="1"/>
  <c r="AO55" i="72"/>
  <c r="AO97" i="72" s="1"/>
  <c r="BE55" i="72"/>
  <c r="BN55" i="72" a="1"/>
  <c r="BN55" i="72" s="1"/>
  <c r="AL55" i="72"/>
  <c r="AL97" i="72" s="1"/>
  <c r="BC55" i="69"/>
  <c r="BA55" i="69"/>
  <c r="BA97" i="69" s="1"/>
  <c r="AZ55" i="69"/>
  <c r="AG55" i="69" s="1" a="1"/>
  <c r="AG55" i="69" s="1"/>
  <c r="G433" i="15"/>
  <c r="G490" i="15"/>
  <c r="G390" i="15"/>
  <c r="C94" i="69"/>
  <c r="D94" i="69" s="1" a="1"/>
  <c r="D94" i="69" s="1"/>
  <c r="C94" i="72"/>
  <c r="D94" i="72" s="1" a="1"/>
  <c r="D94" i="72" s="1"/>
  <c r="G574" i="15"/>
  <c r="G210" i="15"/>
  <c r="DK24" i="4"/>
  <c r="DK7" i="4"/>
  <c r="DK13" i="4"/>
  <c r="DK67" i="4"/>
  <c r="DK19" i="4"/>
  <c r="DK51" i="4"/>
  <c r="DK39" i="4"/>
  <c r="DK74" i="4"/>
  <c r="DK29" i="4"/>
  <c r="DK68" i="4"/>
  <c r="DK10" i="4"/>
  <c r="DK63" i="4"/>
  <c r="DK58" i="4"/>
  <c r="DK17" i="4"/>
  <c r="DK95" i="4"/>
  <c r="DK54" i="4"/>
  <c r="DK72" i="4"/>
  <c r="DK90" i="4"/>
  <c r="DK21" i="4"/>
  <c r="DK36" i="4"/>
  <c r="DK35" i="4"/>
  <c r="DK83" i="4"/>
  <c r="DK87" i="4"/>
  <c r="DK48" i="4"/>
  <c r="DK6" i="4"/>
  <c r="DK93" i="4"/>
  <c r="DK88" i="4"/>
  <c r="DK89" i="4"/>
  <c r="DK46" i="4"/>
  <c r="DK59" i="4"/>
  <c r="DK61" i="4"/>
  <c r="DK65" i="4"/>
  <c r="DK44" i="4"/>
  <c r="DK20" i="4"/>
  <c r="DK71" i="4"/>
  <c r="DK49" i="4"/>
  <c r="DK75" i="4"/>
  <c r="DK73" i="4"/>
  <c r="DK33" i="4"/>
  <c r="DK26" i="4"/>
  <c r="DK57" i="4"/>
  <c r="DK9" i="4"/>
  <c r="DK16" i="4"/>
  <c r="DK79" i="4"/>
  <c r="DK84" i="4"/>
  <c r="DK22" i="4"/>
  <c r="DK41" i="4"/>
  <c r="DK55" i="4"/>
  <c r="DK82" i="4"/>
  <c r="DK80" i="4"/>
  <c r="DK77" i="4"/>
  <c r="DK28" i="4"/>
  <c r="DK15" i="4"/>
  <c r="DK45" i="4"/>
  <c r="DK31" i="4"/>
  <c r="DK18" i="4"/>
  <c r="DK91" i="4"/>
  <c r="DK30" i="4"/>
  <c r="DK52" i="4"/>
  <c r="DK40" i="4"/>
  <c r="DK85" i="4"/>
  <c r="DK64" i="4"/>
  <c r="DK25" i="4"/>
  <c r="DK8" i="4"/>
  <c r="DK11" i="4"/>
  <c r="DK76" i="4"/>
  <c r="DK60" i="4"/>
  <c r="DK37" i="4"/>
  <c r="DK5" i="4"/>
  <c r="DK94" i="4"/>
  <c r="DK14" i="4"/>
  <c r="DK50" i="4"/>
  <c r="DK23" i="4"/>
  <c r="DK53" i="4"/>
  <c r="DK66" i="4"/>
  <c r="DK32" i="4"/>
  <c r="DK27" i="4"/>
  <c r="DK38" i="4"/>
  <c r="DI3" i="4"/>
  <c r="DK3" i="4" s="1"/>
  <c r="DK81" i="4"/>
  <c r="DK43" i="4"/>
  <c r="DK96" i="4"/>
  <c r="DK70" i="4"/>
  <c r="DK62" i="4"/>
  <c r="DK56" i="4"/>
  <c r="DK69" i="4"/>
  <c r="DK12" i="4"/>
  <c r="DK86" i="4"/>
  <c r="DK4" i="4"/>
  <c r="DK92" i="4"/>
  <c r="DK78" i="4"/>
  <c r="DK34" i="4"/>
  <c r="DK47" i="4"/>
  <c r="DK42" i="4"/>
  <c r="AD74" i="69"/>
  <c r="O74" i="69"/>
  <c r="AE74" i="72"/>
  <c r="BF74" i="69"/>
  <c r="O74" i="72"/>
  <c r="BL74" i="72"/>
  <c r="H84" i="72"/>
  <c r="H84" i="69"/>
  <c r="G258" i="15"/>
  <c r="G185" i="15"/>
  <c r="H62" i="69"/>
  <c r="H62" i="72"/>
  <c r="AG23" i="69" a="1"/>
  <c r="AG23" i="69" s="1"/>
  <c r="H58" i="72"/>
  <c r="H58" i="69"/>
  <c r="H85" i="72"/>
  <c r="H85" i="69"/>
  <c r="C1733" i="13"/>
  <c r="AY203" i="4"/>
  <c r="C67" i="69"/>
  <c r="D67" i="69" s="1" a="1"/>
  <c r="D67" i="69" s="1"/>
  <c r="C67" i="72"/>
  <c r="D67" i="72" s="1" a="1"/>
  <c r="D67" i="72" s="1"/>
  <c r="BD97" i="4"/>
  <c r="BJ103" i="4"/>
  <c r="BJ104" i="4"/>
  <c r="C82" i="69"/>
  <c r="D82" i="69" s="1" a="1"/>
  <c r="D82" i="69" s="1"/>
  <c r="C82" i="72"/>
  <c r="D82" i="72" s="1" a="1"/>
  <c r="D82" i="72" s="1"/>
  <c r="AY23" i="72" a="1"/>
  <c r="AY23" i="72" s="1"/>
  <c r="AP23" i="72" a="1"/>
  <c r="AP23" i="72" s="1"/>
  <c r="AR23" i="72" a="1"/>
  <c r="AR23" i="72" s="1"/>
  <c r="BA23" i="72" a="1"/>
  <c r="BA23" i="72" s="1"/>
  <c r="AG23" i="72" a="1"/>
  <c r="AG23" i="72" s="1"/>
  <c r="BB23" i="72" a="1"/>
  <c r="BB23" i="72" s="1"/>
  <c r="AV23" i="72" a="1"/>
  <c r="AV23" i="72" s="1"/>
  <c r="AM23" i="72" a="1"/>
  <c r="AM23" i="72" s="1"/>
  <c r="AX23" i="72" a="1"/>
  <c r="AX23" i="72" s="1"/>
  <c r="G242" i="15"/>
  <c r="G355" i="15"/>
  <c r="BI55" i="72"/>
  <c r="E55" i="72"/>
  <c r="AQ23" i="72" a="1"/>
  <c r="AQ23" i="72" s="1"/>
  <c r="G154" i="15"/>
  <c r="C86" i="69"/>
  <c r="D86" i="69" s="1" a="1"/>
  <c r="D86" i="69" s="1"/>
  <c r="C86" i="72"/>
  <c r="D86" i="72" s="1" a="1"/>
  <c r="D86" i="72" s="1"/>
  <c r="BK55" i="69"/>
  <c r="BJ55" i="69" s="1"/>
  <c r="BM55" i="69" s="1"/>
  <c r="AH23" i="72" a="1"/>
  <c r="AH23" i="72" s="1"/>
  <c r="H57" i="72"/>
  <c r="H57" i="69"/>
  <c r="C95" i="72"/>
  <c r="D95" i="72" s="1" a="1"/>
  <c r="D95" i="72" s="1"/>
  <c r="C95" i="69"/>
  <c r="D95" i="69" s="1" a="1"/>
  <c r="D95" i="69" s="1"/>
  <c r="AR57" i="4"/>
  <c r="AQ57" i="4"/>
  <c r="H61" i="72"/>
  <c r="H61" i="69"/>
  <c r="G284" i="15"/>
  <c r="M105" i="4" a="1"/>
  <c r="M105" i="4" s="1"/>
  <c r="C96" i="69"/>
  <c r="D96" i="69" s="1" a="1"/>
  <c r="D96" i="69" s="1"/>
  <c r="C96" i="72"/>
  <c r="D96" i="72" s="1" a="1"/>
  <c r="D96" i="72" s="1"/>
  <c r="BM103" i="4"/>
  <c r="Z1720" i="13" s="1"/>
  <c r="BQ193" i="4"/>
  <c r="H67" i="69"/>
  <c r="H67" i="72"/>
  <c r="H82" i="69"/>
  <c r="H82" i="72"/>
  <c r="BA60" i="72" a="1"/>
  <c r="BA60" i="72" s="1"/>
  <c r="AX60" i="72" a="1"/>
  <c r="AX60" i="72" s="1"/>
  <c r="AG60" i="72" a="1"/>
  <c r="AG60" i="72" s="1"/>
  <c r="AP60" i="72" a="1"/>
  <c r="AP60" i="72" s="1"/>
  <c r="AV60" i="72" a="1"/>
  <c r="AV60" i="72" s="1"/>
  <c r="AW60" i="72" a="1"/>
  <c r="AW60" i="72" s="1"/>
  <c r="BB60" i="72" a="1"/>
  <c r="BB60" i="72" s="1"/>
  <c r="AR60" i="72" a="1"/>
  <c r="AR60" i="72" s="1"/>
  <c r="AM60" i="72" a="1"/>
  <c r="AM60" i="72" s="1"/>
  <c r="AH60" i="72" a="1"/>
  <c r="AH60" i="72" s="1"/>
  <c r="AY60" i="72" a="1"/>
  <c r="AY60" i="72" s="1"/>
  <c r="AF55" i="72" a="1"/>
  <c r="AF55" i="72" s="1"/>
  <c r="BO55" i="72" s="1" a="1"/>
  <c r="BO55" i="72" s="1"/>
  <c r="H59" i="69"/>
  <c r="H59" i="72"/>
  <c r="H86" i="72"/>
  <c r="H86" i="69"/>
  <c r="G265" i="15"/>
  <c r="BN55" i="69"/>
  <c r="B9" i="27"/>
  <c r="A10" i="27"/>
  <c r="G509" i="15"/>
  <c r="G428" i="15"/>
  <c r="G398" i="15"/>
  <c r="AQ60" i="72" a="1"/>
  <c r="AQ60" i="72" s="1"/>
  <c r="H95" i="69"/>
  <c r="H95" i="72"/>
  <c r="BM55" i="4"/>
  <c r="BR104" i="4"/>
  <c r="BO103" i="4"/>
  <c r="BR107" i="4"/>
  <c r="BR103" i="4"/>
  <c r="Z1724" i="13" s="1"/>
  <c r="BR106" i="4"/>
  <c r="BP193" i="4"/>
  <c r="BK103" i="4"/>
  <c r="G267" i="15"/>
  <c r="H94" i="69"/>
  <c r="H94" i="72"/>
  <c r="AU60" i="72" a="1"/>
  <c r="AU60" i="72" s="1"/>
  <c r="C90" i="72"/>
  <c r="D90" i="72" s="1" a="1"/>
  <c r="D90" i="72" s="1"/>
  <c r="C90" i="69"/>
  <c r="D90" i="69" s="1" a="1"/>
  <c r="D90" i="69" s="1"/>
  <c r="G270" i="15"/>
  <c r="C62" i="72"/>
  <c r="D62" i="72" s="1" a="1"/>
  <c r="D62" i="72" s="1"/>
  <c r="C62" i="69"/>
  <c r="D62" i="69" s="1" a="1"/>
  <c r="D62" i="69" s="1"/>
  <c r="D55" i="72" a="1"/>
  <c r="D55" i="72" s="1"/>
  <c r="C81" i="72"/>
  <c r="D81" i="72" s="1" a="1"/>
  <c r="D81" i="72" s="1"/>
  <c r="C81" i="69"/>
  <c r="D81" i="69" s="1" a="1"/>
  <c r="D81" i="69" s="1"/>
  <c r="C91" i="72"/>
  <c r="D91" i="72" s="1" a="1"/>
  <c r="D91" i="72" s="1"/>
  <c r="C91" i="69"/>
  <c r="D91" i="69" s="1" a="1"/>
  <c r="D91" i="69" s="1"/>
  <c r="BN104" i="4"/>
  <c r="Z1742" i="13" s="1"/>
  <c r="Z1737" i="13"/>
  <c r="G164" i="15"/>
  <c r="I164" i="15" a="1"/>
  <c r="I164" i="15" s="1"/>
  <c r="G179" i="15"/>
  <c r="BL55" i="72"/>
  <c r="AD70" i="69"/>
  <c r="BF70" i="69"/>
  <c r="O70" i="69"/>
  <c r="BL70" i="72"/>
  <c r="O70" i="72"/>
  <c r="AE70" i="72"/>
  <c r="AT55" i="69" a="1"/>
  <c r="AT55" i="69" s="1"/>
  <c r="G259" i="15"/>
  <c r="G446" i="15"/>
  <c r="G172" i="15"/>
  <c r="C61" i="72"/>
  <c r="D61" i="72" s="1" a="1"/>
  <c r="D61" i="72" s="1"/>
  <c r="C61" i="69"/>
  <c r="D61" i="69" s="1" a="1"/>
  <c r="D61" i="69" s="1"/>
  <c r="X104" i="69"/>
  <c r="G519" i="15"/>
  <c r="H90" i="72"/>
  <c r="H90" i="69"/>
  <c r="G623" i="15"/>
  <c r="O85" i="69"/>
  <c r="AE85" i="72"/>
  <c r="BF85" i="69"/>
  <c r="AD85" i="69"/>
  <c r="BL85" i="72"/>
  <c r="O85" i="72"/>
  <c r="H81" i="72"/>
  <c r="H81" i="69"/>
  <c r="BR193" i="4"/>
  <c r="AB1731" i="13"/>
  <c r="Z1773" i="13"/>
  <c r="AV1731" i="13"/>
  <c r="C58" i="72"/>
  <c r="D58" i="72" s="1" a="1"/>
  <c r="D58" i="72" s="1"/>
  <c r="C58" i="69"/>
  <c r="D58" i="69" s="1" a="1"/>
  <c r="D58" i="69" s="1"/>
  <c r="BG204" i="4"/>
  <c r="AV1747" i="13"/>
  <c r="AB1747" i="13"/>
  <c r="C89" i="69"/>
  <c r="D89" i="69" s="1" a="1"/>
  <c r="D89" i="69" s="1"/>
  <c r="C89" i="72"/>
  <c r="D89" i="72" s="1" a="1"/>
  <c r="D89" i="72" s="1"/>
  <c r="G306" i="15"/>
  <c r="C68" i="72"/>
  <c r="D68" i="72" s="1" a="1"/>
  <c r="D68" i="72" s="1"/>
  <c r="C68" i="69"/>
  <c r="D68" i="69" s="1" a="1"/>
  <c r="D68" i="69" s="1"/>
  <c r="G438" i="15"/>
  <c r="L55" i="72"/>
  <c r="BO23" i="72" a="1"/>
  <c r="BO23" i="72" s="1"/>
  <c r="G648" i="15"/>
  <c r="O55" i="69"/>
  <c r="E55" i="69"/>
  <c r="N3" i="27" s="1" a="1"/>
  <c r="N3" i="27" s="1"/>
  <c r="BC202" i="4"/>
  <c r="BC204" i="4" s="1"/>
  <c r="AY103" i="4"/>
  <c r="Z1718" i="13"/>
  <c r="Z1554" i="13"/>
  <c r="A1549" i="13"/>
  <c r="AV1450" i="13"/>
  <c r="AX1450" i="13"/>
  <c r="H72" i="69"/>
  <c r="H72" i="72"/>
  <c r="X102" i="69"/>
  <c r="H74" i="69"/>
  <c r="H74" i="72"/>
  <c r="G646" i="15"/>
  <c r="Z1759" i="13" l="1"/>
  <c r="BL104" i="4"/>
  <c r="AK55" i="69" a="1"/>
  <c r="AK55" i="69" s="1"/>
  <c r="AP97" i="69"/>
  <c r="AD55" i="69"/>
  <c r="AO55" i="69" a="1"/>
  <c r="AO55" i="69" s="1"/>
  <c r="AN101" i="72"/>
  <c r="AN102" i="72" s="1"/>
  <c r="AF55" i="69" a="1"/>
  <c r="AF55" i="69" s="1"/>
  <c r="AL55" i="69" a="1"/>
  <c r="AL55" i="69" s="1"/>
  <c r="AH55" i="69" a="1"/>
  <c r="AH55" i="69" s="1"/>
  <c r="BI55" i="69" a="1"/>
  <c r="BI55" i="69" s="1"/>
  <c r="AQ55" i="69" a="1"/>
  <c r="AQ55" i="69" s="1"/>
  <c r="AS55" i="69" a="1"/>
  <c r="AS55" i="69" s="1"/>
  <c r="AV55" i="69" a="1"/>
  <c r="AV55" i="69" s="1"/>
  <c r="BJ105" i="4"/>
  <c r="L3" i="27" a="1"/>
  <c r="L3" i="27" s="1"/>
  <c r="AG97" i="69"/>
  <c r="AU55" i="69" a="1"/>
  <c r="AU55" i="69" s="1"/>
  <c r="AU97" i="69" s="1"/>
  <c r="AJ55" i="69" a="1"/>
  <c r="AJ55" i="69" s="1"/>
  <c r="AR55" i="69" a="1"/>
  <c r="AR55" i="69" s="1"/>
  <c r="AR99" i="69" s="1"/>
  <c r="AB1773" i="13"/>
  <c r="BB1754" i="13"/>
  <c r="AV1773" i="13"/>
  <c r="Z1722" i="13"/>
  <c r="AB1718" i="13"/>
  <c r="AV1718" i="13"/>
  <c r="Z1760" i="13"/>
  <c r="Z1745" i="13"/>
  <c r="Z1766" i="13" s="1"/>
  <c r="BR105" i="4"/>
  <c r="DM42" i="4"/>
  <c r="DL42" i="4"/>
  <c r="DN42" i="4"/>
  <c r="DN96" i="4"/>
  <c r="DM96" i="4"/>
  <c r="DL96" i="4"/>
  <c r="DN94" i="4"/>
  <c r="DL94" i="4"/>
  <c r="DM94" i="4"/>
  <c r="DL30" i="4"/>
  <c r="DM30" i="4"/>
  <c r="DN30" i="4"/>
  <c r="DM22" i="4"/>
  <c r="DN22" i="4"/>
  <c r="DL22" i="4"/>
  <c r="DL20" i="4"/>
  <c r="DM20" i="4"/>
  <c r="DN20" i="4"/>
  <c r="DL83" i="4"/>
  <c r="DM83" i="4"/>
  <c r="DN83" i="4"/>
  <c r="DL68" i="4"/>
  <c r="DM68" i="4"/>
  <c r="DN68" i="4"/>
  <c r="AV1767" i="13"/>
  <c r="AX1767" i="13" s="1"/>
  <c r="AB1767" i="13"/>
  <c r="BN103" i="4"/>
  <c r="Z1716" i="13"/>
  <c r="AV1742" i="13"/>
  <c r="AB1742" i="13"/>
  <c r="DN34" i="4"/>
  <c r="DM34" i="4"/>
  <c r="DL34" i="4"/>
  <c r="DN81" i="4"/>
  <c r="DL81" i="4"/>
  <c r="DM81" i="4"/>
  <c r="DN37" i="4"/>
  <c r="DM37" i="4"/>
  <c r="DL37" i="4"/>
  <c r="DM18" i="4"/>
  <c r="DN18" i="4"/>
  <c r="DL18" i="4"/>
  <c r="DM79" i="4"/>
  <c r="DL79" i="4"/>
  <c r="DN79" i="4"/>
  <c r="DN65" i="4"/>
  <c r="DL65" i="4"/>
  <c r="DM65" i="4"/>
  <c r="DM36" i="4"/>
  <c r="DL36" i="4"/>
  <c r="DN36" i="4"/>
  <c r="DN74" i="4"/>
  <c r="DM74" i="4"/>
  <c r="DL74" i="4"/>
  <c r="DL78" i="4"/>
  <c r="DN78" i="4"/>
  <c r="DM78" i="4"/>
  <c r="DL3" i="4"/>
  <c r="DN3" i="4"/>
  <c r="DM3" i="4"/>
  <c r="DL60" i="4"/>
  <c r="DM60" i="4"/>
  <c r="DN60" i="4"/>
  <c r="DM31" i="4"/>
  <c r="DL31" i="4"/>
  <c r="DN31" i="4"/>
  <c r="DN16" i="4"/>
  <c r="DM16" i="4"/>
  <c r="DL16" i="4"/>
  <c r="DL61" i="4"/>
  <c r="DN61" i="4"/>
  <c r="DM61" i="4"/>
  <c r="DM21" i="4"/>
  <c r="DL21" i="4"/>
  <c r="DN21" i="4"/>
  <c r="DL39" i="4"/>
  <c r="DN39" i="4"/>
  <c r="DM39" i="4"/>
  <c r="BL105" i="4"/>
  <c r="BB55" i="72" a="1"/>
  <c r="BB55" i="72" s="1"/>
  <c r="BB97" i="72" s="1"/>
  <c r="AP55" i="72" a="1"/>
  <c r="AP55" i="72" s="1"/>
  <c r="AX55" i="72" a="1"/>
  <c r="AX55" i="72" s="1"/>
  <c r="AY99" i="72" s="1"/>
  <c r="AV55" i="72" a="1"/>
  <c r="AV55" i="72" s="1"/>
  <c r="AV97" i="72" s="1"/>
  <c r="BA55" i="72" a="1"/>
  <c r="BA55" i="72" s="1"/>
  <c r="BA97" i="72" s="1"/>
  <c r="AM55" i="72" a="1"/>
  <c r="AM55" i="72" s="1"/>
  <c r="AR55" i="72" a="1"/>
  <c r="AR55" i="72" s="1"/>
  <c r="AR97" i="72" s="1"/>
  <c r="AH55" i="72" a="1"/>
  <c r="AH55" i="72" s="1"/>
  <c r="AH97" i="72" s="1"/>
  <c r="AW55" i="72" a="1"/>
  <c r="AW55" i="72" s="1"/>
  <c r="AG55" i="72" a="1"/>
  <c r="AG55" i="72" s="1"/>
  <c r="AY55" i="72" a="1"/>
  <c r="AY55" i="72" s="1"/>
  <c r="DM92" i="4"/>
  <c r="DN92" i="4"/>
  <c r="DL92" i="4"/>
  <c r="DL38" i="4"/>
  <c r="DM38" i="4"/>
  <c r="DN38" i="4"/>
  <c r="DM76" i="4"/>
  <c r="DL76" i="4"/>
  <c r="DN76" i="4"/>
  <c r="DN45" i="4"/>
  <c r="DL45" i="4"/>
  <c r="DM45" i="4"/>
  <c r="DM9" i="4"/>
  <c r="DL9" i="4"/>
  <c r="DN9" i="4"/>
  <c r="DM59" i="4"/>
  <c r="DN59" i="4"/>
  <c r="DL59" i="4"/>
  <c r="DL90" i="4"/>
  <c r="DN90" i="4"/>
  <c r="DM90" i="4"/>
  <c r="DL51" i="4"/>
  <c r="DN51" i="4"/>
  <c r="DM51" i="4"/>
  <c r="AV1712" i="13"/>
  <c r="Z1729" i="13"/>
  <c r="AB1712" i="13"/>
  <c r="AV1737" i="13"/>
  <c r="AB1737" i="13"/>
  <c r="DL4" i="4"/>
  <c r="DN4" i="4"/>
  <c r="DM4" i="4"/>
  <c r="DL27" i="4"/>
  <c r="DN27" i="4"/>
  <c r="DM27" i="4"/>
  <c r="DM11" i="4"/>
  <c r="DL11" i="4"/>
  <c r="DN11" i="4"/>
  <c r="DM15" i="4"/>
  <c r="DN15" i="4"/>
  <c r="DL15" i="4"/>
  <c r="DN57" i="4"/>
  <c r="DM57" i="4"/>
  <c r="DL57" i="4"/>
  <c r="DM46" i="4"/>
  <c r="DL46" i="4"/>
  <c r="DN46" i="4"/>
  <c r="DL72" i="4"/>
  <c r="DM72" i="4"/>
  <c r="DN72" i="4"/>
  <c r="DM19" i="4"/>
  <c r="DL19" i="4"/>
  <c r="DN19" i="4"/>
  <c r="AZ97" i="69"/>
  <c r="O3" i="1" a="1"/>
  <c r="O3" i="1" s="1"/>
  <c r="O101" i="1" s="1"/>
  <c r="AV1749" i="13"/>
  <c r="AB1749" i="13"/>
  <c r="Z1733" i="13"/>
  <c r="Z1754" i="13" s="1"/>
  <c r="BH203" i="4"/>
  <c r="BH204" i="4" s="1"/>
  <c r="Z1719" i="13"/>
  <c r="BK105" i="4"/>
  <c r="DL86" i="4"/>
  <c r="DN86" i="4"/>
  <c r="DM86" i="4"/>
  <c r="DM32" i="4"/>
  <c r="DL32" i="4"/>
  <c r="DN32" i="4"/>
  <c r="DM8" i="4"/>
  <c r="DN8" i="4"/>
  <c r="DL8" i="4"/>
  <c r="DM28" i="4"/>
  <c r="DN28" i="4"/>
  <c r="DL28" i="4"/>
  <c r="DN26" i="4"/>
  <c r="DL26" i="4"/>
  <c r="DM26" i="4"/>
  <c r="DM89" i="4"/>
  <c r="DN89" i="4"/>
  <c r="DL89" i="4"/>
  <c r="DM54" i="4"/>
  <c r="DN54" i="4"/>
  <c r="DL54" i="4"/>
  <c r="DN67" i="4"/>
  <c r="DL67" i="4"/>
  <c r="DM67" i="4"/>
  <c r="BW103" i="4"/>
  <c r="BW104" i="4" s="1"/>
  <c r="BE55" i="4" a="1"/>
  <c r="BE55" i="4" s="1"/>
  <c r="BM104" i="4"/>
  <c r="Z1741" i="13" s="1"/>
  <c r="Z1762" i="13" s="1"/>
  <c r="BM97" i="4"/>
  <c r="DN12" i="4"/>
  <c r="DM12" i="4"/>
  <c r="DL12" i="4"/>
  <c r="DM66" i="4"/>
  <c r="DN66" i="4"/>
  <c r="DL66" i="4"/>
  <c r="DL25" i="4"/>
  <c r="DN25" i="4"/>
  <c r="DM25" i="4"/>
  <c r="DL77" i="4"/>
  <c r="DN77" i="4"/>
  <c r="DM77" i="4"/>
  <c r="DL33" i="4"/>
  <c r="DM33" i="4"/>
  <c r="DN33" i="4"/>
  <c r="DL88" i="4"/>
  <c r="DN88" i="4"/>
  <c r="DM88" i="4"/>
  <c r="DN95" i="4"/>
  <c r="DL95" i="4"/>
  <c r="DM95" i="4"/>
  <c r="DL13" i="4"/>
  <c r="DN13" i="4"/>
  <c r="DM13" i="4"/>
  <c r="C1759" i="13"/>
  <c r="AB1759" i="13"/>
  <c r="AV1759" i="13"/>
  <c r="Z1756" i="13"/>
  <c r="AV1714" i="13"/>
  <c r="AB1714" i="13"/>
  <c r="AY204" i="4"/>
  <c r="BB202" i="4"/>
  <c r="AZ202" i="4"/>
  <c r="BI202" i="4" s="1"/>
  <c r="AZ203" i="4"/>
  <c r="DL43" i="4"/>
  <c r="DM43" i="4"/>
  <c r="DN43" i="4"/>
  <c r="DL35" i="4"/>
  <c r="DM35" i="4"/>
  <c r="DN35" i="4"/>
  <c r="BP108" i="4"/>
  <c r="DL69" i="4"/>
  <c r="DM69" i="4"/>
  <c r="DN69" i="4"/>
  <c r="DM53" i="4"/>
  <c r="DL53" i="4"/>
  <c r="DN53" i="4"/>
  <c r="DL64" i="4"/>
  <c r="DM64" i="4"/>
  <c r="DN64" i="4"/>
  <c r="DM80" i="4"/>
  <c r="DL80" i="4"/>
  <c r="DN80" i="4"/>
  <c r="DN73" i="4"/>
  <c r="DL73" i="4"/>
  <c r="DM73" i="4"/>
  <c r="DM93" i="4"/>
  <c r="DN93" i="4"/>
  <c r="DL93" i="4"/>
  <c r="DM17" i="4"/>
  <c r="DN17" i="4"/>
  <c r="DL17" i="4"/>
  <c r="DM7" i="4"/>
  <c r="DN7" i="4"/>
  <c r="DL7" i="4"/>
  <c r="AQ55" i="72" a="1"/>
  <c r="AQ55" i="72" s="1"/>
  <c r="AB1715" i="13"/>
  <c r="Z1757" i="13"/>
  <c r="AV1715" i="13"/>
  <c r="Z1723" i="13"/>
  <c r="Z1734" i="13"/>
  <c r="Z1755" i="13" s="1"/>
  <c r="BA203" i="4"/>
  <c r="BE203" i="4" s="1"/>
  <c r="AB1744" i="13"/>
  <c r="AV1744" i="13"/>
  <c r="AO101" i="72"/>
  <c r="AO102" i="72" s="1"/>
  <c r="A1648" i="13"/>
  <c r="AX1648" i="13" s="1"/>
  <c r="AX1549" i="13"/>
  <c r="AV1549" i="13"/>
  <c r="AV1648" i="13" s="1"/>
  <c r="AV1724" i="13"/>
  <c r="AB1724" i="13"/>
  <c r="AV1720" i="13"/>
  <c r="AB1720" i="13"/>
  <c r="DN56" i="4"/>
  <c r="DM56" i="4"/>
  <c r="DL56" i="4"/>
  <c r="DL23" i="4"/>
  <c r="DM23" i="4"/>
  <c r="DN23" i="4"/>
  <c r="DN85" i="4"/>
  <c r="DM85" i="4"/>
  <c r="DL85" i="4"/>
  <c r="DL82" i="4"/>
  <c r="DN82" i="4"/>
  <c r="DM82" i="4"/>
  <c r="DN75" i="4"/>
  <c r="DL75" i="4"/>
  <c r="DM75" i="4"/>
  <c r="DN6" i="4"/>
  <c r="DL6" i="4"/>
  <c r="DM6" i="4"/>
  <c r="DN58" i="4"/>
  <c r="DM58" i="4"/>
  <c r="DL58" i="4"/>
  <c r="DM24" i="4"/>
  <c r="DL24" i="4"/>
  <c r="DN24" i="4"/>
  <c r="AU55" i="72" a="1"/>
  <c r="AU55" i="72" s="1"/>
  <c r="Z42" i="14"/>
  <c r="Z41" i="14"/>
  <c r="Z43" i="14"/>
  <c r="AB1713" i="13"/>
  <c r="AV1713" i="13"/>
  <c r="AB1739" i="13"/>
  <c r="AV1739" i="13"/>
  <c r="DL47" i="4"/>
  <c r="DM47" i="4"/>
  <c r="DN47" i="4"/>
  <c r="DN5" i="4"/>
  <c r="DM5" i="4"/>
  <c r="DL5" i="4"/>
  <c r="DM91" i="4"/>
  <c r="DN91" i="4"/>
  <c r="DL91" i="4"/>
  <c r="DN84" i="4"/>
  <c r="DM84" i="4"/>
  <c r="DL84" i="4"/>
  <c r="DL44" i="4"/>
  <c r="DM44" i="4"/>
  <c r="DN44" i="4"/>
  <c r="DM29" i="4"/>
  <c r="DN29" i="4"/>
  <c r="DL29" i="4"/>
  <c r="AO99" i="72"/>
  <c r="T62" i="4"/>
  <c r="T97" i="4" s="1"/>
  <c r="Z1654" i="13"/>
  <c r="S62" i="4"/>
  <c r="S97" i="4" s="1"/>
  <c r="DL62" i="4"/>
  <c r="DM62" i="4"/>
  <c r="DN62" i="4"/>
  <c r="DM50" i="4"/>
  <c r="DL50" i="4"/>
  <c r="DN50" i="4"/>
  <c r="DL40" i="4"/>
  <c r="DN40" i="4"/>
  <c r="DM40" i="4"/>
  <c r="DM55" i="4"/>
  <c r="DN55" i="4"/>
  <c r="DL55" i="4"/>
  <c r="DN49" i="4"/>
  <c r="DL49" i="4"/>
  <c r="DM49" i="4"/>
  <c r="DM48" i="4"/>
  <c r="DN48" i="4"/>
  <c r="DL48" i="4"/>
  <c r="DL63" i="4"/>
  <c r="DN63" i="4"/>
  <c r="DM63" i="4"/>
  <c r="F42" i="14"/>
  <c r="P42" i="14" s="1"/>
  <c r="F40" i="14"/>
  <c r="P40" i="14" s="1"/>
  <c r="F41" i="14"/>
  <c r="P41" i="14" s="1"/>
  <c r="F43" i="14"/>
  <c r="P43" i="14" s="1"/>
  <c r="BE202" i="4"/>
  <c r="AY104" i="4"/>
  <c r="DL70" i="4"/>
  <c r="DM70" i="4"/>
  <c r="DN70" i="4"/>
  <c r="DL14" i="4"/>
  <c r="DN14" i="4"/>
  <c r="DM14" i="4"/>
  <c r="DN52" i="4"/>
  <c r="DM52" i="4"/>
  <c r="DL52" i="4"/>
  <c r="DL41" i="4"/>
  <c r="DN41" i="4"/>
  <c r="DM41" i="4"/>
  <c r="DL71" i="4"/>
  <c r="DN71" i="4"/>
  <c r="DM71" i="4"/>
  <c r="DL87" i="4"/>
  <c r="DN87" i="4"/>
  <c r="DM87" i="4"/>
  <c r="DL10" i="4"/>
  <c r="DN10" i="4"/>
  <c r="DM10" i="4"/>
  <c r="H40" i="15"/>
  <c r="I40" i="15"/>
  <c r="AI55" i="69" a="1"/>
  <c r="AI55" i="69" s="1"/>
  <c r="AM3" i="1" l="1" a="1"/>
  <c r="AM3" i="1" s="1"/>
  <c r="AM101" i="1" s="1"/>
  <c r="AV98" i="69"/>
  <c r="DJ19" i="4"/>
  <c r="DJ69" i="4"/>
  <c r="DJ92" i="4"/>
  <c r="DJ35" i="4"/>
  <c r="DJ12" i="4"/>
  <c r="DJ95" i="4"/>
  <c r="DJ52" i="4"/>
  <c r="DJ87" i="4"/>
  <c r="DJ46" i="4"/>
  <c r="DJ24" i="4"/>
  <c r="DJ37" i="4"/>
  <c r="DJ86" i="4"/>
  <c r="DJ57" i="4"/>
  <c r="BA204" i="4"/>
  <c r="DJ84" i="4"/>
  <c r="AW98" i="69"/>
  <c r="AV97" i="69"/>
  <c r="AO3" i="1" a="1"/>
  <c r="AO3" i="1" s="1"/>
  <c r="AO101" i="1" s="1"/>
  <c r="AH97" i="69"/>
  <c r="AH100" i="69"/>
  <c r="DJ70" i="4"/>
  <c r="DJ32" i="4"/>
  <c r="DJ45" i="4"/>
  <c r="DJ96" i="4"/>
  <c r="AL99" i="69"/>
  <c r="AL97" i="69"/>
  <c r="DJ79" i="4"/>
  <c r="DJ54" i="4"/>
  <c r="DJ8" i="4"/>
  <c r="DJ16" i="4"/>
  <c r="DJ34" i="4"/>
  <c r="DJ94" i="4"/>
  <c r="DJ31" i="4"/>
  <c r="DJ48" i="4"/>
  <c r="DJ49" i="4"/>
  <c r="DJ93" i="4"/>
  <c r="BB203" i="4"/>
  <c r="BO203" i="4" s="1"/>
  <c r="DJ76" i="4"/>
  <c r="DJ36" i="4"/>
  <c r="DJ55" i="4"/>
  <c r="Z1743" i="13"/>
  <c r="AB1743" i="13" s="1"/>
  <c r="DJ58" i="4"/>
  <c r="DJ85" i="4"/>
  <c r="DJ14" i="4"/>
  <c r="DJ91" i="4"/>
  <c r="DJ73" i="4"/>
  <c r="AZ204" i="4"/>
  <c r="DJ63" i="4"/>
  <c r="DJ40" i="4"/>
  <c r="DJ80" i="4"/>
  <c r="DJ28" i="4"/>
  <c r="DJ65" i="4"/>
  <c r="DJ81" i="4"/>
  <c r="AZ1754" i="13"/>
  <c r="BC1754" i="13" s="1"/>
  <c r="Z1771" i="13"/>
  <c r="AV1754" i="13"/>
  <c r="Z1775" i="13"/>
  <c r="E1753" i="13"/>
  <c r="E1754" i="13"/>
  <c r="AB1754" i="13"/>
  <c r="AW1754" i="13"/>
  <c r="DJ6" i="4"/>
  <c r="DJ38" i="4"/>
  <c r="DJ68" i="4"/>
  <c r="DJ30" i="4"/>
  <c r="DJ67" i="4"/>
  <c r="DJ71" i="4"/>
  <c r="DJ50" i="4"/>
  <c r="DJ29" i="4"/>
  <c r="DJ88" i="4"/>
  <c r="DJ66" i="4"/>
  <c r="DJ15" i="4"/>
  <c r="DJ59" i="4"/>
  <c r="DJ61" i="4"/>
  <c r="DJ3" i="4"/>
  <c r="AV1745" i="13"/>
  <c r="AB1745" i="13"/>
  <c r="AV1756" i="13"/>
  <c r="AB1756" i="13"/>
  <c r="C1756" i="13"/>
  <c r="AB1760" i="13"/>
  <c r="AV1760" i="13"/>
  <c r="Z1764" i="13"/>
  <c r="DJ7" i="4"/>
  <c r="DJ5" i="4"/>
  <c r="DJ64" i="4"/>
  <c r="AI100" i="69"/>
  <c r="AI97" i="69"/>
  <c r="DJ44" i="4"/>
  <c r="DJ47" i="4"/>
  <c r="DJ75" i="4"/>
  <c r="DJ56" i="4"/>
  <c r="DJ17" i="4"/>
  <c r="DJ43" i="4"/>
  <c r="DJ33" i="4"/>
  <c r="DJ72" i="4"/>
  <c r="DJ11" i="4"/>
  <c r="AB1729" i="13"/>
  <c r="AV1729" i="13"/>
  <c r="DJ9" i="4"/>
  <c r="DJ83" i="4"/>
  <c r="DJ41" i="4"/>
  <c r="BF202" i="4"/>
  <c r="BF204" i="4" s="1"/>
  <c r="BE204" i="4"/>
  <c r="DJ62" i="4"/>
  <c r="C1762" i="13"/>
  <c r="AV1762" i="13"/>
  <c r="AB1762" i="13"/>
  <c r="BJ202" i="4"/>
  <c r="DJ78" i="4"/>
  <c r="AB1755" i="13"/>
  <c r="AV1755" i="13"/>
  <c r="DJ82" i="4"/>
  <c r="AV1734" i="13"/>
  <c r="AB1734" i="13"/>
  <c r="DJ53" i="4"/>
  <c r="DJ89" i="4"/>
  <c r="Z1732" i="13"/>
  <c r="AV1722" i="13"/>
  <c r="AB1722" i="13"/>
  <c r="AV1723" i="13"/>
  <c r="AB1723" i="13"/>
  <c r="DJ20" i="4"/>
  <c r="DJ10" i="4"/>
  <c r="AV1766" i="13"/>
  <c r="AX1766" i="13" s="1"/>
  <c r="AX1770" i="13" s="1"/>
  <c r="AB1766" i="13"/>
  <c r="BI203" i="4"/>
  <c r="BI204" i="4" s="1"/>
  <c r="DJ13" i="4"/>
  <c r="DJ77" i="4"/>
  <c r="AB1741" i="13"/>
  <c r="AV1741" i="13"/>
  <c r="AB1733" i="13"/>
  <c r="AV1733" i="13"/>
  <c r="Z1750" i="13"/>
  <c r="DJ27" i="4"/>
  <c r="DJ51" i="4"/>
  <c r="DJ39" i="4"/>
  <c r="DJ18" i="4"/>
  <c r="Z1765" i="13"/>
  <c r="C1757" i="13"/>
  <c r="AV1757" i="13"/>
  <c r="AB1757" i="13"/>
  <c r="BE97" i="4"/>
  <c r="AZ99" i="4" s="1"/>
  <c r="BX103" i="4"/>
  <c r="BX104" i="4" s="1"/>
  <c r="BY103" i="4"/>
  <c r="BY104" i="4" s="1"/>
  <c r="DJ74" i="4"/>
  <c r="Z1758" i="13"/>
  <c r="AV1716" i="13"/>
  <c r="AB1716" i="13"/>
  <c r="DJ26" i="4"/>
  <c r="DJ21" i="4"/>
  <c r="DJ60" i="4"/>
  <c r="Z1721" i="13"/>
  <c r="BN105" i="4"/>
  <c r="DJ42" i="4"/>
  <c r="BD98" i="72"/>
  <c r="DJ23" i="4"/>
  <c r="BO202" i="4"/>
  <c r="BD202" i="4"/>
  <c r="BN202" i="4" s="1"/>
  <c r="DJ25" i="4"/>
  <c r="DJ4" i="4"/>
  <c r="DJ90" i="4"/>
  <c r="DJ22" i="4"/>
  <c r="AS99" i="72"/>
  <c r="AV1719" i="13"/>
  <c r="Z1728" i="13"/>
  <c r="Z1761" i="13"/>
  <c r="AB1719" i="13"/>
  <c r="AM97" i="72"/>
  <c r="AM101" i="72"/>
  <c r="BC98" i="72"/>
  <c r="BD203" i="4" l="1"/>
  <c r="BL203" i="4" s="1"/>
  <c r="BB204" i="4"/>
  <c r="BO204" i="4" s="1"/>
  <c r="Z1753" i="13"/>
  <c r="AV1743" i="13"/>
  <c r="AB1721" i="13"/>
  <c r="AV1721" i="13"/>
  <c r="Z1763" i="13"/>
  <c r="Z1774" i="13"/>
  <c r="AB1764" i="13"/>
  <c r="BA1754" i="13"/>
  <c r="AV1764" i="13"/>
  <c r="AB1758" i="13"/>
  <c r="AV1758" i="13"/>
  <c r="AV1775" i="13"/>
  <c r="AB1775" i="13"/>
  <c r="AV1765" i="13"/>
  <c r="AB1765" i="13"/>
  <c r="AV1771" i="13"/>
  <c r="AB1771" i="13"/>
  <c r="BL202" i="4"/>
  <c r="BJ203" i="4"/>
  <c r="BJ204" i="4" s="1"/>
  <c r="Z1770" i="13"/>
  <c r="C1761" i="13"/>
  <c r="AB1761" i="13"/>
  <c r="AV1761" i="13"/>
  <c r="AB1728" i="13"/>
  <c r="AV1728" i="13"/>
  <c r="AV1750" i="13"/>
  <c r="AB1750" i="13"/>
  <c r="BN203" i="4" l="1"/>
  <c r="BD204" i="4"/>
  <c r="BL204" i="4" s="1"/>
  <c r="AV1763" i="13"/>
  <c r="AB1763" i="13"/>
  <c r="AB1770" i="13"/>
  <c r="AV1770" i="13"/>
  <c r="AV1774" i="13"/>
  <c r="AB1774" i="13"/>
  <c r="BN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futureMetadata>
  <cellMetadata count="1">
    <bk>
      <rc t="1" v="0"/>
    </bk>
  </cellMetadata>
  <valueMetadata count="43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valueMetadata>
</metadata>
</file>

<file path=xl/sharedStrings.xml><?xml version="1.0" encoding="utf-8"?>
<sst xmlns="http://schemas.openxmlformats.org/spreadsheetml/2006/main" count="6084" uniqueCount="2807">
  <si>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</si>
  <si>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</si>
  <si>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</si>
  <si>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</si>
  <si>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</si>
  <si>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</si>
  <si>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</si>
  <si>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</si>
  <si>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</si>
  <si>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</si>
  <si>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</si>
  <si>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</si>
  <si>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</si>
  <si>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</si>
  <si>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</si>
  <si>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</si>
  <si>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</si>
  <si>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</si>
  <si>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</si>
  <si>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</si>
  <si>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</si>
  <si>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</si>
  <si>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</si>
  <si>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</si>
  <si>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</si>
  <si>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</si>
  <si>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</si>
  <si>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</si>
  <si>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</si>
  <si>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</si>
  <si>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</si>
  <si>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</si>
  <si>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</si>
  <si>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</si>
  <si>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</si>
  <si>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</si>
  <si>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</si>
  <si>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</si>
  <si>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</si>
  <si>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</si>
  <si>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</si>
  <si>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</si>
  <si>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</si>
  <si>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</si>
  <si>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</si>
  <si>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</si>
  <si>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</si>
  <si>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</si>
  <si>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</si>
  <si>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</si>
  <si>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</si>
  <si>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</si>
  <si>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</si>
  <si>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</si>
  <si>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</si>
  <si>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</si>
  <si>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</si>
  <si>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</si>
  <si>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</si>
  <si>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</si>
  <si>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</si>
  <si>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</si>
  <si>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</si>
  <si>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</si>
  <si>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</si>
  <si>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</si>
  <si>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</si>
  <si>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</si>
  <si>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</si>
  <si>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</si>
  <si>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</si>
  <si>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</si>
  <si>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</si>
  <si>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</si>
  <si>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</si>
  <si>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</si>
  <si>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</si>
  <si>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</si>
  <si>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</si>
  <si>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</si>
  <si>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</si>
  <si>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</si>
  <si>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</si>
  <si>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</si>
  <si>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</si>
  <si>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</si>
  <si>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</si>
  <si>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</si>
  <si>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</si>
  <si>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</si>
  <si>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</si>
  <si>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</si>
  <si>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</si>
  <si>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</si>
  <si>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</si>
  <si>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</si>
  <si>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</si>
  <si>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</si>
  <si>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</si>
  <si>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</si>
  <si>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</si>
  <si>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</si>
  <si>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</si>
  <si>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</si>
  <si>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</si>
  <si>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</si>
  <si>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</si>
  <si>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</si>
  <si>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</si>
  <si>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</si>
  <si>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</si>
  <si>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</si>
  <si>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</si>
  <si>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</si>
  <si>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</si>
  <si>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</si>
  <si>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</si>
  <si>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</si>
  <si>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</si>
  <si>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</si>
  <si>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</si>
  <si>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</si>
  <si>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</si>
  <si>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</si>
  <si>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</si>
  <si>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</si>
  <si>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</si>
  <si>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</si>
  <si>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</si>
  <si>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</si>
  <si>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</si>
  <si>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</si>
  <si>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</si>
  <si>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</si>
  <si>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</si>
  <si>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</si>
  <si>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</si>
  <si>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</si>
  <si>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</si>
  <si>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</si>
  <si>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</si>
  <si>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</si>
  <si>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</si>
  <si>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</si>
  <si>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</si>
  <si>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</si>
  <si>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</si>
  <si>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</si>
  <si>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</si>
  <si>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</si>
  <si>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</si>
  <si>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</si>
  <si>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</si>
  <si>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</si>
  <si>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</si>
  <si>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</si>
  <si>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</si>
  <si>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</si>
  <si>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</si>
  <si>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</si>
  <si>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</si>
  <si>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</si>
  <si>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</si>
  <si>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</si>
  <si>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</si>
  <si>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</si>
  <si>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</si>
  <si>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</si>
  <si>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</si>
  <si>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</si>
  <si>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</si>
  <si>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</si>
  <si>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</si>
  <si>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</si>
  <si>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</si>
  <si>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</si>
  <si>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</si>
  <si>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</si>
  <si>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</si>
  <si>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</si>
  <si>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</si>
  <si>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</si>
  <si>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</si>
  <si>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</si>
  <si>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</si>
  <si>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</si>
  <si>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</si>
  <si>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</si>
  <si>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</si>
  <si>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</si>
  <si>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</si>
  <si>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</si>
  <si>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</si>
  <si>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</si>
  <si>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</si>
  <si>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</si>
  <si>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</si>
  <si>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</si>
  <si>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</si>
  <si>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</si>
  <si>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</si>
  <si>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</si>
  <si>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</si>
  <si>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</si>
  <si>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</si>
  <si>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</si>
  <si>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</si>
  <si>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</si>
  <si>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</si>
  <si>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</si>
  <si>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</si>
  <si>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</si>
  <si>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</si>
  <si>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</si>
  <si>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</si>
  <si>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</si>
  <si>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</si>
  <si>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</si>
  <si>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</si>
  <si>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</si>
  <si>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</si>
  <si>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</si>
  <si>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</si>
  <si>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</si>
  <si>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</si>
  <si>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</si>
  <si>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</si>
  <si>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</si>
  <si>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</si>
  <si>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</si>
  <si>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</si>
  <si>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</si>
  <si>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</si>
  <si>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</si>
  <si>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</si>
  <si>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</si>
  <si>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</si>
  <si>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</si>
  <si>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</si>
  <si>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</si>
  <si>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</si>
  <si>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</si>
  <si>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</si>
  <si>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</si>
  <si>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</si>
  <si>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</si>
  <si>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</si>
  <si>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</si>
  <si>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</si>
  <si>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</si>
  <si>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</si>
  <si>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</si>
  <si>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</si>
  <si>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</si>
  <si>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</si>
  <si>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</si>
  <si>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</si>
  <si>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</si>
  <si>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</si>
  <si>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</si>
  <si>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</si>
  <si>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</si>
  <si>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</si>
  <si>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</si>
  <si>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</si>
  <si>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</si>
  <si>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</si>
  <si>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</si>
  <si>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</si>
  <si>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</si>
  <si>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</si>
  <si>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</si>
  <si>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</si>
  <si>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</si>
  <si>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</si>
  <si>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</si>
  <si>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</si>
  <si>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</si>
  <si>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</si>
  <si>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</si>
  <si>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</si>
  <si>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</si>
  <si>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</si>
  <si>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</si>
  <si>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</si>
  <si>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</si>
  <si>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</si>
  <si>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</si>
  <si>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</si>
  <si>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</si>
  <si>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</si>
  <si>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</si>
  <si>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</si>
  <si>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</si>
  <si>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</si>
  <si>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</si>
  <si>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</si>
  <si>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</si>
  <si>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</si>
  <si>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</si>
  <si>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</si>
  <si>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</si>
  <si>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</si>
  <si>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</si>
  <si>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</si>
  <si>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</si>
  <si>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</si>
  <si>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</si>
  <si>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</si>
  <si>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</si>
  <si>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</si>
  <si>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</si>
  <si>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</si>
  <si>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</si>
  <si>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</si>
  <si>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</si>
  <si>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</si>
  <si>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</si>
  <si>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</si>
  <si>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</si>
  <si>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</si>
  <si>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</si>
  <si>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</si>
  <si>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</si>
  <si>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</si>
  <si>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</si>
  <si>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</si>
  <si>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</si>
  <si>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</si>
  <si>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</si>
  <si>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</si>
  <si>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</si>
  <si>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</si>
  <si>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</si>
  <si>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</si>
  <si>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</si>
  <si>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</si>
  <si>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</si>
  <si>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</si>
  <si>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</si>
  <si>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</si>
  <si>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</si>
  <si>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</si>
  <si>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</si>
  <si>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</si>
  <si>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</si>
  <si>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</si>
  <si>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</si>
  <si>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</si>
  <si>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</si>
  <si>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</si>
  <si>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</si>
  <si>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</si>
  <si>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</si>
  <si>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</si>
  <si>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</si>
  <si>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</si>
  <si>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</si>
  <si>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</si>
  <si>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</si>
  <si>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</si>
  <si>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</si>
  <si>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</si>
  <si>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</si>
  <si>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</si>
  <si>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</si>
  <si>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</si>
  <si>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</si>
  <si>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</si>
  <si>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</si>
  <si>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</si>
  <si>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</si>
  <si>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</si>
  <si>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</si>
  <si>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</si>
  <si>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</si>
  <si>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</si>
  <si>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</si>
  <si>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</si>
  <si>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</si>
  <si>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</si>
  <si>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</si>
  <si>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</si>
  <si>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</si>
  <si>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</si>
  <si>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</si>
  <si>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</si>
  <si>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</si>
  <si>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</si>
  <si>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</si>
  <si>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</si>
  <si>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</si>
  <si>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</si>
  <si>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</si>
  <si>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</si>
  <si>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</si>
  <si>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</si>
  <si>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</si>
  <si>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</si>
  <si>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</si>
  <si>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</si>
  <si>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</si>
  <si>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</si>
  <si>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</si>
  <si>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</si>
  <si>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</si>
  <si>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</si>
  <si>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</si>
  <si>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</si>
  <si>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</si>
  <si>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</si>
  <si>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</si>
  <si>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</si>
  <si>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</si>
  <si>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</si>
  <si>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</si>
  <si>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</si>
  <si>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</si>
  <si>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</si>
  <si>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</si>
  <si>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</si>
  <si>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</si>
  <si>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</si>
  <si>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</si>
  <si>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</si>
  <si>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</si>
  <si>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</si>
  <si>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</si>
  <si>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</si>
  <si>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</si>
  <si>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</si>
  <si>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</si>
  <si>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</si>
  <si>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</si>
  <si>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</si>
  <si>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</si>
  <si>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</si>
  <si>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</si>
  <si>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</si>
  <si>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</si>
  <si>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</si>
  <si>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</si>
  <si>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</si>
  <si>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</si>
  <si>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</si>
  <si>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</si>
  <si>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</si>
  <si>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</si>
  <si>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</si>
  <si>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</si>
  <si>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</si>
  <si>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</si>
  <si>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</si>
  <si>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</si>
  <si>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</si>
  <si>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</si>
  <si>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</si>
  <si>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</si>
  <si>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</si>
  <si>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</si>
  <si>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</si>
  <si>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</si>
  <si>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</si>
  <si>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</si>
  <si>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</si>
  <si>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</si>
  <si>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</si>
  <si>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</si>
  <si>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</si>
  <si>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</si>
  <si>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</si>
  <si>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</si>
  <si>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</si>
  <si>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</si>
  <si>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</si>
  <si>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</si>
  <si>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</si>
  <si>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</si>
  <si>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</si>
  <si>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</si>
  <si>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</si>
  <si>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</si>
  <si>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</si>
  <si>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</si>
  <si>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</si>
  <si>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</si>
  <si>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</si>
  <si>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</si>
  <si>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</si>
  <si>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</si>
  <si>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</si>
  <si>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</si>
  <si>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</si>
  <si>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</si>
  <si>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</si>
  <si>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</si>
  <si>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</si>
  <si>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</si>
  <si>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</si>
  <si>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</si>
  <si>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</si>
  <si>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</si>
  <si>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</si>
  <si>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</si>
  <si>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</si>
  <si>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</si>
  <si>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</si>
  <si>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</si>
  <si>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</si>
  <si>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</si>
  <si>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</si>
  <si>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</si>
  <si>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</si>
  <si>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</si>
  <si>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</si>
  <si>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</si>
  <si>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</si>
  <si>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</si>
  <si>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</si>
  <si>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</si>
  <si>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</si>
  <si>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</si>
  <si>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</si>
  <si>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</si>
  <si>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</si>
  <si>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</si>
  <si>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</si>
  <si>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</si>
  <si>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</si>
  <si>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</si>
  <si>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</si>
  <si>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</si>
  <si>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</si>
  <si>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</si>
  <si>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</si>
  <si>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</si>
  <si>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</si>
  <si>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</si>
  <si>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</si>
  <si>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</si>
  <si>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</si>
  <si>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</si>
  <si>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</si>
  <si>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</si>
  <si>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</si>
  <si>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</si>
  <si>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</si>
  <si>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</si>
  <si>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</si>
  <si>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</si>
  <si>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</si>
  <si>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</si>
  <si>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</si>
  <si>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</si>
  <si>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</si>
  <si>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</si>
  <si>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</si>
  <si>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</si>
  <si>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</si>
  <si>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</si>
  <si>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</si>
  <si>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</si>
  <si>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</si>
  <si>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</si>
  <si>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</si>
  <si>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</si>
  <si>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</si>
  <si>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</si>
  <si>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</si>
  <si>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</si>
  <si>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</si>
  <si>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</si>
  <si>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</si>
  <si>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</si>
  <si>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</si>
  <si>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</si>
  <si>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</si>
  <si>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</si>
  <si>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</si>
  <si>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</si>
  <si>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</si>
  <si>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</si>
  <si>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</si>
  <si>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</si>
  <si>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</si>
  <si>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</si>
  <si>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</si>
  <si>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</si>
  <si>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</si>
  <si>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</si>
  <si>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</si>
  <si>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</si>
  <si>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</si>
  <si>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</si>
  <si>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</si>
  <si>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</si>
  <si>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</si>
  <si>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</si>
  <si>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</si>
  <si>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</si>
  <si>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</si>
  <si>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</si>
  <si>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</si>
  <si>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</si>
  <si>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</si>
  <si>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</si>
  <si>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</si>
  <si>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</si>
  <si>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</si>
  <si>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</si>
  <si>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</si>
  <si>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</si>
  <si>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</si>
  <si>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</si>
  <si>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</si>
  <si>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</si>
  <si>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</si>
  <si>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</si>
  <si>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</si>
  <si>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</si>
  <si>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</si>
  <si>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</si>
  <si>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</si>
  <si>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</si>
  <si>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</si>
  <si>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</si>
  <si>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</si>
  <si>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</si>
  <si>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</si>
  <si>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</si>
  <si>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</si>
  <si>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</si>
  <si>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</si>
  <si>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</si>
  <si>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</si>
  <si>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</si>
  <si>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</si>
  <si>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</si>
  <si>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</si>
  <si>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</si>
  <si>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</si>
  <si>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</si>
  <si>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</si>
  <si>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</si>
  <si>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</si>
  <si>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</si>
  <si>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</si>
  <si>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</si>
  <si>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</si>
  <si>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</si>
  <si>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</si>
  <si>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</si>
  <si>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</si>
  <si>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</si>
  <si>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</si>
  <si>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</si>
  <si>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</si>
  <si>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</si>
  <si>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</si>
  <si>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</si>
  <si>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</si>
  <si>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</si>
  <si>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</si>
  <si>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</si>
  <si>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</si>
  <si>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</si>
  <si>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</si>
  <si>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</si>
  <si>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</si>
  <si>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</si>
  <si>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</si>
  <si>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</si>
  <si>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</si>
  <si>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</si>
  <si>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</si>
  <si>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</si>
  <si>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</si>
  <si>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</si>
  <si>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</si>
  <si>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</si>
  <si>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</si>
  <si>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</si>
  <si>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</si>
  <si>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</si>
  <si>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</si>
  <si>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</si>
  <si>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</si>
  <si>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</si>
  <si>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</si>
  <si>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</si>
  <si>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</si>
  <si>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</si>
  <si>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</si>
  <si>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</si>
  <si>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</si>
  <si>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</si>
  <si>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</si>
  <si>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</si>
  <si>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</si>
  <si>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</si>
  <si>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</si>
  <si>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</si>
  <si>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</si>
  <si>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</si>
  <si>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</si>
  <si>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</si>
  <si>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</si>
  <si>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</si>
  <si>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</si>
  <si>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</si>
  <si>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</si>
  <si>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</si>
  <si>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</si>
  <si>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</si>
  <si>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</si>
  <si>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</si>
  <si>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</si>
  <si>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</si>
  <si>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</si>
  <si>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</si>
  <si>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</si>
  <si>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</si>
  <si>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</si>
  <si>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</si>
  <si>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</si>
  <si>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</si>
  <si>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</si>
  <si>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</si>
  <si>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</si>
  <si>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</si>
  <si>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</si>
  <si>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</si>
  <si>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</si>
  <si>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</si>
  <si>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</si>
  <si>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</si>
  <si>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</si>
  <si>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</si>
  <si>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</si>
  <si>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</si>
  <si>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</si>
  <si>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</si>
  <si>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</si>
  <si>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</si>
  <si>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</si>
  <si>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</si>
  <si>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</si>
  <si>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</si>
  <si>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</si>
  <si>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</si>
  <si>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</si>
  <si>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</si>
  <si>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</si>
  <si>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</si>
  <si>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</si>
  <si>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</si>
  <si>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</si>
  <si>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</si>
  <si>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</si>
  <si>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</si>
  <si>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</si>
  <si>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</si>
  <si>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</si>
  <si>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</si>
  <si>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</si>
  <si>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</si>
  <si>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</si>
  <si>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</si>
  <si>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</si>
  <si>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</si>
  <si>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</si>
  <si>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</si>
  <si>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</si>
  <si>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</si>
  <si>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</si>
  <si>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</si>
  <si>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</si>
  <si>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</si>
  <si>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</si>
  <si>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</si>
  <si>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</si>
  <si>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</si>
  <si>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</si>
  <si>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</si>
  <si>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</si>
  <si>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</si>
  <si>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</si>
  <si>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</si>
  <si>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</si>
  <si>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</si>
  <si>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</si>
  <si>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</si>
  <si>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</si>
  <si>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</si>
  <si>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</si>
  <si>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</si>
  <si>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</si>
  <si>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</si>
  <si>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</si>
  <si>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</si>
  <si>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</si>
  <si>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</si>
  <si>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</si>
  <si>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</si>
  <si>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</si>
  <si>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</si>
  <si>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</si>
  <si>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</si>
  <si>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</si>
  <si>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</si>
  <si>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</si>
  <si>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</si>
  <si>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</si>
  <si>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</si>
  <si>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</si>
  <si>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</si>
  <si>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</si>
  <si>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</si>
  <si>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</si>
  <si>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</si>
  <si>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</si>
  <si>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</si>
  <si>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</si>
  <si>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</si>
  <si>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</si>
  <si>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</si>
  <si>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</si>
  <si>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</si>
  <si>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</si>
  <si>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</si>
  <si>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</si>
  <si>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</si>
  <si>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</si>
  <si>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</si>
  <si>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</si>
  <si>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</si>
  <si>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</si>
  <si>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</si>
  <si>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</si>
  <si>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</si>
  <si>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</si>
  <si>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</si>
  <si>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</si>
  <si>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</si>
  <si>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</si>
  <si>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</si>
  <si>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</si>
  <si>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</si>
  <si>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</si>
  <si>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</si>
  <si>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</si>
  <si>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</si>
  <si>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</si>
  <si>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</si>
  <si>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</si>
  <si>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</si>
  <si>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</si>
  <si>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</si>
  <si>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</si>
  <si>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</si>
  <si>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</si>
  <si>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</si>
  <si>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</si>
  <si>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</si>
  <si>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</si>
  <si>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</si>
  <si>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</si>
  <si>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</si>
  <si>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</si>
  <si>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</si>
  <si>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</si>
  <si>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</si>
  <si>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</si>
  <si>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</si>
  <si>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</si>
  <si>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</si>
  <si>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</si>
  <si>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</si>
  <si>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</si>
  <si>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</si>
  <si>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</si>
  <si>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</si>
  <si>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</si>
  <si>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</si>
  <si>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</si>
  <si>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</si>
  <si>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</si>
  <si>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</si>
  <si>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</si>
  <si>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</si>
  <si>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</si>
  <si>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</si>
  <si>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</si>
  <si>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</si>
  <si>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</si>
  <si>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</si>
  <si>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</si>
  <si>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</si>
  <si>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</si>
  <si>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</si>
  <si>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</si>
  <si>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</si>
  <si>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</si>
  <si>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</si>
  <si>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</si>
  <si>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</si>
  <si>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</si>
  <si>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</si>
  <si>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</si>
  <si>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</si>
  <si>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</si>
  <si>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</si>
  <si>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</si>
  <si>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</si>
  <si>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</si>
  <si>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</si>
  <si>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</si>
  <si>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</si>
  <si>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</si>
  <si>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</si>
  <si>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</si>
  <si>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</si>
  <si>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</si>
  <si>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</si>
  <si>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</si>
  <si>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</si>
  <si>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</si>
  <si>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</si>
  <si>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</si>
  <si>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</si>
  <si>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</si>
  <si>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</si>
  <si>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</si>
  <si>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</si>
  <si>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</si>
  <si>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</si>
  <si>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</si>
  <si>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</si>
  <si>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</si>
  <si>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</si>
  <si>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</si>
  <si>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</si>
  <si>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</si>
  <si>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</si>
  <si>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</si>
  <si>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</si>
  <si>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</si>
  <si>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</si>
  <si>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</si>
  <si>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</si>
  <si>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</si>
  <si>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</si>
  <si>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</si>
  <si>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</si>
  <si>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</si>
  <si>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</si>
  <si>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</si>
  <si>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</si>
  <si>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</si>
  <si>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</si>
  <si>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</si>
  <si>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</si>
  <si>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</si>
  <si>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</si>
  <si>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</si>
  <si>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</si>
  <si>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</si>
  <si>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</si>
  <si>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</si>
  <si>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</si>
  <si>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</si>
  <si>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</si>
  <si>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</si>
  <si>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</si>
  <si>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</si>
  <si>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</si>
  <si>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</si>
  <si>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</si>
  <si>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</si>
  <si>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</si>
  <si>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</si>
  <si>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</si>
  <si>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</si>
  <si>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</si>
  <si>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</si>
  <si>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</si>
  <si>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</si>
  <si>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</si>
  <si>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</si>
  <si>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</si>
  <si>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</si>
  <si>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</si>
  <si>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</si>
  <si>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</si>
  <si>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</si>
  <si>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</si>
  <si>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</si>
  <si>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</si>
  <si>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</si>
  <si>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</si>
  <si>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</si>
  <si>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</si>
  <si>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</si>
  <si>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</si>
  <si>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</si>
  <si>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</si>
  <si>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</si>
  <si>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</si>
  <si>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</si>
  <si>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</si>
  <si>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</si>
  <si>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</si>
  <si>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</si>
  <si>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</si>
  <si>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</si>
  <si>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</si>
  <si>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</si>
  <si>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</si>
  <si>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</si>
  <si>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</si>
  <si>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</si>
  <si>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</si>
  <si>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</si>
  <si>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</si>
  <si>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</si>
  <si>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</si>
  <si>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</si>
  <si>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</si>
  <si>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</si>
  <si>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</si>
  <si>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</si>
  <si>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</si>
  <si>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</si>
  <si>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</si>
  <si>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</si>
  <si>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</si>
  <si>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</si>
  <si>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</si>
  <si>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</si>
  <si>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</si>
  <si>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</si>
  <si>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</si>
  <si>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</si>
  <si>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</si>
  <si>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</si>
  <si>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</si>
  <si>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</si>
  <si>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</si>
  <si>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</si>
  <si>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</si>
  <si>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</si>
  <si>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</si>
  <si>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</si>
  <si>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</si>
  <si>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</si>
  <si>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</si>
  <si>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</si>
  <si>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</si>
  <si>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</si>
  <si>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</si>
  <si>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</si>
  <si>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</si>
  <si>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</si>
  <si>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</si>
  <si>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</si>
  <si>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</si>
  <si>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</si>
  <si>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</si>
  <si>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</si>
  <si>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</si>
  <si>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</si>
  <si>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</si>
  <si>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</si>
  <si>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</si>
  <si>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</si>
  <si>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</si>
  <si>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</si>
  <si>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</si>
  <si>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</si>
  <si>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</si>
  <si>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</si>
  <si>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</si>
  <si>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</si>
  <si>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</si>
  <si>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</si>
  <si>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</si>
  <si>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</si>
  <si>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</si>
  <si>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</si>
  <si>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</si>
  <si>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</si>
  <si>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</si>
  <si>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</si>
  <si>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</si>
  <si>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</si>
  <si>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</si>
  <si>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</si>
  <si>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</si>
  <si>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</si>
  <si>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</si>
  <si>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</si>
  <si>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</si>
  <si>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</si>
  <si>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</si>
  <si>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</si>
  <si>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</si>
  <si>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</si>
  <si>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</si>
  <si>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</si>
  <si>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</si>
  <si>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</si>
  <si>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</si>
  <si>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</si>
  <si>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</si>
  <si>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</si>
  <si>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</si>
  <si>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</si>
  <si>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</si>
  <si>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</si>
  <si>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</si>
  <si>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</si>
  <si>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</si>
  <si>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</si>
  <si>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</si>
  <si>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</si>
  <si>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</si>
  <si>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</si>
  <si>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</si>
  <si>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</si>
  <si>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</si>
  <si>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</si>
  <si>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</si>
  <si>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</si>
  <si>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</si>
  <si>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</si>
  <si>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</si>
  <si>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</si>
  <si>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</si>
  <si>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</si>
  <si>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</si>
  <si>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</si>
  <si>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</si>
  <si>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</si>
  <si>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</si>
  <si>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</si>
  <si>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</si>
  <si>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</si>
  <si>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</si>
  <si>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</si>
  <si>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</si>
  <si>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</si>
  <si>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</si>
  <si>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</si>
  <si>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</si>
  <si>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</si>
  <si>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</si>
  <si>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</si>
  <si>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</si>
  <si>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</si>
  <si>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</si>
  <si>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</si>
  <si>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</si>
  <si>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</si>
  <si>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</si>
  <si>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</si>
  <si>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</si>
  <si>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</si>
  <si>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</si>
  <si>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</si>
  <si>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</si>
  <si>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</si>
  <si>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</si>
  <si>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</si>
  <si>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</si>
  <si>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</si>
  <si>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</si>
  <si>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</si>
  <si>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</si>
  <si>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</si>
  <si>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</si>
  <si>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</si>
  <si>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</si>
  <si>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</si>
  <si>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</si>
  <si>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</si>
  <si>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</si>
  <si>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</si>
  <si>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</si>
  <si>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</si>
  <si>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</si>
  <si>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</si>
  <si>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</si>
  <si>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</si>
  <si>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</si>
  <si>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</si>
  <si>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</si>
  <si>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</si>
  <si>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</si>
  <si>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</si>
  <si>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</si>
  <si>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</si>
  <si>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</si>
  <si>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</si>
  <si>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</si>
  <si>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</si>
  <si>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</si>
  <si>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</si>
  <si>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</si>
  <si>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</si>
  <si>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</si>
  <si>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</si>
  <si>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</si>
  <si>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</si>
  <si>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</si>
  <si>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</si>
  <si>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</si>
  <si>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</si>
  <si>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</si>
  <si>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</si>
  <si>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</si>
  <si>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</si>
  <si>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</si>
  <si>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</si>
  <si>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</si>
  <si>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</si>
  <si>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</si>
  <si>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</si>
  <si>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</si>
  <si>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</si>
  <si>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</si>
  <si>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</si>
  <si>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</si>
  <si>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</si>
  <si>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</si>
  <si>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</si>
  <si>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</si>
  <si>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</si>
  <si>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</si>
  <si>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</si>
  <si>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</si>
  <si>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</si>
  <si>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</si>
  <si>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</si>
  <si>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</si>
  <si>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</si>
  <si>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</si>
  <si>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</si>
  <si>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</si>
  <si>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</si>
  <si>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</si>
  <si>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</si>
  <si>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</si>
  <si>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</si>
  <si>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</si>
  <si>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</si>
  <si>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</si>
  <si>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</si>
  <si>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</si>
  <si>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</si>
  <si>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</si>
  <si>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</si>
  <si>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</si>
  <si>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</si>
  <si>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</si>
  <si>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</si>
  <si>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</si>
  <si>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</si>
  <si>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</si>
  <si>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</si>
  <si>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</si>
  <si>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</si>
  <si>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</si>
  <si>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</si>
  <si>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</si>
  <si>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</si>
  <si>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</si>
  <si>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</si>
  <si>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</si>
  <si>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</si>
  <si>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</si>
  <si>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</si>
  <si>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</si>
  <si>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</si>
  <si>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</si>
  <si>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</si>
  <si>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</si>
  <si>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</si>
  <si>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</si>
  <si>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</si>
  <si>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</si>
  <si>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</si>
  <si>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</si>
  <si>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</si>
  <si>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</si>
  <si>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</si>
  <si>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</si>
  <si>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</si>
  <si>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</si>
  <si>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</si>
  <si>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</si>
  <si>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</si>
  <si>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</si>
  <si>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</si>
  <si>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</si>
  <si>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</si>
  <si>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</si>
  <si>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</si>
  <si>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</si>
  <si>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</si>
  <si>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</si>
  <si>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</si>
  <si>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</si>
  <si>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</si>
  <si>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</si>
  <si>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</si>
  <si>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</si>
  <si>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</si>
  <si>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</si>
  <si>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</si>
  <si>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</si>
  <si>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</si>
  <si>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</si>
  <si>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</si>
  <si>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</si>
  <si>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</si>
  <si>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</si>
  <si>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</si>
  <si>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</si>
  <si>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</si>
  <si>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</si>
  <si>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</si>
  <si>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</si>
  <si>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</si>
  <si>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</si>
  <si>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</si>
  <si>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</si>
  <si>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</si>
  <si>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</si>
  <si>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</si>
  <si>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</si>
  <si>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</si>
  <si>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</si>
  <si>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</si>
  <si>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</si>
  <si>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</si>
  <si>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</si>
  <si>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</si>
  <si>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</si>
  <si>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</si>
  <si>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</si>
  <si>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</si>
  <si>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</si>
  <si>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</si>
  <si>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</si>
  <si>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</si>
  <si>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</si>
  <si>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</si>
  <si>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</si>
  <si>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</si>
  <si>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</si>
  <si>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</si>
  <si>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</si>
  <si>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</si>
  <si>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</si>
  <si>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</si>
  <si>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</si>
  <si>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</si>
  <si>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</si>
  <si>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</si>
  <si>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</si>
  <si>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</si>
  <si>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</si>
  <si>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</si>
  <si>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</si>
  <si>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</si>
  <si>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</si>
  <si>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</si>
  <si>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</si>
  <si>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</si>
  <si>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</si>
  <si>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</si>
  <si>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</si>
  <si>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</si>
  <si>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</si>
  <si>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</si>
  <si>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</si>
  <si>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</si>
  <si>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</si>
  <si>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</si>
  <si>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</si>
  <si>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</si>
  <si>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</si>
  <si>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</si>
  <si>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</si>
  <si>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</si>
  <si>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</si>
  <si>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</si>
  <si>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</si>
  <si>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</si>
  <si>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</si>
  <si>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</si>
  <si>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</si>
  <si>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</si>
  <si>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</si>
  <si>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</si>
  <si>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</si>
  <si>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</si>
  <si>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</si>
  <si>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</si>
  <si>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</si>
  <si>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</si>
  <si>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</si>
  <si>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</si>
  <si>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</si>
  <si>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</si>
  <si>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</si>
  <si>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</si>
  <si>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</si>
  <si>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</si>
  <si>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</si>
  <si>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</si>
  <si>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</si>
  <si>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</si>
  <si>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</si>
  <si>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</si>
  <si>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</si>
  <si>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</si>
  <si>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</si>
  <si>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</si>
  <si>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</si>
  <si>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</si>
  <si>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</si>
  <si>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</si>
  <si>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</si>
  <si>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</si>
  <si>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</si>
  <si>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</si>
  <si>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</si>
  <si>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</si>
  <si>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</si>
  <si>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</si>
  <si>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</si>
  <si>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</si>
  <si>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</si>
  <si>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</si>
  <si>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</si>
  <si>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</si>
  <si>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</si>
  <si>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</si>
  <si>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</si>
  <si>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</si>
  <si>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</si>
  <si>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</si>
  <si>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</si>
  <si>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</si>
  <si>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</si>
  <si>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</si>
  <si>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</si>
  <si>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</si>
  <si>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</si>
  <si>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</si>
  <si>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</si>
  <si>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</si>
  <si>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</si>
  <si>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</si>
  <si>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</si>
  <si>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</si>
  <si>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</si>
  <si>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</si>
  <si>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</si>
  <si>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</si>
  <si>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</si>
  <si>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</si>
  <si>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</si>
  <si>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</si>
  <si>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</si>
  <si>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</si>
  <si>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</si>
  <si>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</si>
  <si>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</si>
  <si>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</si>
  <si>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</si>
  <si>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</si>
  <si>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</si>
  <si>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</si>
  <si>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</si>
  <si>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</si>
  <si>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</si>
  <si>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</si>
  <si>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</si>
  <si>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</si>
  <si>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</si>
  <si>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</si>
  <si>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</si>
  <si>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</si>
  <si>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</si>
  <si>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</si>
  <si>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</si>
  <si>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</si>
  <si>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</si>
  <si>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</si>
  <si>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</si>
  <si>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</si>
  <si>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</si>
  <si>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</si>
  <si>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</si>
  <si>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</si>
  <si>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</si>
  <si>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</si>
  <si>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</si>
  <si>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</si>
  <si>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</si>
  <si>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</si>
  <si>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</si>
  <si>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</si>
  <si>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</si>
  <si>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</si>
  <si>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</si>
  <si>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</si>
  <si>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</si>
  <si>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</si>
  <si>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</si>
  <si>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</si>
  <si>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</si>
  <si>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</si>
  <si>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</si>
  <si>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</si>
  <si>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</si>
  <si>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</si>
  <si>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</si>
  <si>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</si>
  <si>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</si>
  <si>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</si>
  <si>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</si>
  <si>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</si>
  <si>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</si>
  <si>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</si>
  <si>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</si>
  <si>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</si>
  <si>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</si>
  <si>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</si>
  <si>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</si>
  <si>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</si>
  <si>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</si>
  <si>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</si>
  <si>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</si>
  <si>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</si>
  <si>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</si>
  <si>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</si>
  <si>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</si>
  <si>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</si>
  <si>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</si>
  <si>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</si>
  <si>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</si>
  <si>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</si>
  <si>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</si>
  <si>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</si>
  <si>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</si>
  <si>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</si>
  <si>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</si>
  <si>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</si>
  <si>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</si>
  <si>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</si>
  <si>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</si>
  <si>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</si>
  <si>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</si>
  <si>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</si>
  <si>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</si>
  <si>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</si>
  <si>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</si>
  <si>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</si>
  <si>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</si>
  <si>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</si>
  <si>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</si>
  <si>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</si>
  <si>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</si>
  <si>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</si>
  <si>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</si>
  <si>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</si>
  <si>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</si>
  <si>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</si>
  <si>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</si>
  <si>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</si>
  <si>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</si>
  <si>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</si>
  <si>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</si>
  <si>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</si>
  <si>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</si>
  <si>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</si>
  <si>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</si>
  <si>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</si>
  <si>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</si>
  <si>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</si>
  <si>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</si>
  <si>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</si>
  <si>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</si>
  <si>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</si>
  <si>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</si>
  <si>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</si>
  <si>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</si>
  <si>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</si>
  <si>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</si>
  <si>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</si>
  <si>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</si>
  <si>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</si>
  <si>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</si>
  <si>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</si>
  <si>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</si>
  <si>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</si>
  <si>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</si>
  <si>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</si>
  <si>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</si>
  <si>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</si>
  <si>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</si>
  <si>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</si>
  <si>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</si>
  <si>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</si>
  <si>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</si>
  <si>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</si>
  <si>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</si>
  <si>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</si>
  <si>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</si>
  <si>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</si>
  <si>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</si>
  <si>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</si>
  <si>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</si>
  <si>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</si>
  <si>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</si>
  <si>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</si>
  <si>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</si>
  <si>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</si>
  <si>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</si>
  <si>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</si>
  <si>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</si>
  <si>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</si>
  <si>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</si>
  <si>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</si>
  <si>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</si>
  <si>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</si>
  <si>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</si>
  <si>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</si>
  <si>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</si>
  <si>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</si>
  <si>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</si>
  <si>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</si>
  <si>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</si>
  <si>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</si>
  <si>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</si>
  <si>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</si>
  <si>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</si>
  <si>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</si>
  <si>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</si>
  <si>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</si>
  <si>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</si>
  <si>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</si>
  <si>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</si>
  <si>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</si>
  <si>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</si>
  <si>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</si>
  <si>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</si>
  <si>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</si>
  <si>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</si>
  <si>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</si>
  <si>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</si>
  <si>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</si>
  <si>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</si>
  <si>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</si>
  <si>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</si>
  <si>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</si>
  <si>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</si>
  <si>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</si>
  <si>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</si>
  <si>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</si>
  <si>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</si>
  <si>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</si>
  <si>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</si>
  <si>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</si>
  <si>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</si>
  <si>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</si>
  <si>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</si>
  <si>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</si>
  <si>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</si>
  <si>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</si>
  <si>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</si>
  <si>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</si>
  <si>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</si>
  <si>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</si>
  <si>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</si>
  <si>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</si>
  <si>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</si>
  <si>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</si>
  <si>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</si>
  <si>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</si>
  <si>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</si>
  <si>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</si>
  <si>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</si>
  <si>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</si>
  <si>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</si>
  <si>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</si>
  <si>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</si>
  <si>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</si>
  <si>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</si>
  <si>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</si>
  <si>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</si>
  <si>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</si>
  <si>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</si>
  <si>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</si>
  <si>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</si>
  <si>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</si>
  <si>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</si>
  <si>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</si>
  <si>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</si>
  <si>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</si>
  <si>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</si>
  <si>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</si>
  <si>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</si>
  <si>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</si>
  <si>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</si>
  <si>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</si>
  <si>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</si>
  <si>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</si>
  <si>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</si>
  <si>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</si>
  <si>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</si>
  <si>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</si>
  <si>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</si>
  <si>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</si>
  <si>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</si>
  <si>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</si>
  <si>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</si>
  <si>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</si>
  <si>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</si>
  <si>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</si>
  <si>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</si>
  <si>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</si>
  <si>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</si>
  <si>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</si>
  <si>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</si>
  <si>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</si>
  <si>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</si>
  <si>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</si>
  <si>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</si>
  <si>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</si>
  <si>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</si>
  <si>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</si>
  <si>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</si>
  <si>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</si>
  <si>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</si>
  <si>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</si>
  <si>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</si>
  <si>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</si>
  <si>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</si>
  <si>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</si>
  <si>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</si>
  <si>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</si>
  <si>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</si>
  <si>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</si>
  <si>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</si>
  <si>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</si>
  <si>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</si>
  <si>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</si>
  <si>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</si>
  <si>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</si>
  <si>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</si>
  <si>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</si>
  <si>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</si>
  <si>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</si>
  <si>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</si>
  <si>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</si>
  <si>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</si>
  <si>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</si>
  <si>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</si>
  <si>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</si>
  <si>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</si>
  <si>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</si>
  <si>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</si>
  <si>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</si>
  <si>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</si>
  <si>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</si>
  <si>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</si>
  <si>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</si>
  <si>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</si>
  <si>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</si>
  <si>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</si>
  <si>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</si>
  <si>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</si>
  <si>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</si>
  <si>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</si>
  <si>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</si>
  <si>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</si>
  <si>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</si>
  <si>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</si>
  <si>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</si>
  <si>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</si>
  <si>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</si>
  <si>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</si>
  <si>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</si>
  <si>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</si>
  <si>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</si>
  <si>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</si>
  <si>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</si>
  <si>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</si>
  <si>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</si>
  <si>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</si>
  <si>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</si>
  <si>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</si>
  <si>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</si>
  <si>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</si>
  <si>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</si>
  <si>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</si>
  <si>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</si>
  <si>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</si>
  <si>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</si>
  <si>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</si>
  <si>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</si>
  <si>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</si>
  <si>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</si>
  <si>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</si>
  <si>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</si>
  <si>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</si>
  <si>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</si>
  <si>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</si>
  <si>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</si>
  <si>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</si>
  <si>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</si>
  <si>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</si>
  <si>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</si>
  <si>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</si>
  <si>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</si>
  <si>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</si>
  <si>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</si>
  <si>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</si>
  <si>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</si>
  <si>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</si>
  <si>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</si>
  <si>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</si>
  <si>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</si>
  <si>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</si>
  <si>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</si>
  <si>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</si>
  <si>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</si>
  <si>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</si>
  <si>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</si>
  <si>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</si>
  <si>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</si>
  <si>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</si>
  <si>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</si>
  <si>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</si>
  <si>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</si>
  <si>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</si>
  <si>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</si>
  <si>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</si>
  <si>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</si>
  <si>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</si>
  <si>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</si>
  <si>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</si>
  <si>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</si>
  <si>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</si>
  <si>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</si>
  <si>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</si>
  <si>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</si>
  <si>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</si>
  <si>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</si>
  <si>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</si>
  <si>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</si>
  <si>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</si>
  <si>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</si>
  <si>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</si>
  <si>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</si>
  <si>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</si>
  <si>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</si>
  <si>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</si>
  <si>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</si>
  <si>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</si>
  <si>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</si>
  <si>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</si>
  <si>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</si>
  <si>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</si>
  <si>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</si>
  <si>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</si>
  <si>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</si>
  <si>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</si>
  <si>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</si>
  <si>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</si>
  <si>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</si>
  <si>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</si>
  <si>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</si>
  <si>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</si>
  <si>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</si>
  <si>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</si>
  <si>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</si>
  <si>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</si>
  <si>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</si>
  <si>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</si>
  <si>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</si>
  <si>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</si>
  <si>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</si>
  <si>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</si>
  <si>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</si>
  <si>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</si>
  <si>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</si>
  <si>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</si>
  <si>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</si>
  <si>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</si>
  <si>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</si>
  <si>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</si>
  <si>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</si>
  <si>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</si>
  <si>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</si>
  <si>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</si>
  <si>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</si>
  <si>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</si>
  <si>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</si>
  <si>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</si>
  <si>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</si>
  <si>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</si>
  <si>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</si>
  <si>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</si>
  <si>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</si>
  <si>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</si>
  <si>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</si>
  <si>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</si>
  <si>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</si>
  <si>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</si>
  <si>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</si>
  <si>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</si>
  <si>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</si>
  <si>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</si>
  <si>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</si>
  <si>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</si>
  <si>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</si>
  <si>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</si>
  <si>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</si>
  <si>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</si>
  <si>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</si>
  <si>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</si>
  <si>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</si>
  <si>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</si>
  <si>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</si>
  <si>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</si>
  <si>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</si>
  <si>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</si>
  <si>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</si>
  <si>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</si>
  <si>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</si>
  <si>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</si>
  <si>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</si>
  <si>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</si>
  <si>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</si>
  <si>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</si>
  <si>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</si>
  <si>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</si>
  <si>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</si>
  <si>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</si>
  <si>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</si>
  <si>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</si>
  <si>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</si>
  <si>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</si>
  <si>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</si>
  <si>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</si>
  <si>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</si>
  <si>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</si>
  <si>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</si>
  <si>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</si>
  <si>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</si>
  <si>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</si>
  <si>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</si>
  <si>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</si>
  <si>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</si>
  <si>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</si>
  <si>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</si>
  <si>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</si>
  <si>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</si>
  <si>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</si>
  <si>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</si>
  <si>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</si>
  <si>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</si>
  <si>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</si>
  <si>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</si>
  <si>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</si>
  <si>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</si>
  <si>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</si>
  <si>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</si>
  <si>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</si>
  <si>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</si>
  <si>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</si>
  <si>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</si>
  <si>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</si>
  <si>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</si>
  <si>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</si>
  <si>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</si>
  <si>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</si>
  <si>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</si>
  <si>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</si>
  <si>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</si>
  <si>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</si>
  <si>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</si>
  <si>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</si>
  <si>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</si>
  <si>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</si>
  <si>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</si>
  <si>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</si>
  <si>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</si>
  <si>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</si>
  <si>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</si>
  <si>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</si>
  <si>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</si>
  <si>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</si>
  <si>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</si>
  <si>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</si>
  <si>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</si>
  <si>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</si>
  <si>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</si>
  <si>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</si>
  <si>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</si>
  <si>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</si>
  <si>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</si>
  <si>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</si>
  <si>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</si>
  <si>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</si>
  <si>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</si>
  <si>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</si>
  <si>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</si>
  <si>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</si>
  <si>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</si>
  <si>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</si>
  <si>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</si>
  <si>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</si>
  <si>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</si>
  <si>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</si>
  <si>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</si>
  <si>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</si>
  <si>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</si>
  <si>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</si>
  <si>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</si>
  <si>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</si>
  <si>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</si>
  <si>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</si>
  <si>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</si>
  <si>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</si>
  <si>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</si>
  <si>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</si>
  <si>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</si>
  <si>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</si>
  <si>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</si>
  <si>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</si>
  <si>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</si>
  <si>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</si>
  <si>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</si>
  <si>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</si>
  <si>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</si>
  <si>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</si>
  <si>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</si>
  <si>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</si>
  <si>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</si>
  <si>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</si>
  <si>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</si>
  <si>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</si>
  <si>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</si>
  <si>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</si>
  <si>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</si>
  <si>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</si>
  <si>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</si>
  <si>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</si>
  <si>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</si>
  <si>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</si>
  <si>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</si>
  <si>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</si>
  <si>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</si>
  <si>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</si>
  <si>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</si>
  <si>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</si>
  <si>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</si>
  <si>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</si>
  <si>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</si>
  <si>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</si>
  <si>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</si>
  <si>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</si>
  <si>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</si>
  <si>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</si>
  <si>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</si>
  <si>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</si>
  <si>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</si>
  <si>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</si>
  <si>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</si>
  <si>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</si>
  <si>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</si>
  <si>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</si>
  <si>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</si>
  <si>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</si>
  <si>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</si>
  <si>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</si>
  <si>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</si>
  <si>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</si>
  <si>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</si>
  <si>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</si>
  <si>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</si>
  <si>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</si>
  <si>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</si>
  <si>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</si>
  <si>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</si>
  <si>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</si>
  <si>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</si>
  <si>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</si>
  <si>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</si>
  <si>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</si>
  <si>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</si>
  <si>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</si>
  <si>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</si>
  <si>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</si>
  <si>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</si>
  <si>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</si>
  <si>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</si>
  <si>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</si>
  <si>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</si>
  <si>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</si>
  <si>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</si>
  <si>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</si>
  <si>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</si>
  <si>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</si>
  <si>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</si>
  <si>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</si>
  <si>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</si>
  <si>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</si>
  <si>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</si>
  <si>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</si>
  <si>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</si>
  <si>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</si>
  <si>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</si>
  <si>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</si>
  <si>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</si>
  <si>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</si>
  <si>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</si>
  <si>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</si>
  <si>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</si>
  <si>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</si>
  <si>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</si>
  <si>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</si>
  <si>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</si>
  <si>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</si>
  <si>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</si>
  <si>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</si>
  <si>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</si>
  <si>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</si>
  <si>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</si>
  <si>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</si>
  <si>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</si>
  <si>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</si>
  <si>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</si>
  <si>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</si>
  <si>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</si>
  <si>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</si>
  <si>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</si>
  <si>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</si>
  <si>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</si>
  <si>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</si>
  <si>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</si>
  <si>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</si>
  <si>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</si>
  <si>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</si>
  <si>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</si>
  <si>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</si>
  <si>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</si>
  <si>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</si>
  <si>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</si>
  <si>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</si>
  <si>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</si>
  <si>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</si>
  <si>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</si>
  <si>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</si>
  <si>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</si>
  <si>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</si>
  <si>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</si>
  <si>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</si>
  <si>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</si>
  <si>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</si>
  <si>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</si>
  <si>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</si>
  <si>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</si>
  <si>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</si>
  <si>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</si>
  <si>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</si>
  <si>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</si>
  <si>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</si>
  <si>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</si>
  <si>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</si>
  <si>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</si>
  <si>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</si>
  <si>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</si>
  <si>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</si>
  <si>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</si>
  <si>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</si>
  <si>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</si>
  <si>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</si>
  <si>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</si>
  <si>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</si>
  <si>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</si>
  <si>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</si>
  <si>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</si>
  <si>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</si>
  <si>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</si>
  <si>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</si>
  <si>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</si>
  <si>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</si>
  <si>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</si>
  <si>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</si>
  <si>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</si>
  <si>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</si>
  <si>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</si>
  <si>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</si>
  <si>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</si>
  <si>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</si>
  <si>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</si>
  <si>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</si>
  <si>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</si>
  <si>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</si>
  <si>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</si>
  <si>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</si>
  <si>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</si>
  <si>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</si>
  <si>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</si>
  <si>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</si>
  <si>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</si>
  <si>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</si>
  <si>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</si>
  <si>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</si>
  <si>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</si>
  <si>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</si>
  <si>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</si>
  <si>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</si>
  <si>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</si>
  <si>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</si>
  <si>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</si>
  <si>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</si>
  <si>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</si>
  <si>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</si>
  <si>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</si>
  <si>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</si>
  <si>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</si>
  <si>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</si>
  <si>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</si>
  <si>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</si>
  <si>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</si>
  <si>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</si>
  <si>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</si>
  <si>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</si>
  <si>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</si>
  <si>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</si>
  <si>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</si>
  <si>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</si>
  <si>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</si>
  <si>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</si>
  <si>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</si>
  <si>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</si>
  <si>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</si>
  <si>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</si>
  <si>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</si>
  <si>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</si>
  <si>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</si>
  <si>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</si>
  <si>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</si>
  <si>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</si>
  <si>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</si>
  <si>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</si>
  <si>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</si>
  <si>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</si>
  <si>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</si>
  <si>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</si>
  <si>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</si>
  <si>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</si>
  <si>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</si>
  <si>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</si>
  <si>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</si>
  <si>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</si>
  <si>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</si>
  <si>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</si>
  <si>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</si>
  <si>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</si>
  <si>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</si>
  <si>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</si>
  <si>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</si>
  <si>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</si>
  <si>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</si>
  <si>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</si>
  <si>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</si>
  <si>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</si>
  <si>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</si>
  <si>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</si>
  <si>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</si>
  <si>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</si>
  <si>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</si>
  <si>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</si>
  <si>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</si>
  <si>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</si>
  <si>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</si>
  <si>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</si>
  <si>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</si>
  <si>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</si>
  <si>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</si>
  <si>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</si>
  <si>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</si>
  <si>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</si>
  <si>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</si>
  <si>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</si>
  <si>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</si>
  <si>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</si>
  <si>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</si>
  <si>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</si>
  <si>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</si>
  <si>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</si>
  <si>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</si>
  <si>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</si>
  <si>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</si>
  <si>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</si>
  <si>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</si>
  <si>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</si>
  <si>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</si>
  <si>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</si>
  <si>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</si>
  <si>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</si>
  <si>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</si>
  <si>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</si>
  <si>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</si>
  <si>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</si>
  <si>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</si>
  <si>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</si>
  <si>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</si>
  <si>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</si>
  <si>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</si>
  <si>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</si>
  <si>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</si>
  <si>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</si>
  <si>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</si>
  <si>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</si>
  <si>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</si>
  <si>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</si>
  <si>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</si>
  <si>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</si>
  <si>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</si>
  <si>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</si>
  <si>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</si>
  <si>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</si>
  <si>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</si>
  <si>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</si>
  <si>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</si>
  <si>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</si>
  <si>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</si>
  <si>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</si>
  <si>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</si>
  <si>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</si>
  <si>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</si>
  <si>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</si>
  <si>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</si>
  <si>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</si>
  <si>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</si>
  <si>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</si>
  <si>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</si>
  <si>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</si>
  <si>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</si>
  <si>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</si>
  <si>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</si>
  <si>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</si>
  <si>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</si>
  <si>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</si>
  <si>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</si>
  <si>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</si>
  <si>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</si>
  <si>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</si>
  <si>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</si>
  <si>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</si>
  <si>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</si>
  <si>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</si>
  <si>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</si>
  <si>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</si>
  <si>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</si>
  <si>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</si>
  <si>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</si>
  <si>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</si>
  <si>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</si>
  <si>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</si>
  <si>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</si>
  <si>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</si>
  <si>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</si>
  <si>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</si>
  <si>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</si>
  <si>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</si>
  <si>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</si>
  <si>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</si>
  <si>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</si>
  <si>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</si>
  <si>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</si>
  <si>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</si>
  <si>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</si>
  <si>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</si>
  <si>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</si>
  <si>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</si>
  <si>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</si>
  <si>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</si>
  <si>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</si>
  <si>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</si>
  <si>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</si>
  <si>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</si>
  <si>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</si>
  <si>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</si>
  <si>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</si>
  <si>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</si>
  <si>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</si>
  <si>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</si>
  <si>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</si>
  <si>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</si>
  <si>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</si>
  <si>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</si>
  <si>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</si>
  <si>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</si>
  <si>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</si>
  <si>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</si>
  <si>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</si>
  <si>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</si>
  <si>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</si>
  <si>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</si>
  <si>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</si>
  <si>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</si>
  <si>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</si>
  <si>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</si>
  <si>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</si>
  <si>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</si>
  <si>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</si>
  <si>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</si>
  <si>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</si>
  <si>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</si>
  <si>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</si>
  <si>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</si>
  <si>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</si>
  <si>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</si>
  <si>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</si>
  <si>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</si>
  <si>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</si>
  <si>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</si>
  <si>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</si>
  <si>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</si>
  <si>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</si>
  <si>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</si>
  <si>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</si>
  <si>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</si>
  <si>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</si>
  <si>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</si>
  <si>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</si>
  <si>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</si>
  <si>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</si>
  <si>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</si>
  <si>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</si>
  <si>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</si>
  <si>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</si>
  <si>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</si>
  <si>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</si>
  <si>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</si>
  <si>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</si>
  <si>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</si>
  <si>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</si>
  <si>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</si>
  <si>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</si>
  <si>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</si>
  <si>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</si>
  <si>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</si>
  <si>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</si>
  <si>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</si>
  <si>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</si>
  <si>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</si>
  <si>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</si>
  <si>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</si>
  <si>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</si>
  <si>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</si>
  <si>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</si>
  <si>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</si>
  <si>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</si>
  <si>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</si>
  <si>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</si>
  <si>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</si>
  <si>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</si>
  <si>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</si>
  <si>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</si>
  <si>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</si>
  <si>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</si>
  <si>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</si>
  <si>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</si>
  <si>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</si>
  <si>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</si>
  <si>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</si>
  <si>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</si>
  <si>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</si>
  <si>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</si>
  <si>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</si>
  <si>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</si>
  <si>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</si>
  <si>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</si>
  <si>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</si>
  <si>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</si>
  <si>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</si>
  <si>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</si>
  <si>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</si>
  <si>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</si>
  <si>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</si>
  <si>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</si>
  <si>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</si>
  <si>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</si>
  <si>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</si>
  <si>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</si>
  <si>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</si>
  <si>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</si>
  <si>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</si>
  <si>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</si>
  <si>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</si>
  <si>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</si>
  <si>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</si>
  <si>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</si>
  <si>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</si>
  <si>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</si>
  <si>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</si>
  <si>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</si>
  <si>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</si>
  <si>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</si>
  <si>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</si>
  <si>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</si>
  <si>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</si>
  <si>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</si>
  <si>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</si>
  <si>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</si>
  <si>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</si>
  <si>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</si>
  <si>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</si>
  <si>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</si>
  <si>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</si>
  <si>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</si>
  <si>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</si>
  <si>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</si>
  <si>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</si>
  <si>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</si>
  <si>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</si>
  <si>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</si>
  <si>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</si>
  <si>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</si>
  <si>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</si>
  <si>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</si>
  <si>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</si>
  <si>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</si>
  <si>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</si>
  <si>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</si>
  <si>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</si>
  <si>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</si>
  <si>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</si>
  <si>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</si>
  <si>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</si>
  <si>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</si>
  <si>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</si>
  <si>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</si>
  <si>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</si>
  <si>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</si>
  <si>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</si>
  <si>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</si>
  <si>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</si>
  <si>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</si>
  <si>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</si>
  <si>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</si>
  <si>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</si>
  <si>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</si>
  <si>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</si>
  <si>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</si>
  <si>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</si>
  <si>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</si>
  <si>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</si>
  <si>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</si>
  <si>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</si>
  <si>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</si>
  <si>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</si>
  <si>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</si>
  <si>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</si>
  <si>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</si>
  <si>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</si>
  <si>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</si>
  <si>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</si>
  <si>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</si>
  <si>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</si>
  <si>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</si>
  <si>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</si>
  <si>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</si>
  <si>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</si>
  <si>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</si>
  <si>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</si>
  <si>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</si>
  <si>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</si>
  <si>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</si>
  <si>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</si>
  <si>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</si>
  <si>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</si>
  <si>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</si>
  <si>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</si>
  <si>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</si>
  <si>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</si>
  <si>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</si>
  <si>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</si>
  <si>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</si>
  <si>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</si>
  <si>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</si>
  <si>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</si>
  <si>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</si>
  <si>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</si>
  <si>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</si>
  <si>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</si>
  <si>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</si>
  <si>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</si>
  <si>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</si>
  <si>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</si>
  <si>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</si>
  <si>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</si>
  <si>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</si>
  <si>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</si>
  <si>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</si>
  <si>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</si>
  <si>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</si>
  <si>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</si>
  <si>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</si>
  <si>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</si>
  <si>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</si>
  <si>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</si>
  <si>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</si>
  <si>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</si>
  <si>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</si>
  <si>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</si>
  <si>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</si>
  <si>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</si>
  <si>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</si>
  <si>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</si>
  <si>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</si>
  <si>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</si>
  <si>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</si>
  <si>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</si>
  <si>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</si>
  <si>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</si>
  <si>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</si>
  <si>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</si>
  <si>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</si>
  <si>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</si>
  <si>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</si>
  <si>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</si>
  <si>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</si>
  <si>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</si>
  <si>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</si>
  <si>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</si>
  <si>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</si>
  <si>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</si>
  <si>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</si>
  <si>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</si>
  <si>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</si>
  <si>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</si>
  <si>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</si>
  <si>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</si>
  <si>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</si>
  <si>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</si>
  <si>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</si>
  <si>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</si>
  <si>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</si>
  <si>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</si>
  <si>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</si>
  <si>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</si>
  <si>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</si>
  <si>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</si>
  <si>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</si>
  <si>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</si>
  <si>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</si>
  <si>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</si>
  <si>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</si>
  <si>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</si>
  <si>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</si>
  <si>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</si>
  <si>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</si>
  <si>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</si>
  <si>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</si>
  <si>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</si>
  <si>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</si>
  <si>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</si>
  <si>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</si>
  <si>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</si>
  <si>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</si>
  <si>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</si>
  <si>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</si>
  <si>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</si>
  <si>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</si>
  <si>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</si>
  <si>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</si>
  <si>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</si>
  <si>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</si>
  <si>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</si>
  <si>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</si>
  <si>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</si>
  <si>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</si>
  <si>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</si>
  <si>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</si>
  <si>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</si>
  <si>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</si>
  <si>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</si>
  <si>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</si>
  <si>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</si>
  <si>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</si>
  <si>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</si>
  <si>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</si>
  <si>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</si>
  <si>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</si>
  <si>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</si>
  <si>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</si>
  <si>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</si>
  <si>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</si>
  <si>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</si>
  <si>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</si>
  <si>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</si>
  <si>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</si>
  <si>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</si>
  <si>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</si>
  <si>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</si>
  <si>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</si>
  <si>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</si>
  <si>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</si>
  <si>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</si>
  <si>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</si>
  <si>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</si>
  <si>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</si>
  <si>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</si>
  <si>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</si>
  <si>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</si>
  <si>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</si>
  <si>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</si>
  <si>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</si>
  <si>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</si>
  <si>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</si>
  <si>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</si>
  <si>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</si>
  <si>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</si>
  <si>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</si>
  <si>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</si>
  <si>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</si>
  <si>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</si>
  <si>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</si>
  <si>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</si>
  <si>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</si>
  <si>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</si>
  <si>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</si>
  <si>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</si>
  <si>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</si>
  <si>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</si>
  <si>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</si>
  <si>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</si>
  <si>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</si>
  <si>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</si>
  <si>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</si>
  <si>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</si>
  <si>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</si>
  <si>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</si>
  <si>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</si>
  <si>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</si>
  <si>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</si>
  <si>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</si>
  <si>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</si>
  <si>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</si>
  <si>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</si>
  <si>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</si>
  <si>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</si>
  <si>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</si>
  <si>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</si>
  <si>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</si>
  <si>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</si>
  <si>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</si>
  <si>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</si>
  <si>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</si>
  <si>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</si>
  <si>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</si>
  <si>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</si>
  <si>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</si>
  <si>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</si>
  <si>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</si>
  <si>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</si>
  <si>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</si>
  <si>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</si>
  <si>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</si>
  <si>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</si>
  <si>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</si>
  <si>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</si>
  <si>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</si>
  <si>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</si>
  <si>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</si>
  <si>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</si>
  <si>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</si>
  <si>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</si>
  <si>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</si>
  <si>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</si>
  <si>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</si>
  <si>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</si>
  <si>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</si>
  <si>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</si>
  <si>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</si>
  <si>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</si>
  <si>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</si>
  <si>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</si>
  <si>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</si>
  <si>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</si>
  <si>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</si>
  <si>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</si>
  <si>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ExtEntry</t>
  </si>
  <si>
    <t>TabFIFO updated: 2025-11-14 17:15:43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</si>
</sst>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38" fontId="96" fillId="50" borderId="11" xfId="0" applyNumberFormat="1" applyFont="1" applyFill="1" applyBorder="1" applyAlignment="1">
      <alignment horizontal="center"/>
    </xf>
    <xf numFmtId="0" fontId="58" fillId="50" borderId="16" xfId="0" applyFont="1" applyFill="1" applyBorder="1" applyAlignment="1">
      <alignment horizontal="center"/>
    </xf>
    <xf numFmtId="0" fontId="62" fillId="0" borderId="16" xfId="0" applyFont="1" applyBorder="1" applyAlignment="1">
      <alignment horizontal="center"/>
    </xf>
    <xf numFmtId="172" fontId="137" fillId="0" borderId="0" xfId="0" applyNumberFormat="1" applyFont="1" applyAlignment="1">
      <alignment horizontal="center"/>
    </xf>
    <xf numFmtId="9" fontId="107" fillId="0" borderId="15" xfId="2" applyFont="1" applyBorder="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SAP</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ID!$U$20:$U$36</c:f>
              <c:numCache>
                <c:formatCode>#,##0.00</c:formatCode>
                <c:ptCount val="17"/>
                <c:pt idx="0">
                  <c:v>93.048699999999997</c:v>
                </c:pt>
                <c:pt idx="1">
                  <c:v>134.02000000000001</c:v>
                </c:pt>
                <c:pt idx="2">
                  <c:v>147.12</c:v>
                </c:pt>
                <c:pt idx="3">
                  <c:v>167.9</c:v>
                </c:pt>
                <c:pt idx="4">
                  <c:v>184.04</c:v>
                </c:pt>
                <c:pt idx="5">
                  <c:v>196</c:v>
                </c:pt>
                <c:pt idx="6">
                  <c:v>210.2</c:v>
                </c:pt>
                <c:pt idx="7">
                  <c:v>227.55</c:v>
                </c:pt>
                <c:pt idx="8">
                  <c:v>232.35</c:v>
                </c:pt>
                <c:pt idx="9">
                  <c:v>232.45</c:v>
                </c:pt>
                <c:pt idx="10">
                  <c:v>240.53301315789471</c:v>
                </c:pt>
                <c:pt idx="11">
                  <c:v>242.8</c:v>
                </c:pt>
                <c:pt idx="12">
                  <c:v>249.75</c:v>
                </c:pt>
                <c:pt idx="13">
                  <c:v>250.8</c:v>
                </c:pt>
                <c:pt idx="14">
                  <c:v>250.85</c:v>
                </c:pt>
                <c:pt idx="15">
                  <c:v>255.19</c:v>
                </c:pt>
                <c:pt idx="16">
                  <c:v>262.89999999999998</c:v>
                </c:pt>
              </c:numCache>
            </c:numRef>
          </c:cat>
          <c:val>
            <c:numRef>
              <c:f>ID!$V$20:$V$36</c:f>
              <c:numCache>
                <c:formatCode>#,##0</c:formatCode>
                <c:ptCount val="17"/>
                <c:pt idx="0">
                  <c:v>0</c:v>
                </c:pt>
                <c:pt idx="1">
                  <c:v>0</c:v>
                </c:pt>
                <c:pt idx="2">
                  <c:v>0</c:v>
                </c:pt>
                <c:pt idx="3">
                  <c:v>0</c:v>
                </c:pt>
                <c:pt idx="4">
                  <c:v>0</c:v>
                </c:pt>
                <c:pt idx="5">
                  <c:v>0</c:v>
                </c:pt>
                <c:pt idx="6">
                  <c:v>0</c:v>
                </c:pt>
                <c:pt idx="7">
                  <c:v>1000</c:v>
                </c:pt>
                <c:pt idx="8">
                  <c:v>500</c:v>
                </c:pt>
                <c:pt idx="9">
                  <c:v>499</c:v>
                </c:pt>
                <c:pt idx="10">
                  <c:v>0</c:v>
                </c:pt>
                <c:pt idx="11">
                  <c:v>0</c:v>
                </c:pt>
                <c:pt idx="12">
                  <c:v>1000</c:v>
                </c:pt>
                <c:pt idx="13">
                  <c:v>0</c:v>
                </c:pt>
                <c:pt idx="14">
                  <c:v>500</c:v>
                </c:pt>
                <c:pt idx="15">
                  <c:v>0</c:v>
                </c:pt>
                <c:pt idx="16">
                  <c:v>301</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93.048699999999997</c:v>
                </c:pt>
                <c:pt idx="1">
                  <c:v>134.02000000000001</c:v>
                </c:pt>
                <c:pt idx="2">
                  <c:v>147.12</c:v>
                </c:pt>
                <c:pt idx="3">
                  <c:v>167.9</c:v>
                </c:pt>
                <c:pt idx="4">
                  <c:v>184.04</c:v>
                </c:pt>
                <c:pt idx="5">
                  <c:v>196</c:v>
                </c:pt>
                <c:pt idx="6">
                  <c:v>210.2</c:v>
                </c:pt>
                <c:pt idx="7">
                  <c:v>227.55</c:v>
                </c:pt>
                <c:pt idx="8">
                  <c:v>232.35</c:v>
                </c:pt>
                <c:pt idx="9">
                  <c:v>232.45</c:v>
                </c:pt>
                <c:pt idx="10">
                  <c:v>240.53301315789471</c:v>
                </c:pt>
                <c:pt idx="11">
                  <c:v>242.8</c:v>
                </c:pt>
                <c:pt idx="12">
                  <c:v>249.75</c:v>
                </c:pt>
                <c:pt idx="13">
                  <c:v>250.8</c:v>
                </c:pt>
                <c:pt idx="14">
                  <c:v>250.85</c:v>
                </c:pt>
                <c:pt idx="15">
                  <c:v>255.19</c:v>
                </c:pt>
                <c:pt idx="16">
                  <c:v>262.89999999999998</c:v>
                </c:pt>
                <c:pt idx="17">
                  <c:v>0</c:v>
                </c:pt>
              </c:numCache>
            </c:numRef>
          </c:cat>
          <c:val>
            <c:numRef>
              <c:f>ID!$W$20:$W$36</c:f>
              <c:numCache>
                <c:formatCode>#,##0</c:formatCode>
                <c:ptCount val="17"/>
                <c:pt idx="0">
                  <c:v>0</c:v>
                </c:pt>
                <c:pt idx="1">
                  <c:v>0</c:v>
                </c:pt>
                <c:pt idx="2">
                  <c:v>0</c:v>
                </c:pt>
                <c:pt idx="3">
                  <c:v>0</c:v>
                </c:pt>
                <c:pt idx="4">
                  <c:v>0</c:v>
                </c:pt>
                <c:pt idx="5">
                  <c:v>0</c:v>
                </c:pt>
                <c:pt idx="6">
                  <c:v>0</c:v>
                </c:pt>
                <c:pt idx="7">
                  <c:v>0</c:v>
                </c:pt>
                <c:pt idx="8">
                  <c:v>0</c:v>
                </c:pt>
                <c:pt idx="9">
                  <c:v>0</c:v>
                </c:pt>
                <c:pt idx="10">
                  <c:v>1000</c:v>
                </c:pt>
                <c:pt idx="11">
                  <c:v>0</c:v>
                </c:pt>
                <c:pt idx="12">
                  <c:v>0</c:v>
                </c:pt>
                <c:pt idx="13">
                  <c:v>0</c:v>
                </c:pt>
                <c:pt idx="14">
                  <c:v>0</c:v>
                </c:pt>
                <c:pt idx="15">
                  <c:v>0</c:v>
                </c:pt>
                <c:pt idx="16">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93.048699999999997</c:v>
                </c:pt>
                <c:pt idx="1">
                  <c:v>134.02000000000001</c:v>
                </c:pt>
                <c:pt idx="2">
                  <c:v>147.12</c:v>
                </c:pt>
                <c:pt idx="3">
                  <c:v>167.9</c:v>
                </c:pt>
                <c:pt idx="4">
                  <c:v>184.04</c:v>
                </c:pt>
                <c:pt idx="5">
                  <c:v>196</c:v>
                </c:pt>
                <c:pt idx="6">
                  <c:v>210.2</c:v>
                </c:pt>
                <c:pt idx="7">
                  <c:v>227.55</c:v>
                </c:pt>
                <c:pt idx="8">
                  <c:v>232.35</c:v>
                </c:pt>
                <c:pt idx="9">
                  <c:v>232.45</c:v>
                </c:pt>
                <c:pt idx="10">
                  <c:v>240.53301315789471</c:v>
                </c:pt>
                <c:pt idx="11">
                  <c:v>242.8</c:v>
                </c:pt>
                <c:pt idx="12">
                  <c:v>249.75</c:v>
                </c:pt>
                <c:pt idx="13">
                  <c:v>250.8</c:v>
                </c:pt>
                <c:pt idx="14">
                  <c:v>250.85</c:v>
                </c:pt>
                <c:pt idx="15">
                  <c:v>255.19</c:v>
                </c:pt>
                <c:pt idx="16">
                  <c:v>262.89999999999998</c:v>
                </c:pt>
                <c:pt idx="17">
                  <c:v>0</c:v>
                </c:pt>
              </c:numCache>
            </c:numRef>
          </c:cat>
          <c:val>
            <c:numRef>
              <c:f>ID!$X$20:$X$36</c:f>
              <c:numCache>
                <c:formatCode>#,##0</c:formatCode>
                <c:ptCount val="17"/>
                <c:pt idx="0">
                  <c:v>0</c:v>
                </c:pt>
                <c:pt idx="1">
                  <c:v>0</c:v>
                </c:pt>
                <c:pt idx="2">
                  <c:v>0</c:v>
                </c:pt>
                <c:pt idx="3">
                  <c:v>0</c:v>
                </c:pt>
                <c:pt idx="4">
                  <c:v>0</c:v>
                </c:pt>
                <c:pt idx="5">
                  <c:v>0</c:v>
                </c:pt>
                <c:pt idx="6">
                  <c:v>1000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SAP: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45971</c:v>
                </c:pt>
                <c:pt idx="1">
                  <c:v>45972</c:v>
                </c:pt>
                <c:pt idx="2">
                  <c:v>45973</c:v>
                </c:pt>
                <c:pt idx="3">
                  <c:v>45974</c:v>
                </c:pt>
                <c:pt idx="4">
                  <c:v>45975</c:v>
                </c:pt>
                <c:pt idx="5">
                  <c:v>45978</c:v>
                </c:pt>
              </c:numCache>
            </c:numRef>
          </c:cat>
          <c:val>
            <c:numRef>
              <c:f>ID!$P$16:$U$16</c:f>
              <c:numCache>
                <c:formatCode>0%</c:formatCode>
                <c:ptCount val="6"/>
                <c:pt idx="0">
                  <c:v>0.8612364119469329</c:v>
                </c:pt>
                <c:pt idx="1">
                  <c:v>0.61165650280024886</c:v>
                </c:pt>
                <c:pt idx="2">
                  <c:v>0.60507338761860219</c:v>
                </c:pt>
                <c:pt idx="3">
                  <c:v>0.85338166536039561</c:v>
                </c:pt>
                <c:pt idx="4">
                  <c:v>1.1597733249552002</c:v>
                </c:pt>
                <c:pt idx="5">
                  <c:v>0.15718001402410189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45971</c:v>
                </c:pt>
                <c:pt idx="1">
                  <c:v>45972</c:v>
                </c:pt>
                <c:pt idx="2">
                  <c:v>45973</c:v>
                </c:pt>
                <c:pt idx="3">
                  <c:v>45974</c:v>
                </c:pt>
                <c:pt idx="4">
                  <c:v>45975</c:v>
                </c:pt>
                <c:pt idx="5">
                  <c:v>45978</c:v>
                </c:pt>
              </c:numCache>
            </c:numRef>
          </c:cat>
          <c:val>
            <c:numRef>
              <c:f>ID!$P$14:$U$14</c:f>
              <c:numCache>
                <c:formatCode>0.00%</c:formatCode>
                <c:ptCount val="6"/>
                <c:pt idx="0">
                  <c:v>-7.5156428571428562E-3</c:v>
                </c:pt>
                <c:pt idx="1">
                  <c:v>-7.1802023809523809E-3</c:v>
                </c:pt>
                <c:pt idx="2">
                  <c:v>-5.3927559523809518E-3</c:v>
                </c:pt>
                <c:pt idx="3">
                  <c:v>-3.9183630952380972E-3</c:v>
                </c:pt>
                <c:pt idx="4">
                  <c:v>-4.5009821428571442E-3</c:v>
                </c:pt>
                <c:pt idx="5">
                  <c:v>-6.2882142857142867E-4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6.9099999999999995E-3</c:v>
                </c:pt>
                <c:pt idx="1">
                  <c:v>-1.2235000000000001E-2</c:v>
                </c:pt>
                <c:pt idx="2">
                  <c:v>8.405000000000001E-3</c:v>
                </c:pt>
                <c:pt idx="3">
                  <c:v>-4.3868999999999998E-2</c:v>
                </c:pt>
                <c:pt idx="4">
                  <c:v>-1.0553E-2</c:v>
                </c:pt>
                <c:pt idx="5">
                  <c:v>-4.2630000000000003E-3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SAP</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45950</c:v>
                </c:pt>
                <c:pt idx="1">
                  <c:v>45951</c:v>
                </c:pt>
                <c:pt idx="2">
                  <c:v>45973</c:v>
                </c:pt>
                <c:pt idx="3">
                  <c:v>45974</c:v>
                </c:pt>
                <c:pt idx="4">
                  <c:v>45975</c:v>
                </c:pt>
                <c:pt idx="5">
                  <c:v>45978</c:v>
                </c:pt>
              </c:numCache>
            </c:numRef>
          </c:cat>
          <c:val>
            <c:numRef>
              <c:f>DataShift!$F$202:$Z$202</c:f>
              <c:numCache>
                <c:formatCode>#,##0_);[Red]\(#,##0\)</c:formatCode>
                <c:ptCount val="6"/>
                <c:pt idx="0">
                  <c:v>237.8</c:v>
                </c:pt>
                <c:pt idx="1">
                  <c:v>238</c:v>
                </c:pt>
                <c:pt idx="2">
                  <c:v>227.95</c:v>
                </c:pt>
                <c:pt idx="3">
                  <c:v>217.95</c:v>
                </c:pt>
                <c:pt idx="4">
                  <c:v>215.65</c:v>
                </c:pt>
                <c:pt idx="5">
                  <c:v>210.2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45950</c:v>
                </c:pt>
                <c:pt idx="1">
                  <c:v>45951</c:v>
                </c:pt>
                <c:pt idx="2">
                  <c:v>45973</c:v>
                </c:pt>
                <c:pt idx="3">
                  <c:v>45974</c:v>
                </c:pt>
                <c:pt idx="4">
                  <c:v>45975</c:v>
                </c:pt>
                <c:pt idx="5">
                  <c:v>45978</c:v>
                </c:pt>
              </c:numCache>
            </c:numRef>
          </c:cat>
          <c:val>
            <c:numRef>
              <c:f>DataShift!$AB$1197:$AV$1197</c:f>
              <c:numCache>
                <c:formatCode>#,##0_);[Red]\(#,##0\)</c:formatCode>
                <c:ptCount val="7"/>
                <c:pt idx="0">
                  <c:v>2725.0000000000086</c:v>
                </c:pt>
                <c:pt idx="1">
                  <c:v>2825.0000000000027</c:v>
                </c:pt>
                <c:pt idx="2">
                  <c:v>-3149.9999999999914</c:v>
                </c:pt>
                <c:pt idx="3">
                  <c:v>-2200.0000000000027</c:v>
                </c:pt>
                <c:pt idx="4">
                  <c:v>-7200.0000000000027</c:v>
                </c:pt>
                <c:pt idx="5">
                  <c:v>-8349.9999999999945</c:v>
                </c:pt>
                <c:pt idx="6">
                  <c:v>-11075.000000000004</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45950</c:v>
                </c:pt>
                <c:pt idx="1">
                  <c:v>45951</c:v>
                </c:pt>
                <c:pt idx="2">
                  <c:v>45973</c:v>
                </c:pt>
                <c:pt idx="3">
                  <c:v>45974</c:v>
                </c:pt>
                <c:pt idx="4">
                  <c:v>45975</c:v>
                </c:pt>
                <c:pt idx="5">
                  <c:v>45978</c:v>
                </c:pt>
              </c:numCache>
            </c:numRef>
          </c:cat>
          <c:val>
            <c:numRef>
              <c:f>DataShift!$AB$1296:$AV$1296</c:f>
              <c:numCache>
                <c:formatCode>#,##0_);[Red]\(#,##0\)</c:formatCode>
                <c:ptCount val="7"/>
                <c:pt idx="0">
                  <c:v>13625</c:v>
                </c:pt>
                <c:pt idx="1">
                  <c:v>-39.999999999997726</c:v>
                </c:pt>
                <c:pt idx="2">
                  <c:v>2350</c:v>
                </c:pt>
                <c:pt idx="3">
                  <c:v>1970.0000000000045</c:v>
                </c:pt>
                <c:pt idx="4">
                  <c:v>3970.0000000000045</c:v>
                </c:pt>
                <c:pt idx="5">
                  <c:v>4430.0000000000009</c:v>
                </c:pt>
                <c:pt idx="6">
                  <c:v>5520.0000000000045</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SAP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ChaRSI!$P$35:$Z$35</c:f>
              <c:numCache>
                <c:formatCode>0</c:formatCode>
                <c:ptCount val="11"/>
                <c:pt idx="0">
                  <c:v>54</c:v>
                </c:pt>
                <c:pt idx="1">
                  <c:v>57</c:v>
                </c:pt>
                <c:pt idx="2">
                  <c:v>48</c:v>
                </c:pt>
                <c:pt idx="3">
                  <c:v>41</c:v>
                </c:pt>
                <c:pt idx="4">
                  <c:v>41</c:v>
                </c:pt>
                <c:pt idx="5">
                  <c:v>37</c:v>
                </c:pt>
                <c:pt idx="6">
                  <c:v>35</c:v>
                </c:pt>
                <c:pt idx="7">
                  <c:v>23</c:v>
                </c:pt>
                <c:pt idx="8">
                  <c:v>23</c:v>
                </c:pt>
                <c:pt idx="9">
                  <c:v>30</c:v>
                </c:pt>
                <c:pt idx="10">
                  <c:v>30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210.2</c:v>
                </c:pt>
                <c:pt idx="10">
                  <c:v>240.53301315789471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237.8</c:v>
                </c:pt>
                <c:pt idx="10">
                  <c:v>237.8</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232.35</c:v>
                </c:pt>
                <c:pt idx="10">
                  <c:v>232.35</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210.2</c:v>
                </c:pt>
                <c:pt idx="10">
                  <c:v>210.2</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9F1CA41-EC8F-7246-99BE-43E858B7D2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730E559-36AB-3D49-A5B7-E8430CCC7B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38A9566E-B1F2-424F-BFDD-13C1B7A697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EF261588-310A-2044-9561-2838D329D5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863B886D-D63D-8741-B5FD-23061FB731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2067EE23-E33B-C241-9E77-19ED2992CD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59DE6988-EAEF-4843-926C-8E87BC0FFB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D46A7E94-2D48-094C-8EB5-0B559FB39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B7A6E7ED-8EB6-DC47-9A77-9D4E82687F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9A265511-5764-6744-BC0F-6A39A8AFB0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3A47D332-59C3-CB4C-BC9C-76AFAC3A46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ChaRSI!$P$36:$Z$36</c:f>
              <c:numCache>
                <c:formatCode>0%</c:formatCode>
                <c:ptCount val="11"/>
                <c:pt idx="0">
                  <c:v>1.4835821527107771</c:v>
                </c:pt>
                <c:pt idx="1">
                  <c:v>2.6649710633079384</c:v>
                </c:pt>
                <c:pt idx="2">
                  <c:v>1.514105482432194</c:v>
                </c:pt>
                <c:pt idx="3">
                  <c:v>0.93913206074599198</c:v>
                </c:pt>
                <c:pt idx="4">
                  <c:v>0.73112677422483752</c:v>
                </c:pt>
                <c:pt idx="5">
                  <c:v>0.8612364119469329</c:v>
                </c:pt>
                <c:pt idx="6">
                  <c:v>0.61165650280024886</c:v>
                </c:pt>
                <c:pt idx="7">
                  <c:v>0.60507338761860219</c:v>
                </c:pt>
                <c:pt idx="8">
                  <c:v>0.85338166536039561</c:v>
                </c:pt>
                <c:pt idx="9">
                  <c:v>1.1597733249552002</c:v>
                </c:pt>
                <c:pt idx="10">
                  <c:v>0.15718001402410189</c:v>
                </c:pt>
              </c:numCache>
            </c:numRef>
          </c:yVal>
          <c:smooth val="1"/>
          <c:extLst>
            <c:ext xmlns:c15="http://schemas.microsoft.com/office/drawing/2012/chart" uri="{02D57815-91ED-43cb-92C2-25804820EDAC}">
              <c15:datalabelsRange>
                <c15:f>ChaCha!$P$33:$Z$33</c15:f>
                <c15:dlblRangeCache>
                  <c:ptCount val="11"/>
                  <c:pt idx="0">
                    <c:v>3-Nov</c:v>
                  </c:pt>
                  <c:pt idx="10">
                    <c:v>17-Nov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SAP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ChaRSI!$F$35:$Z$35</c:f>
              <c:numCache>
                <c:formatCode>0</c:formatCode>
                <c:ptCount val="21"/>
                <c:pt idx="0">
                  <c:v>67</c:v>
                </c:pt>
                <c:pt idx="1">
                  <c:v>70</c:v>
                </c:pt>
                <c:pt idx="2">
                  <c:v>72</c:v>
                </c:pt>
                <c:pt idx="3">
                  <c:v>73</c:v>
                </c:pt>
                <c:pt idx="4">
                  <c:v>68</c:v>
                </c:pt>
                <c:pt idx="5">
                  <c:v>64</c:v>
                </c:pt>
                <c:pt idx="6">
                  <c:v>64</c:v>
                </c:pt>
                <c:pt idx="7">
                  <c:v>61</c:v>
                </c:pt>
                <c:pt idx="8">
                  <c:v>58</c:v>
                </c:pt>
                <c:pt idx="9">
                  <c:v>56</c:v>
                </c:pt>
                <c:pt idx="10">
                  <c:v>54</c:v>
                </c:pt>
                <c:pt idx="11">
                  <c:v>57</c:v>
                </c:pt>
                <c:pt idx="12">
                  <c:v>48</c:v>
                </c:pt>
                <c:pt idx="13">
                  <c:v>41</c:v>
                </c:pt>
                <c:pt idx="14">
                  <c:v>41</c:v>
                </c:pt>
                <c:pt idx="15">
                  <c:v>37</c:v>
                </c:pt>
                <c:pt idx="16">
                  <c:v>35</c:v>
                </c:pt>
                <c:pt idx="17">
                  <c:v>23</c:v>
                </c:pt>
                <c:pt idx="18">
                  <c:v>23</c:v>
                </c:pt>
                <c:pt idx="19">
                  <c:v>30</c:v>
                </c:pt>
                <c:pt idx="20">
                  <c:v>30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237.8</c:v>
                </c:pt>
                <c:pt idx="10">
                  <c:v>237.8</c:v>
                </c:pt>
                <c:pt idx="20">
                  <c:v>237.8</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232.35</c:v>
                </c:pt>
                <c:pt idx="10">
                  <c:v>232.35</c:v>
                </c:pt>
                <c:pt idx="20">
                  <c:v>232.35</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107.8</c:v>
                </c:pt>
                <c:pt idx="10">
                  <c:v>107.8</c:v>
                </c:pt>
                <c:pt idx="20">
                  <c:v>107.8</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262.89999999999998</c:v>
                </c:pt>
                <c:pt idx="10">
                  <c:v>262.89999999999998</c:v>
                </c:pt>
                <c:pt idx="20">
                  <c:v>262.89999999999998</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275.52499999999998</c:v>
                </c:pt>
                <c:pt idx="10">
                  <c:v>275.52499999999998</c:v>
                </c:pt>
                <c:pt idx="20">
                  <c:v>275.52499999999998</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93.048699999999997</c:v>
                </c:pt>
                <c:pt idx="10">
                  <c:v>93.048699999999997</c:v>
                </c:pt>
                <c:pt idx="20">
                  <c:v>93.048699999999997</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210.2</c:v>
                </c:pt>
                <c:pt idx="10">
                  <c:v>210.2</c:v>
                </c:pt>
                <c:pt idx="20">
                  <c:v>210.2</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ChaRSI!$F$36:$Z$36</c:f>
              <c:numCache>
                <c:formatCode>0%</c:formatCode>
                <c:ptCount val="21"/>
                <c:pt idx="0">
                  <c:v>0.78926746602173248</c:v>
                </c:pt>
                <c:pt idx="1">
                  <c:v>0.13228531525700854</c:v>
                </c:pt>
                <c:pt idx="2">
                  <c:v>0.65498967042905398</c:v>
                </c:pt>
                <c:pt idx="3">
                  <c:v>1.1919431065487109</c:v>
                </c:pt>
                <c:pt idx="4">
                  <c:v>0.97916485351189575</c:v>
                </c:pt>
                <c:pt idx="5">
                  <c:v>1.035415409827209</c:v>
                </c:pt>
                <c:pt idx="6">
                  <c:v>1.0497599001618751</c:v>
                </c:pt>
                <c:pt idx="7">
                  <c:v>1.2601543085273403</c:v>
                </c:pt>
                <c:pt idx="8">
                  <c:v>1.2221288444286464</c:v>
                </c:pt>
                <c:pt idx="9">
                  <c:v>1.4835821527107771</c:v>
                </c:pt>
                <c:pt idx="10">
                  <c:v>1.4835821527107771</c:v>
                </c:pt>
                <c:pt idx="11">
                  <c:v>2.6649710633079384</c:v>
                </c:pt>
                <c:pt idx="12">
                  <c:v>1.514105482432194</c:v>
                </c:pt>
                <c:pt idx="13">
                  <c:v>0.93913206074599198</c:v>
                </c:pt>
                <c:pt idx="14">
                  <c:v>0.73112677422483752</c:v>
                </c:pt>
                <c:pt idx="15">
                  <c:v>0.8612364119469329</c:v>
                </c:pt>
                <c:pt idx="16">
                  <c:v>0.61165650280024886</c:v>
                </c:pt>
                <c:pt idx="17">
                  <c:v>0.60507338761860219</c:v>
                </c:pt>
                <c:pt idx="18">
                  <c:v>0.85338166536039561</c:v>
                </c:pt>
                <c:pt idx="19">
                  <c:v>1.1597733249552002</c:v>
                </c:pt>
                <c:pt idx="20">
                  <c:v>0.15718001402410189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78.28024999999997"/>
          <c:min val="92.118212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SAP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210.2</c:v>
                </c:pt>
                <c:pt idx="10">
                  <c:v>240.53301315789471</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237.8</c:v>
                </c:pt>
                <c:pt idx="10">
                  <c:v>237.8</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232.35</c:v>
                </c:pt>
                <c:pt idx="10">
                  <c:v>232.35</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210.2</c:v>
                </c:pt>
                <c:pt idx="10">
                  <c:v>210.2</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240.53301315789471</c:v>
                </c:pt>
                <c:pt idx="10" formatCode="0.00">
                  <c:v>240.53301315789471</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ChaRSI!$P$35:$Z$35</c:f>
              <c:numCache>
                <c:formatCode>0</c:formatCode>
                <c:ptCount val="11"/>
                <c:pt idx="0">
                  <c:v>54</c:v>
                </c:pt>
                <c:pt idx="1">
                  <c:v>57</c:v>
                </c:pt>
                <c:pt idx="2">
                  <c:v>48</c:v>
                </c:pt>
                <c:pt idx="3">
                  <c:v>41</c:v>
                </c:pt>
                <c:pt idx="4">
                  <c:v>41</c:v>
                </c:pt>
                <c:pt idx="5">
                  <c:v>37</c:v>
                </c:pt>
                <c:pt idx="6">
                  <c:v>35</c:v>
                </c:pt>
                <c:pt idx="7">
                  <c:v>23</c:v>
                </c:pt>
                <c:pt idx="8">
                  <c:v>23</c:v>
                </c:pt>
                <c:pt idx="9">
                  <c:v>30</c:v>
                </c:pt>
                <c:pt idx="10">
                  <c:v>30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9F66A5A-D991-4B4F-A739-10D9398AC6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9A851C-20DA-C04D-8F43-2F19D2B024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94420FD3-E24E-704A-B99C-8AF40B56F1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41AB70E6-CFD4-2B49-B678-15E02728BC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FF7A0B05-27DE-1D44-BC5A-E5F7ECA35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B0EEF79C-B9C2-DE45-92D9-B62DCBE14E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A0CFADD4-00C5-A840-9D7A-A1EFE450EE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BA6CA502-910F-554E-823E-AA617DE5EB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1F16C05F-0B0C-3247-9417-8EFF3A121C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E79098EF-D879-A64F-AE87-2E272CA89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B85A4AF9-78F2-684B-BED0-118FF87F03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ChaRSI!$P$36:$Z$36</c:f>
              <c:numCache>
                <c:formatCode>0%</c:formatCode>
                <c:ptCount val="11"/>
                <c:pt idx="0">
                  <c:v>1.4835821527107771</c:v>
                </c:pt>
                <c:pt idx="1">
                  <c:v>2.6649710633079384</c:v>
                </c:pt>
                <c:pt idx="2">
                  <c:v>1.514105482432194</c:v>
                </c:pt>
                <c:pt idx="3">
                  <c:v>0.93913206074599198</c:v>
                </c:pt>
                <c:pt idx="4">
                  <c:v>0.73112677422483752</c:v>
                </c:pt>
                <c:pt idx="5">
                  <c:v>0.8612364119469329</c:v>
                </c:pt>
                <c:pt idx="6">
                  <c:v>0.61165650280024886</c:v>
                </c:pt>
                <c:pt idx="7">
                  <c:v>0.60507338761860219</c:v>
                </c:pt>
                <c:pt idx="8">
                  <c:v>0.85338166536039561</c:v>
                </c:pt>
                <c:pt idx="9">
                  <c:v>1.1597733249552002</c:v>
                </c:pt>
                <c:pt idx="10">
                  <c:v>0.15718001402410189</c:v>
                </c:pt>
              </c:numCache>
            </c:numRef>
          </c:yVal>
          <c:smooth val="1"/>
          <c:extLst>
            <c:ext xmlns:c15="http://schemas.microsoft.com/office/drawing/2012/chart" uri="{02D57815-91ED-43cb-92C2-25804820EDAC}">
              <c15:datalabelsRange>
                <c15:f>ChaCha!$P$33:$Z$33</c15:f>
                <c15:dlblRangeCache>
                  <c:ptCount val="11"/>
                  <c:pt idx="0">
                    <c:v>3-Nov</c:v>
                  </c:pt>
                  <c:pt idx="10">
                    <c:v>17-Nov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SAP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ChaCha!$P$35:$Z$35</c:f>
              <c:numCache>
                <c:formatCode>0</c:formatCode>
                <c:ptCount val="11"/>
                <c:pt idx="0">
                  <c:v>-178.32387392826953</c:v>
                </c:pt>
                <c:pt idx="1">
                  <c:v>262.57698345610436</c:v>
                </c:pt>
                <c:pt idx="2">
                  <c:v>-431.63869097935032</c:v>
                </c:pt>
                <c:pt idx="3">
                  <c:v>113.85098418065449</c:v>
                </c:pt>
                <c:pt idx="4">
                  <c:v>-74.338847965221603</c:v>
                </c:pt>
                <c:pt idx="5">
                  <c:v>83.444028498973552</c:v>
                </c:pt>
                <c:pt idx="6">
                  <c:v>-147.74785653906534</c:v>
                </c:pt>
                <c:pt idx="7">
                  <c:v>101.49740369520592</c:v>
                </c:pt>
                <c:pt idx="8">
                  <c:v>-529.75486052409133</c:v>
                </c:pt>
                <c:pt idx="9">
                  <c:v>-127.43629996377248</c:v>
                </c:pt>
                <c:pt idx="10">
                  <c:v>-51.479289940828409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237.8</c:v>
                </c:pt>
                <c:pt idx="10">
                  <c:v>237.8</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232.35</c:v>
                </c:pt>
                <c:pt idx="10">
                  <c:v>232.35</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210.2</c:v>
                </c:pt>
                <c:pt idx="10">
                  <c:v>210.2</c:v>
                </c:pt>
              </c:numCache>
            </c:numRef>
          </c:xVal>
          <c:yVal>
            <c:numRef>
              <c:f>ChaCha!$P$43:$Z$43</c:f>
              <c:numCache>
                <c:formatCode>General</c:formatCode>
                <c:ptCount val="11"/>
                <c:pt idx="0" formatCode="0">
                  <c:v>531.33679507305885</c:v>
                </c:pt>
                <c:pt idx="10" formatCode="0">
                  <c:v>-582.73034657650055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240.53301315789471</c:v>
                </c:pt>
                <c:pt idx="10" formatCode="0.00">
                  <c:v>240.53301315789471</c:v>
                </c:pt>
              </c:numCache>
            </c:numRef>
          </c:xVal>
          <c:yVal>
            <c:numRef>
              <c:f>ChaCha!$P$41:$Z$41</c:f>
              <c:numCache>
                <c:formatCode>General</c:formatCode>
                <c:ptCount val="11"/>
                <c:pt idx="0" formatCode="0">
                  <c:v>627.94348508634232</c:v>
                </c:pt>
                <c:pt idx="10" formatCode="0">
                  <c:v>-688.68131868131877</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3F58F0D-99A1-0648-8FAB-4A39E83EBB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60AE9890-7E66-F641-B764-12DF35B45C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FBC58C90-249E-464E-A3E4-30581E3D4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7A38647E-C83A-FA4F-8187-B8235A4BC5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EB9BD150-76F0-E64A-B6FB-464D238F10D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EC549F89-DD24-F64E-A098-E15F3306C6B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1DC3B8EC-0BCB-1F4C-80CD-7BED5BB440C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89565E2F-F88E-634B-93E2-575D2A5BCF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D07D3CB9-55CC-2243-93D4-1E583B7090A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D706F5C9-4080-0E4E-BBA5-FEF7243270F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AC710A3D-B86D-E34C-BB93-458B344A21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ChaCha!$P$36:$Z$36</c:f>
              <c:numCache>
                <c:formatCode>0</c:formatCode>
                <c:ptCount val="11"/>
                <c:pt idx="0">
                  <c:v>179.1549514202122</c:v>
                </c:pt>
                <c:pt idx="1">
                  <c:v>321.81754175920042</c:v>
                </c:pt>
                <c:pt idx="2">
                  <c:v>182.8408987359249</c:v>
                </c:pt>
                <c:pt idx="3">
                  <c:v>113.40804984253013</c:v>
                </c:pt>
                <c:pt idx="4">
                  <c:v>88.289672047438415</c:v>
                </c:pt>
                <c:pt idx="5">
                  <c:v>104.00149884638726</c:v>
                </c:pt>
                <c:pt idx="6">
                  <c:v>73.862637700790827</c:v>
                </c:pt>
                <c:pt idx="7">
                  <c:v>73.067671491196975</c:v>
                </c:pt>
                <c:pt idx="8">
                  <c:v>103.05297251061414</c:v>
                </c:pt>
                <c:pt idx="9">
                  <c:v>140.05232761202757</c:v>
                </c:pt>
                <c:pt idx="10">
                  <c:v>18.980801113887441</c:v>
                </c:pt>
              </c:numCache>
            </c:numRef>
          </c:yVal>
          <c:smooth val="1"/>
          <c:extLst>
            <c:ext xmlns:c15="http://schemas.microsoft.com/office/drawing/2012/chart" uri="{02D57815-91ED-43cb-92C2-25804820EDAC}">
              <c15:datalabelsRange>
                <c15:f>ChaCha!$P$33:$Z$33</c15:f>
                <c15:dlblRangeCache>
                  <c:ptCount val="11"/>
                  <c:pt idx="0">
                    <c:v>3-Nov</c:v>
                  </c:pt>
                  <c:pt idx="10">
                    <c:v>17-Nov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236.85</c:v>
                </c:pt>
                <c:pt idx="1">
                  <c:v>242</c:v>
                </c:pt>
                <c:pt idx="2">
                  <c:v>233.35</c:v>
                </c:pt>
                <c:pt idx="3">
                  <c:v>235.55</c:v>
                </c:pt>
                <c:pt idx="4">
                  <c:v>234.1</c:v>
                </c:pt>
                <c:pt idx="5">
                  <c:v>225.85</c:v>
                </c:pt>
                <c:pt idx="6">
                  <c:v>226.05</c:v>
                </c:pt>
                <c:pt idx="7">
                  <c:v>227.95</c:v>
                </c:pt>
                <c:pt idx="8">
                  <c:v>217.95</c:v>
                </c:pt>
                <c:pt idx="9">
                  <c:v>215.65</c:v>
                </c:pt>
                <c:pt idx="10">
                  <c:v>210.2</c:v>
                </c:pt>
              </c:numCache>
            </c:numRef>
          </c:xVal>
          <c:yVal>
            <c:numRef>
              <c:f>ChaCha!$P$60:$Z$60</c:f>
              <c:numCache>
                <c:formatCode>0%</c:formatCode>
                <c:ptCount val="11"/>
                <c:pt idx="0">
                  <c:v>120.75836251660428</c:v>
                </c:pt>
                <c:pt idx="1">
                  <c:v>120.75836251660428</c:v>
                </c:pt>
                <c:pt idx="2">
                  <c:v>120.75836251660428</c:v>
                </c:pt>
                <c:pt idx="3">
                  <c:v>120.75836251660428</c:v>
                </c:pt>
                <c:pt idx="4">
                  <c:v>120.75836251660428</c:v>
                </c:pt>
                <c:pt idx="5">
                  <c:v>120.75836251660428</c:v>
                </c:pt>
                <c:pt idx="6">
                  <c:v>120.75836251660428</c:v>
                </c:pt>
                <c:pt idx="7">
                  <c:v>120.75836251660428</c:v>
                </c:pt>
                <c:pt idx="8">
                  <c:v>120.75836251660428</c:v>
                </c:pt>
                <c:pt idx="9">
                  <c:v>120.75836251660428</c:v>
                </c:pt>
                <c:pt idx="10">
                  <c:v>120.75836251660428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44.42000000000002"/>
          <c:min val="210.3254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SAP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ChaCha!$F$35:$Z$35</c:f>
              <c:numCache>
                <c:formatCode>0</c:formatCode>
                <c:ptCount val="21"/>
                <c:pt idx="0">
                  <c:v>30.551865716700885</c:v>
                </c:pt>
                <c:pt idx="1">
                  <c:v>10.155778287646418</c:v>
                </c:pt>
                <c:pt idx="2">
                  <c:v>44.523608259871999</c:v>
                </c:pt>
                <c:pt idx="3">
                  <c:v>67.84204806182828</c:v>
                </c:pt>
                <c:pt idx="4">
                  <c:v>77.840840478203106</c:v>
                </c:pt>
                <c:pt idx="5">
                  <c:v>-51.563820794590022</c:v>
                </c:pt>
                <c:pt idx="6">
                  <c:v>-116.5076681560198</c:v>
                </c:pt>
                <c:pt idx="7">
                  <c:v>400.00000000000006</c:v>
                </c:pt>
                <c:pt idx="8">
                  <c:v>91.100108682526269</c:v>
                </c:pt>
                <c:pt idx="9">
                  <c:v>-178.32387392826953</c:v>
                </c:pt>
                <c:pt idx="10">
                  <c:v>-178.32387392826953</c:v>
                </c:pt>
                <c:pt idx="11">
                  <c:v>262.57698345610436</c:v>
                </c:pt>
                <c:pt idx="12">
                  <c:v>-431.63869097935032</c:v>
                </c:pt>
                <c:pt idx="13">
                  <c:v>113.85098418065449</c:v>
                </c:pt>
                <c:pt idx="14">
                  <c:v>-74.338847965221603</c:v>
                </c:pt>
                <c:pt idx="15">
                  <c:v>83.444028498973552</c:v>
                </c:pt>
                <c:pt idx="16">
                  <c:v>-147.74785653906534</c:v>
                </c:pt>
                <c:pt idx="17">
                  <c:v>101.49740369520592</c:v>
                </c:pt>
                <c:pt idx="18">
                  <c:v>-529.75486052409133</c:v>
                </c:pt>
                <c:pt idx="19">
                  <c:v>-127.43629996377248</c:v>
                </c:pt>
                <c:pt idx="20">
                  <c:v>-51.479289940828409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ChaCha!$F$36:$Z$36</c:f>
              <c:numCache>
                <c:formatCode>0</c:formatCode>
                <c:ptCount val="21"/>
                <c:pt idx="0">
                  <c:v>95.310646784414018</c:v>
                </c:pt>
                <c:pt idx="1">
                  <c:v>483.03345006641712</c:v>
                </c:pt>
                <c:pt idx="2">
                  <c:v>79.095480066302869</c:v>
                </c:pt>
                <c:pt idx="3">
                  <c:v>143.93709775977672</c:v>
                </c:pt>
                <c:pt idx="4">
                  <c:v>118.24234434390723</c:v>
                </c:pt>
                <c:pt idx="5">
                  <c:v>125.0350694151925</c:v>
                </c:pt>
                <c:pt idx="6">
                  <c:v>126.76728657914204</c:v>
                </c:pt>
                <c:pt idx="7">
                  <c:v>152.17417081600536</c:v>
                </c:pt>
                <c:pt idx="8">
                  <c:v>147.58227803751316</c:v>
                </c:pt>
                <c:pt idx="9">
                  <c:v>179.1549514202122</c:v>
                </c:pt>
                <c:pt idx="10">
                  <c:v>179.1549514202122</c:v>
                </c:pt>
                <c:pt idx="11">
                  <c:v>321.81754175920042</c:v>
                </c:pt>
                <c:pt idx="12">
                  <c:v>182.8408987359249</c:v>
                </c:pt>
                <c:pt idx="13">
                  <c:v>113.40804984253013</c:v>
                </c:pt>
                <c:pt idx="14">
                  <c:v>88.289672047438415</c:v>
                </c:pt>
                <c:pt idx="15">
                  <c:v>104.00149884638726</c:v>
                </c:pt>
                <c:pt idx="16">
                  <c:v>73.862637700790827</c:v>
                </c:pt>
                <c:pt idx="17">
                  <c:v>73.067671491196975</c:v>
                </c:pt>
                <c:pt idx="18">
                  <c:v>103.05297251061414</c:v>
                </c:pt>
                <c:pt idx="19">
                  <c:v>140.05232761202757</c:v>
                </c:pt>
                <c:pt idx="20">
                  <c:v>18.980801113887441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237.8</c:v>
                </c:pt>
                <c:pt idx="10">
                  <c:v>237.8</c:v>
                </c:pt>
                <c:pt idx="20">
                  <c:v>237.8</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232.35</c:v>
                </c:pt>
                <c:pt idx="10">
                  <c:v>232.35</c:v>
                </c:pt>
                <c:pt idx="20">
                  <c:v>232.35</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107.8</c:v>
                </c:pt>
                <c:pt idx="10">
                  <c:v>107.8</c:v>
                </c:pt>
                <c:pt idx="20">
                  <c:v>107.8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262.89999999999998</c:v>
                </c:pt>
                <c:pt idx="10">
                  <c:v>262.89999999999998</c:v>
                </c:pt>
                <c:pt idx="20">
                  <c:v>262.89999999999998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275.52499999999998</c:v>
                </c:pt>
                <c:pt idx="10">
                  <c:v>275.52499999999998</c:v>
                </c:pt>
                <c:pt idx="20">
                  <c:v>275.52499999999998</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93.048699999999997</c:v>
                </c:pt>
                <c:pt idx="10">
                  <c:v>93.048699999999997</c:v>
                </c:pt>
                <c:pt idx="20">
                  <c:v>93.048699999999997</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210.2</c:v>
                </c:pt>
                <c:pt idx="10">
                  <c:v>210.2</c:v>
                </c:pt>
                <c:pt idx="20">
                  <c:v>210.2</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78.28024999999997"/>
          <c:min val="92.118212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ChaCha!$F$35:$Z$35</c:f>
              <c:numCache>
                <c:formatCode>0</c:formatCode>
                <c:ptCount val="21"/>
                <c:pt idx="0">
                  <c:v>30.551865716700885</c:v>
                </c:pt>
                <c:pt idx="1">
                  <c:v>10.155778287646418</c:v>
                </c:pt>
                <c:pt idx="2">
                  <c:v>44.523608259871999</c:v>
                </c:pt>
                <c:pt idx="3">
                  <c:v>67.84204806182828</c:v>
                </c:pt>
                <c:pt idx="4">
                  <c:v>77.840840478203106</c:v>
                </c:pt>
                <c:pt idx="5">
                  <c:v>-51.563820794590022</c:v>
                </c:pt>
                <c:pt idx="6">
                  <c:v>-116.5076681560198</c:v>
                </c:pt>
                <c:pt idx="7">
                  <c:v>400.00000000000006</c:v>
                </c:pt>
                <c:pt idx="8">
                  <c:v>91.100108682526269</c:v>
                </c:pt>
                <c:pt idx="9">
                  <c:v>-178.32387392826953</c:v>
                </c:pt>
                <c:pt idx="10">
                  <c:v>-178.32387392826953</c:v>
                </c:pt>
                <c:pt idx="11">
                  <c:v>262.57698345610436</c:v>
                </c:pt>
                <c:pt idx="12">
                  <c:v>-431.63869097935032</c:v>
                </c:pt>
                <c:pt idx="13">
                  <c:v>113.85098418065449</c:v>
                </c:pt>
                <c:pt idx="14">
                  <c:v>-74.338847965221603</c:v>
                </c:pt>
                <c:pt idx="15">
                  <c:v>83.444028498973552</c:v>
                </c:pt>
                <c:pt idx="16">
                  <c:v>-147.74785653906534</c:v>
                </c:pt>
                <c:pt idx="17">
                  <c:v>101.49740369520592</c:v>
                </c:pt>
                <c:pt idx="18">
                  <c:v>-529.75486052409133</c:v>
                </c:pt>
                <c:pt idx="19">
                  <c:v>-127.43629996377248</c:v>
                </c:pt>
                <c:pt idx="20">
                  <c:v>-51.479289940828409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237.8</c:v>
                </c:pt>
                <c:pt idx="10">
                  <c:v>237.8</c:v>
                </c:pt>
                <c:pt idx="20">
                  <c:v>237.8</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232.35</c:v>
                </c:pt>
                <c:pt idx="10">
                  <c:v>232.35</c:v>
                </c:pt>
                <c:pt idx="20">
                  <c:v>232.35</c:v>
                </c:pt>
              </c:numCache>
            </c:numRef>
          </c:xVal>
          <c:yVal>
            <c:numRef>
              <c:f>ChaCha!$F$41:$Z$41</c:f>
              <c:numCache>
                <c:formatCode>General</c:formatCode>
                <c:ptCount val="21"/>
                <c:pt idx="0" formatCode="0">
                  <c:v>627.94348508634232</c:v>
                </c:pt>
                <c:pt idx="10" formatCode="0">
                  <c:v>627.94348508634232</c:v>
                </c:pt>
                <c:pt idx="20" formatCode="0">
                  <c:v>-688.68131868131877</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107.8</c:v>
                </c:pt>
                <c:pt idx="10">
                  <c:v>107.8</c:v>
                </c:pt>
                <c:pt idx="20">
                  <c:v>107.8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262.89999999999998</c:v>
                </c:pt>
                <c:pt idx="10">
                  <c:v>262.89999999999998</c:v>
                </c:pt>
                <c:pt idx="20">
                  <c:v>262.89999999999998</c:v>
                </c:pt>
              </c:numCache>
            </c:numRef>
          </c:xVal>
          <c:yVal>
            <c:numRef>
              <c:f>ChaCha!$F$42:$Z$42</c:f>
              <c:numCache>
                <c:formatCode>General</c:formatCode>
                <c:ptCount val="21"/>
                <c:pt idx="0" formatCode="0">
                  <c:v>579.64014007970047</c:v>
                </c:pt>
                <c:pt idx="10" formatCode="0">
                  <c:v>579.64014007970047</c:v>
                </c:pt>
                <c:pt idx="20" formatCode="0">
                  <c:v>-635.70583262890955</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275.52499999999998</c:v>
                </c:pt>
                <c:pt idx="10">
                  <c:v>275.52499999999998</c:v>
                </c:pt>
                <c:pt idx="20">
                  <c:v>275.52499999999998</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210.2</c:v>
                </c:pt>
                <c:pt idx="10">
                  <c:v>210.2</c:v>
                </c:pt>
                <c:pt idx="20">
                  <c:v>210.2</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237.8</c:v>
                </c:pt>
                <c:pt idx="1">
                  <c:v>238</c:v>
                </c:pt>
                <c:pt idx="2">
                  <c:v>231.4</c:v>
                </c:pt>
                <c:pt idx="3">
                  <c:v>232.7</c:v>
                </c:pt>
                <c:pt idx="4">
                  <c:v>234.2</c:v>
                </c:pt>
                <c:pt idx="5">
                  <c:v>233.2</c:v>
                </c:pt>
                <c:pt idx="6">
                  <c:v>230.95</c:v>
                </c:pt>
                <c:pt idx="7">
                  <c:v>238.6</c:v>
                </c:pt>
                <c:pt idx="8">
                  <c:v>240.4</c:v>
                </c:pt>
                <c:pt idx="9">
                  <c:v>236.85</c:v>
                </c:pt>
                <c:pt idx="10">
                  <c:v>236.85</c:v>
                </c:pt>
                <c:pt idx="11">
                  <c:v>242</c:v>
                </c:pt>
                <c:pt idx="12">
                  <c:v>233.35</c:v>
                </c:pt>
                <c:pt idx="13">
                  <c:v>235.55</c:v>
                </c:pt>
                <c:pt idx="14">
                  <c:v>234.1</c:v>
                </c:pt>
                <c:pt idx="15">
                  <c:v>225.85</c:v>
                </c:pt>
                <c:pt idx="16">
                  <c:v>226.05</c:v>
                </c:pt>
                <c:pt idx="17">
                  <c:v>227.95</c:v>
                </c:pt>
                <c:pt idx="18">
                  <c:v>217.95</c:v>
                </c:pt>
                <c:pt idx="19">
                  <c:v>215.65</c:v>
                </c:pt>
                <c:pt idx="20">
                  <c:v>210.2</c:v>
                </c:pt>
              </c:numCache>
            </c:numRef>
          </c:xVal>
          <c:yVal>
            <c:numRef>
              <c:f>ChaCha!$F$36:$Z$36</c:f>
              <c:numCache>
                <c:formatCode>0</c:formatCode>
                <c:ptCount val="21"/>
                <c:pt idx="0">
                  <c:v>95.310646784414018</c:v>
                </c:pt>
                <c:pt idx="1">
                  <c:v>483.03345006641712</c:v>
                </c:pt>
                <c:pt idx="2">
                  <c:v>79.095480066302869</c:v>
                </c:pt>
                <c:pt idx="3">
                  <c:v>143.93709775977672</c:v>
                </c:pt>
                <c:pt idx="4">
                  <c:v>118.24234434390723</c:v>
                </c:pt>
                <c:pt idx="5">
                  <c:v>125.0350694151925</c:v>
                </c:pt>
                <c:pt idx="6">
                  <c:v>126.76728657914204</c:v>
                </c:pt>
                <c:pt idx="7">
                  <c:v>152.17417081600536</c:v>
                </c:pt>
                <c:pt idx="8">
                  <c:v>147.58227803751316</c:v>
                </c:pt>
                <c:pt idx="9">
                  <c:v>179.1549514202122</c:v>
                </c:pt>
                <c:pt idx="10">
                  <c:v>179.1549514202122</c:v>
                </c:pt>
                <c:pt idx="11">
                  <c:v>321.81754175920042</c:v>
                </c:pt>
                <c:pt idx="12">
                  <c:v>182.8408987359249</c:v>
                </c:pt>
                <c:pt idx="13">
                  <c:v>113.40804984253013</c:v>
                </c:pt>
                <c:pt idx="14">
                  <c:v>88.289672047438415</c:v>
                </c:pt>
                <c:pt idx="15">
                  <c:v>104.00149884638726</c:v>
                </c:pt>
                <c:pt idx="16">
                  <c:v>73.862637700790827</c:v>
                </c:pt>
                <c:pt idx="17">
                  <c:v>73.067671491196975</c:v>
                </c:pt>
                <c:pt idx="18">
                  <c:v>103.05297251061414</c:v>
                </c:pt>
                <c:pt idx="19">
                  <c:v>140.05232761202757</c:v>
                </c:pt>
                <c:pt idx="20">
                  <c:v>18.980801113887441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240.53301315789471</c:v>
                </c:pt>
                <c:pt idx="10" formatCode="0.00">
                  <c:v>240.53301315789471</c:v>
                </c:pt>
                <c:pt idx="20" formatCode="0.00">
                  <c:v>240.53301315789471</c:v>
                </c:pt>
              </c:numCache>
            </c:numRef>
          </c:xVal>
          <c:yVal>
            <c:numRef>
              <c:f>ChaCha!$F$43:$Z$43</c:f>
              <c:numCache>
                <c:formatCode>General</c:formatCode>
                <c:ptCount val="21"/>
                <c:pt idx="0" formatCode="0">
                  <c:v>531.33679507305885</c:v>
                </c:pt>
                <c:pt idx="10" formatCode="0">
                  <c:v>531.33679507305885</c:v>
                </c:pt>
                <c:pt idx="20" formatCode="0">
                  <c:v>-582.73034657650055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78.28024999999997"/>
          <c:min val="106.721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Up:/100/63%</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Up:22/42/43%</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240.53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3800 x A=240.53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3800 x A=240.53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3800 x A=240.53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excel/DataSource.xlsx" TargetMode="External"/><Relationship Id="rId1" Type="http://schemas.openxmlformats.org/officeDocument/2006/relationships/externalLinkPath" Target="DataSource.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Users/kostayanev/NikyClean/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T"/>
      <sheetName val="TickerList"/>
    </sheetNames>
    <sheetDataSet>
      <sheetData sheetId="0">
        <row r="1">
          <cell r="A1">
            <v>45978.450810185182</v>
          </cell>
        </row>
        <row r="3">
          <cell r="A3" t="str">
            <v>AAPL</v>
          </cell>
          <cell r="D3" t="str">
            <v>USD</v>
          </cell>
          <cell r="E3">
            <v>45975.943448899998</v>
          </cell>
          <cell r="F3">
            <v>272.95</v>
          </cell>
          <cell r="G3">
            <v>271.05</v>
          </cell>
          <cell r="H3">
            <v>272.41000000000003</v>
          </cell>
          <cell r="I3">
            <v>269.60000000000002</v>
          </cell>
          <cell r="J3">
            <v>275.95999999999998</v>
          </cell>
          <cell r="K3">
            <v>36.680500000000002</v>
          </cell>
          <cell r="L3">
            <v>-0.54</v>
          </cell>
          <cell r="M3">
            <v>-1.9780000000000002E-3</v>
          </cell>
          <cell r="N3">
            <v>169.21010000000001</v>
          </cell>
          <cell r="O3">
            <v>277.32</v>
          </cell>
          <cell r="P3">
            <v>82057</v>
          </cell>
          <cell r="Q3">
            <v>49332368</v>
          </cell>
          <cell r="R3">
            <v>1.1039000000000001</v>
          </cell>
        </row>
        <row r="4">
          <cell r="A4" t="str">
            <v>ADEA</v>
          </cell>
          <cell r="D4" t="str">
            <v>USD</v>
          </cell>
          <cell r="E4">
            <v>45975.991322626563</v>
          </cell>
          <cell r="F4">
            <v>13.14</v>
          </cell>
          <cell r="G4">
            <v>12.96</v>
          </cell>
          <cell r="H4">
            <v>12.86</v>
          </cell>
          <cell r="I4">
            <v>12.82</v>
          </cell>
          <cell r="J4">
            <v>13.18</v>
          </cell>
          <cell r="K4">
            <v>19.815100000000001</v>
          </cell>
          <cell r="L4">
            <v>-0.28000000000000003</v>
          </cell>
          <cell r="M4">
            <v>-2.1309000000000002E-2</v>
          </cell>
          <cell r="N4">
            <v>10.59</v>
          </cell>
          <cell r="O4">
            <v>18.25</v>
          </cell>
          <cell r="P4">
            <v>1</v>
          </cell>
          <cell r="Q4">
            <v>836940</v>
          </cell>
          <cell r="R4">
            <v>2.4137</v>
          </cell>
        </row>
        <row r="5">
          <cell r="A5" t="str">
            <v>AET</v>
          </cell>
          <cell r="D5" t="str">
            <v>GBp</v>
          </cell>
          <cell r="E5">
            <v>45978.417772279689</v>
          </cell>
          <cell r="F5">
            <v>45.2</v>
          </cell>
          <cell r="G5">
            <v>47</v>
          </cell>
          <cell r="H5">
            <v>46</v>
          </cell>
          <cell r="I5">
            <v>47</v>
          </cell>
          <cell r="J5">
            <v>47</v>
          </cell>
          <cell r="K5">
            <v>3.9931000000000001</v>
          </cell>
          <cell r="L5">
            <v>0.8</v>
          </cell>
          <cell r="M5">
            <v>1.7698999999999999E-2</v>
          </cell>
          <cell r="N5">
            <v>33.064999999999998</v>
          </cell>
          <cell r="O5">
            <v>56.2</v>
          </cell>
          <cell r="P5">
            <v>62164</v>
          </cell>
          <cell r="Q5">
            <v>362000</v>
          </cell>
          <cell r="R5">
            <v>1.6380999999999999</v>
          </cell>
        </row>
        <row r="6">
          <cell r="A6" t="str">
            <v>AMZN</v>
          </cell>
          <cell r="D6" t="str">
            <v>USD</v>
          </cell>
          <cell r="E6">
            <v>45976.041631921093</v>
          </cell>
          <cell r="F6">
            <v>237.58</v>
          </cell>
          <cell r="G6">
            <v>235.06</v>
          </cell>
          <cell r="H6">
            <v>234.69</v>
          </cell>
          <cell r="I6">
            <v>232.89</v>
          </cell>
          <cell r="J6">
            <v>238.73</v>
          </cell>
          <cell r="K6">
            <v>33.153199999999998</v>
          </cell>
          <cell r="L6">
            <v>-2.89</v>
          </cell>
          <cell r="M6">
            <v>-1.2163999999999999E-2</v>
          </cell>
          <cell r="N6">
            <v>161.38</v>
          </cell>
          <cell r="O6">
            <v>258.60000000000002</v>
          </cell>
          <cell r="P6">
            <v>142460</v>
          </cell>
          <cell r="Q6">
            <v>52529093</v>
          </cell>
          <cell r="R6">
            <v>1.3703000000000001</v>
          </cell>
        </row>
        <row r="7">
          <cell r="A7" t="str">
            <v>ALDNE</v>
          </cell>
          <cell r="D7" t="str">
            <v>EUR</v>
          </cell>
          <cell r="E7">
            <v>45978.437939003903</v>
          </cell>
          <cell r="F7">
            <v>0.66600000000000004</v>
          </cell>
          <cell r="G7">
            <v>0.68</v>
          </cell>
          <cell r="H7">
            <v>0.68799999999999994</v>
          </cell>
          <cell r="I7">
            <v>0.68</v>
          </cell>
          <cell r="J7">
            <v>0.68799999999999994</v>
          </cell>
          <cell r="K7">
            <v>0</v>
          </cell>
          <cell r="L7">
            <v>2.1999999999999999E-2</v>
          </cell>
          <cell r="M7">
            <v>3.3033E-2</v>
          </cell>
          <cell r="N7">
            <v>0.65</v>
          </cell>
          <cell r="O7">
            <v>1.53</v>
          </cell>
          <cell r="P7">
            <v>1048</v>
          </cell>
          <cell r="Q7">
            <v>6940</v>
          </cell>
          <cell r="R7">
            <v>0.95499999999999996</v>
          </cell>
        </row>
        <row r="8">
          <cell r="A8" t="str">
            <v>ASML</v>
          </cell>
          <cell r="D8" t="str">
            <v>EUR</v>
          </cell>
          <cell r="E8">
            <v>45978.450787037036</v>
          </cell>
          <cell r="F8">
            <v>874.1</v>
          </cell>
          <cell r="G8">
            <v>879.3</v>
          </cell>
          <cell r="H8">
            <v>871.4</v>
          </cell>
          <cell r="I8">
            <v>871</v>
          </cell>
          <cell r="J8">
            <v>882.5</v>
          </cell>
          <cell r="K8">
            <v>33.458599999999997</v>
          </cell>
          <cell r="L8">
            <v>-2.7</v>
          </cell>
          <cell r="M8">
            <v>-3.0890000000000002E-3</v>
          </cell>
          <cell r="N8">
            <v>508.4</v>
          </cell>
          <cell r="O8">
            <v>938.6</v>
          </cell>
          <cell r="P8">
            <v>78855</v>
          </cell>
          <cell r="Q8">
            <v>552590</v>
          </cell>
          <cell r="R8">
            <v>2.1217000000000001</v>
          </cell>
        </row>
        <row r="9">
          <cell r="A9" t="str">
            <v>AVGO</v>
          </cell>
          <cell r="F9">
            <v>339.98</v>
          </cell>
          <cell r="G9">
            <v>331.47</v>
          </cell>
          <cell r="H9">
            <v>342.46</v>
          </cell>
          <cell r="I9">
            <v>329.06</v>
          </cell>
          <cell r="J9">
            <v>344.74</v>
          </cell>
          <cell r="K9">
            <v>87.788200000000003</v>
          </cell>
          <cell r="L9">
            <v>2.48</v>
          </cell>
          <cell r="M9">
            <v>7.2950000000000003E-3</v>
          </cell>
          <cell r="O9">
            <v>386.48</v>
          </cell>
          <cell r="P9">
            <v>41070</v>
          </cell>
          <cell r="Q9">
            <v>20878767</v>
          </cell>
          <cell r="R9">
            <v>1.2295</v>
          </cell>
        </row>
        <row r="10">
          <cell r="A10" t="str">
            <v>AZN</v>
          </cell>
          <cell r="F10">
            <v>88.61</v>
          </cell>
          <cell r="G10">
            <v>88.515000000000001</v>
          </cell>
          <cell r="H10">
            <v>89.1</v>
          </cell>
          <cell r="I10">
            <v>88.28</v>
          </cell>
          <cell r="J10">
            <v>89.365399999999994</v>
          </cell>
          <cell r="K10">
            <v>29.600899999999999</v>
          </cell>
          <cell r="L10">
            <v>0.49</v>
          </cell>
          <cell r="M10">
            <v>5.5300000000000002E-3</v>
          </cell>
          <cell r="N10">
            <v>61.24</v>
          </cell>
          <cell r="O10">
            <v>89.43</v>
          </cell>
          <cell r="P10">
            <v>7170</v>
          </cell>
          <cell r="Q10">
            <v>4906172</v>
          </cell>
          <cell r="R10">
            <v>0.31769999999999998</v>
          </cell>
        </row>
        <row r="11">
          <cell r="A11" t="str">
            <v>BLDP</v>
          </cell>
          <cell r="D11" t="str">
            <v>USD</v>
          </cell>
          <cell r="E11">
            <v>45975.875002303124</v>
          </cell>
          <cell r="F11">
            <v>3.19</v>
          </cell>
          <cell r="G11">
            <v>2.94</v>
          </cell>
          <cell r="H11">
            <v>3.03</v>
          </cell>
          <cell r="I11">
            <v>2.9340000000000002</v>
          </cell>
          <cell r="J11">
            <v>3.19</v>
          </cell>
          <cell r="K11">
            <v>0</v>
          </cell>
          <cell r="L11">
            <v>-0.16</v>
          </cell>
          <cell r="M11">
            <v>-5.0157E-2</v>
          </cell>
          <cell r="N11">
            <v>1</v>
          </cell>
          <cell r="O11">
            <v>4.0999999999999996</v>
          </cell>
          <cell r="P11">
            <v>10984</v>
          </cell>
          <cell r="Q11">
            <v>7460161</v>
          </cell>
          <cell r="R11">
            <v>1.7289000000000001</v>
          </cell>
        </row>
        <row r="12">
          <cell r="A12" t="str">
            <v>BMRA</v>
          </cell>
          <cell r="D12" t="str">
            <v>USD</v>
          </cell>
          <cell r="E12">
            <v>45975.877866353905</v>
          </cell>
          <cell r="F12">
            <v>2.5</v>
          </cell>
          <cell r="G12">
            <v>2.4704000000000002</v>
          </cell>
          <cell r="H12">
            <v>2.41</v>
          </cell>
          <cell r="I12">
            <v>2.41</v>
          </cell>
          <cell r="J12">
            <v>2.4704000000000002</v>
          </cell>
          <cell r="K12">
            <v>0</v>
          </cell>
          <cell r="L12">
            <v>-0.09</v>
          </cell>
          <cell r="M12">
            <v>-3.6000000000000004E-2</v>
          </cell>
          <cell r="N12">
            <v>2.08</v>
          </cell>
          <cell r="O12">
            <v>10.16</v>
          </cell>
          <cell r="P12">
            <v>42</v>
          </cell>
          <cell r="Q12">
            <v>198775</v>
          </cell>
          <cell r="R12">
            <v>7.1499999999999994E-2</v>
          </cell>
        </row>
        <row r="13">
          <cell r="A13" t="str">
            <v>C</v>
          </cell>
          <cell r="D13" t="str">
            <v>USD</v>
          </cell>
          <cell r="E13">
            <v>45975.915142534373</v>
          </cell>
          <cell r="F13">
            <v>100.67</v>
          </cell>
          <cell r="G13">
            <v>99.83</v>
          </cell>
          <cell r="H13">
            <v>100.3</v>
          </cell>
          <cell r="I13">
            <v>98.147199999999998</v>
          </cell>
          <cell r="J13">
            <v>101.545</v>
          </cell>
          <cell r="K13">
            <v>14.0997</v>
          </cell>
          <cell r="L13">
            <v>-0.37</v>
          </cell>
          <cell r="M13">
            <v>-3.6749999999999999E-3</v>
          </cell>
          <cell r="N13">
            <v>55.51</v>
          </cell>
          <cell r="O13">
            <v>105.59</v>
          </cell>
          <cell r="P13">
            <v>1638</v>
          </cell>
          <cell r="Q13">
            <v>13435274</v>
          </cell>
          <cell r="R13">
            <v>1.1956</v>
          </cell>
        </row>
        <row r="14">
          <cell r="A14" t="str">
            <v>CSCO</v>
          </cell>
          <cell r="D14" t="str">
            <v>USD</v>
          </cell>
          <cell r="E14">
            <v>45975.885475428127</v>
          </cell>
          <cell r="F14">
            <v>77.38</v>
          </cell>
          <cell r="G14">
            <v>76.58</v>
          </cell>
          <cell r="H14">
            <v>78</v>
          </cell>
          <cell r="I14">
            <v>75.840100000000007</v>
          </cell>
          <cell r="J14">
            <v>78.665000000000006</v>
          </cell>
          <cell r="K14">
            <v>30.166699999999999</v>
          </cell>
          <cell r="L14">
            <v>0.62</v>
          </cell>
          <cell r="M14">
            <v>8.012E-3</v>
          </cell>
          <cell r="N14">
            <v>52.11</v>
          </cell>
          <cell r="O14">
            <v>79.5</v>
          </cell>
          <cell r="P14">
            <v>9075</v>
          </cell>
          <cell r="Q14">
            <v>20641088</v>
          </cell>
          <cell r="R14">
            <v>0.84960000000000002</v>
          </cell>
        </row>
        <row r="15">
          <cell r="A15" t="str">
            <v>CVS</v>
          </cell>
          <cell r="D15" t="str">
            <v>USD</v>
          </cell>
          <cell r="E15">
            <v>45975.989830022656</v>
          </cell>
          <cell r="F15">
            <v>79.239999999999995</v>
          </cell>
          <cell r="G15">
            <v>79.39</v>
          </cell>
          <cell r="H15">
            <v>77.87</v>
          </cell>
          <cell r="I15">
            <v>77.75</v>
          </cell>
          <cell r="J15">
            <v>79.739999999999995</v>
          </cell>
          <cell r="K15">
            <v>203.86189999999999</v>
          </cell>
          <cell r="L15">
            <v>-1.37</v>
          </cell>
          <cell r="M15">
            <v>-1.7289000000000002E-2</v>
          </cell>
          <cell r="N15">
            <v>43.56</v>
          </cell>
          <cell r="O15">
            <v>85.15</v>
          </cell>
          <cell r="P15">
            <v>395</v>
          </cell>
          <cell r="Q15">
            <v>8043744</v>
          </cell>
          <cell r="R15">
            <v>0.48180000000000001</v>
          </cell>
        </row>
        <row r="16">
          <cell r="A16" t="str">
            <v>DDD</v>
          </cell>
          <cell r="D16" t="str">
            <v>USD</v>
          </cell>
          <cell r="E16">
            <v>45975.988048899999</v>
          </cell>
          <cell r="F16">
            <v>2.16</v>
          </cell>
          <cell r="G16">
            <v>2.085</v>
          </cell>
          <cell r="H16">
            <v>2.17</v>
          </cell>
          <cell r="I16">
            <v>2.0699999999999998</v>
          </cell>
          <cell r="J16">
            <v>2.23</v>
          </cell>
          <cell r="K16">
            <v>99</v>
          </cell>
          <cell r="L16">
            <v>0.01</v>
          </cell>
          <cell r="M16">
            <v>4.6300000000000004E-3</v>
          </cell>
          <cell r="N16">
            <v>1.32</v>
          </cell>
          <cell r="O16">
            <v>4.9991000000000003</v>
          </cell>
          <cell r="P16">
            <v>1847</v>
          </cell>
          <cell r="Q16">
            <v>4033910</v>
          </cell>
          <cell r="R16">
            <v>1.9165000000000001</v>
          </cell>
        </row>
        <row r="17">
          <cell r="A17" t="str">
            <v>DIS</v>
          </cell>
          <cell r="D17" t="str">
            <v>USD</v>
          </cell>
          <cell r="E17">
            <v>45975.875001492968</v>
          </cell>
          <cell r="F17">
            <v>107.61</v>
          </cell>
          <cell r="G17">
            <v>107.52</v>
          </cell>
          <cell r="H17">
            <v>105.8</v>
          </cell>
          <cell r="I17">
            <v>105.3</v>
          </cell>
          <cell r="J17">
            <v>108.73</v>
          </cell>
          <cell r="K17">
            <v>15.4414</v>
          </cell>
          <cell r="L17">
            <v>-1.81</v>
          </cell>
          <cell r="M17">
            <v>-1.6819999999999998E-2</v>
          </cell>
          <cell r="N17">
            <v>80.099999999999994</v>
          </cell>
          <cell r="O17">
            <v>124.69</v>
          </cell>
          <cell r="P17">
            <v>5711</v>
          </cell>
          <cell r="Q17">
            <v>9720774</v>
          </cell>
          <cell r="R17">
            <v>1.4954000000000001</v>
          </cell>
        </row>
        <row r="18">
          <cell r="A18" t="str">
            <v>DSY</v>
          </cell>
          <cell r="D18" t="str">
            <v>EUR</v>
          </cell>
          <cell r="E18">
            <v>45978.450752314813</v>
          </cell>
          <cell r="F18">
            <v>23.99</v>
          </cell>
          <cell r="G18">
            <v>24</v>
          </cell>
          <cell r="H18">
            <v>23.81</v>
          </cell>
          <cell r="I18">
            <v>23.78</v>
          </cell>
          <cell r="J18">
            <v>24</v>
          </cell>
          <cell r="K18">
            <v>26.603400000000001</v>
          </cell>
          <cell r="L18">
            <v>-0.18</v>
          </cell>
          <cell r="M18">
            <v>-7.5029999999999993E-3</v>
          </cell>
          <cell r="N18">
            <v>23.03</v>
          </cell>
          <cell r="O18">
            <v>41.17</v>
          </cell>
          <cell r="P18">
            <v>200355</v>
          </cell>
          <cell r="Q18">
            <v>1909500</v>
          </cell>
          <cell r="R18">
            <v>0.78580000000000005</v>
          </cell>
        </row>
        <row r="19">
          <cell r="A19" t="str">
            <v>DVA</v>
          </cell>
          <cell r="D19" t="str">
            <v>USD</v>
          </cell>
          <cell r="E19">
            <v>45975.995868321093</v>
          </cell>
          <cell r="F19">
            <v>123.05</v>
          </cell>
          <cell r="G19">
            <v>123.4</v>
          </cell>
          <cell r="H19">
            <v>121.55</v>
          </cell>
          <cell r="I19">
            <v>121.51</v>
          </cell>
          <cell r="J19">
            <v>123.4</v>
          </cell>
          <cell r="K19">
            <v>12.514699999999999</v>
          </cell>
          <cell r="L19">
            <v>-1.5</v>
          </cell>
          <cell r="M19">
            <v>-1.2190000000000001E-2</v>
          </cell>
          <cell r="N19">
            <v>115.39</v>
          </cell>
          <cell r="O19">
            <v>179.6</v>
          </cell>
          <cell r="P19">
            <v>684479</v>
          </cell>
          <cell r="Q19">
            <v>880480</v>
          </cell>
          <cell r="R19">
            <v>0.98419999999999996</v>
          </cell>
        </row>
        <row r="20">
          <cell r="A20" t="str">
            <v>DXC</v>
          </cell>
          <cell r="D20" t="str">
            <v>USD</v>
          </cell>
          <cell r="E20">
            <v>45975.885481122656</v>
          </cell>
          <cell r="F20">
            <v>13.32</v>
          </cell>
          <cell r="G20">
            <v>13.25</v>
          </cell>
          <cell r="H20">
            <v>12.904999999999999</v>
          </cell>
          <cell r="I20">
            <v>12.76</v>
          </cell>
          <cell r="J20">
            <v>13.25</v>
          </cell>
          <cell r="K20">
            <v>6.3037000000000001</v>
          </cell>
          <cell r="L20">
            <v>-0.41499999999999998</v>
          </cell>
          <cell r="M20">
            <v>-3.1156000000000003E-2</v>
          </cell>
          <cell r="N20">
            <v>12.24</v>
          </cell>
          <cell r="O20">
            <v>23.75</v>
          </cell>
          <cell r="P20">
            <v>154</v>
          </cell>
          <cell r="Q20">
            <v>1999441</v>
          </cell>
          <cell r="R20">
            <v>1.1008</v>
          </cell>
        </row>
        <row r="21">
          <cell r="A21" t="str">
            <v>EOAN</v>
          </cell>
          <cell r="D21" t="str">
            <v>EUR</v>
          </cell>
          <cell r="E21">
            <v>45978.450694444444</v>
          </cell>
          <cell r="F21">
            <v>15.244999999999999</v>
          </cell>
          <cell r="G21">
            <v>15.195</v>
          </cell>
          <cell r="H21">
            <v>15.19</v>
          </cell>
          <cell r="I21">
            <v>15.19</v>
          </cell>
          <cell r="J21">
            <v>15.2</v>
          </cell>
          <cell r="K21">
            <v>13.2087</v>
          </cell>
          <cell r="L21">
            <v>-5.5E-2</v>
          </cell>
          <cell r="M21">
            <v>-3.6080000000000001E-3</v>
          </cell>
          <cell r="N21">
            <v>7.3</v>
          </cell>
          <cell r="O21">
            <v>16.515000000000001</v>
          </cell>
          <cell r="P21">
            <v>3245</v>
          </cell>
          <cell r="Q21">
            <v>4554990</v>
          </cell>
          <cell r="R21">
            <v>0.85699999999999998</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45975.888899710153</v>
          </cell>
          <cell r="F23">
            <v>71.89</v>
          </cell>
          <cell r="G23">
            <v>71.36</v>
          </cell>
          <cell r="H23">
            <v>70.56</v>
          </cell>
          <cell r="I23">
            <v>70.44</v>
          </cell>
          <cell r="J23">
            <v>71.765000000000001</v>
          </cell>
          <cell r="K23">
            <v>13.563700000000001</v>
          </cell>
          <cell r="L23">
            <v>-1.33</v>
          </cell>
          <cell r="M23">
            <v>-1.8500000000000003E-2</v>
          </cell>
          <cell r="N23">
            <v>41.6</v>
          </cell>
          <cell r="O23">
            <v>72.87</v>
          </cell>
          <cell r="P23">
            <v>896</v>
          </cell>
          <cell r="Q23">
            <v>10411022</v>
          </cell>
          <cell r="R23">
            <v>1.3005</v>
          </cell>
        </row>
        <row r="24">
          <cell r="A24" t="str">
            <v>HPE</v>
          </cell>
          <cell r="D24" t="str">
            <v>USD</v>
          </cell>
          <cell r="E24">
            <v>45975.885527128907</v>
          </cell>
          <cell r="F24">
            <v>22.93</v>
          </cell>
          <cell r="G24">
            <v>22.48</v>
          </cell>
          <cell r="H24">
            <v>22.83</v>
          </cell>
          <cell r="I24">
            <v>22.35</v>
          </cell>
          <cell r="J24">
            <v>23.419899999999998</v>
          </cell>
          <cell r="K24">
            <v>27.383600000000001</v>
          </cell>
          <cell r="L24">
            <v>-0.1</v>
          </cell>
          <cell r="M24">
            <v>-4.3610000000000003E-3</v>
          </cell>
          <cell r="N24">
            <v>11.965</v>
          </cell>
          <cell r="O24">
            <v>26.44</v>
          </cell>
          <cell r="P24">
            <v>49146</v>
          </cell>
          <cell r="Q24">
            <v>40139437</v>
          </cell>
          <cell r="R24">
            <v>1.3492</v>
          </cell>
        </row>
        <row r="25">
          <cell r="A25" t="str">
            <v>HPQ</v>
          </cell>
          <cell r="D25" t="str">
            <v>USD</v>
          </cell>
          <cell r="E25">
            <v>45975.967854872659</v>
          </cell>
          <cell r="F25">
            <v>24.98</v>
          </cell>
          <cell r="G25">
            <v>24.7</v>
          </cell>
          <cell r="H25">
            <v>24.513000000000002</v>
          </cell>
          <cell r="I25">
            <v>24.47</v>
          </cell>
          <cell r="J25">
            <v>25</v>
          </cell>
          <cell r="K25">
            <v>8.9360999999999997</v>
          </cell>
          <cell r="L25">
            <v>-0.46700000000000003</v>
          </cell>
          <cell r="M25">
            <v>-1.8695E-2</v>
          </cell>
          <cell r="N25">
            <v>21.21</v>
          </cell>
          <cell r="O25">
            <v>39.795000000000002</v>
          </cell>
          <cell r="P25">
            <v>52809</v>
          </cell>
          <cell r="Q25">
            <v>12233776</v>
          </cell>
          <cell r="R25">
            <v>1.2413000000000001</v>
          </cell>
        </row>
        <row r="26">
          <cell r="A26" t="str">
            <v>IAG</v>
          </cell>
          <cell r="D26" t="str">
            <v>GBp</v>
          </cell>
          <cell r="E26">
            <v>45978.450759409374</v>
          </cell>
          <cell r="F26">
            <v>387.5</v>
          </cell>
          <cell r="G26">
            <v>388.5</v>
          </cell>
          <cell r="H26">
            <v>381.1</v>
          </cell>
          <cell r="I26">
            <v>380.4</v>
          </cell>
          <cell r="J26">
            <v>389.3</v>
          </cell>
          <cell r="K26">
            <v>6.8654000000000002</v>
          </cell>
          <cell r="L26">
            <v>-6.4</v>
          </cell>
          <cell r="M26">
            <v>-1.6515999999999999E-2</v>
          </cell>
          <cell r="N26">
            <v>210</v>
          </cell>
          <cell r="O26">
            <v>429.3</v>
          </cell>
          <cell r="P26">
            <v>2015256</v>
          </cell>
          <cell r="Q26">
            <v>19170400</v>
          </cell>
          <cell r="R26">
            <v>2.3138000000000001</v>
          </cell>
        </row>
        <row r="27">
          <cell r="A27" t="str">
            <v>KR</v>
          </cell>
          <cell r="D27" t="str">
            <v>USD</v>
          </cell>
          <cell r="E27">
            <v>45976.036036492966</v>
          </cell>
          <cell r="F27">
            <v>65.62</v>
          </cell>
          <cell r="G27">
            <v>65.94</v>
          </cell>
          <cell r="H27">
            <v>66.709999999999994</v>
          </cell>
          <cell r="I27">
            <v>65.5</v>
          </cell>
          <cell r="J27">
            <v>66.915000000000006</v>
          </cell>
          <cell r="K27">
            <v>16.900500000000001</v>
          </cell>
          <cell r="L27">
            <v>1.0900000000000001</v>
          </cell>
          <cell r="M27">
            <v>1.6611000000000001E-2</v>
          </cell>
          <cell r="N27">
            <v>57.08</v>
          </cell>
          <cell r="O27">
            <v>74.900000000000006</v>
          </cell>
          <cell r="P27">
            <v>51</v>
          </cell>
          <cell r="Q27">
            <v>6004714</v>
          </cell>
          <cell r="R27">
            <v>0.56940000000000002</v>
          </cell>
        </row>
        <row r="28">
          <cell r="A28" t="str">
            <v>LNSR</v>
          </cell>
          <cell r="D28" t="str">
            <v>USD</v>
          </cell>
          <cell r="E28">
            <v>45975.888900138278</v>
          </cell>
          <cell r="F28">
            <v>10.25</v>
          </cell>
          <cell r="G28">
            <v>10.31</v>
          </cell>
          <cell r="H28">
            <v>10.11</v>
          </cell>
          <cell r="I28">
            <v>10.1</v>
          </cell>
          <cell r="J28">
            <v>10.479900000000001</v>
          </cell>
          <cell r="K28">
            <v>0</v>
          </cell>
          <cell r="L28">
            <v>-0.14000000000000001</v>
          </cell>
          <cell r="M28">
            <v>-1.3658999999999999E-2</v>
          </cell>
          <cell r="N28">
            <v>7</v>
          </cell>
          <cell r="O28">
            <v>17.309999999999999</v>
          </cell>
          <cell r="P28">
            <v>46035</v>
          </cell>
          <cell r="Q28">
            <v>68392</v>
          </cell>
          <cell r="R28">
            <v>0.68899999999999995</v>
          </cell>
        </row>
        <row r="29">
          <cell r="A29" t="str">
            <v>LUMN</v>
          </cell>
          <cell r="D29" t="str">
            <v>USD</v>
          </cell>
          <cell r="E29">
            <v>45976.040816191409</v>
          </cell>
          <cell r="F29">
            <v>8.1199999999999992</v>
          </cell>
          <cell r="G29">
            <v>7.75</v>
          </cell>
          <cell r="H29">
            <v>7.99</v>
          </cell>
          <cell r="I29">
            <v>7.6</v>
          </cell>
          <cell r="J29">
            <v>8.2100000000000009</v>
          </cell>
          <cell r="K29">
            <v>99</v>
          </cell>
          <cell r="L29">
            <v>-0.13</v>
          </cell>
          <cell r="M29">
            <v>-1.601E-2</v>
          </cell>
          <cell r="N29">
            <v>3.01</v>
          </cell>
          <cell r="O29">
            <v>11.95</v>
          </cell>
          <cell r="P29">
            <v>6983</v>
          </cell>
          <cell r="Q29">
            <v>24277563</v>
          </cell>
          <cell r="R29">
            <v>1.4663999999999999</v>
          </cell>
        </row>
        <row r="30">
          <cell r="A30" t="str">
            <v>MRNA</v>
          </cell>
          <cell r="D30" t="str">
            <v>USD</v>
          </cell>
          <cell r="E30">
            <v>45975.875000983593</v>
          </cell>
          <cell r="F30">
            <v>24.96</v>
          </cell>
          <cell r="G30">
            <v>24.434999999999999</v>
          </cell>
          <cell r="H30">
            <v>24.77</v>
          </cell>
          <cell r="I30">
            <v>24.18</v>
          </cell>
          <cell r="J30">
            <v>24.88</v>
          </cell>
          <cell r="K30">
            <v>0</v>
          </cell>
          <cell r="L30">
            <v>-0.19</v>
          </cell>
          <cell r="M30">
            <v>-7.6119999999999998E-3</v>
          </cell>
          <cell r="N30">
            <v>23.04</v>
          </cell>
          <cell r="O30">
            <v>48.92</v>
          </cell>
          <cell r="P30">
            <v>12804</v>
          </cell>
          <cell r="Q30">
            <v>11556520</v>
          </cell>
          <cell r="R30">
            <v>1.1214999999999999</v>
          </cell>
        </row>
        <row r="31">
          <cell r="A31" t="str">
            <v>MSFT</v>
          </cell>
          <cell r="D31" t="str">
            <v>USD</v>
          </cell>
          <cell r="E31">
            <v>45975.964029467184</v>
          </cell>
          <cell r="F31">
            <v>503.29</v>
          </cell>
          <cell r="G31">
            <v>498.23</v>
          </cell>
          <cell r="H31">
            <v>510.18</v>
          </cell>
          <cell r="I31">
            <v>497.44</v>
          </cell>
          <cell r="J31">
            <v>511.6</v>
          </cell>
          <cell r="K31">
            <v>36.297800000000002</v>
          </cell>
          <cell r="L31">
            <v>6.89</v>
          </cell>
          <cell r="M31">
            <v>1.3690000000000001E-2</v>
          </cell>
          <cell r="N31">
            <v>344.79</v>
          </cell>
          <cell r="O31">
            <v>555.45000000000005</v>
          </cell>
          <cell r="P31">
            <v>30946</v>
          </cell>
          <cell r="Q31">
            <v>22219286</v>
          </cell>
          <cell r="R31">
            <v>1.0657000000000001</v>
          </cell>
        </row>
        <row r="32">
          <cell r="A32" t="str">
            <v>NEE</v>
          </cell>
          <cell r="D32" t="str">
            <v>USD</v>
          </cell>
          <cell r="E32">
            <v>45975.998642256251</v>
          </cell>
          <cell r="F32">
            <v>83.99</v>
          </cell>
          <cell r="G32">
            <v>83.51</v>
          </cell>
          <cell r="H32">
            <v>83.85</v>
          </cell>
          <cell r="I32">
            <v>82.530100000000004</v>
          </cell>
          <cell r="J32">
            <v>84.49</v>
          </cell>
          <cell r="K32">
            <v>26.6401</v>
          </cell>
          <cell r="L32">
            <v>-0.14000000000000001</v>
          </cell>
          <cell r="M32">
            <v>-1.6669999999999999E-3</v>
          </cell>
          <cell r="N32">
            <v>61.72</v>
          </cell>
          <cell r="O32">
            <v>87.53</v>
          </cell>
          <cell r="P32">
            <v>1199</v>
          </cell>
          <cell r="Q32">
            <v>9198639</v>
          </cell>
          <cell r="R32">
            <v>0.72699999999999998</v>
          </cell>
        </row>
        <row r="33">
          <cell r="A33" t="str">
            <v>NEM</v>
          </cell>
          <cell r="D33" t="str">
            <v>USD</v>
          </cell>
          <cell r="E33">
            <v>45975.940734339842</v>
          </cell>
          <cell r="F33">
            <v>89.72</v>
          </cell>
          <cell r="G33">
            <v>86.19</v>
          </cell>
          <cell r="H33">
            <v>87.8</v>
          </cell>
          <cell r="I33">
            <v>85.917500000000004</v>
          </cell>
          <cell r="J33">
            <v>89.47</v>
          </cell>
          <cell r="K33">
            <v>13.644</v>
          </cell>
          <cell r="L33">
            <v>-1.92</v>
          </cell>
          <cell r="M33">
            <v>-2.1400000000000002E-2</v>
          </cell>
          <cell r="N33">
            <v>36.86</v>
          </cell>
          <cell r="O33">
            <v>98.578000000000003</v>
          </cell>
          <cell r="P33">
            <v>5630</v>
          </cell>
          <cell r="Q33">
            <v>12075417</v>
          </cell>
          <cell r="R33">
            <v>0.42070000000000002</v>
          </cell>
        </row>
        <row r="34">
          <cell r="A34" t="str">
            <v>NFLX</v>
          </cell>
          <cell r="D34" t="str">
            <v>USD</v>
          </cell>
          <cell r="E34">
            <v>45976.041662071097</v>
          </cell>
          <cell r="F34">
            <v>1154.23</v>
          </cell>
          <cell r="G34">
            <v>1142.73</v>
          </cell>
          <cell r="H34">
            <v>1112.17</v>
          </cell>
          <cell r="I34">
            <v>1107.21</v>
          </cell>
          <cell r="J34">
            <v>1142.73</v>
          </cell>
          <cell r="K34">
            <v>46.460799999999999</v>
          </cell>
          <cell r="L34">
            <v>-42.06</v>
          </cell>
          <cell r="M34">
            <v>-3.644E-2</v>
          </cell>
          <cell r="N34">
            <v>80.933000000000007</v>
          </cell>
          <cell r="O34">
            <v>1142.73</v>
          </cell>
          <cell r="P34">
            <v>157760</v>
          </cell>
          <cell r="Q34">
            <v>4559840</v>
          </cell>
          <cell r="R34">
            <v>1.6979</v>
          </cell>
        </row>
        <row r="35">
          <cell r="A35" t="str">
            <v>NOTE</v>
          </cell>
          <cell r="D35" t="str">
            <v>USD</v>
          </cell>
          <cell r="E35">
            <v>45975.996821897657</v>
          </cell>
          <cell r="F35">
            <v>2.5299999999999998</v>
          </cell>
          <cell r="G35">
            <v>2.52</v>
          </cell>
          <cell r="H35">
            <v>2.54</v>
          </cell>
          <cell r="I35">
            <v>2.42</v>
          </cell>
          <cell r="J35">
            <v>2.63</v>
          </cell>
          <cell r="K35">
            <v>99</v>
          </cell>
          <cell r="L35">
            <v>0.01</v>
          </cell>
          <cell r="M35">
            <v>3.9529999999999999E-3</v>
          </cell>
          <cell r="N35">
            <v>2.42</v>
          </cell>
          <cell r="O35">
            <v>24.36</v>
          </cell>
          <cell r="P35">
            <v>29</v>
          </cell>
          <cell r="Q35">
            <v>243597</v>
          </cell>
          <cell r="R35">
            <v>0.62</v>
          </cell>
        </row>
        <row r="36">
          <cell r="A36" t="str">
            <v>PAAS</v>
          </cell>
          <cell r="D36" t="str">
            <v>USD</v>
          </cell>
          <cell r="E36">
            <v>45975.940726921093</v>
          </cell>
          <cell r="F36">
            <v>39.049999999999997</v>
          </cell>
          <cell r="G36">
            <v>36.81</v>
          </cell>
          <cell r="H36">
            <v>38.51</v>
          </cell>
          <cell r="I36">
            <v>36.65</v>
          </cell>
          <cell r="J36">
            <v>38.795499999999997</v>
          </cell>
          <cell r="K36">
            <v>22.2713</v>
          </cell>
          <cell r="L36">
            <v>-0.54</v>
          </cell>
          <cell r="M36">
            <v>-1.3828E-2</v>
          </cell>
          <cell r="N36">
            <v>19.8017</v>
          </cell>
          <cell r="O36">
            <v>42.57</v>
          </cell>
          <cell r="P36">
            <v>3272</v>
          </cell>
          <cell r="Q36">
            <v>6238119</v>
          </cell>
          <cell r="R36">
            <v>1.1413</v>
          </cell>
        </row>
        <row r="37">
          <cell r="A37" t="str">
            <v>PROF</v>
          </cell>
          <cell r="D37" t="str">
            <v>USD</v>
          </cell>
          <cell r="E37">
            <v>45975.881998876561</v>
          </cell>
          <cell r="F37">
            <v>6.35</v>
          </cell>
          <cell r="G37">
            <v>5.99</v>
          </cell>
          <cell r="H37">
            <v>6.85</v>
          </cell>
          <cell r="I37">
            <v>5.99</v>
          </cell>
          <cell r="J37">
            <v>6.9898999999999996</v>
          </cell>
          <cell r="K37">
            <v>0</v>
          </cell>
          <cell r="L37">
            <v>0.5</v>
          </cell>
          <cell r="M37">
            <v>7.8739999999999991E-2</v>
          </cell>
          <cell r="N37">
            <v>3.76</v>
          </cell>
          <cell r="O37">
            <v>8.7492999999999999</v>
          </cell>
          <cell r="P37">
            <v>350345</v>
          </cell>
          <cell r="Q37">
            <v>57673</v>
          </cell>
          <cell r="R37">
            <v>0.1739</v>
          </cell>
        </row>
        <row r="38">
          <cell r="A38" t="str">
            <v>POET</v>
          </cell>
          <cell r="D38" t="str">
            <v>USD</v>
          </cell>
          <cell r="E38">
            <v>45975.884234733596</v>
          </cell>
          <cell r="F38">
            <v>4.7</v>
          </cell>
          <cell r="G38">
            <v>4.2</v>
          </cell>
          <cell r="H38">
            <v>4.4000000000000004</v>
          </cell>
          <cell r="I38">
            <v>4.1803999999999997</v>
          </cell>
          <cell r="J38">
            <v>4.84</v>
          </cell>
          <cell r="K38">
            <v>0</v>
          </cell>
          <cell r="L38">
            <v>-0.3</v>
          </cell>
          <cell r="M38">
            <v>-6.3829999999999998E-2</v>
          </cell>
          <cell r="N38">
            <v>3.09</v>
          </cell>
          <cell r="O38">
            <v>9.41</v>
          </cell>
          <cell r="P38">
            <v>40852</v>
          </cell>
          <cell r="Q38">
            <v>14505830</v>
          </cell>
          <cell r="R38">
            <v>0.53239999999999998</v>
          </cell>
        </row>
        <row r="39">
          <cell r="A39" t="str">
            <v>PW</v>
          </cell>
          <cell r="D39" t="str">
            <v>USD</v>
          </cell>
          <cell r="E39">
            <v>45976.041666678124</v>
          </cell>
          <cell r="F39">
            <v>0.61990000000000001</v>
          </cell>
          <cell r="G39">
            <v>0.6</v>
          </cell>
          <cell r="H39">
            <v>0.71</v>
          </cell>
          <cell r="I39">
            <v>0.59409999999999996</v>
          </cell>
          <cell r="J39">
            <v>0.72709999999999997</v>
          </cell>
          <cell r="K39">
            <v>99</v>
          </cell>
          <cell r="L39">
            <v>9.01E-2</v>
          </cell>
          <cell r="M39">
            <v>0.145346</v>
          </cell>
          <cell r="N39">
            <v>0.59409999999999996</v>
          </cell>
          <cell r="O39">
            <v>2.59</v>
          </cell>
          <cell r="P39">
            <v>805</v>
          </cell>
          <cell r="Q39">
            <v>86138</v>
          </cell>
          <cell r="R39">
            <v>1.5348999999999999</v>
          </cell>
        </row>
        <row r="40">
          <cell r="A40" t="str">
            <v>RIGL</v>
          </cell>
          <cell r="D40" t="str">
            <v>USD</v>
          </cell>
          <cell r="E40">
            <v>45976.038211203122</v>
          </cell>
          <cell r="F40">
            <v>39.880000000000003</v>
          </cell>
          <cell r="G40">
            <v>39.53</v>
          </cell>
          <cell r="H40">
            <v>41.94</v>
          </cell>
          <cell r="I40">
            <v>39.369999999999997</v>
          </cell>
          <cell r="J40">
            <v>42.47</v>
          </cell>
          <cell r="K40">
            <v>6.8</v>
          </cell>
          <cell r="L40">
            <v>2.06</v>
          </cell>
          <cell r="M40">
            <v>5.1655E-2</v>
          </cell>
          <cell r="N40">
            <v>14.63</v>
          </cell>
          <cell r="O40">
            <v>43.7181</v>
          </cell>
          <cell r="P40">
            <v>56</v>
          </cell>
          <cell r="Q40">
            <v>597328</v>
          </cell>
          <cell r="R40">
            <v>1.0828</v>
          </cell>
        </row>
        <row r="41">
          <cell r="A41" t="str">
            <v>RWE</v>
          </cell>
          <cell r="D41" t="str">
            <v>EUR</v>
          </cell>
          <cell r="E41">
            <v>45978.450694444444</v>
          </cell>
          <cell r="F41">
            <v>45.33</v>
          </cell>
          <cell r="G41">
            <v>45.7</v>
          </cell>
          <cell r="H41">
            <v>45.38</v>
          </cell>
          <cell r="I41">
            <v>45.38</v>
          </cell>
          <cell r="J41">
            <v>45.77</v>
          </cell>
          <cell r="K41">
            <v>14.6387</v>
          </cell>
          <cell r="L41">
            <v>0.05</v>
          </cell>
          <cell r="M41">
            <v>1.103E-3</v>
          </cell>
          <cell r="N41">
            <v>14.231</v>
          </cell>
          <cell r="O41">
            <v>46.82</v>
          </cell>
          <cell r="P41">
            <v>1707</v>
          </cell>
          <cell r="Q41">
            <v>2310700</v>
          </cell>
          <cell r="R41">
            <v>0.47510000000000002</v>
          </cell>
        </row>
        <row r="42">
          <cell r="A42" t="str">
            <v>SAP</v>
          </cell>
          <cell r="D42" t="str">
            <v>EUR</v>
          </cell>
          <cell r="E42">
            <v>45978.450787037036</v>
          </cell>
          <cell r="F42">
            <v>211.1</v>
          </cell>
          <cell r="G42">
            <v>211.6</v>
          </cell>
          <cell r="H42">
            <v>210.2</v>
          </cell>
          <cell r="I42">
            <v>209.9</v>
          </cell>
          <cell r="J42">
            <v>211.8</v>
          </cell>
          <cell r="K42">
            <v>34.6248</v>
          </cell>
          <cell r="L42">
            <v>-0.9</v>
          </cell>
          <cell r="M42">
            <v>-4.2630000000000003E-3</v>
          </cell>
          <cell r="N42">
            <v>207.55</v>
          </cell>
          <cell r="O42">
            <v>283.5</v>
          </cell>
          <cell r="P42">
            <v>192775</v>
          </cell>
          <cell r="Q42">
            <v>1226460</v>
          </cell>
          <cell r="R42">
            <v>1.0510999999999999</v>
          </cell>
        </row>
        <row r="43">
          <cell r="A43" t="str">
            <v>SHECY</v>
          </cell>
          <cell r="D43" t="str">
            <v>USD</v>
          </cell>
          <cell r="E43">
            <v>45975.874991921097</v>
          </cell>
          <cell r="F43">
            <v>14.8</v>
          </cell>
          <cell r="G43">
            <v>14.94</v>
          </cell>
          <cell r="H43">
            <v>14.99</v>
          </cell>
          <cell r="I43">
            <v>14.88</v>
          </cell>
          <cell r="J43">
            <v>15.04</v>
          </cell>
          <cell r="K43">
            <v>0</v>
          </cell>
          <cell r="L43">
            <v>0.19</v>
          </cell>
          <cell r="M43">
            <v>1.2838E-2</v>
          </cell>
          <cell r="N43">
            <v>11.88</v>
          </cell>
          <cell r="O43">
            <v>19.38</v>
          </cell>
          <cell r="P43">
            <v>797890</v>
          </cell>
          <cell r="Q43">
            <v>6235920</v>
          </cell>
          <cell r="R43">
            <v>1.2906</v>
          </cell>
        </row>
        <row r="44">
          <cell r="A44" t="str">
            <v>SSYS</v>
          </cell>
          <cell r="D44" t="str">
            <v>USD</v>
          </cell>
          <cell r="E44">
            <v>45975.984498935155</v>
          </cell>
          <cell r="F44">
            <v>9.33</v>
          </cell>
          <cell r="G44">
            <v>8.91</v>
          </cell>
          <cell r="H44">
            <v>8.9499999999999993</v>
          </cell>
          <cell r="I44">
            <v>8.8247</v>
          </cell>
          <cell r="J44">
            <v>9.3000000000000007</v>
          </cell>
          <cell r="K44">
            <v>0</v>
          </cell>
          <cell r="L44">
            <v>-0.38</v>
          </cell>
          <cell r="M44">
            <v>-4.0728999999999994E-2</v>
          </cell>
          <cell r="N44">
            <v>8.3571000000000009</v>
          </cell>
          <cell r="O44">
            <v>12.88</v>
          </cell>
          <cell r="P44">
            <v>697</v>
          </cell>
          <cell r="Q44">
            <v>991203</v>
          </cell>
          <cell r="R44">
            <v>1.4923</v>
          </cell>
        </row>
        <row r="45">
          <cell r="A45" t="str">
            <v>TSLA</v>
          </cell>
          <cell r="D45" t="str">
            <v>USD</v>
          </cell>
          <cell r="E45">
            <v>45976.041656307811</v>
          </cell>
          <cell r="F45">
            <v>401.99</v>
          </cell>
          <cell r="G45">
            <v>386.3</v>
          </cell>
          <cell r="H45">
            <v>404.35</v>
          </cell>
          <cell r="I45">
            <v>382.78</v>
          </cell>
          <cell r="J45">
            <v>412.19</v>
          </cell>
          <cell r="K45">
            <v>280.34690000000001</v>
          </cell>
          <cell r="L45">
            <v>2.36</v>
          </cell>
          <cell r="M45">
            <v>5.8709999999999995E-3</v>
          </cell>
          <cell r="N45">
            <v>214.25</v>
          </cell>
          <cell r="O45">
            <v>488.53989999999999</v>
          </cell>
          <cell r="P45">
            <v>336900</v>
          </cell>
          <cell r="Q45">
            <v>84846097</v>
          </cell>
          <cell r="R45">
            <v>1.8934</v>
          </cell>
        </row>
        <row r="46">
          <cell r="A46" t="str">
            <v>TSM</v>
          </cell>
          <cell r="D46" t="str">
            <v>USD</v>
          </cell>
          <cell r="E46">
            <v>45975.950405323434</v>
          </cell>
          <cell r="F46">
            <v>282.2</v>
          </cell>
          <cell r="G46">
            <v>275.91000000000003</v>
          </cell>
          <cell r="H46">
            <v>284.87</v>
          </cell>
          <cell r="I46">
            <v>273.23</v>
          </cell>
          <cell r="J46">
            <v>286.86</v>
          </cell>
          <cell r="K46">
            <v>28.3415</v>
          </cell>
          <cell r="L46">
            <v>2.67</v>
          </cell>
          <cell r="M46">
            <v>9.4610000000000007E-3</v>
          </cell>
          <cell r="N46">
            <v>134.25</v>
          </cell>
          <cell r="O46">
            <v>311.36849999999998</v>
          </cell>
          <cell r="P46">
            <v>52036</v>
          </cell>
          <cell r="Q46">
            <v>14537657</v>
          </cell>
          <cell r="R46">
            <v>1.3174999999999999</v>
          </cell>
        </row>
        <row r="47">
          <cell r="A47" t="str">
            <v>UN0</v>
          </cell>
          <cell r="D47" t="str">
            <v>EUR</v>
          </cell>
          <cell r="E47">
            <v>45978.447916666664</v>
          </cell>
          <cell r="F47">
            <v>28.6</v>
          </cell>
          <cell r="G47">
            <v>29.65</v>
          </cell>
          <cell r="H47">
            <v>29.8</v>
          </cell>
          <cell r="I47">
            <v>29.65</v>
          </cell>
          <cell r="J47">
            <v>29.8</v>
          </cell>
          <cell r="L47">
            <v>1.2</v>
          </cell>
          <cell r="M47">
            <v>4.1958000000000002E-2</v>
          </cell>
          <cell r="N47">
            <v>2.1</v>
          </cell>
          <cell r="O47">
            <v>73.5</v>
          </cell>
          <cell r="P47">
            <v>105</v>
          </cell>
          <cell r="Q47">
            <v>4140</v>
          </cell>
          <cell r="R47">
            <v>1.0952999999999999</v>
          </cell>
        </row>
        <row r="48">
          <cell r="A48" t="str">
            <v>UNIT</v>
          </cell>
          <cell r="D48" t="str">
            <v>USD</v>
          </cell>
          <cell r="E48">
            <v>45975.901083378907</v>
          </cell>
          <cell r="F48">
            <v>6.0350000000000001</v>
          </cell>
          <cell r="G48">
            <v>5.9</v>
          </cell>
          <cell r="H48">
            <v>6.28</v>
          </cell>
          <cell r="I48">
            <v>5.87</v>
          </cell>
          <cell r="J48">
            <v>6.3150000000000004</v>
          </cell>
          <cell r="K48">
            <v>1.2367999999999999</v>
          </cell>
          <cell r="L48">
            <v>0.245</v>
          </cell>
          <cell r="M48">
            <v>4.0597000000000001E-2</v>
          </cell>
          <cell r="N48">
            <v>5.3</v>
          </cell>
          <cell r="O48">
            <v>10.466100000000001</v>
          </cell>
          <cell r="P48">
            <v>86</v>
          </cell>
          <cell r="Q48">
            <v>2760223</v>
          </cell>
          <cell r="R48">
            <v>1.4772000000000001</v>
          </cell>
        </row>
        <row r="49">
          <cell r="A49" t="str">
            <v>VLVLY</v>
          </cell>
          <cell r="D49" t="str">
            <v>USD</v>
          </cell>
          <cell r="E49">
            <v>45975.874991481251</v>
          </cell>
          <cell r="F49">
            <v>28.37</v>
          </cell>
          <cell r="G49">
            <v>27.82</v>
          </cell>
          <cell r="H49">
            <v>28.04</v>
          </cell>
          <cell r="I49">
            <v>27.82</v>
          </cell>
          <cell r="J49">
            <v>28.209900000000001</v>
          </cell>
          <cell r="K49">
            <v>0</v>
          </cell>
          <cell r="L49">
            <v>-0.33</v>
          </cell>
          <cell r="M49">
            <v>-1.1632E-2</v>
          </cell>
          <cell r="N49">
            <v>22.55</v>
          </cell>
          <cell r="O49">
            <v>33.33</v>
          </cell>
          <cell r="P49">
            <v>76921</v>
          </cell>
          <cell r="Q49">
            <v>2485470</v>
          </cell>
          <cell r="R49">
            <v>0.89710000000000001</v>
          </cell>
        </row>
        <row r="50">
          <cell r="A50" t="str">
            <v>VONN</v>
          </cell>
          <cell r="D50" t="str">
            <v>CHF</v>
          </cell>
          <cell r="E50">
            <v>45978.449317129627</v>
          </cell>
          <cell r="F50">
            <v>60</v>
          </cell>
          <cell r="G50">
            <v>60</v>
          </cell>
          <cell r="H50">
            <v>59.6</v>
          </cell>
          <cell r="I50">
            <v>59.5</v>
          </cell>
          <cell r="J50">
            <v>60.3</v>
          </cell>
          <cell r="K50">
            <v>13.4537</v>
          </cell>
          <cell r="L50">
            <v>-0.4</v>
          </cell>
          <cell r="M50">
            <v>-6.6669999999999993E-3</v>
          </cell>
          <cell r="N50">
            <v>51.1</v>
          </cell>
          <cell r="O50">
            <v>69.5</v>
          </cell>
          <cell r="P50">
            <v>15724</v>
          </cell>
          <cell r="Q50">
            <v>36710</v>
          </cell>
          <cell r="R50">
            <v>0.81979999999999997</v>
          </cell>
        </row>
        <row r="51">
          <cell r="A51" t="str">
            <v>VTRS</v>
          </cell>
          <cell r="D51" t="str">
            <v>USD</v>
          </cell>
          <cell r="E51">
            <v>45975.891768471876</v>
          </cell>
          <cell r="F51">
            <v>10.91</v>
          </cell>
          <cell r="G51">
            <v>10.83</v>
          </cell>
          <cell r="H51">
            <v>10.72</v>
          </cell>
          <cell r="I51">
            <v>10.66</v>
          </cell>
          <cell r="J51">
            <v>10.9</v>
          </cell>
          <cell r="K51">
            <v>0</v>
          </cell>
          <cell r="L51">
            <v>-0.19</v>
          </cell>
          <cell r="M51">
            <v>-1.7415E-2</v>
          </cell>
          <cell r="N51">
            <v>6.85</v>
          </cell>
          <cell r="O51">
            <v>13.55</v>
          </cell>
          <cell r="P51">
            <v>5</v>
          </cell>
          <cell r="Q51">
            <v>8898749</v>
          </cell>
          <cell r="R51">
            <v>0.82199999999999995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45975.888898066405</v>
          </cell>
          <cell r="F53">
            <v>117.76</v>
          </cell>
          <cell r="G53">
            <v>118.45</v>
          </cell>
          <cell r="H53">
            <v>119.29</v>
          </cell>
          <cell r="I53">
            <v>116.6564</v>
          </cell>
          <cell r="J53">
            <v>119.48</v>
          </cell>
          <cell r="K53">
            <v>17.340299999999999</v>
          </cell>
          <cell r="L53">
            <v>1.53</v>
          </cell>
          <cell r="M53">
            <v>1.2992999999999999E-2</v>
          </cell>
          <cell r="N53">
            <v>97.8</v>
          </cell>
          <cell r="O53">
            <v>123.21</v>
          </cell>
          <cell r="P53">
            <v>4526</v>
          </cell>
          <cell r="Q53">
            <v>13276551</v>
          </cell>
          <cell r="R53">
            <v>0.37119999999999997</v>
          </cell>
        </row>
        <row r="54">
          <cell r="A54" t="str">
            <v>XPER</v>
          </cell>
          <cell r="D54" t="str">
            <v>USD</v>
          </cell>
          <cell r="E54">
            <v>45975.88889869141</v>
          </cell>
          <cell r="F54">
            <v>6.3</v>
          </cell>
          <cell r="G54">
            <v>6.21</v>
          </cell>
          <cell r="H54">
            <v>6.19</v>
          </cell>
          <cell r="I54">
            <v>6.1</v>
          </cell>
          <cell r="J54">
            <v>6.32</v>
          </cell>
          <cell r="K54">
            <v>36.4955</v>
          </cell>
          <cell r="L54">
            <v>-0.11</v>
          </cell>
          <cell r="M54">
            <v>-1.746E-2</v>
          </cell>
          <cell r="N54">
            <v>5.6849999999999996</v>
          </cell>
          <cell r="O54">
            <v>11.074999999999999</v>
          </cell>
          <cell r="P54">
            <v>533655</v>
          </cell>
          <cell r="Q54">
            <v>482471</v>
          </cell>
          <cell r="R54">
            <v>1.1910000000000001</v>
          </cell>
        </row>
        <row r="55">
          <cell r="A55" t="str">
            <v>MVEALDNE</v>
          </cell>
          <cell r="D55" t="str">
            <v>EUR</v>
          </cell>
          <cell r="E55">
            <v>45978.437939003903</v>
          </cell>
          <cell r="F55">
            <v>0.66600000000000004</v>
          </cell>
          <cell r="G55">
            <v>0.68</v>
          </cell>
          <cell r="H55">
            <v>0.68799999999999994</v>
          </cell>
          <cell r="I55">
            <v>0.68</v>
          </cell>
          <cell r="J55">
            <v>0.68799999999999994</v>
          </cell>
          <cell r="K55">
            <v>0</v>
          </cell>
          <cell r="L55">
            <v>2.1999999999999999E-2</v>
          </cell>
          <cell r="M55">
            <v>3.3033E-2</v>
          </cell>
          <cell r="N55">
            <v>0.65</v>
          </cell>
          <cell r="O55">
            <v>1.53</v>
          </cell>
          <cell r="P55">
            <v>1048</v>
          </cell>
          <cell r="Q55">
            <v>6940</v>
          </cell>
          <cell r="R55">
            <v>0.95499999999999996</v>
          </cell>
        </row>
        <row r="56">
          <cell r="A56" t="str">
            <v>MVEDDD</v>
          </cell>
          <cell r="D56" t="str">
            <v>USD</v>
          </cell>
          <cell r="E56">
            <v>45975.988048899999</v>
          </cell>
          <cell r="F56">
            <v>2.16</v>
          </cell>
          <cell r="G56">
            <v>2.085</v>
          </cell>
          <cell r="H56">
            <v>2.17</v>
          </cell>
          <cell r="I56">
            <v>2.0699999999999998</v>
          </cell>
          <cell r="J56">
            <v>2.23</v>
          </cell>
          <cell r="K56">
            <v>99</v>
          </cell>
          <cell r="L56">
            <v>0.01</v>
          </cell>
          <cell r="M56">
            <v>4.6300000000000004E-3</v>
          </cell>
          <cell r="N56">
            <v>1.32</v>
          </cell>
          <cell r="O56">
            <v>4.9991000000000003</v>
          </cell>
          <cell r="P56">
            <v>1847</v>
          </cell>
          <cell r="Q56">
            <v>4033910</v>
          </cell>
          <cell r="R56">
            <v>1.9165000000000001</v>
          </cell>
        </row>
        <row r="57">
          <cell r="A57" t="str">
            <v>MVEDSY</v>
          </cell>
          <cell r="D57" t="str">
            <v>EUR</v>
          </cell>
          <cell r="E57">
            <v>45978.450752314813</v>
          </cell>
          <cell r="F57">
            <v>23.99</v>
          </cell>
          <cell r="G57">
            <v>24</v>
          </cell>
          <cell r="H57">
            <v>23.81</v>
          </cell>
          <cell r="I57">
            <v>23.78</v>
          </cell>
          <cell r="J57">
            <v>24</v>
          </cell>
          <cell r="K57">
            <v>26.603400000000001</v>
          </cell>
          <cell r="L57">
            <v>-0.18</v>
          </cell>
          <cell r="M57">
            <v>-7.5029999999999993E-3</v>
          </cell>
          <cell r="N57">
            <v>23.03</v>
          </cell>
          <cell r="O57">
            <v>41.17</v>
          </cell>
          <cell r="P57">
            <v>200355</v>
          </cell>
          <cell r="Q57">
            <v>1909500</v>
          </cell>
          <cell r="R57">
            <v>0.78580000000000005</v>
          </cell>
        </row>
        <row r="58">
          <cell r="A58" t="str">
            <v>MVEEOAN</v>
          </cell>
          <cell r="D58" t="str">
            <v>EUR</v>
          </cell>
          <cell r="E58">
            <v>45978.450694444444</v>
          </cell>
          <cell r="F58">
            <v>15.244999999999999</v>
          </cell>
          <cell r="G58">
            <v>15.195</v>
          </cell>
          <cell r="H58">
            <v>15.19</v>
          </cell>
          <cell r="I58">
            <v>15.19</v>
          </cell>
          <cell r="J58">
            <v>15.2</v>
          </cell>
          <cell r="K58">
            <v>13.2087</v>
          </cell>
          <cell r="L58">
            <v>-5.5E-2</v>
          </cell>
          <cell r="M58">
            <v>-3.6080000000000001E-3</v>
          </cell>
          <cell r="N58">
            <v>7.3</v>
          </cell>
          <cell r="O58">
            <v>16.515000000000001</v>
          </cell>
          <cell r="P58">
            <v>3245</v>
          </cell>
          <cell r="Q58">
            <v>4554990</v>
          </cell>
          <cell r="R58">
            <v>0.85699999999999998</v>
          </cell>
        </row>
        <row r="59">
          <cell r="A59" t="str">
            <v>MVEENI</v>
          </cell>
          <cell r="D59" t="str">
            <v>EUR</v>
          </cell>
          <cell r="E59">
            <v>45978.450810185182</v>
          </cell>
          <cell r="F59">
            <v>16.474</v>
          </cell>
          <cell r="G59">
            <v>16.47</v>
          </cell>
          <cell r="H59">
            <v>16.489999999999998</v>
          </cell>
          <cell r="I59">
            <v>16.437999999999999</v>
          </cell>
          <cell r="J59">
            <v>16.547999999999998</v>
          </cell>
          <cell r="K59">
            <v>18.210899999999999</v>
          </cell>
          <cell r="L59">
            <v>1.6E-2</v>
          </cell>
          <cell r="M59">
            <v>9.7119999999999997E-4</v>
          </cell>
          <cell r="N59">
            <v>11.01</v>
          </cell>
          <cell r="O59">
            <v>16.55</v>
          </cell>
          <cell r="P59">
            <v>1812286</v>
          </cell>
          <cell r="Q59">
            <v>8743270</v>
          </cell>
          <cell r="R59">
            <v>0.8306</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45978.450752314813</v>
          </cell>
          <cell r="F61">
            <v>57.98</v>
          </cell>
          <cell r="G61">
            <v>58.54</v>
          </cell>
          <cell r="H61">
            <v>58.26</v>
          </cell>
          <cell r="I61">
            <v>58.18</v>
          </cell>
          <cell r="J61">
            <v>58.82</v>
          </cell>
          <cell r="K61">
            <v>9.3294999999999995</v>
          </cell>
          <cell r="L61">
            <v>0.28000000000000003</v>
          </cell>
          <cell r="M61">
            <v>4.829E-3</v>
          </cell>
          <cell r="N61">
            <v>24.03</v>
          </cell>
          <cell r="O61">
            <v>59.9</v>
          </cell>
          <cell r="P61">
            <v>257092</v>
          </cell>
          <cell r="Q61">
            <v>1825620</v>
          </cell>
          <cell r="R61">
            <v>1.3888</v>
          </cell>
        </row>
        <row r="62">
          <cell r="A62" t="str">
            <v>MVEORA</v>
          </cell>
          <cell r="D62" t="str">
            <v>EUR</v>
          </cell>
          <cell r="E62">
            <v>45978.450335648151</v>
          </cell>
          <cell r="F62">
            <v>14.02</v>
          </cell>
          <cell r="G62">
            <v>14.025</v>
          </cell>
          <cell r="H62">
            <v>13.91</v>
          </cell>
          <cell r="I62">
            <v>13.875</v>
          </cell>
          <cell r="J62">
            <v>14.065</v>
          </cell>
          <cell r="K62">
            <v>43.935600000000001</v>
          </cell>
          <cell r="L62">
            <v>-0.11</v>
          </cell>
          <cell r="M62">
            <v>-7.8459999999999988E-3</v>
          </cell>
          <cell r="N62">
            <v>9.3699999999999992</v>
          </cell>
          <cell r="O62">
            <v>14.56</v>
          </cell>
          <cell r="P62">
            <v>360871</v>
          </cell>
          <cell r="Q62">
            <v>3333320</v>
          </cell>
          <cell r="R62">
            <v>0.2392</v>
          </cell>
        </row>
        <row r="63">
          <cell r="A63" t="str">
            <v>MVERWE</v>
          </cell>
          <cell r="D63" t="str">
            <v>EUR</v>
          </cell>
          <cell r="E63">
            <v>45978.450694444444</v>
          </cell>
          <cell r="F63">
            <v>45.33</v>
          </cell>
          <cell r="G63">
            <v>45.7</v>
          </cell>
          <cell r="H63">
            <v>45.38</v>
          </cell>
          <cell r="I63">
            <v>45.38</v>
          </cell>
          <cell r="J63">
            <v>45.77</v>
          </cell>
          <cell r="K63">
            <v>14.6387</v>
          </cell>
          <cell r="L63">
            <v>0.05</v>
          </cell>
          <cell r="M63">
            <v>1.103E-3</v>
          </cell>
          <cell r="N63">
            <v>14.231</v>
          </cell>
          <cell r="O63">
            <v>46.82</v>
          </cell>
          <cell r="P63">
            <v>1707</v>
          </cell>
          <cell r="Q63">
            <v>2310700</v>
          </cell>
          <cell r="R63">
            <v>0.47510000000000002</v>
          </cell>
        </row>
        <row r="64">
          <cell r="A64" t="str">
            <v>MVESAP</v>
          </cell>
          <cell r="D64" t="str">
            <v>EUR</v>
          </cell>
          <cell r="E64">
            <v>45978.450787037036</v>
          </cell>
          <cell r="F64">
            <v>211.1</v>
          </cell>
          <cell r="G64">
            <v>211.6</v>
          </cell>
          <cell r="H64">
            <v>210.2</v>
          </cell>
          <cell r="I64">
            <v>209.9</v>
          </cell>
          <cell r="J64">
            <v>211.8</v>
          </cell>
          <cell r="K64">
            <v>34.6248</v>
          </cell>
          <cell r="L64">
            <v>-0.9</v>
          </cell>
          <cell r="M64">
            <v>-4.2630000000000003E-3</v>
          </cell>
          <cell r="N64">
            <v>207.55</v>
          </cell>
          <cell r="O64">
            <v>283.5</v>
          </cell>
          <cell r="P64">
            <v>192775</v>
          </cell>
          <cell r="Q64">
            <v>1226460</v>
          </cell>
          <cell r="R64">
            <v>1.0510999999999999</v>
          </cell>
        </row>
        <row r="65">
          <cell r="A65" t="str">
            <v>MVEUN0</v>
          </cell>
          <cell r="D65" t="str">
            <v>EUR</v>
          </cell>
          <cell r="E65">
            <v>45978.447916666664</v>
          </cell>
          <cell r="F65">
            <v>28.6</v>
          </cell>
          <cell r="G65">
            <v>29.65</v>
          </cell>
          <cell r="H65">
            <v>29.8</v>
          </cell>
          <cell r="I65">
            <v>29.65</v>
          </cell>
          <cell r="J65">
            <v>29.8</v>
          </cell>
          <cell r="K65">
            <v>99</v>
          </cell>
          <cell r="L65">
            <v>1.2</v>
          </cell>
          <cell r="M65">
            <v>4.1958000000000002E-2</v>
          </cell>
          <cell r="N65">
            <v>2.1</v>
          </cell>
          <cell r="O65">
            <v>73.5</v>
          </cell>
          <cell r="P65">
            <v>105</v>
          </cell>
          <cell r="Q65">
            <v>4140</v>
          </cell>
          <cell r="R65">
            <v>1.0952999999999999</v>
          </cell>
        </row>
        <row r="66">
          <cell r="A66" t="str">
            <v>SAFAAPL</v>
          </cell>
          <cell r="D66" t="str">
            <v>USD</v>
          </cell>
          <cell r="E66">
            <v>45975.943448899998</v>
          </cell>
          <cell r="F66">
            <v>272.95</v>
          </cell>
          <cell r="G66">
            <v>271.05</v>
          </cell>
          <cell r="H66">
            <v>272.41000000000003</v>
          </cell>
          <cell r="I66">
            <v>269.60000000000002</v>
          </cell>
          <cell r="J66">
            <v>275.95999999999998</v>
          </cell>
          <cell r="K66">
            <v>36.680500000000002</v>
          </cell>
          <cell r="L66">
            <v>-0.54</v>
          </cell>
          <cell r="M66">
            <v>-1.9780000000000002E-3</v>
          </cell>
          <cell r="N66">
            <v>169.21010000000001</v>
          </cell>
          <cell r="O66">
            <v>277.32</v>
          </cell>
          <cell r="P66">
            <v>82057</v>
          </cell>
          <cell r="Q66">
            <v>49332368</v>
          </cell>
          <cell r="R66">
            <v>1.1039000000000001</v>
          </cell>
        </row>
        <row r="67">
          <cell r="A67" t="str">
            <v>SAFAMZN</v>
          </cell>
          <cell r="D67" t="str">
            <v>USD</v>
          </cell>
          <cell r="E67">
            <v>45976.041631921093</v>
          </cell>
          <cell r="F67">
            <v>237.58</v>
          </cell>
          <cell r="G67">
            <v>235.06</v>
          </cell>
          <cell r="H67">
            <v>234.69</v>
          </cell>
          <cell r="I67">
            <v>232.89</v>
          </cell>
          <cell r="J67">
            <v>238.73</v>
          </cell>
          <cell r="K67">
            <v>33.153199999999998</v>
          </cell>
          <cell r="L67">
            <v>-2.89</v>
          </cell>
          <cell r="M67">
            <v>-1.2163999999999999E-2</v>
          </cell>
          <cell r="N67">
            <v>161.38</v>
          </cell>
          <cell r="O67">
            <v>258.60000000000002</v>
          </cell>
          <cell r="P67">
            <v>142460</v>
          </cell>
          <cell r="Q67">
            <v>52529093</v>
          </cell>
          <cell r="R67">
            <v>1.3703000000000001</v>
          </cell>
        </row>
        <row r="68">
          <cell r="A68" t="str">
            <v>SAFASML</v>
          </cell>
          <cell r="D68" t="str">
            <v>EUR</v>
          </cell>
          <cell r="E68">
            <v>45978.450787037036</v>
          </cell>
          <cell r="F68">
            <v>874.1</v>
          </cell>
          <cell r="G68">
            <v>879.3</v>
          </cell>
          <cell r="H68">
            <v>871.4</v>
          </cell>
          <cell r="I68">
            <v>871</v>
          </cell>
          <cell r="J68">
            <v>882.5</v>
          </cell>
          <cell r="K68">
            <v>33.458599999999997</v>
          </cell>
          <cell r="L68">
            <v>-2.7</v>
          </cell>
          <cell r="M68">
            <v>-3.0890000000000002E-3</v>
          </cell>
          <cell r="N68">
            <v>508.4</v>
          </cell>
          <cell r="O68">
            <v>938.6</v>
          </cell>
          <cell r="P68">
            <v>78855</v>
          </cell>
          <cell r="Q68">
            <v>552590</v>
          </cell>
          <cell r="R68">
            <v>2.1217000000000001</v>
          </cell>
        </row>
        <row r="69">
          <cell r="A69" t="str">
            <v>SAFDDD</v>
          </cell>
          <cell r="D69" t="str">
            <v>USD</v>
          </cell>
          <cell r="E69">
            <v>45975.988048899999</v>
          </cell>
          <cell r="F69">
            <v>2.16</v>
          </cell>
          <cell r="G69">
            <v>2.085</v>
          </cell>
          <cell r="H69">
            <v>2.17</v>
          </cell>
          <cell r="I69">
            <v>2.0699999999999998</v>
          </cell>
          <cell r="J69">
            <v>2.23</v>
          </cell>
          <cell r="K69">
            <v>99</v>
          </cell>
          <cell r="L69">
            <v>0.01</v>
          </cell>
          <cell r="M69">
            <v>4.6300000000000004E-3</v>
          </cell>
          <cell r="N69">
            <v>1.32</v>
          </cell>
          <cell r="O69">
            <v>4.9991000000000003</v>
          </cell>
          <cell r="P69">
            <v>1847</v>
          </cell>
          <cell r="Q69">
            <v>4033910</v>
          </cell>
          <cell r="R69">
            <v>1.9165000000000001</v>
          </cell>
        </row>
        <row r="70">
          <cell r="A70" t="str">
            <v>SAFDIS</v>
          </cell>
          <cell r="D70" t="str">
            <v>USD</v>
          </cell>
          <cell r="E70">
            <v>45975.875001492968</v>
          </cell>
          <cell r="F70">
            <v>107.61</v>
          </cell>
          <cell r="G70">
            <v>107.52</v>
          </cell>
          <cell r="H70">
            <v>105.8</v>
          </cell>
          <cell r="I70">
            <v>105.3</v>
          </cell>
          <cell r="J70">
            <v>108.73</v>
          </cell>
          <cell r="K70">
            <v>15.4414</v>
          </cell>
          <cell r="L70">
            <v>-1.81</v>
          </cell>
          <cell r="M70">
            <v>-1.6819999999999998E-2</v>
          </cell>
          <cell r="N70">
            <v>80.099999999999994</v>
          </cell>
          <cell r="O70">
            <v>124.69</v>
          </cell>
          <cell r="P70">
            <v>5711</v>
          </cell>
          <cell r="Q70">
            <v>9720774</v>
          </cell>
          <cell r="R70">
            <v>1.4954000000000001</v>
          </cell>
        </row>
        <row r="71">
          <cell r="A71" t="str">
            <v>SAFGM</v>
          </cell>
          <cell r="D71" t="str">
            <v>USD</v>
          </cell>
          <cell r="E71">
            <v>45975.888899710153</v>
          </cell>
          <cell r="F71">
            <v>71.89</v>
          </cell>
          <cell r="G71">
            <v>71.36</v>
          </cell>
          <cell r="H71">
            <v>70.56</v>
          </cell>
          <cell r="I71">
            <v>70.44</v>
          </cell>
          <cell r="J71">
            <v>71.765000000000001</v>
          </cell>
          <cell r="K71">
            <v>13.563700000000001</v>
          </cell>
          <cell r="L71">
            <v>-1.33</v>
          </cell>
          <cell r="M71">
            <v>-1.8500000000000003E-2</v>
          </cell>
          <cell r="N71">
            <v>41.6</v>
          </cell>
          <cell r="O71">
            <v>72.87</v>
          </cell>
          <cell r="P71">
            <v>896</v>
          </cell>
          <cell r="Q71">
            <v>10411022</v>
          </cell>
          <cell r="R71">
            <v>1.3005</v>
          </cell>
        </row>
        <row r="72">
          <cell r="A72" t="str">
            <v>SAFIAG</v>
          </cell>
          <cell r="D72" t="str">
            <v>GBp</v>
          </cell>
          <cell r="E72">
            <v>45978.450759409374</v>
          </cell>
          <cell r="F72">
            <v>387.5</v>
          </cell>
          <cell r="G72">
            <v>388.5</v>
          </cell>
          <cell r="H72">
            <v>381.1</v>
          </cell>
          <cell r="I72">
            <v>380.4</v>
          </cell>
          <cell r="J72">
            <v>389.3</v>
          </cell>
          <cell r="K72">
            <v>6.8654000000000002</v>
          </cell>
          <cell r="L72">
            <v>-6.4</v>
          </cell>
          <cell r="M72">
            <v>-1.6515999999999999E-2</v>
          </cell>
          <cell r="N72">
            <v>210</v>
          </cell>
          <cell r="O72">
            <v>429.3</v>
          </cell>
          <cell r="P72">
            <v>2015256</v>
          </cell>
          <cell r="Q72">
            <v>19170400</v>
          </cell>
          <cell r="R72">
            <v>2.3138000000000001</v>
          </cell>
        </row>
        <row r="73">
          <cell r="A73" t="str">
            <v>SAFMRNA</v>
          </cell>
          <cell r="D73" t="str">
            <v>USD</v>
          </cell>
          <cell r="E73">
            <v>45975.875000983593</v>
          </cell>
          <cell r="F73">
            <v>24.96</v>
          </cell>
          <cell r="G73">
            <v>24.434999999999999</v>
          </cell>
          <cell r="H73">
            <v>24.77</v>
          </cell>
          <cell r="I73">
            <v>24.18</v>
          </cell>
          <cell r="J73">
            <v>24.88</v>
          </cell>
          <cell r="K73">
            <v>0</v>
          </cell>
          <cell r="L73">
            <v>-0.19</v>
          </cell>
          <cell r="M73">
            <v>-7.6119999999999998E-3</v>
          </cell>
          <cell r="N73">
            <v>23.04</v>
          </cell>
          <cell r="O73">
            <v>48.92</v>
          </cell>
          <cell r="P73">
            <v>12804</v>
          </cell>
          <cell r="Q73">
            <v>11556520</v>
          </cell>
          <cell r="R73">
            <v>1.1214999999999999</v>
          </cell>
        </row>
        <row r="74">
          <cell r="A74" t="str">
            <v>BLNK</v>
          </cell>
          <cell r="D74" t="str">
            <v>USD</v>
          </cell>
          <cell r="E74">
            <v>45975.875011967189</v>
          </cell>
          <cell r="F74">
            <v>1.46</v>
          </cell>
          <cell r="G74">
            <v>1.4</v>
          </cell>
          <cell r="H74">
            <v>1.41</v>
          </cell>
          <cell r="I74">
            <v>1.4</v>
          </cell>
          <cell r="J74">
            <v>1.4684999999999999</v>
          </cell>
          <cell r="K74">
            <v>0</v>
          </cell>
          <cell r="L74">
            <v>-0.05</v>
          </cell>
          <cell r="M74">
            <v>-3.4247E-2</v>
          </cell>
          <cell r="N74">
            <v>0.63009999999999999</v>
          </cell>
          <cell r="O74">
            <v>2.6499000000000001</v>
          </cell>
          <cell r="P74">
            <v>248</v>
          </cell>
          <cell r="Q74">
            <v>3690386</v>
          </cell>
          <cell r="R74">
            <v>1.8971</v>
          </cell>
        </row>
        <row r="75">
          <cell r="A75" t="str">
            <v>ENI</v>
          </cell>
          <cell r="D75" t="str">
            <v>EUR</v>
          </cell>
          <cell r="E75">
            <v>45978.450810185182</v>
          </cell>
          <cell r="F75">
            <v>16.474</v>
          </cell>
          <cell r="G75">
            <v>16.47</v>
          </cell>
          <cell r="H75">
            <v>16.489999999999998</v>
          </cell>
          <cell r="I75">
            <v>16.437999999999999</v>
          </cell>
          <cell r="J75">
            <v>16.547999999999998</v>
          </cell>
          <cell r="K75">
            <v>18.210899999999999</v>
          </cell>
          <cell r="L75">
            <v>1.6E-2</v>
          </cell>
          <cell r="M75">
            <v>9.7119999999999997E-4</v>
          </cell>
          <cell r="N75">
            <v>11.01</v>
          </cell>
          <cell r="O75">
            <v>16.55</v>
          </cell>
          <cell r="P75">
            <v>1812286</v>
          </cell>
          <cell r="Q75">
            <v>8743270</v>
          </cell>
          <cell r="R75">
            <v>0.8306</v>
          </cell>
        </row>
        <row r="76">
          <cell r="A76" t="str">
            <v>EZJ</v>
          </cell>
          <cell r="D76" t="str">
            <v>GBp</v>
          </cell>
          <cell r="E76">
            <v>45978.450518171092</v>
          </cell>
          <cell r="F76">
            <v>469.2</v>
          </cell>
          <cell r="G76">
            <v>468</v>
          </cell>
          <cell r="H76">
            <v>461.4</v>
          </cell>
          <cell r="I76">
            <v>459.5</v>
          </cell>
          <cell r="J76">
            <v>470</v>
          </cell>
          <cell r="K76">
            <v>8.3451000000000004</v>
          </cell>
          <cell r="L76">
            <v>-7.8</v>
          </cell>
          <cell r="M76">
            <v>-1.6624E-2</v>
          </cell>
          <cell r="N76">
            <v>401.05</v>
          </cell>
          <cell r="O76">
            <v>594</v>
          </cell>
          <cell r="P76">
            <v>604103</v>
          </cell>
          <cell r="Q76">
            <v>3993430</v>
          </cell>
          <cell r="R76">
            <v>2.2410999999999999</v>
          </cell>
        </row>
        <row r="77">
          <cell r="A77" t="str">
            <v>F</v>
          </cell>
          <cell r="D77" t="str">
            <v>USD</v>
          </cell>
          <cell r="E77">
            <v>45975.885475231247</v>
          </cell>
          <cell r="F77">
            <v>13.28</v>
          </cell>
          <cell r="G77">
            <v>13.18</v>
          </cell>
          <cell r="H77">
            <v>13.19</v>
          </cell>
          <cell r="I77">
            <v>13.1</v>
          </cell>
          <cell r="J77">
            <v>13.31</v>
          </cell>
          <cell r="K77">
            <v>11.326499999999999</v>
          </cell>
          <cell r="L77">
            <v>-0.09</v>
          </cell>
          <cell r="M77">
            <v>-6.777E-3</v>
          </cell>
          <cell r="N77">
            <v>8.4405999999999999</v>
          </cell>
          <cell r="O77">
            <v>13.97</v>
          </cell>
          <cell r="P77">
            <v>9145</v>
          </cell>
          <cell r="Q77">
            <v>132132797</v>
          </cell>
          <cell r="R77">
            <v>1.5939000000000001</v>
          </cell>
        </row>
        <row r="78">
          <cell r="A78" t="str">
            <v>GLE</v>
          </cell>
          <cell r="D78" t="str">
            <v>EUR</v>
          </cell>
          <cell r="E78">
            <v>45978.450752314813</v>
          </cell>
          <cell r="F78">
            <v>57.98</v>
          </cell>
          <cell r="G78">
            <v>58.54</v>
          </cell>
          <cell r="H78">
            <v>58.26</v>
          </cell>
          <cell r="I78">
            <v>58.18</v>
          </cell>
          <cell r="J78">
            <v>58.82</v>
          </cell>
          <cell r="K78">
            <v>9.3294999999999995</v>
          </cell>
          <cell r="L78">
            <v>0.28000000000000003</v>
          </cell>
          <cell r="M78">
            <v>4.829E-3</v>
          </cell>
          <cell r="N78">
            <v>24.03</v>
          </cell>
          <cell r="O78">
            <v>59.9</v>
          </cell>
          <cell r="P78">
            <v>257092</v>
          </cell>
          <cell r="Q78">
            <v>1825620</v>
          </cell>
          <cell r="R78">
            <v>1.3888</v>
          </cell>
        </row>
        <row r="79">
          <cell r="A79" t="str">
            <v>GNRC</v>
          </cell>
          <cell r="D79" t="str">
            <v>USD</v>
          </cell>
          <cell r="E79">
            <v>45975.888899687503</v>
          </cell>
          <cell r="F79">
            <v>154.63</v>
          </cell>
          <cell r="G79">
            <v>150.91</v>
          </cell>
          <cell r="H79">
            <v>151.11000000000001</v>
          </cell>
          <cell r="I79">
            <v>149.76</v>
          </cell>
          <cell r="J79">
            <v>153.13999999999999</v>
          </cell>
          <cell r="K79">
            <v>28.772500000000001</v>
          </cell>
          <cell r="L79">
            <v>-3.52</v>
          </cell>
          <cell r="M79">
            <v>-2.2764000000000003E-2</v>
          </cell>
          <cell r="N79">
            <v>99.5</v>
          </cell>
          <cell r="O79">
            <v>203.2499</v>
          </cell>
          <cell r="P79">
            <v>22</v>
          </cell>
          <cell r="Q79">
            <v>1390791</v>
          </cell>
          <cell r="R79">
            <v>1.8244</v>
          </cell>
        </row>
        <row r="80">
          <cell r="A80" t="str">
            <v>GS</v>
          </cell>
          <cell r="D80" t="str">
            <v>USD</v>
          </cell>
          <cell r="E80">
            <v>45975.89176975625</v>
          </cell>
          <cell r="F80">
            <v>805.5</v>
          </cell>
          <cell r="G80">
            <v>795.55</v>
          </cell>
          <cell r="H80">
            <v>790.48</v>
          </cell>
          <cell r="I80">
            <v>778</v>
          </cell>
          <cell r="J80">
            <v>800.61</v>
          </cell>
          <cell r="K80">
            <v>16.066500000000001</v>
          </cell>
          <cell r="L80">
            <v>-15.02</v>
          </cell>
          <cell r="M80">
            <v>-1.8647E-2</v>
          </cell>
          <cell r="N80">
            <v>439.38</v>
          </cell>
          <cell r="O80">
            <v>841.28</v>
          </cell>
          <cell r="P80">
            <v>633</v>
          </cell>
          <cell r="Q80">
            <v>2212590</v>
          </cell>
          <cell r="R80">
            <v>1.3468</v>
          </cell>
        </row>
        <row r="81">
          <cell r="A81" t="str">
            <v>LAZR</v>
          </cell>
          <cell r="D81" t="str">
            <v>USD</v>
          </cell>
          <cell r="E81">
            <v>45975.87501148125</v>
          </cell>
          <cell r="F81">
            <v>1.06</v>
          </cell>
          <cell r="G81">
            <v>1.1499999999999999</v>
          </cell>
          <cell r="H81">
            <v>1.01</v>
          </cell>
          <cell r="I81">
            <v>1.01</v>
          </cell>
          <cell r="J81">
            <v>1.26</v>
          </cell>
          <cell r="K81">
            <v>0</v>
          </cell>
          <cell r="L81">
            <v>-0.05</v>
          </cell>
          <cell r="M81">
            <v>-4.7169999999999997E-2</v>
          </cell>
          <cell r="N81">
            <v>1.01</v>
          </cell>
          <cell r="O81">
            <v>13.3378</v>
          </cell>
          <cell r="P81">
            <v>25360</v>
          </cell>
          <cell r="Q81">
            <v>10858265</v>
          </cell>
          <cell r="R81">
            <v>1.4676</v>
          </cell>
        </row>
        <row r="82">
          <cell r="A82" t="str">
            <v>LUV</v>
          </cell>
          <cell r="D82" t="str">
            <v>USD</v>
          </cell>
          <cell r="E82">
            <v>45975.998725925783</v>
          </cell>
          <cell r="F82">
            <v>33.04</v>
          </cell>
          <cell r="G82">
            <v>32.549999999999997</v>
          </cell>
          <cell r="H82">
            <v>32.835000000000001</v>
          </cell>
          <cell r="I82">
            <v>32.42</v>
          </cell>
          <cell r="J82">
            <v>33.075000000000003</v>
          </cell>
          <cell r="K82">
            <v>49.051000000000002</v>
          </cell>
          <cell r="L82">
            <v>-0.20499999999999999</v>
          </cell>
          <cell r="M82">
            <v>-6.2050000000000004E-3</v>
          </cell>
          <cell r="N82">
            <v>23.815000000000001</v>
          </cell>
          <cell r="O82">
            <v>37.96</v>
          </cell>
          <cell r="P82">
            <v>33</v>
          </cell>
          <cell r="Q82">
            <v>9908000</v>
          </cell>
          <cell r="R82">
            <v>1.1537999999999999</v>
          </cell>
        </row>
        <row r="83">
          <cell r="A83" t="str">
            <v>MA</v>
          </cell>
          <cell r="D83" t="str">
            <v>USD</v>
          </cell>
          <cell r="E83">
            <v>45975.940730000002</v>
          </cell>
          <cell r="F83">
            <v>555.57000000000005</v>
          </cell>
          <cell r="G83">
            <v>556.04</v>
          </cell>
          <cell r="H83">
            <v>545.73</v>
          </cell>
          <cell r="I83">
            <v>544.04999999999995</v>
          </cell>
          <cell r="J83">
            <v>557</v>
          </cell>
          <cell r="K83">
            <v>34.893500000000003</v>
          </cell>
          <cell r="L83">
            <v>-9.84</v>
          </cell>
          <cell r="M83">
            <v>-1.7712000000000002E-2</v>
          </cell>
          <cell r="N83">
            <v>465.59</v>
          </cell>
          <cell r="O83">
            <v>601.77</v>
          </cell>
          <cell r="P83">
            <v>595</v>
          </cell>
          <cell r="Q83">
            <v>2650981</v>
          </cell>
          <cell r="R83">
            <v>0.86680000000000001</v>
          </cell>
        </row>
        <row r="84">
          <cell r="A84" t="str">
            <v>NVAX</v>
          </cell>
          <cell r="D84" t="str">
            <v>USD</v>
          </cell>
          <cell r="E84">
            <v>45975.87512053203</v>
          </cell>
          <cell r="F84">
            <v>7.06</v>
          </cell>
          <cell r="G84">
            <v>6.92</v>
          </cell>
          <cell r="H84">
            <v>6.97</v>
          </cell>
          <cell r="I84">
            <v>6.9008000000000003</v>
          </cell>
          <cell r="J84">
            <v>7.15</v>
          </cell>
          <cell r="K84">
            <v>3.8753000000000002</v>
          </cell>
          <cell r="L84">
            <v>-0.09</v>
          </cell>
          <cell r="M84">
            <v>-1.2747999999999999E-2</v>
          </cell>
          <cell r="N84">
            <v>5.01</v>
          </cell>
          <cell r="O84">
            <v>11.55</v>
          </cell>
          <cell r="P84">
            <v>400</v>
          </cell>
          <cell r="Q84">
            <v>4436118</v>
          </cell>
          <cell r="R84">
            <v>2.3212000000000002</v>
          </cell>
        </row>
        <row r="85">
          <cell r="A85" t="str">
            <v>NVS</v>
          </cell>
          <cell r="D85" t="str">
            <v>USD</v>
          </cell>
          <cell r="E85">
            <v>45975.881944444445</v>
          </cell>
          <cell r="F85">
            <v>131.91</v>
          </cell>
          <cell r="G85">
            <v>132.46</v>
          </cell>
          <cell r="H85">
            <v>131.26</v>
          </cell>
          <cell r="I85">
            <v>130.30000000000001</v>
          </cell>
          <cell r="J85">
            <v>132.76</v>
          </cell>
          <cell r="K85">
            <v>17.9513</v>
          </cell>
          <cell r="L85">
            <v>-0.65</v>
          </cell>
          <cell r="M85">
            <v>-4.9280000000000001E-3</v>
          </cell>
          <cell r="N85">
            <v>96.061999999999998</v>
          </cell>
          <cell r="O85">
            <v>134</v>
          </cell>
          <cell r="P85">
            <v>1835</v>
          </cell>
          <cell r="Q85">
            <v>1692603</v>
          </cell>
          <cell r="R85">
            <v>0.50149999999999995</v>
          </cell>
        </row>
        <row r="86">
          <cell r="A86" t="str">
            <v>ORA</v>
          </cell>
          <cell r="D86" t="str">
            <v>EUR</v>
          </cell>
          <cell r="E86">
            <v>45978.450335648151</v>
          </cell>
          <cell r="F86">
            <v>14.02</v>
          </cell>
          <cell r="G86">
            <v>14.025</v>
          </cell>
          <cell r="H86">
            <v>13.91</v>
          </cell>
          <cell r="I86">
            <v>13.875</v>
          </cell>
          <cell r="J86">
            <v>14.065</v>
          </cell>
          <cell r="K86">
            <v>43.935600000000001</v>
          </cell>
          <cell r="L86">
            <v>-0.11</v>
          </cell>
          <cell r="M86">
            <v>-7.8459999999999988E-3</v>
          </cell>
          <cell r="N86">
            <v>9.3699999999999992</v>
          </cell>
          <cell r="O86">
            <v>14.56</v>
          </cell>
          <cell r="P86">
            <v>360871</v>
          </cell>
          <cell r="Q86">
            <v>3333320</v>
          </cell>
          <cell r="R86">
            <v>0.2392</v>
          </cell>
        </row>
        <row r="87">
          <cell r="A87" t="str">
            <v>OXY</v>
          </cell>
          <cell r="D87" t="str">
            <v>USD</v>
          </cell>
          <cell r="E87">
            <v>45975.915142210157</v>
          </cell>
          <cell r="F87">
            <v>42.02</v>
          </cell>
          <cell r="G87">
            <v>42.024999999999999</v>
          </cell>
          <cell r="H87">
            <v>42.77</v>
          </cell>
          <cell r="I87">
            <v>41.92</v>
          </cell>
          <cell r="J87">
            <v>43.085000000000001</v>
          </cell>
          <cell r="K87">
            <v>31.217400000000001</v>
          </cell>
          <cell r="L87">
            <v>0.75</v>
          </cell>
          <cell r="M87">
            <v>1.7849E-2</v>
          </cell>
          <cell r="N87">
            <v>34.784999999999997</v>
          </cell>
          <cell r="O87">
            <v>53.2</v>
          </cell>
          <cell r="P87">
            <v>13156</v>
          </cell>
          <cell r="Q87">
            <v>10191570</v>
          </cell>
          <cell r="R87">
            <v>0.38590000000000002</v>
          </cell>
        </row>
        <row r="88">
          <cell r="A88" t="str">
            <v>PFE</v>
          </cell>
          <cell r="D88" t="str">
            <v>USD</v>
          </cell>
          <cell r="E88">
            <v>45975.888897164063</v>
          </cell>
          <cell r="F88">
            <v>25.79</v>
          </cell>
          <cell r="G88">
            <v>25.67</v>
          </cell>
          <cell r="H88">
            <v>25.06</v>
          </cell>
          <cell r="I88">
            <v>24.97</v>
          </cell>
          <cell r="J88">
            <v>25.77</v>
          </cell>
          <cell r="K88">
            <v>14.607200000000001</v>
          </cell>
          <cell r="L88">
            <v>-0.73</v>
          </cell>
          <cell r="M88">
            <v>-2.8306000000000001E-2</v>
          </cell>
          <cell r="N88">
            <v>20.914999999999999</v>
          </cell>
          <cell r="O88">
            <v>27.69</v>
          </cell>
          <cell r="P88">
            <v>19620</v>
          </cell>
          <cell r="Q88">
            <v>83055423</v>
          </cell>
          <cell r="R88">
            <v>0.4168</v>
          </cell>
        </row>
        <row r="89">
          <cell r="A89" t="str">
            <v>RIG</v>
          </cell>
          <cell r="D89" t="str">
            <v>USD</v>
          </cell>
          <cell r="E89">
            <v>45976.039006307816</v>
          </cell>
          <cell r="F89">
            <v>4.01</v>
          </cell>
          <cell r="G89">
            <v>4.01</v>
          </cell>
          <cell r="H89">
            <v>4.01</v>
          </cell>
          <cell r="I89">
            <v>3.96</v>
          </cell>
          <cell r="J89">
            <v>4.13</v>
          </cell>
          <cell r="K89">
            <v>99</v>
          </cell>
          <cell r="L89">
            <v>0</v>
          </cell>
          <cell r="M89">
            <v>0</v>
          </cell>
          <cell r="N89">
            <v>1.97</v>
          </cell>
          <cell r="O89">
            <v>4.5149999999999997</v>
          </cell>
          <cell r="P89">
            <v>6246</v>
          </cell>
          <cell r="Q89">
            <v>57650003</v>
          </cell>
          <cell r="R89">
            <v>1.3972</v>
          </cell>
        </row>
        <row r="90">
          <cell r="A90" t="str">
            <v>RRC</v>
          </cell>
          <cell r="D90" t="str">
            <v>USD</v>
          </cell>
          <cell r="E90">
            <v>45975.911023182809</v>
          </cell>
          <cell r="F90">
            <v>38.020000000000003</v>
          </cell>
          <cell r="G90">
            <v>37.479999999999997</v>
          </cell>
          <cell r="H90">
            <v>38.229999999999997</v>
          </cell>
          <cell r="I90">
            <v>36.94</v>
          </cell>
          <cell r="J90">
            <v>38.31</v>
          </cell>
          <cell r="K90">
            <v>16.054400000000001</v>
          </cell>
          <cell r="L90">
            <v>0.21</v>
          </cell>
          <cell r="M90">
            <v>5.5230000000000001E-3</v>
          </cell>
          <cell r="N90">
            <v>30.32</v>
          </cell>
          <cell r="O90">
            <v>43.5</v>
          </cell>
          <cell r="P90">
            <v>1953406</v>
          </cell>
          <cell r="Q90">
            <v>3004706</v>
          </cell>
          <cell r="R90">
            <v>0.46489999999999998</v>
          </cell>
        </row>
        <row r="91">
          <cell r="A91" t="str">
            <v>XYZ</v>
          </cell>
          <cell r="D91" t="str">
            <v>USD</v>
          </cell>
          <cell r="E91">
            <v>45975.94072721016</v>
          </cell>
          <cell r="F91">
            <v>62.3</v>
          </cell>
          <cell r="G91">
            <v>61.03</v>
          </cell>
          <cell r="H91">
            <v>60.48</v>
          </cell>
          <cell r="I91">
            <v>60.17</v>
          </cell>
          <cell r="J91">
            <v>62.19</v>
          </cell>
          <cell r="K91">
            <v>30.411100000000001</v>
          </cell>
          <cell r="L91">
            <v>-1.82</v>
          </cell>
          <cell r="M91">
            <v>-2.9212999999999999E-2</v>
          </cell>
          <cell r="N91">
            <v>44.27</v>
          </cell>
          <cell r="O91">
            <v>99.26</v>
          </cell>
          <cell r="P91">
            <v>17445</v>
          </cell>
          <cell r="Q91">
            <v>6454719</v>
          </cell>
          <cell r="R91">
            <v>2.6798999999999999</v>
          </cell>
        </row>
        <row r="92">
          <cell r="A92" t="str">
            <v>THC</v>
          </cell>
          <cell r="D92" t="str">
            <v>USD</v>
          </cell>
          <cell r="E92">
            <v>45975.885474953124</v>
          </cell>
          <cell r="F92">
            <v>196.66</v>
          </cell>
          <cell r="G92">
            <v>196.18</v>
          </cell>
          <cell r="H92">
            <v>192.87</v>
          </cell>
          <cell r="I92">
            <v>191.88</v>
          </cell>
          <cell r="J92">
            <v>196.70500000000001</v>
          </cell>
          <cell r="K92">
            <v>12.8216</v>
          </cell>
          <cell r="L92">
            <v>-3.79</v>
          </cell>
          <cell r="M92">
            <v>-1.9272000000000001E-2</v>
          </cell>
          <cell r="N92">
            <v>109.82389999999999</v>
          </cell>
          <cell r="O92">
            <v>217.42500000000001</v>
          </cell>
          <cell r="P92">
            <v>19</v>
          </cell>
          <cell r="Q92">
            <v>1045176</v>
          </cell>
          <cell r="R92">
            <v>1.4623999999999999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45978.450659722221</v>
          </cell>
          <cell r="F94">
            <v>10.086</v>
          </cell>
          <cell r="G94">
            <v>10.206</v>
          </cell>
          <cell r="H94">
            <v>10.128</v>
          </cell>
          <cell r="I94">
            <v>10.128</v>
          </cell>
          <cell r="J94">
            <v>10.206</v>
          </cell>
          <cell r="K94">
            <v>99</v>
          </cell>
          <cell r="L94">
            <v>4.2000000000000003E-2</v>
          </cell>
          <cell r="M94">
            <v>4.1640000000000002E-3</v>
          </cell>
          <cell r="N94">
            <v>7.4260000000000002</v>
          </cell>
          <cell r="O94">
            <v>10.672000000000001</v>
          </cell>
          <cell r="P94">
            <v>2062</v>
          </cell>
          <cell r="Q94" t="e">
            <v>#VALUE!</v>
          </cell>
          <cell r="R94">
            <v>0.58169999999999999</v>
          </cell>
        </row>
        <row r="95">
          <cell r="A95" t="str">
            <v>JBASML</v>
          </cell>
          <cell r="E95">
            <v>45978.450787037036</v>
          </cell>
          <cell r="F95">
            <v>874.1</v>
          </cell>
          <cell r="G95">
            <v>879.3</v>
          </cell>
          <cell r="H95">
            <v>871.4</v>
          </cell>
          <cell r="I95">
            <v>871</v>
          </cell>
          <cell r="J95">
            <v>882.5</v>
          </cell>
          <cell r="K95">
            <v>33.458599999999997</v>
          </cell>
          <cell r="L95">
            <v>-2.7</v>
          </cell>
          <cell r="M95">
            <v>-3.0890000000000002E-3</v>
          </cell>
          <cell r="N95">
            <v>508.4</v>
          </cell>
          <cell r="O95">
            <v>938.6</v>
          </cell>
          <cell r="P95">
            <v>78855</v>
          </cell>
          <cell r="Q95">
            <v>552590</v>
          </cell>
          <cell r="R95">
            <v>2.1217000000000001</v>
          </cell>
        </row>
        <row r="96">
          <cell r="A96" t="str">
            <v>JBEOAN</v>
          </cell>
          <cell r="E96">
            <v>45978.450694444444</v>
          </cell>
          <cell r="F96">
            <v>15.244999999999999</v>
          </cell>
          <cell r="G96">
            <v>15.195</v>
          </cell>
          <cell r="H96">
            <v>15.19</v>
          </cell>
          <cell r="I96">
            <v>15.19</v>
          </cell>
          <cell r="J96">
            <v>15.2</v>
          </cell>
          <cell r="K96">
            <v>13.2087</v>
          </cell>
          <cell r="L96">
            <v>-5.5E-2</v>
          </cell>
          <cell r="M96">
            <v>-3.6080000000000001E-3</v>
          </cell>
          <cell r="N96">
            <v>7.3</v>
          </cell>
          <cell r="O96">
            <v>16.515000000000001</v>
          </cell>
          <cell r="P96">
            <v>3245</v>
          </cell>
          <cell r="Q96">
            <v>4554990</v>
          </cell>
          <cell r="R96">
            <v>0.85699999999999998</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4">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a>
  <a r="1" c="224">
    <v>238.55</v>
    <v>234.85</v>
    <v>239.25</v>
    <v>243.3</v>
    <v>244.75</v>
    <v>245.15</v>
    <v>245.85</v>
    <v>243.9</v>
    <v>247.4</v>
    <v>253.6</v>
    <v>255.05</v>
    <v>256.85000000000002</v>
    <v>256</v>
    <v>256.75</v>
    <v>262.3</v>
    <v>262.39999999999998</v>
    <v>263.55</v>
    <v>261.39999999999998</v>
    <v>262.60000000000002</v>
    <v>267.2</v>
    <v>268.05</v>
    <v>268.5</v>
    <v>263.14999999999998</v>
    <v>267.3</v>
    <v>270.8</v>
    <v>273.64999999999998</v>
    <v>271</v>
    <v>271.8</v>
    <v>278.35000000000002</v>
    <v>279.14999999999998</v>
    <v>280.3</v>
    <v>276.95</v>
    <v>280.10000000000002</v>
    <v>278.35000000000002</v>
    <v>276.3</v>
    <v>274.95</v>
    <v>273.60000000000002</v>
    <v>274.3</v>
    <v>272.39999999999998</v>
    <v>275.2</v>
    <v>267.5</v>
    <v>265.3</v>
    <v>271.55</v>
    <v>258.95</v>
    <v>264.7</v>
    <v>261.35000000000002</v>
    <v>254.35</v>
    <v>242.2</v>
    <v>238.65</v>
    <v>242.55</v>
    <v>236.9</v>
    <v>242.6</v>
    <v>246.7</v>
    <v>246.7</v>
    <v>248.35</v>
    <v>250.15</v>
    <v>251.95</v>
    <v>255.35</v>
    <v>258.75</v>
    <v>250.1</v>
    <v>249.25</v>
    <v>246.75</v>
    <v>244.4</v>
    <v>250.15</v>
    <v>249.1</v>
    <v>238.95</v>
    <v>231.2</v>
    <v>221.4</v>
    <v>223.8</v>
    <v>214.4</v>
    <v>230</v>
    <v>224.8</v>
    <v>228.8</v>
    <v>232.65</v>
    <v>232.35</v>
    <v>226</v>
    <v>218.5</v>
    <v>241.7</v>
    <v>241.15</v>
    <v>244.7</v>
    <v>248.8</v>
    <v>254.6</v>
    <v>255.3</v>
    <v>266.3</v>
    <v>267.35000000000002</v>
    <v>264.35000000000002</v>
    <v>261.5</v>
    <v>262.8</v>
    <v>261.64999999999998</v>
    <v>262.5</v>
    <v>262.35000000000002</v>
    <v>258</v>
    <v>263.2</v>
    <v>266.25</v>
    <v>265.45</v>
    <v>265.10000000000002</v>
    <v>265.8</v>
    <v>265.5</v>
    <v>260.55</v>
    <v>262.3</v>
    <v>265.64999999999998</v>
    <v>263.3</v>
    <v>262.45</v>
    <v>265.89999999999998</v>
    <v>264.3</v>
    <v>269.55</v>
    <v>271.3</v>
    <v>270.95</v>
    <v>272.35000000000002</v>
    <v>267.60000000000002</v>
    <v>265.7</v>
    <v>263.14999999999998</v>
    <v>261.14999999999998</v>
    <v>254.75</v>
    <v>257.45</v>
    <v>256.05</v>
    <v>252.95</v>
    <v>247.75</v>
    <v>251.15</v>
    <v>249.95</v>
    <v>254.95</v>
    <v>252.5</v>
    <v>251.65</v>
    <v>258</v>
    <v>258.14999999999998</v>
    <v>255.6</v>
    <v>253.1</v>
    <v>258.2</v>
    <v>255.5</v>
    <v>261.14999999999998</v>
    <v>264.14999999999998</v>
    <v>265.5</v>
    <v>263.10000000000002</v>
    <v>258.75</v>
    <v>258.05</v>
    <v>259.8</v>
    <v>259.95</v>
    <v>265.8</v>
    <v>264.05</v>
    <v>263.45</v>
    <v>259.5</v>
    <v>248.85</v>
    <v>246.1</v>
    <v>245</v>
    <v>244.05</v>
    <v>248.45</v>
    <v>253</v>
    <v>250.8</v>
    <v>244.65</v>
    <v>244.75</v>
    <v>246.65</v>
    <v>248.85</v>
    <v>254.75</v>
    <v>250.1</v>
    <v>249.35</v>
    <v>232</v>
    <v>239</v>
    <v>239.65</v>
    <v>237</v>
    <v>236.65</v>
    <v>236.9</v>
    <v>233.75</v>
    <v>232.15</v>
    <v>232.6</v>
    <v>233</v>
    <v>231.85</v>
    <v>236.4</v>
    <v>236.35</v>
    <v>231.7</v>
    <v>233.9</v>
    <v>227.25</v>
    <v>231.35</v>
    <v>233.2</v>
    <v>228.25</v>
    <v>230.45</v>
    <v>230.3</v>
    <v>223.7</v>
    <v>219.8</v>
    <v>220.9</v>
    <v>214.65</v>
    <v>210.95</v>
    <v>217.7</v>
    <v>229.5</v>
    <v>227.55</v>
    <v>224.7</v>
    <v>226.2</v>
    <v>228</v>
    <v>225.2</v>
    <v>225.15</v>
    <v>225.55</v>
    <v>227.9</v>
    <v>227.8</v>
    <v>232.1</v>
    <v>230.15</v>
    <v>231.6</v>
    <v>235</v>
    <v>237.2</v>
    <v>237.8</v>
    <v>230.55</v>
    <v>231.4</v>
    <v>232.7</v>
    <v>234.2</v>
    <v>233.2</v>
    <v>230.95</v>
    <v>238.6</v>
    <v>240.4</v>
    <v>236.85</v>
    <v>242</v>
    <v>233.35</v>
    <v>235.55</v>
    <v>234.1</v>
    <v>224.3</v>
    <v>225.85</v>
    <v>224.45</v>
    <v>228.85</v>
    <v>226.05</v>
    <v>227.95</v>
    <v>217.95</v>
    <v>215.65</v>
    <v>216.25</v>
    <v>217.05</v>
    <v>218.4</v>
    <v>218.1</v>
    <v>211.1</v>
  </a>
</arrayData>
</file>

<file path=xl/richData/rdrichvalue.xml><?xml version="1.0" encoding="utf-8"?>
<rvData xmlns="http://schemas.microsoft.com/office/spreadsheetml/2017/richdata" count="435">
  <rv s="0">
    <fb>45975</fb>
    <v>0</v>
  </rv>
  <rv s="0">
    <fb>211.1</fb>
    <v>1</v>
  </rv>
  <rv s="0">
    <fb>45659</fb>
    <v>0</v>
  </rv>
  <rv s="0">
    <fb>238.55</fb>
    <v>1</v>
  </rv>
  <rv s="0">
    <fb>45974</fb>
    <v>0</v>
  </rv>
  <rv s="0">
    <fb>218.1</fb>
    <v>1</v>
  </rv>
  <rv s="0">
    <fb>45660</fb>
    <v>0</v>
  </rv>
  <rv s="0">
    <fb>234.85</fb>
    <v>1</v>
  </rv>
  <rv s="0">
    <fb>45973</fb>
    <v>0</v>
  </rv>
  <rv s="0">
    <fb>218.4</fb>
    <v>1</v>
  </rv>
  <rv s="0">
    <fb>45663</fb>
    <v>0</v>
  </rv>
  <rv s="0">
    <fb>239.25</fb>
    <v>1</v>
  </rv>
  <rv s="0">
    <fb>45972</fb>
    <v>0</v>
  </rv>
  <rv s="0">
    <fb>217.05</fb>
    <v>1</v>
  </rv>
  <rv s="0">
    <fb>45664</fb>
    <v>0</v>
  </rv>
  <rv s="0">
    <fb>243.3</fb>
    <v>1</v>
  </rv>
  <rv s="0">
    <fb>45971</fb>
    <v>0</v>
  </rv>
  <rv s="0">
    <fb>216.25</fb>
    <v>1</v>
  </rv>
  <rv s="0">
    <fb>45665</fb>
    <v>0</v>
  </rv>
  <rv s="0">
    <fb>244.75</fb>
    <v>1</v>
  </rv>
  <rv s="0">
    <fb>45968</fb>
    <v>0</v>
  </rv>
  <rv s="0">
    <fb>215.65</fb>
    <v>1</v>
  </rv>
  <rv s="0">
    <fb>45666</fb>
    <v>0</v>
  </rv>
  <rv s="0">
    <fb>245.15</fb>
    <v>1</v>
  </rv>
  <rv s="0">
    <fb>45967</fb>
    <v>0</v>
  </rv>
  <rv s="0">
    <fb>217.95</fb>
    <v>1</v>
  </rv>
  <rv s="0">
    <fb>45667</fb>
    <v>0</v>
  </rv>
  <rv s="0">
    <fb>245.85</fb>
    <v>1</v>
  </rv>
  <rv s="0">
    <fb>45966</fb>
    <v>0</v>
  </rv>
  <rv s="0">
    <fb>227.95</fb>
    <v>1</v>
  </rv>
  <rv s="0">
    <fb>45670</fb>
    <v>0</v>
  </rv>
  <rv s="0">
    <fb>243.9</fb>
    <v>1</v>
  </rv>
  <rv s="0">
    <fb>45965</fb>
    <v>0</v>
  </rv>
  <rv s="0">
    <fb>226.05</fb>
    <v>1</v>
  </rv>
  <rv s="0">
    <fb>45671</fb>
    <v>0</v>
  </rv>
  <rv s="0">
    <fb>247.4</fb>
    <v>1</v>
  </rv>
  <rv s="0">
    <fb>45964</fb>
    <v>0</v>
  </rv>
  <rv s="0">
    <fb>228.85</fb>
    <v>1</v>
  </rv>
  <rv s="0">
    <fb>45672</fb>
    <v>0</v>
  </rv>
  <rv s="0">
    <fb>253.6</fb>
    <v>1</v>
  </rv>
  <rv s="0">
    <fb>45961</fb>
    <v>0</v>
  </rv>
  <rv s="0">
    <fb>224.45</fb>
    <v>1</v>
  </rv>
  <rv s="0">
    <fb>45673</fb>
    <v>0</v>
  </rv>
  <rv s="0">
    <fb>255.05</fb>
    <v>1</v>
  </rv>
  <rv s="0">
    <fb>45960</fb>
    <v>0</v>
  </rv>
  <rv s="0">
    <fb>225.85</fb>
    <v>1</v>
  </rv>
  <rv s="0">
    <fb>45674</fb>
    <v>0</v>
  </rv>
  <rv s="0">
    <fb>256.85000000000002</fb>
    <v>1</v>
  </rv>
  <rv s="0">
    <fb>45959</fb>
    <v>0</v>
  </rv>
  <rv s="0">
    <fb>224.3</fb>
    <v>1</v>
  </rv>
  <rv s="0">
    <fb>45677</fb>
    <v>0</v>
  </rv>
  <rv s="0">
    <fb>256</fb>
    <v>1</v>
  </rv>
  <rv s="0">
    <fb>45958</fb>
    <v>0</v>
  </rv>
  <rv s="0">
    <fb>234.1</fb>
    <v>1</v>
  </rv>
  <rv s="0">
    <fb>45678</fb>
    <v>0</v>
  </rv>
  <rv s="0">
    <fb>256.75</fb>
    <v>1</v>
  </rv>
  <rv s="0">
    <fb>45957</fb>
    <v>0</v>
  </rv>
  <rv s="0">
    <fb>235.55</fb>
    <v>1</v>
  </rv>
  <rv s="0">
    <fb>45679</fb>
    <v>0</v>
  </rv>
  <rv s="0">
    <fb>262.3</fb>
    <v>1</v>
  </rv>
  <rv s="0">
    <fb>45954</fb>
    <v>0</v>
  </rv>
  <rv s="0">
    <fb>233.35</fb>
    <v>1</v>
  </rv>
  <rv s="0">
    <fb>45680</fb>
    <v>0</v>
  </rv>
  <rv s="0">
    <fb>262.39999999999998</fb>
    <v>1</v>
  </rv>
  <rv s="0">
    <fb>45953</fb>
    <v>0</v>
  </rv>
  <rv s="0">
    <fb>242</fb>
    <v>1</v>
  </rv>
  <rv s="0">
    <fb>45681</fb>
    <v>0</v>
  </rv>
  <rv s="0">
    <fb>263.55</fb>
    <v>1</v>
  </rv>
  <rv s="0">
    <fb>45952</fb>
    <v>0</v>
  </rv>
  <rv s="0">
    <fb>236.85</fb>
    <v>1</v>
  </rv>
  <rv s="0">
    <fb>45684</fb>
    <v>0</v>
  </rv>
  <rv s="0">
    <fb>261.39999999999998</fb>
    <v>1</v>
  </rv>
  <rv s="0">
    <fb>45951</fb>
    <v>0</v>
  </rv>
  <rv s="0">
    <fb>240.4</fb>
    <v>1</v>
  </rv>
  <rv s="0">
    <fb>45685</fb>
    <v>0</v>
  </rv>
  <rv s="0">
    <fb>262.60000000000002</fb>
    <v>1</v>
  </rv>
  <rv s="0">
    <fb>45950</fb>
    <v>0</v>
  </rv>
  <rv s="0">
    <fb>238.6</fb>
    <v>1</v>
  </rv>
  <rv s="0">
    <fb>45686</fb>
    <v>0</v>
  </rv>
  <rv s="0">
    <fb>267.2</fb>
    <v>1</v>
  </rv>
  <rv s="0">
    <fb>45947</fb>
    <v>0</v>
  </rv>
  <rv s="0">
    <fb>230.95</fb>
    <v>1</v>
  </rv>
  <rv s="0">
    <fb>45687</fb>
    <v>0</v>
  </rv>
  <rv s="0">
    <fb>268.05</fb>
    <v>1</v>
  </rv>
  <rv s="0">
    <fb>45946</fb>
    <v>0</v>
  </rv>
  <rv s="0">
    <fb>233.2</fb>
    <v>1</v>
  </rv>
  <rv s="0">
    <fb>45688</fb>
    <v>0</v>
  </rv>
  <rv s="0">
    <fb>268.5</fb>
    <v>1</v>
  </rv>
  <rv s="0">
    <fb>45945</fb>
    <v>0</v>
  </rv>
  <rv s="0">
    <fb>234.2</fb>
    <v>1</v>
  </rv>
  <rv s="0">
    <fb>45691</fb>
    <v>0</v>
  </rv>
  <rv s="0">
    <fb>263.14999999999998</fb>
    <v>1</v>
  </rv>
  <rv s="0">
    <fb>45944</fb>
    <v>0</v>
  </rv>
  <rv s="0">
    <fb>232.7</fb>
    <v>1</v>
  </rv>
  <rv s="0">
    <fb>45692</fb>
    <v>0</v>
  </rv>
  <rv s="0">
    <fb>267.3</fb>
    <v>1</v>
  </rv>
  <rv s="0">
    <fb>45943</fb>
    <v>0</v>
  </rv>
  <rv s="0">
    <fb>231.4</fb>
    <v>1</v>
  </rv>
  <rv s="0">
    <fb>45693</fb>
    <v>0</v>
  </rv>
  <rv s="0">
    <fb>270.8</fb>
    <v>1</v>
  </rv>
  <rv s="0">
    <fb>45940</fb>
    <v>0</v>
  </rv>
  <rv s="0">
    <fb>230.55</fb>
    <v>1</v>
  </rv>
  <rv s="0">
    <fb>45694</fb>
    <v>0</v>
  </rv>
  <rv s="0">
    <fb>273.64999999999998</fb>
    <v>1</v>
  </rv>
  <rv s="0">
    <fb>45939</fb>
    <v>0</v>
  </rv>
  <rv s="0">
    <fb>237.8</fb>
    <v>1</v>
  </rv>
  <rv s="0">
    <fb>45695</fb>
    <v>0</v>
  </rv>
  <rv s="0">
    <fb>271</fb>
    <v>1</v>
  </rv>
  <rv s="0">
    <fb>45938</fb>
    <v>0</v>
  </rv>
  <rv s="0">
    <fb>237.2</fb>
    <v>1</v>
  </rv>
  <rv s="0">
    <fb>45698</fb>
    <v>0</v>
  </rv>
  <rv s="0">
    <fb>271.8</fb>
    <v>1</v>
  </rv>
  <rv s="0">
    <fb>45937</fb>
    <v>0</v>
  </rv>
  <rv s="0">
    <fb>235</fb>
    <v>1</v>
  </rv>
  <rv s="0">
    <fb>45699</fb>
    <v>0</v>
  </rv>
  <rv s="0">
    <fb>278.35000000000002</fb>
    <v>1</v>
  </rv>
  <rv s="0">
    <fb>45936</fb>
    <v>0</v>
  </rv>
  <rv s="0">
    <fb>231.6</fb>
    <v>1</v>
  </rv>
  <rv s="0">
    <fb>45700</fb>
    <v>0</v>
  </rv>
  <rv s="0">
    <fb>279.14999999999998</fb>
    <v>1</v>
  </rv>
  <rv s="0">
    <fb>45933</fb>
    <v>0</v>
  </rv>
  <rv s="0">
    <fb>230.15</fb>
    <v>1</v>
  </rv>
  <rv s="0">
    <fb>45701</fb>
    <v>0</v>
  </rv>
  <rv s="0">
    <fb>280.3</fb>
    <v>1</v>
  </rv>
  <rv s="0">
    <fb>45932</fb>
    <v>0</v>
  </rv>
  <rv s="0">
    <fb>232.1</fb>
    <v>1</v>
  </rv>
  <rv s="0">
    <fb>45702</fb>
    <v>0</v>
  </rv>
  <rv s="0">
    <fb>276.95</fb>
    <v>1</v>
  </rv>
  <rv s="0">
    <fb>45931</fb>
    <v>0</v>
  </rv>
  <rv s="0">
    <fb>227.8</fb>
    <v>1</v>
  </rv>
  <rv s="0">
    <fb>45705</fb>
    <v>0</v>
  </rv>
  <rv s="0">
    <fb>280.10000000000002</fb>
    <v>1</v>
  </rv>
  <rv s="0">
    <fb>45930</fb>
    <v>0</v>
  </rv>
  <rv s="0">
    <fb>227.9</fb>
    <v>1</v>
  </rv>
  <rv s="0">
    <fb>45706</fb>
    <v>0</v>
  </rv>
  <rv s="0">
    <fb>45929</fb>
    <v>0</v>
  </rv>
  <rv s="0">
    <fb>225.55</fb>
    <v>1</v>
  </rv>
  <rv s="0">
    <fb>45707</fb>
    <v>0</v>
  </rv>
  <rv s="0">
    <fb>276.3</fb>
    <v>1</v>
  </rv>
  <rv s="0">
    <fb>45926</fb>
    <v>0</v>
  </rv>
  <rv s="0">
    <fb>225.15</fb>
    <v>1</v>
  </rv>
  <rv s="0">
    <fb>45708</fb>
    <v>0</v>
  </rv>
  <rv s="0">
    <fb>274.95</fb>
    <v>1</v>
  </rv>
  <rv s="0">
    <fb>45925</fb>
    <v>0</v>
  </rv>
  <rv s="0">
    <fb>225.2</fb>
    <v>1</v>
  </rv>
  <rv s="0">
    <fb>45709</fb>
    <v>0</v>
  </rv>
  <rv s="0">
    <fb>273.60000000000002</fb>
    <v>1</v>
  </rv>
  <rv s="0">
    <fb>45924</fb>
    <v>0</v>
  </rv>
  <rv s="0">
    <fb>228</fb>
    <v>1</v>
  </rv>
  <rv s="0">
    <fb>45712</fb>
    <v>0</v>
  </rv>
  <rv s="0">
    <fb>274.3</fb>
    <v>1</v>
  </rv>
  <rv s="0">
    <fb>45923</fb>
    <v>0</v>
  </rv>
  <rv s="0">
    <fb>226.2</fb>
    <v>1</v>
  </rv>
  <rv s="0">
    <fb>45713</fb>
    <v>0</v>
  </rv>
  <rv s="0">
    <fb>272.39999999999998</fb>
    <v>1</v>
  </rv>
  <rv s="0">
    <fb>45922</fb>
    <v>0</v>
  </rv>
  <rv s="0">
    <fb>224.7</fb>
    <v>1</v>
  </rv>
  <rv s="0">
    <fb>45714</fb>
    <v>0</v>
  </rv>
  <rv s="0">
    <fb>275.2</fb>
    <v>1</v>
  </rv>
  <rv s="0">
    <fb>45919</fb>
    <v>0</v>
  </rv>
  <rv s="0">
    <fb>227.55</fb>
    <v>1</v>
  </rv>
  <rv s="0">
    <fb>45715</fb>
    <v>0</v>
  </rv>
  <rv s="0">
    <fb>267.5</fb>
    <v>1</v>
  </rv>
  <rv s="0">
    <fb>45918</fb>
    <v>0</v>
  </rv>
  <rv s="0">
    <fb>229.5</fb>
    <v>1</v>
  </rv>
  <rv s="0">
    <fb>45716</fb>
    <v>0</v>
  </rv>
  <rv s="0">
    <fb>265.3</fb>
    <v>1</v>
  </rv>
  <rv s="0">
    <fb>45917</fb>
    <v>0</v>
  </rv>
  <rv s="0">
    <fb>217.7</fb>
    <v>1</v>
  </rv>
  <rv s="0">
    <fb>45719</fb>
    <v>0</v>
  </rv>
  <rv s="0">
    <fb>271.55</fb>
    <v>1</v>
  </rv>
  <rv s="0">
    <fb>45916</fb>
    <v>0</v>
  </rv>
  <rv s="0">
    <fb>210.95</fb>
    <v>1</v>
  </rv>
  <rv s="0">
    <fb>45720</fb>
    <v>0</v>
  </rv>
  <rv s="0">
    <fb>258.95</fb>
    <v>1</v>
  </rv>
  <rv s="0">
    <fb>45915</fb>
    <v>0</v>
  </rv>
  <rv s="0">
    <fb>214.65</fb>
    <v>1</v>
  </rv>
  <rv s="0">
    <fb>45721</fb>
    <v>0</v>
  </rv>
  <rv s="0">
    <fb>264.7</fb>
    <v>1</v>
  </rv>
  <rv s="0">
    <fb>45912</fb>
    <v>0</v>
  </rv>
  <rv s="0">
    <fb>220.9</fb>
    <v>1</v>
  </rv>
  <rv s="0">
    <fb>45722</fb>
    <v>0</v>
  </rv>
  <rv s="0">
    <fb>261.35000000000002</fb>
    <v>1</v>
  </rv>
  <rv s="0">
    <fb>45911</fb>
    <v>0</v>
  </rv>
  <rv s="0">
    <fb>219.8</fb>
    <v>1</v>
  </rv>
  <rv s="0">
    <fb>45723</fb>
    <v>0</v>
  </rv>
  <rv s="0">
    <fb>254.35</fb>
    <v>1</v>
  </rv>
  <rv s="0">
    <fb>45910</fb>
    <v>0</v>
  </rv>
  <rv s="0">
    <fb>223.7</fb>
    <v>1</v>
  </rv>
  <rv s="0">
    <fb>45726</fb>
    <v>0</v>
  </rv>
  <rv s="0">
    <fb>242.2</fb>
    <v>1</v>
  </rv>
  <rv s="0">
    <fb>45909</fb>
    <v>0</v>
  </rv>
  <rv s="0">
    <fb>230.3</fb>
    <v>1</v>
  </rv>
  <rv s="0">
    <fb>45727</fb>
    <v>0</v>
  </rv>
  <rv s="0">
    <fb>238.65</fb>
    <v>1</v>
  </rv>
  <rv s="0">
    <fb>45908</fb>
    <v>0</v>
  </rv>
  <rv s="0">
    <fb>230.45</fb>
    <v>1</v>
  </rv>
  <rv s="0">
    <fb>45728</fb>
    <v>0</v>
  </rv>
  <rv s="0">
    <fb>242.55</fb>
    <v>1</v>
  </rv>
  <rv s="0">
    <fb>45905</fb>
    <v>0</v>
  </rv>
  <rv s="0">
    <fb>228.25</fb>
    <v>1</v>
  </rv>
  <rv s="0">
    <fb>45729</fb>
    <v>0</v>
  </rv>
  <rv s="0">
    <fb>236.9</fb>
    <v>1</v>
  </rv>
  <rv s="0">
    <fb>45904</fb>
    <v>0</v>
  </rv>
  <rv s="0">
    <fb>45730</fb>
    <v>0</v>
  </rv>
  <rv s="0">
    <fb>242.6</fb>
    <v>1</v>
  </rv>
  <rv s="0">
    <fb>45903</fb>
    <v>0</v>
  </rv>
  <rv s="0">
    <fb>231.35</fb>
    <v>1</v>
  </rv>
  <rv s="0">
    <fb>45733</fb>
    <v>0</v>
  </rv>
  <rv s="0">
    <fb>246.7</fb>
    <v>1</v>
  </rv>
  <rv s="0">
    <fb>45902</fb>
    <v>0</v>
  </rv>
  <rv s="0">
    <fb>227.25</fb>
    <v>1</v>
  </rv>
  <rv s="0">
    <fb>45734</fb>
    <v>0</v>
  </rv>
  <rv s="0">
    <fb>45901</fb>
    <v>0</v>
  </rv>
  <rv s="0">
    <fb>233.9</fb>
    <v>1</v>
  </rv>
  <rv s="0">
    <fb>45735</fb>
    <v>0</v>
  </rv>
  <rv s="0">
    <fb>248.35</fb>
    <v>1</v>
  </rv>
  <rv s="0">
    <fb>45898</fb>
    <v>0</v>
  </rv>
  <rv s="0">
    <fb>231.7</fb>
    <v>1</v>
  </rv>
  <rv s="0">
    <fb>45736</fb>
    <v>0</v>
  </rv>
  <rv s="0">
    <fb>250.15</fb>
    <v>1</v>
  </rv>
  <rv s="0">
    <fb>45897</fb>
    <v>0</v>
  </rv>
  <rv s="0">
    <fb>236.35</fb>
    <v>1</v>
  </rv>
  <rv s="0">
    <fb>45737</fb>
    <v>0</v>
  </rv>
  <rv s="0">
    <fb>251.95</fb>
    <v>1</v>
  </rv>
  <rv s="0">
    <fb>45896</fb>
    <v>0</v>
  </rv>
  <rv s="0">
    <fb>236.4</fb>
    <v>1</v>
  </rv>
  <rv s="0">
    <fb>45740</fb>
    <v>0</v>
  </rv>
  <rv s="0">
    <fb>255.35</fb>
    <v>1</v>
  </rv>
  <rv s="0">
    <fb>45895</fb>
    <v>0</v>
  </rv>
  <rv s="0">
    <fb>231.85</fb>
    <v>1</v>
  </rv>
  <rv s="0">
    <fb>45741</fb>
    <v>0</v>
  </rv>
  <rv s="0">
    <fb>258.75</fb>
    <v>1</v>
  </rv>
  <rv s="0">
    <fb>45894</fb>
    <v>0</v>
  </rv>
  <rv s="0">
    <fb>233</fb>
    <v>1</v>
  </rv>
  <rv s="0">
    <fb>45742</fb>
    <v>0</v>
  </rv>
  <rv s="0">
    <fb>250.1</fb>
    <v>1</v>
  </rv>
  <rv s="0">
    <fb>45891</fb>
    <v>0</v>
  </rv>
  <rv s="0">
    <fb>232.6</fb>
    <v>1</v>
  </rv>
  <rv s="0">
    <fb>45743</fb>
    <v>0</v>
  </rv>
  <rv s="0">
    <fb>249.25</fb>
    <v>1</v>
  </rv>
  <rv s="0">
    <fb>45890</fb>
    <v>0</v>
  </rv>
  <rv s="0">
    <fb>232.15</fb>
    <v>1</v>
  </rv>
  <rv s="0">
    <fb>45744</fb>
    <v>0</v>
  </rv>
  <rv s="0">
    <fb>246.75</fb>
    <v>1</v>
  </rv>
  <rv s="0">
    <fb>45889</fb>
    <v>0</v>
  </rv>
  <rv s="0">
    <fb>233.75</fb>
    <v>1</v>
  </rv>
  <rv s="0">
    <fb>45747</fb>
    <v>0</v>
  </rv>
  <rv s="0">
    <fb>244.4</fb>
    <v>1</v>
  </rv>
  <rv s="0">
    <fb>45888</fb>
    <v>0</v>
  </rv>
  <rv s="0">
    <fb>45748</fb>
    <v>0</v>
  </rv>
  <rv s="0">
    <fb>45887</fb>
    <v>0</v>
  </rv>
  <rv s="0">
    <fb>236.65</fb>
    <v>1</v>
  </rv>
  <rv s="0">
    <fb>45749</fb>
    <v>0</v>
  </rv>
  <rv s="0">
    <fb>249.1</fb>
    <v>1</v>
  </rv>
  <rv s="0">
    <fb>45884</fb>
    <v>0</v>
  </rv>
  <rv s="0">
    <fb>237</fb>
    <v>1</v>
  </rv>
  <rv s="0">
    <fb>45750</fb>
    <v>0</v>
  </rv>
  <rv s="0">
    <fb>238.95</fb>
    <v>1</v>
  </rv>
  <rv s="0">
    <fb>45883</fb>
    <v>0</v>
  </rv>
  <rv s="0">
    <fb>239.65</fb>
    <v>1</v>
  </rv>
  <rv s="0">
    <fb>45751</fb>
    <v>0</v>
  </rv>
  <rv s="0">
    <fb>231.2</fb>
    <v>1</v>
  </rv>
  <rv s="0">
    <fb>45882</fb>
    <v>0</v>
  </rv>
  <rv s="0">
    <fb>239</fb>
    <v>1</v>
  </rv>
  <rv s="0">
    <fb>45754</fb>
    <v>0</v>
  </rv>
  <rv s="0">
    <fb>221.4</fb>
    <v>1</v>
  </rv>
  <rv s="0">
    <fb>45881</fb>
    <v>0</v>
  </rv>
  <rv s="0">
    <fb>232</fb>
    <v>1</v>
  </rv>
  <rv s="0">
    <fb>45755</fb>
    <v>0</v>
  </rv>
  <rv s="0">
    <fb>223.8</fb>
    <v>1</v>
  </rv>
  <rv s="0">
    <fb>45880</fb>
    <v>0</v>
  </rv>
  <rv s="0">
    <fb>249.35</fb>
    <v>1</v>
  </rv>
  <rv s="0">
    <fb>45756</fb>
    <v>0</v>
  </rv>
  <rv s="0">
    <fb>214.4</fb>
    <v>1</v>
  </rv>
  <rv s="0">
    <fb>45877</fb>
    <v>0</v>
  </rv>
  <rv s="0">
    <fb>45757</fb>
    <v>0</v>
  </rv>
  <rv s="0">
    <fb>230</fb>
    <v>1</v>
  </rv>
  <rv s="0">
    <fb>45876</fb>
    <v>0</v>
  </rv>
  <rv s="0">
    <fb>254.75</fb>
    <v>1</v>
  </rv>
  <rv s="0">
    <fb>45758</fb>
    <v>0</v>
  </rv>
  <rv s="0">
    <fb>224.8</fb>
    <v>1</v>
  </rv>
  <rv s="0">
    <fb>45875</fb>
    <v>0</v>
  </rv>
  <rv s="0">
    <fb>248.85</fb>
    <v>1</v>
  </rv>
  <rv s="0">
    <fb>45761</fb>
    <v>0</v>
  </rv>
  <rv s="0">
    <fb>228.8</fb>
    <v>1</v>
  </rv>
  <rv s="0">
    <fb>45874</fb>
    <v>0</v>
  </rv>
  <rv s="0">
    <fb>246.65</fb>
    <v>1</v>
  </rv>
  <rv s="0">
    <fb>45762</fb>
    <v>0</v>
  </rv>
  <rv s="0">
    <fb>232.65</fb>
    <v>1</v>
  </rv>
  <rv s="0">
    <fb>45873</fb>
    <v>0</v>
  </rv>
  <rv s="0">
    <fb>45763</fb>
    <v>0</v>
  </rv>
  <rv s="0">
    <fb>232.35</fb>
    <v>1</v>
  </rv>
  <rv s="0">
    <fb>45870</fb>
    <v>0</v>
  </rv>
  <rv s="0">
    <fb>244.65</fb>
    <v>1</v>
  </rv>
  <rv s="0">
    <fb>45764</fb>
    <v>0</v>
  </rv>
  <rv s="0">
    <fb>226</fb>
    <v>1</v>
  </rv>
  <rv s="0">
    <fb>45869</fb>
    <v>0</v>
  </rv>
  <rv s="0">
    <fb>250.8</fb>
    <v>1</v>
  </rv>
  <rv s="0">
    <fb>45769</fb>
    <v>0</v>
  </rv>
  <rv s="0">
    <fb>218.5</fb>
    <v>1</v>
  </rv>
  <rv s="0">
    <fb>45868</fb>
    <v>0</v>
  </rv>
  <rv s="0">
    <fb>253</fb>
    <v>1</v>
  </rv>
  <rv s="0">
    <fb>45770</fb>
    <v>0</v>
  </rv>
  <rv s="0">
    <fb>241.7</fb>
    <v>1</v>
  </rv>
  <rv s="0">
    <fb>45867</fb>
    <v>0</v>
  </rv>
  <rv s="0">
    <fb>248.45</fb>
    <v>1</v>
  </rv>
  <rv s="0">
    <fb>45771</fb>
    <v>0</v>
  </rv>
  <rv s="0">
    <fb>241.15</fb>
    <v>1</v>
  </rv>
  <rv s="0">
    <fb>45866</fb>
    <v>0</v>
  </rv>
  <rv s="0">
    <fb>244.05</fb>
    <v>1</v>
  </rv>
  <rv s="0">
    <fb>45772</fb>
    <v>0</v>
  </rv>
  <rv s="0">
    <fb>244.7</fb>
    <v>1</v>
  </rv>
  <rv s="0">
    <fb>45863</fb>
    <v>0</v>
  </rv>
  <rv s="0">
    <fb>245</fb>
    <v>1</v>
  </rv>
  <rv s="0">
    <fb>45775</fb>
    <v>0</v>
  </rv>
  <rv s="0">
    <fb>248.8</fb>
    <v>1</v>
  </rv>
  <rv s="0">
    <fb>45862</fb>
    <v>0</v>
  </rv>
  <rv s="0">
    <fb>246.1</fb>
    <v>1</v>
  </rv>
  <rv s="0">
    <fb>45776</fb>
    <v>0</v>
  </rv>
  <rv s="0">
    <fb>254.6</fb>
    <v>1</v>
  </rv>
  <rv s="0">
    <fb>45861</fb>
    <v>0</v>
  </rv>
  <rv s="0">
    <fb>45777</fb>
    <v>0</v>
  </rv>
  <rv s="0">
    <fb>255.3</fb>
    <v>1</v>
  </rv>
  <rv s="0">
    <fb>45860</fb>
    <v>0</v>
  </rv>
  <rv s="0">
    <fb>259.5</fb>
    <v>1</v>
  </rv>
  <rv s="0">
    <fb>45779</fb>
    <v>0</v>
  </rv>
  <rv s="0">
    <fb>266.3</fb>
    <v>1</v>
  </rv>
  <rv s="0">
    <fb>45859</fb>
    <v>0</v>
  </rv>
  <rv s="0">
    <fb>263.45</fb>
    <v>1</v>
  </rv>
  <rv s="0">
    <fb>45782</fb>
    <v>0</v>
  </rv>
  <rv s="0">
    <fb>267.35000000000002</fb>
    <v>1</v>
  </rv>
  <rv s="0">
    <fb>45856</fb>
    <v>0</v>
  </rv>
  <rv s="0">
    <fb>264.05</fb>
    <v>1</v>
  </rv>
  <rv s="0">
    <fb>45783</fb>
    <v>0</v>
  </rv>
  <rv s="0">
    <fb>264.35000000000002</fb>
    <v>1</v>
  </rv>
  <rv s="0">
    <fb>45855</fb>
    <v>0</v>
  </rv>
  <rv s="0">
    <fb>265.8</fb>
    <v>1</v>
  </rv>
  <rv s="0">
    <fb>45784</fb>
    <v>0</v>
  </rv>
  <rv s="0">
    <fb>261.5</fb>
    <v>1</v>
  </rv>
  <rv s="0">
    <fb>45854</fb>
    <v>0</v>
  </rv>
  <rv s="0">
    <fb>259.95</fb>
    <v>1</v>
  </rv>
  <rv s="0">
    <fb>45785</fb>
    <v>0</v>
  </rv>
  <rv s="0">
    <fb>262.8</fb>
    <v>1</v>
  </rv>
  <rv s="0">
    <fb>45853</fb>
    <v>0</v>
  </rv>
  <rv s="0">
    <fb>259.8</fb>
    <v>1</v>
  </rv>
  <rv s="0">
    <fb>45786</fb>
    <v>0</v>
  </rv>
  <rv s="0">
    <fb>261.64999999999998</fb>
    <v>1</v>
  </rv>
  <rv s="0">
    <fb>45852</fb>
    <v>0</v>
  </rv>
  <rv s="0">
    <fb>258.05</fb>
    <v>1</v>
  </rv>
  <rv s="0">
    <fb>45789</fb>
    <v>0</v>
  </rv>
  <rv s="0">
    <fb>262.5</fb>
    <v>1</v>
  </rv>
  <rv s="0">
    <fb>45849</fb>
    <v>0</v>
  </rv>
  <rv s="0">
    <fb>45790</fb>
    <v>0</v>
  </rv>
  <rv s="0">
    <fb>262.35000000000002</fb>
    <v>1</v>
  </rv>
  <rv s="0">
    <fb>45848</fb>
    <v>0</v>
  </rv>
  <rv s="0">
    <fb>263.10000000000002</fb>
    <v>1</v>
  </rv>
  <rv s="0">
    <fb>45791</fb>
    <v>0</v>
  </rv>
  <rv s="0">
    <fb>258</fb>
    <v>1</v>
  </rv>
  <rv s="0">
    <fb>45847</fb>
    <v>0</v>
  </rv>
  <rv s="0">
    <fb>265.5</fb>
    <v>1</v>
  </rv>
  <rv s="0">
    <fb>45792</fb>
    <v>0</v>
  </rv>
  <rv s="0">
    <fb>263.2</fb>
    <v>1</v>
  </rv>
  <rv s="0">
    <fb>45846</fb>
    <v>0</v>
  </rv>
  <rv s="0">
    <fb>264.14999999999998</fb>
    <v>1</v>
  </rv>
  <rv s="0">
    <fb>45793</fb>
    <v>0</v>
  </rv>
  <rv s="0">
    <fb>266.25</fb>
    <v>1</v>
  </rv>
  <rv s="0">
    <fb>45845</fb>
    <v>0</v>
  </rv>
  <rv s="0">
    <fb>261.14999999999998</fb>
    <v>1</v>
  </rv>
  <rv s="0">
    <fb>45796</fb>
    <v>0</v>
  </rv>
  <rv s="0">
    <fb>265.45</fb>
    <v>1</v>
  </rv>
  <rv s="0">
    <fb>45842</fb>
    <v>0</v>
  </rv>
  <rv s="0">
    <fb>255.5</fb>
    <v>1</v>
  </rv>
  <rv s="0">
    <fb>45797</fb>
    <v>0</v>
  </rv>
  <rv s="0">
    <fb>265.10000000000002</fb>
    <v>1</v>
  </rv>
  <rv s="0">
    <fb>45841</fb>
    <v>0</v>
  </rv>
  <rv s="0">
    <fb>258.2</fb>
    <v>1</v>
  </rv>
  <rv s="0">
    <fb>45798</fb>
    <v>0</v>
  </rv>
  <rv s="0">
    <fb>45840</fb>
    <v>0</v>
  </rv>
  <rv s="0">
    <fb>253.1</fb>
    <v>1</v>
  </rv>
  <rv s="0">
    <fb>45799</fb>
    <v>0</v>
  </rv>
  <rv s="0">
    <fb>45839</fb>
    <v>0</v>
  </rv>
  <rv s="0">
    <fb>255.6</fb>
    <v>1</v>
  </rv>
  <rv s="0">
    <fb>45800</fb>
    <v>0</v>
  </rv>
  <rv s="0">
    <fb>260.55</fb>
    <v>1</v>
  </rv>
  <rv s="0">
    <fb>45838</fb>
    <v>0</v>
  </rv>
  <rv s="0">
    <fb>258.14999999999998</fb>
    <v>1</v>
  </rv>
  <rv s="0">
    <fb>45803</fb>
    <v>0</v>
  </rv>
  <rv s="0">
    <fb>45835</fb>
    <v>0</v>
  </rv>
  <rv s="0">
    <fb>45804</fb>
    <v>0</v>
  </rv>
  <rv s="0">
    <fb>265.64999999999998</fb>
    <v>1</v>
  </rv>
  <rv s="0">
    <fb>45834</fb>
    <v>0</v>
  </rv>
  <rv s="0">
    <fb>251.65</fb>
    <v>1</v>
  </rv>
  <rv s="0">
    <fb>45805</fb>
    <v>0</v>
  </rv>
  <rv s="0">
    <fb>263.3</fb>
    <v>1</v>
  </rv>
  <rv s="0">
    <fb>45833</fb>
    <v>0</v>
  </rv>
  <rv s="0">
    <fb>252.5</fb>
    <v>1</v>
  </rv>
  <rv s="0">
    <fb>45806</fb>
    <v>0</v>
  </rv>
  <rv s="0">
    <fb>262.45</fb>
    <v>1</v>
  </rv>
  <rv s="0">
    <fb>45832</fb>
    <v>0</v>
  </rv>
  <rv s="0">
    <fb>254.95</fb>
    <v>1</v>
  </rv>
  <rv s="0">
    <fb>45807</fb>
    <v>0</v>
  </rv>
  <rv s="0">
    <fb>265.89999999999998</fb>
    <v>1</v>
  </rv>
  <rv s="0">
    <fb>45831</fb>
    <v>0</v>
  </rv>
  <rv s="0">
    <fb>249.95</fb>
    <v>1</v>
  </rv>
  <rv s="0">
    <fb>45810</fb>
    <v>0</v>
  </rv>
  <rv s="0">
    <fb>264.3</fb>
    <v>1</v>
  </rv>
  <rv s="0">
    <fb>45828</fb>
    <v>0</v>
  </rv>
  <rv s="0">
    <fb>251.15</fb>
    <v>1</v>
  </rv>
  <rv s="0">
    <fb>45811</fb>
    <v>0</v>
  </rv>
  <rv s="0">
    <fb>269.55</fb>
    <v>1</v>
  </rv>
  <rv s="0">
    <fb>45827</fb>
    <v>0</v>
  </rv>
  <rv s="0">
    <fb>247.75</fb>
    <v>1</v>
  </rv>
  <rv s="0">
    <fb>45812</fb>
    <v>0</v>
  </rv>
  <rv s="0">
    <fb>271.3</fb>
    <v>1</v>
  </rv>
  <rv s="0">
    <fb>45826</fb>
    <v>0</v>
  </rv>
  <rv s="0">
    <fb>252.95</fb>
    <v>1</v>
  </rv>
  <rv s="0">
    <fb>45813</fb>
    <v>0</v>
  </rv>
  <rv s="0">
    <fb>270.95</fb>
    <v>1</v>
  </rv>
  <rv s="0">
    <fb>45825</fb>
    <v>0</v>
  </rv>
  <rv s="0">
    <fb>256.05</fb>
    <v>1</v>
  </rv>
  <rv s="0">
    <fb>45814</fb>
    <v>0</v>
  </rv>
  <rv s="0">
    <fb>272.35000000000002</fb>
    <v>1</v>
  </rv>
  <rv s="0">
    <fb>45824</fb>
    <v>0</v>
  </rv>
  <rv s="0">
    <fb>257.45</fb>
    <v>1</v>
  </rv>
  <rv s="0">
    <fb>45817</fb>
    <v>0</v>
  </rv>
  <rv s="0">
    <fb>267.60000000000002</fb>
    <v>1</v>
  </rv>
  <rv s="0">
    <fb>45821</fb>
    <v>0</v>
  </rv>
  <rv s="0">
    <fb>45818</fb>
    <v>0</v>
  </rv>
  <rv s="0">
    <fb>265.7</fb>
    <v>1</v>
  </rv>
  <rv s="0">
    <fb>45820</fb>
    <v>0</v>
  </rv>
  <rv s="0">
    <fb>45819</fb>
    <v>0</v>
  </rv>
  <rv s="1">
    <v>12</v>
    <v>0</v>
  </rv>
  <rv s="2">
    <v>12</v>
    <v>1</v>
  </rv>
  <rv s="3">
    <v>2</v>
    <v>SAP</v>
    <v>Daily</v>
    <v>45658</v>
    <v>45978</v>
    <v>0</v>
    <v>1</v>
    <v>638986752000000000,638989741813810153,0</v>
    <v>0</v>
    <v>aftlr7</v>
    <v>XETR:SAP</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8" totalsRowCount="1" headerRowDxfId="2902">
  <autoFilter ref="C20:I47" xr:uid="{715A51DA-B514-1F4B-804D-2485E44509F0}"/>
  <tableColumns count="7">
    <tableColumn id="1" xr3:uid="{0D21877A-CADF-2B42-8E32-423F99C45C4C}" name="Number" totalsRowFunction="sum" dataDxfId="2901" totalsRowDxfId="2900" dataCellStyle="Comma"/>
    <tableColumn id="2" xr3:uid="{C42DA1E3-B635-234F-A4E3-577435ABF9B8}" name="Price" dataDxfId="2899" totalsRowDxfId="2898" dataCellStyle="Comma"/>
    <tableColumn id="3" xr3:uid="{DB787670-1ECA-E445-A685-C3B2B2251296}" name="Remaining" totalsRowFunction="sum" dataDxfId="2897" totalsRowDxfId="2896" dataCellStyle="Comma"/>
    <tableColumn id="4" xr3:uid="{1DCD6947-F05F-4C4B-8C2D-DB6F309A0EEF}" name="Profit/Loss" totalsRowFunction="sum" dataDxfId="2895" totalsRowDxfId="2894" dataCellStyle="Comma"/>
    <tableColumn id="5" xr3:uid="{508DC28D-EBE5-3345-AC2B-21EC83602B2F}" name="Income" totalsRowFunction="sum" dataDxfId="2893" totalsRowDxfId="2892" dataCellStyle="Comma">
      <calculatedColumnFormula>IF(TabFIFO[[#This Row],[Price]]&gt;0,TabFIFO[[#This Row],[Number]]*TabFIFO[[#This Row],[Price]],0)*(1-Commission)*GBpScale</calculatedColumnFormula>
    </tableColumn>
    <tableColumn id="6" xr3:uid="{3628D5DD-DC22-E641-9462-F33F525D50BF}" name="Cost" totalsRowFunction="sum" dataDxfId="2891" totalsRowDxfId="2890" dataCellStyle="Comma">
      <calculatedColumnFormula>IF(TabFIFO[[#This Row],[Price]]&lt;0,TabFIFO[[#This Row],[Number]]*TabFIFO[[#This Row],[Price]],0)*(1+Commission)*GBpScale</calculatedColumnFormula>
    </tableColumn>
    <tableColumn id="7" xr3:uid="{7A2F0625-FF49-3B40-8E28-CFA71391A462}" name="M-VALUE Now" totalsRowFunction="sum" dataDxfId="2889" totalsRowDxfId="288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767" headerRowCellStyle="Comma">
  <autoFilter ref="A2:BV96" xr:uid="{ECC01DA2-60F1-BF4B-ACA3-A0F40B7E0CCC}">
    <filterColumn colId="21">
      <filters>
        <filter val="CHF"/>
        <filter val="EUR"/>
        <filter val="GBp"/>
      </filters>
    </filterColumn>
    <filterColumn colId="31">
      <filters>
        <filter val="Buy Back"/>
      </filters>
    </filterColumn>
  </autoFilter>
  <tableColumns count="74">
    <tableColumn id="2" xr3:uid="{F544B7F8-BF97-8A45-B935-F719FB8F2358}" name="Scale" totalsRowLabel="Total" dataDxfId="2766" totalsRowDxfId="2765">
      <calculatedColumnFormula>IF(_xlfn.XLOOKUP(Tab_NewTRADER[[#This Row],[ClickTick]],TabCalc[Ticker],TabCalc[Cur])="GBp",0.01,1)</calculatedColumnFormula>
    </tableColumn>
    <tableColumn id="3" xr3:uid="{A0AB56C0-34ED-7647-A2D7-CEDE051EAA0B}" name="LastBuy_RevRem_n" dataDxfId="2764" totalsRowDxfId="2763">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2" totalsRowDxfId="276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0" totalsRowDxfId="275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8" totalsRowDxfId="2757">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56" totalsRowDxfId="2755"/>
    <tableColumn id="12" xr3:uid="{9C535590-941A-F34B-A9D0-236D531EC146}" name="LastSale_RevBuy$" dataDxfId="2754" totalsRowDxfId="2753"/>
    <tableColumn id="13" xr3:uid="{7E4B2854-AD88-8F44-9B36-3527B92BFE22}" name="if_ReBuy_nSold" dataDxfId="2752" totalsRowDxfId="2751" dataCellStyle="Comma"/>
    <tableColumn id="15" xr3:uid="{42631D78-DA6A-4346-A3E3-F0F4C7D20072}" name="Rebuy2" dataDxfId="2750" totalsRowDxfId="2749" dataCellStyle="Comma"/>
    <tableColumn id="16" xr3:uid="{F090D56E-4B47-4145-BB5B-60D5505DD46A}" name="Gravity" dataDxfId="2748" totalsRowDxfId="2747" dataCellStyle="Comma">
      <calculatedColumnFormula>_xlfn.XLOOKUP(Tab_NewTRADER[[#This Row],[ClickTick]],TabCalc[Ticker],ListGravity)</calculatedColumnFormula>
    </tableColumn>
    <tableColumn id="17" xr3:uid="{927E998F-857E-BC46-B779-2EB2DE193C3E}" name="Extran" dataDxfId="2746" totalsRowDxfId="274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4" totalsRowDxfId="2743"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2" totalsRowDxfId="2741">
      <calculatedColumnFormula>_xlfn.XLOOKUP(Tab_NewTRADER[[#This Row],[ClickTick]],TabCalc[Ticker],TabCalc[Agiotage])</calculatedColumnFormula>
    </tableColumn>
    <tableColumn id="20" xr3:uid="{9EABC4C5-65FB-404F-89A5-5345EA1B7394}" name="RSI" dataDxfId="2740" totalsRowDxfId="2739" dataCellStyle="Comma">
      <calculatedColumnFormula array="1">_xlfn.XLOOKUP(Tab_NewTRADER[[#This Row],[ClickTick]],ListTickers,Tab2RSIConventional[RSIConv20])</calculatedColumnFormula>
    </tableColumn>
    <tableColumn id="11" xr3:uid="{CBE06797-F3C5-6A42-96D8-9AEB28BD7AD5}" name="Begin/Status" dataDxfId="2738" totalsRowDxfId="273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6" totalsRowDxfId="2735" dataCellStyle="Comma">
      <calculatedColumnFormula>_xlfn.XLOOKUP(Tab_NewTRADER[[#This Row],[ClickTick]],TabCalc[Ticker],TabCalc[L_Bn])</calculatedColumnFormula>
    </tableColumn>
    <tableColumn id="31" xr3:uid="{825F8E39-5F11-C847-BB1C-676AE1329220}" name="L_Bp" dataDxfId="2734" totalsRowDxfId="2733" dataCellStyle="Comma">
      <calculatedColumnFormula>_xlfn.XLOOKUP(Tab_NewTRADER[[#This Row],[ClickTick]],TabCalc[Ticker],TabCalc[L_Bp])</calculatedColumnFormula>
    </tableColumn>
    <tableColumn id="21" xr3:uid="{2641C657-2356-F646-B835-18D127562918}" name="Rev_Sale" dataDxfId="2732" totalsRowDxfId="2731">
      <calculatedColumnFormula>(Tab_NewTRADER[[#This Row],[M]]+Tab_NewTRADER[[#This Row],[L_Bp]])/ABS(Tab_NewTRADER[[#This Row],[L_Bp]])</calculatedColumnFormula>
    </tableColumn>
    <tableColumn id="22" xr3:uid="{25244692-7443-104A-9C79-1FECD84A3363}" name="Sale_Back_$" totalsRowFunction="sum" dataDxfId="2730" totalsRowDxfId="2729" dataCellStyle="Comma">
      <calculatedColumnFormula>_xlfn.XLOOKUP(Tab_NewTRADER[[#This Row],[ClickTick]],TabCalc[Ticker],TabCalc[Rev(MinStock)])*(1-Commission)</calculatedColumnFormula>
    </tableColumn>
    <tableColumn id="7" xr3:uid="{F9A3A5B8-9D64-6943-A241-C35EDDF8D0F4}" name="Agiotage" dataDxfId="2728" totalsRowDxfId="2727" dataCellStyle="Percent">
      <calculatedColumnFormula>_xlfn.XLOOKUP(Tab_NewTRADER[[#This Row],[ClickTick]],TabCalc[Ticker],TabCalc[Agiotage])</calculatedColumnFormula>
    </tableColumn>
    <tableColumn id="42" xr3:uid="{9BAC6DB6-C430-544B-BDB9-AAA15502FAEA}" name="SncOpenYest%" totalsRowFunction="sum" dataDxfId="2726" totalsRowDxfId="272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4" totalsRowDxfId="2723" dataCellStyle="Comma">
      <calculatedColumnFormula>_xlfn.XLOOKUP(Tab_NewTRADER[[#This Row],[ClickTick]],[1]!RTData[Ticker_Symbol],[1]!RTData[Currency])</calculatedColumnFormula>
    </tableColumn>
    <tableColumn id="9" xr3:uid="{5B3D0449-3083-104F-BEF1-0F8E798A3756}" name="M" dataDxfId="2722" totalsRowDxfId="2721" dataCellStyle="Comma">
      <calculatedColumnFormula>_xlfn.XLOOKUP(Tab_NewTRADER[[#This Row],[ClickTick]],TabCalc[Ticker],TabCalc[M])</calculatedColumnFormula>
    </tableColumn>
    <tableColumn id="10" xr3:uid="{F52D72B4-DC2C-EE45-B71F-2C4EE61D17C5}" name="ClickTick" dataDxfId="2720" totalsRowDxfId="2719">
      <calculatedColumnFormula>SORTING!B3</calculatedColumnFormula>
    </tableColumn>
    <tableColumn id="54" xr3:uid="{0D54D5B1-E447-A141-9CEA-048FB0ACF994}" name="Target1Y" dataDxfId="2718" totalsRowDxfId="2717">
      <calculatedColumnFormula>_xlfn.XLOOKUP(Tab_NewTRADER[[#This Row],[ClickTick]],TabCalc[Ticker],TabCalc[Y])</calculatedColumnFormula>
    </tableColumn>
    <tableColumn id="57" xr3:uid="{FDCE0577-D7E1-F249-9712-CE7E0698766E}" name="Y_Change" dataDxfId="2716" totalsRowDxfId="2715" dataCellStyle="Comma">
      <calculatedColumnFormula>_xlfn.XLOOKUP(Tab_NewTRADER[[#This Row],[ClickTick]],[1]!RTData[Ticker_Symbol],[1]!RTData[YTChange])</calculatedColumnFormula>
    </tableColumn>
    <tableColumn id="8" xr3:uid="{BAF99C80-02D2-5A42-82C6-6C8339AED17A}" name="A" dataDxfId="2714" totalsRowDxfId="2713" dataCellStyle="Comma">
      <calculatedColumnFormula>-_xlfn.XLOOKUP(Tab_NewTRADER[[#This Row],[ClickTick]]&amp;2,Consolid!B$3:JZ$3,Consolid!B$4:JZ$4)</calculatedColumnFormula>
    </tableColumn>
    <tableColumn id="60" xr3:uid="{95BC142D-6E8A-B444-85FC-FEE17D092380}" name="Ch%_Yest" dataDxfId="2712" totalsRowDxfId="2711" dataCellStyle="Comma">
      <calculatedColumnFormula array="1">_xlfn.XLOOKUP(Tab_NewTRADER[[#This Row],[ClickTick]],ListTickers,Tab1ChangePercent[Change%19])</calculatedColumnFormula>
    </tableColumn>
    <tableColumn id="52" xr3:uid="{972ED9E7-ED8E-7A46-B68E-39053E33CEF1}" name="N" dataDxfId="2710" totalsRowDxfId="2709">
      <calculatedColumnFormula>_xlfn.XLOOKUP(Tab_NewTRADER[[#This Row],[ClickTick]],TabCalc[Ticker],TabCalc[NAfter])</calculatedColumnFormula>
    </tableColumn>
    <tableColumn id="51" xr3:uid="{0F76D38E-3AF7-B542-9195-FE404521DFE2}" name="Nbegin" dataDxfId="2708" totalsRowDxfId="2707">
      <calculatedColumnFormula>_xlfn.XLOOKUP(Tab_NewTRADER[[#This Row],[ClickTick]],TabCalc[Ticker],TabCalc[Nbegin])</calculatedColumnFormula>
    </tableColumn>
    <tableColumn id="45" xr3:uid="{FDF1145F-56F7-0E48-B6F3-3D3DF3E3ADB7}" name="Glnow_/M_Value_K$" dataDxfId="2706" totalsRowDxfId="270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704" totalsRowDxfId="270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702" totalsRowDxfId="270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700" totalsRowDxfId="2699"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698" totalsRowDxfId="2697" dataCellStyle="Comma">
      <calculatedColumnFormula>TEXT(MIN(Tab_NewTRADER[[#This Row],[L_Bn]],Tab_NewTRADER[[#This Row],[N]]),"#,#0")&amp;" x "&amp;TEXT(Tab_NewTRADER[[#This Row],[L_Bp]],"#,#0.#0")</calculatedColumnFormula>
    </tableColumn>
    <tableColumn id="70" xr3:uid="{B27F1EB3-D3C6-4F4A-A48B-FDCE644B8668}" name="Sale_Real_GL" totalsRowFunction="sum" dataDxfId="2696" totalsRowDxfId="2695"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694" totalsRowDxfId="2693"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692" totalsRowDxfId="2691"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690" totalsRowDxfId="2689"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2588">
      <calculatedColumnFormula>_xlfn.XLOOKUP(TabCalc[[#This Row],[Ticker]],[1]!RTData[Ticker_Symbol],[1]!RTData[Currency])</calculatedColumnFormula>
    </tableColumn>
    <tableColumn id="11" xr3:uid="{1AECACE1-E3D9-6449-814E-049162DE6BD7}" name="Scale" dataDxfId="2587" totalsRowDxfId="2586">
      <calculatedColumnFormula>IF(TabCalc[[#This Row],[Cur]]="GBP",0.01,1)</calculatedColumnFormula>
    </tableColumn>
    <tableColumn id="2" xr3:uid="{79940D82-514D-B946-ABF3-4043A316AFB0}" name="Nbegin" dataDxfId="2585">
      <calculatedColumnFormula>_xlfn.XLOOKUP(TabCalc[[#This Row],[Ticker]],DQ$3:DQ$96,DR$3:DR$96)</calculatedColumnFormula>
    </tableColumn>
    <tableColumn id="3" xr3:uid="{5B2C5F05-73FF-2042-B2C7-D6F523FC5E81}" name="PriceBeg" dataDxfId="2584" totalsRowDxfId="2583">
      <calculatedColumnFormula>_xlfn.XLOOKUP(TabCalc[[#This Row],[Ticker]],DQ$3:DQ$96,DS$3:DS$96)</calculatedColumnFormula>
    </tableColumn>
    <tableColumn id="4" xr3:uid="{24DC3B7F-9B31-024E-B53D-219E6C7D5AE7}" name="ValueBegin" totalsRowFunction="sum" dataDxfId="2582" totalsRowDxfId="2581">
      <calculatedColumnFormula>SUMPRODUCT(C3,D3,B3)</calculatedColumnFormula>
    </tableColumn>
    <tableColumn id="5" xr3:uid="{90E3CC6B-3435-2A4D-B969-2D690A7A4D90}" name="M_V" totalsRowFunction="sum" dataDxfId="2580" totalsRowDxfId="2579">
      <calculatedColumnFormula>TabCalc[[#This Row],[NAfter]]*TabCalc[[#This Row],[M]]*TabCalc[[#This Row],[Scale]]</calculatedColumnFormula>
    </tableColumn>
    <tableColumn id="9" xr3:uid="{17196C10-F846-944B-8D6F-A909FA9CA6C3}" name="NAfter" dataDxfId="2578">
      <calculatedColumnFormula>IFERROR(TabCalc[[#This Row],[SB]]-TabCalc[[#This Row],[SST]],TabCalc[[#This Row],[SB]])</calculatedColumnFormula>
    </tableColumn>
    <tableColumn id="1" xr3:uid="{2F69AA85-E0C5-5649-9823-CAE9A5A0CBB5}" name="Ticker" totalsRowLabel="Total" dataDxfId="2577">
      <calculatedColumnFormula>[1]!RTData[[#This Row],[Ticker_Symbol]]</calculatedColumnFormula>
    </tableColumn>
    <tableColumn id="6" xr3:uid="{4AB40075-F4E8-2743-9BA0-E64582E2C63F}" name="M" dataDxfId="2576" totalsRowDxfId="2575">
      <calculatedColumnFormula>_xlfn.XLOOKUP(TabCalc[[#This Row],[Ticker]],[1]!RTData[Ticker_Symbol],[1]!RTData[M_Price])</calculatedColumnFormula>
    </tableColumn>
    <tableColumn id="89" xr3:uid="{593FD77D-7493-0348-8517-405F87BFD0F2}" name="A" dataDxfId="2574" totalsRowDxfId="2573" dataCellStyle="Comma">
      <calculatedColumnFormula>_xlfn.XLOOKUP(TabCalc[[#This Row],[Ticker]]&amp;2,#REF!,#REF!)</calculatedColumnFormula>
    </tableColumn>
    <tableColumn id="76" xr3:uid="{6DD12444-E9F0-8D49-B8AB-20E86CF499C6}" name="Y" dataDxfId="2572" totalsRowDxfId="2571">
      <calculatedColumnFormula>_xlfn.XLOOKUP(TabCalc[[#This Row],[Ticker]],[1]!RTData[Ticker_Symbol],[1]!RTData[1YT])</calculatedColumnFormula>
    </tableColumn>
    <tableColumn id="31" xr3:uid="{2AFC8A0F-DB21-7940-9164-133266F4D5CA}" name="E" dataDxfId="2570" totalsRowDxfId="2569" dataCellStyle="Comma">
      <calculatedColumnFormula>IF(OR(TabCalc[[#This Row],[NAfter]]=0,TabCalc[[#This Row],[EfCost]]&gt;0),0,TabCalc[[#This Row],[EfCost]]/TabCalc[[#This Row],[NAfter]]/TabCalc[[#This Row],[Scale]])</calculatedColumnFormula>
    </tableColumn>
    <tableColumn id="88" xr3:uid="{69D77B69-0989-0D41-89D3-E175D978C58F}" name="Ch_Today" dataDxfId="2568" totalsRowDxfId="2567" dataCellStyle="Percent">
      <calculatedColumnFormula>_xlfn.XLOOKUP(TabCalc[[#This Row],[Ticker]],[1]!RTData[Ticker_Symbol],[1]!RTData[Change%])</calculatedColumnFormula>
    </tableColumn>
    <tableColumn id="94" xr3:uid="{026ACAF4-BBD8-BE46-A3D3-9212D85F81A2}" name="Up20" dataDxfId="2566" totalsRowDxfId="2565" dataCellStyle="Percent"/>
    <tableColumn id="98" xr3:uid="{CBD64ADC-34AE-BE41-923A-A11C1C477BF0}" name="Imp20" dataDxfId="2564" totalsRowDxfId="2563" dataCellStyle="Percent">
      <calculatedColumnFormula>TabCalc[[#This Row],[Up20]]-1+TabCalc[[#This Row],[Up20]]</calculatedColumnFormula>
    </tableColumn>
    <tableColumn id="95" xr3:uid="{C3B02805-2FCB-254F-992B-F61A900C6715}" name="DifUps" dataDxfId="2562" totalsRowDxfId="2561" dataCellStyle="Percent">
      <calculatedColumnFormula>TabCalc[[#This Row],[Up20]]-TabCalc[[#This Row],[Up150]]</calculatedColumnFormula>
    </tableColumn>
    <tableColumn id="93" xr3:uid="{20FA27BE-2257-A94D-84D7-413544098B2E}" name="Up150" dataDxfId="2560" totalsRowDxfId="2559" dataCellStyle="Percent"/>
    <tableColumn id="97" xr3:uid="{17A0CA6F-6756-D741-BA84-AA541111FDAD}" name="Imp150" dataDxfId="2558" totalsRowDxfId="2557" dataCellStyle="Percent">
      <calculatedColumnFormula>TabCalc[[#This Row],[Up150]]-1+TabCalc[[#This Row],[Up150]]</calculatedColumnFormula>
    </tableColumn>
    <tableColumn id="99" xr3:uid="{867135F0-2D21-6C40-A1ED-DD7A80D7DF28}" name="DPWC150" totalsRowFunction="average" dataDxfId="2556" totalsRowDxfId="255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54" totalsRowDxfId="255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52" totalsRowDxfId="2551" dataCellStyle="Percent"/>
    <tableColumn id="105" xr3:uid="{E585BCF0-24A6-CE48-AAD9-AA41784D95F1}" name="BMZ" dataDxfId="2550" totalsRowDxfId="2549" dataCellStyle="Percent"/>
    <tableColumn id="104" xr3:uid="{11AD2B90-C720-F24E-A0C2-E6CFDE92521B}" name="NMZ" totalsRowFunction="count" dataDxfId="2548" totalsRowDxfId="2547" dataCellStyle="Percent"/>
    <tableColumn id="100" xr3:uid="{8C13792E-F7C4-7147-AAFE-3C5B0E4FF22C}" name="Type" totalsRowFunction="custom" dataDxfId="2546" totalsRowDxfId="254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44" totalsRowDxfId="254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42" totalsRowDxfId="2541" dataCellStyle="Comma">
      <calculatedColumnFormula>MIN(TabCalc[[#This Row],[L_Bn]],TabCalc[[#This Row],[NAfter]])*(TabCalc[[#This Row],[M]]+TabCalc[[#This Row],[L_Bp]])*TabCalc[[#This Row],[Scale]]</calculatedColumnFormula>
    </tableColumn>
    <tableColumn id="57" xr3:uid="{61CB5DD9-990C-444A-8A9A-B5A3F63AC5BA}" name="L_Bdate" dataDxfId="2540" totalsRowDxfId="2539" dataCellStyle="Comma">
      <calculatedColumnFormula array="1">_xlfn.XLOOKUP(TabCalc[[#This Row],[L_Bp]],INDIRECT("TabReg["&amp;TabCalc[[#This Row],[Ticker]]&amp;"2]"),INDIRECT("TabReg["&amp;TabCalc[[#This Row],[Ticker]]&amp;"]"))</calculatedColumnFormula>
    </tableColumn>
    <tableColumn id="58" xr3:uid="{B97BBC50-62D2-D74E-B0AC-9A79AFFB8818}" name="L_Bn" dataDxfId="2538" totalsRowDxfId="2537" dataCellStyle="Comma">
      <calculatedColumnFormula array="1">_xlfn.XLOOKUP(TabCalc[[#This Row],[L_Bp]],INDIRECT("TabReg["&amp;TabCalc[[#This Row],[Ticker]]&amp;"2]"),INDIRECT("TabReg["&amp;TabCalc[[#This Row],[Ticker]]&amp;"1]"))</calculatedColumnFormula>
    </tableColumn>
    <tableColumn id="55" xr3:uid="{A1199879-DD12-CB4E-AAD8-E0534D24B690}" name="L_Bp" dataDxfId="2536" totalsRowDxfId="253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2533" dataCellStyle="Comma">
      <calculatedColumnFormula>IFERROR(MIN(TabCalc[[#This Row],[L_B1n]],TabCalc[[#This Row],[NAfter]])*(TabCalc[[#This Row],[M]]+TabCalc[[#This Row],[L_B1p]])*TabCalc[[#This Row],[Scale]],"")</calculatedColumnFormula>
    </tableColumn>
    <tableColumn id="66" xr3:uid="{82A32C1F-EE4F-AB4B-BF62-F8332273D8CE}" name="L_B1D" dataDxfId="2532" totalsRowDxfId="253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0" totalsRowDxfId="252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28" totalsRowDxfId="252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26" totalsRowDxfId="2525" dataCellStyle="Calculation">
      <calculatedColumnFormula>IFERROR(TabCalc[[#This Row],[L_Sn]]*(TabCalc[[#This Row],[L_Sp]]-TabCalc[[#This Row],[M]])*TabCalc[[#This Row],[Scale]],"")</calculatedColumnFormula>
    </tableColumn>
    <tableColumn id="51" xr3:uid="{6CAE4E9A-EAC5-3147-B472-CEE8C1395CBA}" name="L_SDate" dataDxfId="2524" totalsRowDxfId="252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2" totalsRowDxfId="252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0" totalsRowDxfId="251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18" totalsRowDxfId="2517" dataCellStyle="Calculation">
      <calculatedColumnFormula>IFERROR(TabCalc[[#This Row],[L_S1n]]*(TabCalc[[#This Row],[L_S1p]]-TabCalc[[#This Row],[M]])*TabCalc[[#This Row],[Scale]],0)</calculatedColumnFormula>
    </tableColumn>
    <tableColumn id="63" xr3:uid="{63AB1132-34CF-3A46-9EF3-A6CDF1D161BA}" name="L_S1D" dataDxfId="2516" totalsRowDxfId="251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14" totalsRowDxfId="251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12" totalsRowDxfId="251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10" totalsRowDxfId="250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08" totalsRowDxfId="250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06" totalsRowDxfId="250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04" totalsRowDxfId="2503" dataCellStyle="Comma">
      <calculatedColumnFormula>TabCalc[[#This Row],[Y]]/TabCalc[[#This Row],[M]]</calculatedColumnFormula>
    </tableColumn>
    <tableColumn id="62" xr3:uid="{A6A715A1-5EAC-7D4E-A0A1-D497A62E967F}" name="Refill1" dataDxfId="2502" totalsRowDxfId="25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00" totalsRowDxfId="249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97">
      <calculatedColumnFormula>TabCalc[[#This Row],[NAfter]]-TabCalc[[#This Row],[Nbegin]]</calculatedColumnFormula>
    </tableColumn>
    <tableColumn id="8" xr3:uid="{3ED81788-89C0-E043-B2C8-940FCCF3F968}" name="Repulse" totalsRowFunction="min" dataDxfId="2496" totalsRowDxfId="2495">
      <calculatedColumnFormula>IFERROR((TabCalc[[#This Row],[M]]-TabCalc[[#This Row],[Y]])*(TabCalc[[#This Row],[M]]-TabCalc[[#This Row],[Y]])*(TabCalc[[#This Row],[M]]-TabCalc[[#This Row],[Y]])/(TabCalc[[#This Row],[Y]]*TabCalc[[#This Row],[M]]),"")</calculatedColumnFormula>
    </tableColumn>
    <tableColumn id="10" xr3:uid="{742FEA6C-1386-9649-A227-FE3B3FEB4C46}" name="Ori_Sold" dataDxfId="2494">
      <calculatedColumnFormula>IF(G3&lt;C3,C3-G3,0)</calculatedColumnFormula>
    </tableColumn>
    <tableColumn id="13" xr3:uid="{9306F3B6-FAED-BF41-9784-D24E68FA8E08}" name="V/VA" dataDxfId="2493" dataCellStyle="Percent">
      <calculatedColumnFormula>_xlfn.XLOOKUP(TabCalc[[#This Row],[Ticker]],[1]!RTData[Ticker_Symbol],[1]!RTData[V/VA])</calculatedColumnFormula>
    </tableColumn>
    <tableColumn id="14" xr3:uid="{64584A98-1609-EA47-928A-85F6E57963D8}" name="TimeEX" dataDxfId="249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91" dataCellStyle="Percent">
      <calculatedColumnFormula>IF(ISNUMBER(TabCalc[[#This Row],[TimeEX]]),TabCalc[[#This Row],[V/VA]]/TabCalc[[#This Row],[TimeEX]],TabCalc[[#This Row],[V/VA]])</calculatedColumnFormula>
    </tableColumn>
    <tableColumn id="16" xr3:uid="{E95746C7-89D0-DA4D-8303-4531E4BF4FC1}" name="NoT_C" totalsRowFunction="sum" dataDxfId="2490" totalsRowDxfId="2489" dataCellStyle="Comma">
      <calculatedColumnFormula array="1">INDEX(TabReg[], 1, _xlfn.XMATCH(TabCalc[[#This Row],[Ticker]]&amp;1, TabReg[#Headers], 0))</calculatedColumnFormula>
    </tableColumn>
    <tableColumn id="17" xr3:uid="{661CE259-E64B-DB47-A6BC-A5148B2937DB}" name="NoT_GL" totalsRowFunction="sum" dataDxfId="2488" totalsRowDxfId="2487" dataCellStyle="Comma">
      <calculatedColumnFormula>TabCalc[[#This Row],[Nbegin]]*TabCalc[[#This Row],[M]]*TabCalc[[#This Row],[Scale]]+TabCalc[[#This Row],[ValueBegin]]</calculatedColumnFormula>
    </tableColumn>
    <tableColumn id="18" xr3:uid="{AE2EBD48-00F0-E646-B666-E964C45EF224}" name="GLStatus" totalsRowFunction="sum" dataDxfId="2486" totalsRowDxfId="2485" dataCellStyle="Comma">
      <calculatedColumnFormula array="1">_xlfn.IFS(TabCalc[[#This Row],[Cost+Gain]]&gt;0,"Free",             TabCalc[[#This Row],[GL]]&gt;0,"Gainer",                TRUE,"Looser")</calculatedColumnFormula>
    </tableColumn>
    <tableColumn id="28" xr3:uid="{DB09D693-CEE2-6841-BEF2-459A1A933876}" name="AddBuys" totalsRowFunction="sum" dataDxfId="2484" totalsRowDxfId="2483" dataCellStyle="Comma">
      <calculatedColumnFormula>TabCalc[[#This Row],[Tot_Paid]]-TabCalc[[#This Row],[ValueBegin]]</calculatedColumnFormula>
    </tableColumn>
    <tableColumn id="81" xr3:uid="{7891CD83-058E-0247-BEB0-98866D1BADC5}" name="AddCash" totalsRowFunction="sum" dataDxfId="2482" totalsRowDxfId="248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80" totalsRowDxfId="2479" dataCellStyle="Comma">
      <calculatedColumnFormula>TabCalc[[#This Row],[M_V]]+TabCalc[[#This Row],[ValueBegin]]</calculatedColumnFormula>
    </tableColumn>
    <tableColumn id="20" xr3:uid="{F30A4AB2-55E0-994C-B1F8-F1BF294BAA34}" name="Tot_Paid" totalsRowFunction="sum" dataDxfId="2478" totalsRowDxfId="24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76" totalsRowDxfId="24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74" totalsRowDxfId="2473"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472" totalsRowDxfId="2471" dataCellStyle="Comma">
      <calculatedColumnFormula>TabCalc[[#This Row],[M_V]]+TabCalc[[#This Row],[EfCost]]</calculatedColumnFormula>
    </tableColumn>
    <tableColumn id="29" xr3:uid="{ECEB5A93-8BB2-A14E-B72F-CF2C9E93A299}" name="Cost+Gain" totalsRowFunction="sum" dataDxfId="2470" totalsRowDxfId="2469" dataCellStyle="Comma">
      <calculatedColumnFormula>IF(        OR( TabCalc[[#This Row],[GL]]&gt;ABS(TabCalc[[#This Row],[EfCost]]),TabCalc[[#This Row],[NAfter]]=0),             TabCalc[[#This Row],[GL]],     0)</calculatedColumnFormula>
    </tableColumn>
    <tableColumn id="24" xr3:uid="{3819A9BC-F941-604F-B0CE-1F4B1F951905}" name="SB" totalsRowFunction="sum" dataDxfId="2468" totalsRowDxfId="246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66" totalsRowDxfId="2465" dataCellStyle="Comma">
      <calculatedColumnFormula>TabCalc[[#This Row],[SB]]-TabCalc[[#This Row],[Nbegin]]</calculatedColumnFormula>
    </tableColumn>
    <tableColumn id="23" xr3:uid="{4E9DD018-B419-3E40-8C39-3EA46D617A64}" name="SST" totalsRowFunction="sum" dataDxfId="2464" totalsRowDxfId="24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62" totalsRowDxfId="24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60" totalsRowDxfId="2459" dataCellStyle="Comma">
      <calculatedColumnFormula>IF(TabCalc[[#This Row],[EfCost]]+TabCalc[[#This Row],[M_V]]&lt;TabCalc[[#This Row],[NoT_GL]],"Pile","")</calculatedColumnFormula>
    </tableColumn>
    <tableColumn id="34" xr3:uid="{4565A2A1-5EDC-FF47-84D2-E24B40FBD98E}" name="L-ExT" dataDxfId="2458" totalsRowDxfId="2457" dataCellStyle="Comma">
      <calculatedColumnFormula>_xlfn.XLOOKUP(TabCalc[[#This Row],[Ticker]],[1]!RTData[Ticker_Symbol],[1]!#REF!)</calculatedColumnFormula>
    </tableColumn>
    <tableColumn id="32" xr3:uid="{B1DB4F36-B904-474A-B050-47338283DA35}" name="CostReduct" totalsRowFunction="sum" dataDxfId="2456" totalsRowDxfId="2455" dataCellStyle="Comma">
      <calculatedColumnFormula>(TabCalc[[#This Row],[ValueBegin]]+(TabCalc[[#This Row],[M]]-TabCalc[[#This Row],[A]])*TabCalc[[#This Row],[NAfter]])*TabCalc[[#This Row],[Scale]]</calculatedColumnFormula>
    </tableColumn>
    <tableColumn id="36" xr3:uid="{170CFEF4-900E-C344-B73F-EC5E388E31F1}" name="L_I1" dataDxfId="2454" totalsRowDxfId="2453" dataCellStyle="Comma">
      <calculatedColumnFormula array="1">_xlfn.XLOOKUP(TabCalc[[#This Row],[Ticker]],TabReg[[#Headers],[AAPL]:[UnknownX28]],Reg!B$72:KF$72)+3</calculatedColumnFormula>
    </tableColumn>
    <tableColumn id="37" xr3:uid="{B9D91A31-483A-7140-A42E-1CB6C1D429F2}" name="L_I2" dataDxfId="2452" totalsRowDxfId="2451" dataCellStyle="Comma">
      <calculatedColumnFormula array="1">_xlfn.XLOOKUP(TabCalc[[#This Row],[Ticker]],TabReg[[#Headers],[AAPL]:[UnknownX28]],Reg!B$73:KF$73)+2</calculatedColumnFormula>
    </tableColumn>
    <tableColumn id="22" xr3:uid="{8E34A39B-834E-354F-ADB3-DB7A321ABE6F}" name="L_TD" dataDxfId="2450" totalsRowDxfId="2449" dataCellStyle="Comma">
      <calculatedColumnFormula>IFERROR(MAX(TabCalc[[#This Row],[Max_SD]],TabCalc[[#This Row],[Max_PD]]),0)</calculatedColumnFormula>
    </tableColumn>
    <tableColumn id="90" xr3:uid="{487FCB73-3571-8F44-9430-C425B5EAA38E}" name="TradeType" dataDxfId="2448" totalsRowDxfId="2447" dataCellStyle="Comma">
      <calculatedColumnFormula array="1">_xlfn.LET(_xlpm.LAST_T,TabCalc[[#This Row],[L_TP]],_xlfn.IFS(_xlpm.LAST_T&lt;0,"Purchase",_xlpm.LAST_T&gt;0,"Sale"))</calculatedColumnFormula>
    </tableColumn>
    <tableColumn id="38" xr3:uid="{0832896C-9759-BE41-A69C-9C619066560B}" name="L_T#" dataDxfId="2446" totalsRowDxfId="2445" dataCellStyle="Comma">
      <calculatedColumnFormula array="1">INDEX(Reg!$A$1:$KF$73,TabCalc[[#This Row],[L_I1]],TabCalc[[#This Row],[L_I2]])</calculatedColumnFormula>
    </tableColumn>
    <tableColumn id="39" xr3:uid="{491797D8-2284-B54E-8576-4AE558FEB74E}" name="L_TP" dataDxfId="2444" totalsRowDxfId="2443" dataCellStyle="Comma">
      <calculatedColumnFormula array="1">INDEX(Reg!$A$1:$KF$73,TabCalc[[#This Row],[L_I1]],TabCalc[[#This Row],[L_I2]]+1)</calculatedColumnFormula>
    </tableColumn>
    <tableColumn id="35" xr3:uid="{F649126A-1339-A142-93CA-70CCDF7B20D3}" name="Resale(ME)" totalsRowFunction="sum" dataDxfId="2442" totalsRowDxfId="2441" dataCellStyle="Comma">
      <calculatedColumnFormula>TabCalc[[#This Row],[NAfter]]*(TabCalc[[#This Row],[M]]-IF(TabCalc[[#This Row],[E]]&gt;0,0,TabCalc[[#This Row],[A]]))</calculatedColumnFormula>
    </tableColumn>
    <tableColumn id="42" xr3:uid="{80830DD6-ED9B-6D4C-AD1D-2BB8039767D9}" name="Min_SD" dataDxfId="2440" totalsRowDxfId="2439" dataCellStyle="Comma">
      <calculatedColumnFormula array="1">IFERROR(MIN(_xlfn._xlws.FILTER(INDIRECT("TabReg["&amp;TabCalc[[#This Row],[Ticker]]&amp;"]"), INDIRECT("TabReg["&amp;TabCalc[[#This Row],[Ticker]]&amp;"2]")&gt;0)),0)</calculatedColumnFormula>
    </tableColumn>
    <tableColumn id="43" xr3:uid="{F89BBC3C-4F74-EF46-A27D-4C943ADB2B3E}" name="Min_Sn" dataDxfId="2438" totalsRowDxfId="243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36" totalsRowDxfId="2435" dataCellStyle="Comma">
      <calculatedColumnFormula array="1">IFERROR(MIN(_xlfn._xlws.FILTER(INDIRECT("TabReg["&amp;TabCalc[[#This Row],[Ticker]]&amp;"2]"), INDIRECT("TabReg["&amp;TabCalc[[#This Row],[Ticker]]&amp;"2]")&gt;0)),0)</calculatedColumnFormula>
    </tableColumn>
    <tableColumn id="45" xr3:uid="{E335D0E5-CFC2-A947-B7BD-120EA369286A}" name="Max_SD" dataDxfId="2434" totalsRowDxfId="2433" dataCellStyle="Comma">
      <calculatedColumnFormula array="1">IFERROR(MAX(_xlfn._xlws.FILTER(INDIRECT("TabReg["&amp;TabCalc[[#This Row],[Ticker]]&amp;"]"), INDIRECT("TabReg["&amp;TabCalc[[#This Row],[Ticker]]&amp;"2]")&gt;0)),0)</calculatedColumnFormula>
    </tableColumn>
    <tableColumn id="46" xr3:uid="{6D449514-A79E-104D-9623-52BA62C7519E}" name="Max_Sn" dataDxfId="2432" totalsRowDxfId="24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430" totalsRowDxfId="242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428" totalsRowDxfId="2427" dataCellStyle="Comma">
      <calculatedColumnFormula>-IFERROR(MIN(INDIRECT("TabConsolid["&amp;TabCalc[[#This Row],[Ticker]]&amp;"2]")),0)</calculatedColumnFormula>
    </tableColumn>
    <tableColumn id="48" xr3:uid="{A50A08BF-FE5B-B04F-AFB9-97B2140F2515}" name="Min_PD" dataDxfId="2426" totalsRowDxfId="2425" dataCellStyle="Comma">
      <calculatedColumnFormula array="1">MIN(_xlfn._xlws.FILTER(INDIRECT("TabReg["&amp;TabCalc[[#This Row],[Ticker]]&amp;"]"), INDIRECT("TabReg["&amp;TabCalc[[#This Row],[Ticker]]&amp;"2]")&lt;0))</calculatedColumnFormula>
    </tableColumn>
    <tableColumn id="49" xr3:uid="{BA83C83A-66D7-0D4C-B6DF-1D013A8ACE61}" name="Min_Pn" dataDxfId="2424" totalsRowDxfId="2423" dataCellStyle="Comma">
      <calculatedColumnFormula array="1">MIN(_xlfn._xlws.FILTER(INDIRECT("TabReg["&amp;TabCalc[[#This Row],[Ticker]]&amp;"1]"), INDIRECT("TabReg["&amp;TabCalc[[#This Row],[Ticker]]&amp;"2]")&lt;0))</calculatedColumnFormula>
    </tableColumn>
    <tableColumn id="50" xr3:uid="{1E7E364A-0CC5-EE4B-A2C1-996D3BA6D9E9}" name="Min_PP" dataDxfId="2422" totalsRowDxfId="2421" dataCellStyle="Comma">
      <calculatedColumnFormula array="1">MIN(_xlfn._xlws.FILTER(INDIRECT("TabReg["&amp;TabCalc[[#This Row],[Ticker]]&amp;"2]"), INDIRECT("TabReg["&amp;TabCalc[[#This Row],[Ticker]]&amp;"2]")&lt;0))</calculatedColumnFormula>
    </tableColumn>
    <tableColumn id="33" xr3:uid="{2C16329E-7C79-4445-818B-B5709D8C58C8}" name="Max_PD" dataDxfId="2420" totalsRowDxfId="2419" dataCellStyle="Comma">
      <calculatedColumnFormula array="1">MAX(_xlfn._xlws.FILTER(INDIRECT("TabReg["&amp;TabCalc[[#This Row],[Ticker]]&amp;"]"), INDIRECT("TabReg["&amp;TabCalc[[#This Row],[Ticker]]&amp;"2]")&lt;0))</calculatedColumnFormula>
    </tableColumn>
    <tableColumn id="40" xr3:uid="{80C2BE61-B147-1A4F-8D13-0CEAE95FDADF}" name="Max_Pn" dataDxfId="2418" totalsRowDxfId="2417" dataCellStyle="Comma">
      <calculatedColumnFormula array="1">MAX(_xlfn._xlws.FILTER(INDIRECT("TabReg["&amp;TabCalc[[#This Row],[Ticker]]&amp;"1]"), INDIRECT("TabReg["&amp;TabCalc[[#This Row],[Ticker]]&amp;"2]")&lt;0))</calculatedColumnFormula>
    </tableColumn>
    <tableColumn id="41" xr3:uid="{949F09B7-7BB7-534D-97FE-DD550AC34044}" name="Max_PP" dataDxfId="2416" totalsRowDxfId="2415" dataCellStyle="Comma">
      <calculatedColumnFormula array="1">MAX(_xlfn._xlws.FILTER(INDIRECT("TabReg["&amp;TabCalc[[#This Row],[Ticker]]&amp;"2]"), INDIRECT("TabReg["&amp;TabCalc[[#This Row],[Ticker]]&amp;"2]")&lt;0))</calculatedColumnFormula>
    </tableColumn>
    <tableColumn id="73" xr3:uid="{E0DE761B-6728-BB4E-86A8-F627585BF3C6}" name="BS2D" dataDxfId="2414" totalsRowDxfId="24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12" totalsRowDxfId="241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10" totalsRowDxfId="240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8" totalsRowDxfId="240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6" totalsRowDxfId="240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4" totalsRowDxfId="24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2" totalsRowDxfId="2401"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399" dataCellStyle="Comma">
      <calculatedColumnFormula>IF(TabCalc[[#This Row],[ntoBuy]]*TabCalc[[#This Row],[M]]&lt;=0,0,TabCalc[[#This Row],[ntoBuy]]*TabCalc[[#This Row],[M]])</calculatedColumnFormula>
    </tableColumn>
    <tableColumn id="79" xr3:uid="{EBF3C3E2-6DB1-E544-B094-91307A9FD36D}" name="ntoSell" dataDxfId="2398" totalsRowDxfId="239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6" totalsRowDxfId="2395" dataCellStyle="Comma">
      <calculatedColumnFormula>TabCalc[[#This Row],[ntoSell]]*TabCalc[[#This Row],[M]]</calculatedColumnFormula>
    </tableColumn>
    <tableColumn id="78" xr3:uid="{C55523C0-D45F-8642-B597-19E7E57CF51A}" name="NMA" dataDxfId="2394" totalsRowDxfId="239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2391" dataCellStyle="Comma">
      <calculatedColumnFormula>IFERROR(TabCalc[[#This Row],[NMA]]*TabCalc[[#This Row],[M]],"")</calculatedColumnFormula>
    </tableColumn>
    <tableColumn id="91" xr3:uid="{4773B977-3DE4-0E42-B9FE-48F08243F277}" name="GLMore@A" dataDxfId="2390" totalsRowDxfId="238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88" totalsRowDxfId="2387" dataCellStyle="Percent">
      <calculatedColumnFormula>IFERROR((TabCalc[[#This Row],[M]]+TabCalc[[#This Row],[L_Bp]])/ABS(TabCalc[[#This Row],[L_Bp]])/(TODAY()-TabCalc[[#This Row],[L_Bdate]])*360,"")</calculatedColumnFormula>
    </tableColumn>
    <tableColumn id="103" xr3:uid="{E450379B-1A0B-524C-B698-62CF13D40A42}" name="Median" dataDxfId="2386" totalsRowDxfId="2385" dataCellStyle="Percent">
      <calculatedColumnFormula>MEDIAN(DataShift!F704:Z704)</calculatedColumnFormula>
    </tableColumn>
    <tableColumn id="107" xr3:uid="{E193DC56-5187-FA45-B1A4-DA39C98DEBAF}" name="Ag:Ch" dataDxfId="2384" totalsRowDxfId="238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82" totalsRowDxfId="2381" dataCellStyle="Comma">
      <calculatedColumnFormula>TabCalc[[#This Row],[Nbegin]]*TabCalc[[#This Row],[Scale]]*TabCalc[[#This Row],[M]]</calculatedColumnFormula>
    </tableColumn>
    <tableColumn id="110" xr3:uid="{E5C0DC06-28AA-F041-8609-A15AD282662D}" name="Column2" dataDxfId="23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379">
  <autoFilter ref="DQ2:DS96" xr:uid="{A89BE8A1-EE62-2A4F-B94D-8CCFEB7A2182}"/>
  <tableColumns count="3">
    <tableColumn id="1" xr3:uid="{83C2141C-EB57-9649-821A-E765DD32C16E}" name="OldTicker" dataDxfId="2378"/>
    <tableColumn id="2" xr3:uid="{F9F7757D-7FFC-2A47-A064-09E4F7795175}" name="OriStock" dataDxfId="2377"/>
    <tableColumn id="3" xr3:uid="{B7BC1A5E-7EFA-9440-97AF-1C13CBDF3B16}" name="OriPrice" dataDxfId="23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53">
  <autoFilter ref="A4:P98" xr:uid="{8F010E09-40DE-CB49-9705-081A37BD3E66}"/>
  <tableColumns count="16">
    <tableColumn id="1" xr3:uid="{D248D7C8-FE91-5D4B-93B0-CA802F8BF9F0}" name="MSGSTicker" dataDxfId="2352">
      <calculatedColumnFormula>Calc!H3</calculatedColumnFormula>
    </tableColumn>
    <tableColumn id="2" xr3:uid="{DCEA20D1-EEC9-F34D-8887-3170D7506040}" name="Static" dataDxfId="2351" dataCellStyle="Comma"/>
    <tableColumn id="3" xr3:uid="{66E8CFC1-6152-2B40-A74D-C51B3D12C26A}" name="Expectation" dataDxfId="2350"/>
    <tableColumn id="4" xr3:uid="{DAF82BBB-C5D4-2C4F-B0F3-D3EB85303B5F}" name="Change" dataDxfId="2349" dataCellStyle="Percent"/>
    <tableColumn id="5" xr3:uid="{86913868-25DE-D143-935E-08543076F0FC}" name="Agio" dataDxfId="2348"/>
    <tableColumn id="6" xr3:uid="{A8E86DB9-D431-B64F-9DE4-7C08E738DBD4}" name="RevenueM&gt;A" dataDxfId="2347"/>
    <tableColumn id="7" xr3:uid="{518090EA-8F28-9B4A-8A12-CC16C3F84E1E}" name="MarkUP" dataCellStyle="Percent"/>
    <tableColumn id="8" xr3:uid="{2C3D6668-A65F-AA42-9077-0DB8624C7676}" name="M_LIVE" dataDxfId="2346">
      <calculatedColumnFormula>Calc!I3</calculatedColumnFormula>
    </tableColumn>
    <tableColumn id="9" xr3:uid="{43FE98D8-979D-8E4C-A91E-E80C6A08278B}" name="StDate" dataDxfId="2345"/>
    <tableColumn id="10" xr3:uid="{D924EA8C-E924-5F4D-AB2A-FEFB0B39DA11}" name="Status"/>
    <tableColumn id="11" xr3:uid="{9E249F30-F4A3-034A-A05D-802CDFBDDDD1}" name="Column1" dataDxfId="2344">
      <calculatedColumnFormula>_xlfn.XLOOKUP(G5,TabCalc[Ticker],TabCalc[Agiotage])</calculatedColumnFormula>
    </tableColumn>
    <tableColumn id="12" xr3:uid="{029C6B83-00D1-E045-ABBA-AD69A72591DF}" name="Column2" dataDxfId="23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42">
      <calculatedColumnFormula>_xlfn.XLOOKUP(G5,TabCalc[Ticker],TabCalc[Up20])</calculatedColumnFormula>
    </tableColumn>
    <tableColumn id="14" xr3:uid="{25D0468D-5365-F54E-80A2-14573D13D064}" name="Column4" dataDxfId="2341">
      <calculatedColumnFormula>_xlfn.XLOOKUP(G5,TabCalc[Ticker],TabCalc[M])</calculatedColumnFormula>
    </tableColumn>
    <tableColumn id="15" xr3:uid="{38403065-CF68-DC4E-A1FD-7601DFE95046}" name="Column5" dataDxfId="2340">
      <calculatedColumnFormula>TODAY()</calculatedColumnFormula>
    </tableColumn>
    <tableColumn id="16" xr3:uid="{D49A7D78-707A-9D46-8D9E-EB721E9CF457}" name="Column6" dataDxfId="23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96" tableBorderDxfId="2295">
  <autoFilter ref="F4:Z98" xr:uid="{12BDC163-61DF-264F-92B2-E45DC613B4C4}"/>
  <tableColumns count="21">
    <tableColumn id="1" xr3:uid="{EEADBAE1-5103-2A42-AC82-712785472BF0}" name="Close0" dataDxfId="2294"/>
    <tableColumn id="2" xr3:uid="{AE7EFBB8-D06A-C040-9713-4E49B46FECE7}" name="Close1" dataDxfId="2293"/>
    <tableColumn id="3" xr3:uid="{8841397E-CEB0-F942-82C3-85FBA5B005A1}" name="Close2" dataDxfId="2292"/>
    <tableColumn id="4" xr3:uid="{4AFD7B8B-092B-F546-8C5F-44A7CACE4DF6}" name="Close3" dataDxfId="2291"/>
    <tableColumn id="5" xr3:uid="{65D3394C-DDBB-8F4A-9B2B-7C2AE4CFEBBF}" name="Close4" dataDxfId="2290"/>
    <tableColumn id="6" xr3:uid="{283C7AA4-4055-3548-8D00-36EB7B6CEE5D}" name="Close5" dataDxfId="2289"/>
    <tableColumn id="7" xr3:uid="{78CAA80F-F236-E648-9556-69668646706D}" name="Close6" dataDxfId="2288" dataCellStyle="Percent"/>
    <tableColumn id="8" xr3:uid="{744FAAA4-A199-9B4E-87F9-38DF61826509}" name="Close7" dataDxfId="2287"/>
    <tableColumn id="9" xr3:uid="{BC32CFF7-F793-3040-BCF8-1567BA8BEE70}" name="Close8" dataDxfId="2286"/>
    <tableColumn id="10" xr3:uid="{3A714541-23EB-5B4A-A7EA-1A51C49368D2}" name="Close9" dataDxfId="2285"/>
    <tableColumn id="11" xr3:uid="{F62761C7-0A15-9448-8CF3-C007A34184F4}" name="Close10" dataDxfId="2284"/>
    <tableColumn id="12" xr3:uid="{8998ECDF-4D42-274E-822A-FBFDE0359088}" name="Close11" dataDxfId="2283"/>
    <tableColumn id="13" xr3:uid="{CDE8531B-700E-3E45-874F-42552F16C3B0}" name="Close12" dataDxfId="2282" dataCellStyle="Comma"/>
    <tableColumn id="14" xr3:uid="{4F7F7C8C-725F-D745-B627-B5851174E054}" name="Close13" dataDxfId="2281"/>
    <tableColumn id="15" xr3:uid="{B764A379-6E77-524D-84CE-F3D153DC33B6}" name="Close14" dataDxfId="2280"/>
    <tableColumn id="16" xr3:uid="{4331A404-8007-CA4F-9AE0-B2C01B0833A7}" name="Close15" dataDxfId="2279"/>
    <tableColumn id="17" xr3:uid="{0E7625FB-2D36-0248-B8EB-47E2820C4276}" name="Close16" dataDxfId="2278" dataCellStyle="Comma"/>
    <tableColumn id="18" xr3:uid="{D5281074-BB4E-6F4E-AD11-1983B5F6F52A}" name="Close17" dataDxfId="2277" dataCellStyle="Comma"/>
    <tableColumn id="19" xr3:uid="{D2D3DB13-7D54-904A-B3FA-E6ECA88164A0}" name="Close18" dataDxfId="2276" dataCellStyle="Comma"/>
    <tableColumn id="20" xr3:uid="{A6BDE463-026D-A14D-A56E-1A389384E71F}" name="Close19" dataDxfId="2275"/>
    <tableColumn id="21" xr3:uid="{8739BE66-982C-0B4D-A9FA-B2E2DE7CCF03}" name="Close20" dataDxfId="2274">
      <calculatedColumnFormula>[1]DataRT!$F3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73" dataDxfId="2272" tableBorderDxfId="2271">
  <autoFilter ref="F104:Z198" xr:uid="{7798B848-3F46-BA40-8424-750FBB9BF60F}"/>
  <tableColumns count="21">
    <tableColumn id="1" xr3:uid="{6FEF1508-A20B-AA45-A9AC-4C624E068446}" name="Open0" dataDxfId="2270"/>
    <tableColumn id="2" xr3:uid="{A968BA88-43F9-8744-8D9C-EE0A5FE428C5}" name="Open1" dataDxfId="2269"/>
    <tableColumn id="3" xr3:uid="{084E3773-67E5-6546-877A-017B9C02A673}" name="Open2" dataDxfId="2268"/>
    <tableColumn id="4" xr3:uid="{D159A5E9-303F-2B4C-A90F-C1854A80FA6B}" name="Open3" dataDxfId="2267"/>
    <tableColumn id="5" xr3:uid="{CE8D320D-FD87-4F41-9A24-52676668D9C7}" name="Open4" dataDxfId="2266"/>
    <tableColumn id="6" xr3:uid="{1D8AD5A2-1882-E045-9FDE-A8B14CC49F19}" name="Open5" dataDxfId="2265"/>
    <tableColumn id="7" xr3:uid="{06E18F72-7E37-A84D-A205-389EC66FF62B}" name="Open6" dataDxfId="2264"/>
    <tableColumn id="8" xr3:uid="{78284C14-C4CF-F04E-8F5D-41B356BE8667}" name="Open7" dataDxfId="2263"/>
    <tableColumn id="9" xr3:uid="{9A312717-8B10-A641-9532-CFF04B325F56}" name="Open8" dataDxfId="2262"/>
    <tableColumn id="10" xr3:uid="{913B10DB-C756-D444-9334-829A62032C37}" name="Open9" dataDxfId="2261"/>
    <tableColumn id="11" xr3:uid="{D4686E54-DA00-094B-A567-7A6FCE459B04}" name="Open10" dataDxfId="2260"/>
    <tableColumn id="12" xr3:uid="{8C32C6DF-BCB0-0F4F-8B25-02BDFE0C90E8}" name="Open11" dataDxfId="2259"/>
    <tableColumn id="13" xr3:uid="{5A561081-F5CD-6B4D-B465-1869DCBCB727}" name="Open12" dataDxfId="2258"/>
    <tableColumn id="14" xr3:uid="{B8D9766C-03C2-9B40-B56F-15C155EC7762}" name="Open13" dataDxfId="2257"/>
    <tableColumn id="15" xr3:uid="{69794E79-649D-B04A-9E6D-A1FB7FD06CC4}" name="Open14" dataDxfId="2256"/>
    <tableColumn id="16" xr3:uid="{2C43AD13-A168-9A4D-869C-1EA09EDDFD22}" name="Open15" dataDxfId="2255"/>
    <tableColumn id="17" xr3:uid="{17AFBD30-9F2E-1A4C-8AA5-71AFA3BF092C}" name="Open16" dataDxfId="2254"/>
    <tableColumn id="18" xr3:uid="{1F620BC4-C578-3545-B148-8C7E16D7F5FE}" name="Open17" dataDxfId="2253"/>
    <tableColumn id="19" xr3:uid="{B560E636-BDB1-AA40-86EC-4E1A75517D70}" name="Open18" dataDxfId="2252"/>
    <tableColumn id="20" xr3:uid="{714C2841-15F8-C249-873E-4343067B0240}" name="Open19" dataDxfId="2251"/>
    <tableColumn id="21" xr3:uid="{D347935C-0F22-024F-8C36-90AFCCDAE1AF}" name="Open20" dataDxfId="2250">
      <calculatedColumnFormula>[1]DataRT!$G3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49" dataDxfId="2248" tableBorderDxfId="2247">
  <autoFilter ref="F204:Z298" xr:uid="{EB4BB861-7DAC-314C-88E1-E031AC845B22}"/>
  <tableColumns count="21">
    <tableColumn id="1" xr3:uid="{A4E5A9D6-B024-1848-9F1D-71E156809148}" name="Price0" dataDxfId="2246"/>
    <tableColumn id="2" xr3:uid="{52A5C813-441A-0F44-A905-B78DFD4A3E7C}" name="Price1" dataDxfId="2245"/>
    <tableColumn id="3" xr3:uid="{ED453191-6F79-4140-B4A3-749667D3669A}" name="Price2" dataDxfId="2244"/>
    <tableColumn id="4" xr3:uid="{2B0E655A-259C-864B-AEA5-8BFBC75DFA5F}" name="Price3" dataDxfId="2243"/>
    <tableColumn id="5" xr3:uid="{31D31267-41BA-A84C-9512-B812956F8287}" name="Price4" dataDxfId="2242"/>
    <tableColumn id="6" xr3:uid="{6E482D3D-F09A-AD46-BFEC-448C11C27A1B}" name="Price5" dataDxfId="2241"/>
    <tableColumn id="7" xr3:uid="{8DCBD691-FA2F-5C4F-8741-758F221535B8}" name="Price6" dataDxfId="2240"/>
    <tableColumn id="8" xr3:uid="{F81A28A3-D8E8-C548-BBF7-52E767E3560F}" name="Price7" dataDxfId="2239"/>
    <tableColumn id="9" xr3:uid="{F36950E3-5E7A-C44B-BDEC-5FF51E1821C0}" name="Price8" dataDxfId="2238"/>
    <tableColumn id="10" xr3:uid="{94001300-D30A-164C-9AF4-A6C18C1D8233}" name="Price9" dataDxfId="2237"/>
    <tableColumn id="11" xr3:uid="{1762A2DB-B308-ED43-944F-330F2C82AF06}" name="Price10" dataDxfId="2236"/>
    <tableColumn id="12" xr3:uid="{664B20E9-BD46-EB4E-8614-25B89B67B0C5}" name="Price11" dataDxfId="2235"/>
    <tableColumn id="13" xr3:uid="{85F76311-414E-8345-9FCC-75CCEC1CF031}" name="Price12" dataDxfId="2234"/>
    <tableColumn id="14" xr3:uid="{39B5CAB1-7AF2-ED40-844D-4C3150F8440D}" name="Price13" dataDxfId="2233"/>
    <tableColumn id="15" xr3:uid="{EAFED719-DCFC-8346-BF51-C8F86D4EF22A}" name="Price14" dataDxfId="2232"/>
    <tableColumn id="16" xr3:uid="{F0C7D109-ABBE-184B-9657-0BD76C0A19B9}" name="Price15" dataDxfId="2231"/>
    <tableColumn id="17" xr3:uid="{255011AA-1459-4E42-A3A6-ACA53BC0738C}" name="Price16" dataDxfId="2230"/>
    <tableColumn id="18" xr3:uid="{F9009A2B-6610-1349-8B9E-07FE9A1901DB}" name="Price17" dataDxfId="2229"/>
    <tableColumn id="19" xr3:uid="{F72FCCC2-2EE5-3B40-B6E1-BC512B2A567B}" name="Price18" dataDxfId="2228"/>
    <tableColumn id="20" xr3:uid="{FFF62431-CB3E-DD4C-B035-809B1E6C4777}" name="Price19" dataDxfId="2227"/>
    <tableColumn id="21" xr3:uid="{6CA9E17B-C9CB-5D40-9BDE-F4B681DB70A8}" name="Price20" dataDxfId="2226">
      <calculatedColumnFormula>[1]DataRT!$H3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25" dataDxfId="2224" tableBorderDxfId="2223" dataCellStyle="Comma">
  <autoFilter ref="AB4:AV98" xr:uid="{6AB25A1F-426D-5D41-AF5C-E0BACF53B0F0}"/>
  <tableColumns count="21">
    <tableColumn id="1" xr3:uid="{C7F03BE7-11FE-E841-9EF9-83F5C6F6FF3F}" name="Stock0" dataDxfId="2222" dataCellStyle="Comma"/>
    <tableColumn id="2" xr3:uid="{18A6D9C1-5DF4-2B40-9126-0E253FF416D7}" name="Stock1" dataDxfId="2221" dataCellStyle="Comma"/>
    <tableColumn id="3" xr3:uid="{4C2FC7F7-8430-F04E-8872-D98FF3A3D75B}" name="Stock2" dataDxfId="2220" dataCellStyle="Comma"/>
    <tableColumn id="4" xr3:uid="{838478B3-3270-1143-9694-B70966ED2654}" name="Stock3" dataDxfId="2219" dataCellStyle="Comma"/>
    <tableColumn id="5" xr3:uid="{F32213CF-064E-9342-B3E7-EA3E20AC95ED}" name="Stock4" dataDxfId="2218" dataCellStyle="Comma"/>
    <tableColumn id="6" xr3:uid="{C02BEF2E-2769-C04B-B440-6091CCD42B79}" name="Stock5" dataDxfId="2217" dataCellStyle="Comma"/>
    <tableColumn id="7" xr3:uid="{0F048FA9-BD2E-1F4C-AC9C-84F2091208AD}" name="Stock6" dataDxfId="2216" dataCellStyle="Comma"/>
    <tableColumn id="8" xr3:uid="{146ACADB-FB47-A542-9FA4-6EDCECB46FC4}" name="Stock7" dataDxfId="2215" dataCellStyle="Comma"/>
    <tableColumn id="9" xr3:uid="{96904AC0-9C5F-D043-BEDD-6B33D0EC239E}" name="Stock8" dataDxfId="2214" dataCellStyle="Comma"/>
    <tableColumn id="10" xr3:uid="{61E1D695-049F-5440-81AB-7D97F9E0F5CB}" name="Stock9" dataDxfId="2213" dataCellStyle="Comma"/>
    <tableColumn id="11" xr3:uid="{66B73799-E0BE-0049-82BC-096FB61FE577}" name="Stock10" dataDxfId="2212" dataCellStyle="Comma"/>
    <tableColumn id="12" xr3:uid="{F7F319CC-4A25-7345-A1A3-E1E93F1B82F6}" name="Stock11" dataDxfId="2211" dataCellStyle="Comma"/>
    <tableColumn id="13" xr3:uid="{D935BDD0-C5FF-414D-B97A-D213626F8B26}" name="Stock12" dataDxfId="2210" dataCellStyle="Comma"/>
    <tableColumn id="14" xr3:uid="{516F2104-B757-F94E-AB0F-428E98774253}" name="Stock13" dataDxfId="2209" dataCellStyle="Comma"/>
    <tableColumn id="15" xr3:uid="{2D08D160-51A8-914D-BB06-71F9E133FF42}" name="Stock14" dataDxfId="2208" dataCellStyle="Comma"/>
    <tableColumn id="16" xr3:uid="{A6311255-1F3F-E94F-A911-9E0083E20212}" name="Stock15" dataDxfId="2207" dataCellStyle="Comma"/>
    <tableColumn id="17" xr3:uid="{63865F5A-7539-144A-A7BF-3F28BA206DC5}" name="Stock16" dataDxfId="2206" dataCellStyle="Comma"/>
    <tableColumn id="18" xr3:uid="{53365510-D756-014D-B723-CBF92DEF74E4}" name="Stock17" dataDxfId="2205" dataCellStyle="Comma"/>
    <tableColumn id="19" xr3:uid="{4526F642-C055-8A46-B59D-A903CB7704F2}" name="Stock18" dataDxfId="2204" dataCellStyle="Comma"/>
    <tableColumn id="20" xr3:uid="{4D633FC2-817A-0D44-977B-DC0ADA7FA9EA}" name="Stock19" dataDxfId="2203" dataCellStyle="Comma"/>
    <tableColumn id="21" xr3:uid="{17C3BFF9-DE7F-F049-8716-2E4A3E209A88}" name="Stock20" dataDxfId="22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01" dataDxfId="2200" tableBorderDxfId="2199" dataCellStyle="Percent">
  <autoFilter ref="AB104:AV198" xr:uid="{5E09C67E-B492-C14D-BA21-53D0DFBBCF19}"/>
  <tableColumns count="21">
    <tableColumn id="1" xr3:uid="{4844BFD7-46E9-AD4D-A30F-27D7E320248D}" name="XAgio0" dataDxfId="2198" dataCellStyle="Percent"/>
    <tableColumn id="2" xr3:uid="{7A1C1DBC-E8A9-9C43-8D4C-79908C623B18}" name="XAgio1" dataDxfId="2197" dataCellStyle="Percent"/>
    <tableColumn id="3" xr3:uid="{F5F51D62-A156-3A4B-B1D3-94FCD61FC950}" name="XAgio2" dataDxfId="2196" dataCellStyle="Percent"/>
    <tableColumn id="4" xr3:uid="{E7F601FB-9DA1-9646-901B-25613F200B8E}" name="XAgio3" dataDxfId="2195" dataCellStyle="Percent"/>
    <tableColumn id="5" xr3:uid="{75D6ABA4-DA21-5B45-A87C-3A40C095EEDD}" name="XAgio4" dataDxfId="2194" dataCellStyle="Percent"/>
    <tableColumn id="6" xr3:uid="{456553CB-4622-3A40-868B-E76C74ECEC20}" name="XAgio5" dataDxfId="2193" dataCellStyle="Percent"/>
    <tableColumn id="7" xr3:uid="{A3974414-65F7-E44F-9012-7BB38B2A109D}" name="XAgio6" dataDxfId="2192" dataCellStyle="Percent"/>
    <tableColumn id="8" xr3:uid="{9AF89B43-794D-0044-8721-675D2C6D4F3E}" name="XAgio7" dataDxfId="2191" dataCellStyle="Percent"/>
    <tableColumn id="9" xr3:uid="{F5B7FA23-D7FE-BC47-9591-E9DA8FF929C2}" name="XAgio8" dataDxfId="2190" dataCellStyle="Percent"/>
    <tableColumn id="10" xr3:uid="{65D900EF-8A52-3C44-9629-8C6C9CD41130}" name="XAgio9" dataDxfId="2189" dataCellStyle="Percent"/>
    <tableColumn id="11" xr3:uid="{5E70DF05-8BA0-2D41-982A-D2D655974B5A}" name="XAgio10" dataDxfId="2188" dataCellStyle="Percent"/>
    <tableColumn id="12" xr3:uid="{B092C649-E1A7-3344-B40E-2BF9506A0880}" name="XAgio11" dataDxfId="2187" dataCellStyle="Percent"/>
    <tableColumn id="13" xr3:uid="{840DE593-5252-9C4A-BE7A-3D48632B63B7}" name="XAgio12" dataDxfId="2186" dataCellStyle="Percent"/>
    <tableColumn id="14" xr3:uid="{2E89F770-65D9-BB4A-B172-0E7996075FB4}" name="XAgio13" dataDxfId="2185" dataCellStyle="Percent"/>
    <tableColumn id="15" xr3:uid="{F177428E-AD8D-DF4B-A7AA-B15CB23DB9E4}" name="XAgio14" dataDxfId="2184" dataCellStyle="Percent"/>
    <tableColumn id="16" xr3:uid="{BCD73CCF-78D3-EC44-880D-FD6173967D68}" name="XAgio15" dataDxfId="2183" dataCellStyle="Percent"/>
    <tableColumn id="17" xr3:uid="{972D2180-01FF-264F-BA6C-033AD490130B}" name="XAgio16" dataDxfId="2182" dataCellStyle="Percent"/>
    <tableColumn id="18" xr3:uid="{BA2DE4B4-20B3-5943-8FBF-B47FBCAB9092}" name="XAgio17" dataDxfId="2181" dataCellStyle="Percent"/>
    <tableColumn id="19" xr3:uid="{34B59026-2C3D-8B4A-A730-B5D8AC1FD6FA}" name="XAgio18" dataDxfId="2180" dataCellStyle="Percent"/>
    <tableColumn id="20" xr3:uid="{9D4953E9-4D29-F647-B767-013FD23C3406}" name="XAgio19" dataDxfId="2179" dataCellStyle="Percent"/>
    <tableColumn id="21" xr3:uid="{C64D4FA9-A244-B04F-ABB2-1CF53E36712C}" name="XAgio20" dataDxfId="21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77" dataDxfId="2176" tableBorderDxfId="2175" dataCellStyle="Comma">
  <autoFilter ref="AB204:AV298" xr:uid="{A0EA3112-2FB6-FF42-841C-1FCA71A552B8}"/>
  <tableColumns count="21">
    <tableColumn id="1" xr3:uid="{AFEB9715-0820-D341-B6DD-56D90ACA4EB8}" name="AVGChan0" totalsRowLabel="Total" dataDxfId="2174" dataCellStyle="Comma"/>
    <tableColumn id="2" xr3:uid="{C5555382-638A-5E4F-9F9E-F76D19F860CD}" name="AVGChan1" dataDxfId="2173" dataCellStyle="Comma"/>
    <tableColumn id="3" xr3:uid="{CC180859-B3A9-A74D-854E-75282058C806}" name="AVGChan2" dataDxfId="2172" dataCellStyle="Comma"/>
    <tableColumn id="4" xr3:uid="{0B2BD7AB-D580-E44F-9EE2-E63D10A83637}" name="AVGChan3" dataDxfId="2171" dataCellStyle="Comma"/>
    <tableColumn id="5" xr3:uid="{A007109A-0054-AC49-B4CC-AC0ABA7FCC51}" name="AVGChan4" dataDxfId="2170" dataCellStyle="Comma"/>
    <tableColumn id="6" xr3:uid="{ADA20693-A5A5-AE4B-B88C-B65CB781B96B}" name="AVGChan5" dataDxfId="2169" dataCellStyle="Comma"/>
    <tableColumn id="7" xr3:uid="{7D26F7E4-E81D-D340-9014-5ACD0B49DD1E}" name="AVGChan6" dataDxfId="2168" dataCellStyle="Comma"/>
    <tableColumn id="8" xr3:uid="{4FEFA07A-6190-8C40-852E-B947C25694E4}" name="AVGChan7" dataDxfId="2167" dataCellStyle="Comma"/>
    <tableColumn id="9" xr3:uid="{200C4B95-289F-6742-B20B-64883DC43885}" name="AVGChan8" dataDxfId="2166" dataCellStyle="Comma"/>
    <tableColumn id="10" xr3:uid="{4C9BF29D-D210-D542-ACA3-179CDDE9DAF7}" name="AVGChan9" dataDxfId="2165" dataCellStyle="Comma"/>
    <tableColumn id="11" xr3:uid="{B85A0FFF-0B92-E545-AA74-114F3489EF28}" name="AVGChan10" dataDxfId="2164" dataCellStyle="Comma"/>
    <tableColumn id="12" xr3:uid="{36FAB0C0-8931-7C4A-A4D4-F1D9B93019C4}" name="AVGChan11" dataDxfId="2163" dataCellStyle="Comma"/>
    <tableColumn id="13" xr3:uid="{3F14D851-FC58-CF45-A44B-BEB6ECE74CF5}" name="AVGChan12" dataDxfId="2162" dataCellStyle="Comma"/>
    <tableColumn id="14" xr3:uid="{76BFA56E-7A6D-D648-8E97-C919C4B1D64E}" name="AVGChan13" dataDxfId="2161" dataCellStyle="Comma"/>
    <tableColumn id="15" xr3:uid="{42ECD6EE-13DD-CA41-8888-DBF465AE6675}" name="AVGChan14" dataDxfId="2160" dataCellStyle="Comma"/>
    <tableColumn id="16" xr3:uid="{4A0F3AFD-AFF8-4845-BF6E-71EEAC694084}" name="AVGChan15" dataDxfId="2159" dataCellStyle="Comma"/>
    <tableColumn id="17" xr3:uid="{BB41E69B-766F-CA4C-8F73-8229D71B0FBD}" name="AVGChan16" dataDxfId="2158" dataCellStyle="Comma"/>
    <tableColumn id="18" xr3:uid="{4E0F70D5-E77D-5544-BB80-5273D6D6DAD6}" name="AVGChan17" dataDxfId="2157" dataCellStyle="Comma"/>
    <tableColumn id="19" xr3:uid="{C0969DD6-BF9F-4F43-AE89-B3456AD8AEBA}" name="AVGChan18" dataDxfId="2156" dataCellStyle="Comma"/>
    <tableColumn id="20" xr3:uid="{3B8AD847-1069-8C45-ABC0-C614EB40C498}" name="AVGChan19" dataDxfId="2155" dataCellStyle="Comma"/>
    <tableColumn id="21" xr3:uid="{6E962B66-DD99-C04D-82E7-4A68E8C053FD}" name="AVGChan20" totalsRowFunction="max" dataDxfId="2154" totalsRowDxfId="21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52" dataDxfId="2151" tableBorderDxfId="2150">
  <autoFilter ref="F304:Z398" xr:uid="{8341DCDD-9E59-2740-A24A-0BAB86A4C294}"/>
  <tableColumns count="21">
    <tableColumn id="1" xr3:uid="{05BF7933-5282-7743-AAEF-BA70016123D1}" name="Low0" dataDxfId="2149"/>
    <tableColumn id="2" xr3:uid="{AEBAE2DC-B6D6-0D45-8ED5-23D6DE0D188E}" name="Low1" dataDxfId="2148"/>
    <tableColumn id="3" xr3:uid="{7397E65D-0B52-944C-B00D-ACBE6FC8970C}" name="Low2" dataDxfId="2147"/>
    <tableColumn id="4" xr3:uid="{65199958-FB50-644B-A6CD-D9B4A6A31C81}" name="Low3" dataDxfId="2146"/>
    <tableColumn id="5" xr3:uid="{D4E76AA6-38FC-044A-8136-1857F432C2D3}" name="Low4" dataDxfId="2145"/>
    <tableColumn id="6" xr3:uid="{ED22DB04-9A39-FA4C-A400-F3A5E3819087}" name="Low5" dataDxfId="2144"/>
    <tableColumn id="7" xr3:uid="{0691BBF2-D7EE-5E42-95D5-979DA294E3E7}" name="Low6" dataDxfId="2143"/>
    <tableColumn id="8" xr3:uid="{74FD8EEA-5F19-9447-855C-6D265EC39B98}" name="Low7" dataDxfId="2142"/>
    <tableColumn id="9" xr3:uid="{E09EB8DA-7DAF-AB45-BDDC-046B45CF7281}" name="Low8" dataDxfId="2141"/>
    <tableColumn id="10" xr3:uid="{3878FE9A-1C85-B84F-AC92-CB845274D16C}" name="Low9" dataDxfId="2140"/>
    <tableColumn id="11" xr3:uid="{B8430559-485B-B541-8B61-B3AA3978406D}" name="Low10" dataDxfId="2139"/>
    <tableColumn id="12" xr3:uid="{37EF61DB-B6C4-5742-A9A0-AAEAD0B7FCE6}" name="Low11" dataDxfId="2138"/>
    <tableColumn id="13" xr3:uid="{B119276C-5FBF-1A44-8632-7C3C430B2A4D}" name="Low12" dataDxfId="2137"/>
    <tableColumn id="14" xr3:uid="{49F0F70A-AA8D-204B-9C66-28455E39E699}" name="Low13" dataDxfId="2136"/>
    <tableColumn id="15" xr3:uid="{1A9F3FC6-0480-244A-91A4-82DAB8F1B54C}" name="Low14" dataDxfId="2135"/>
    <tableColumn id="16" xr3:uid="{547FE690-F1C5-B04D-B2DF-6360BB404F5A}" name="Low15" dataDxfId="2134"/>
    <tableColumn id="17" xr3:uid="{D819DC47-43F2-AC44-883E-2374E2163BF7}" name="Low16" dataDxfId="2133"/>
    <tableColumn id="18" xr3:uid="{88351988-EF51-384B-AC10-2BC7C2582A51}" name="Low17" dataDxfId="2132"/>
    <tableColumn id="19" xr3:uid="{01380C41-88F2-4D41-8C9D-E40D9F6441F5}" name="Low18" dataDxfId="2131"/>
    <tableColumn id="20" xr3:uid="{84321462-E49A-E747-ABFD-DD17E624EC5A}" name="Low19" dataDxfId="2130"/>
    <tableColumn id="21" xr3:uid="{684AE721-DDC5-814C-9DAE-F132DA57CEBA}" name="Low20" dataDxfId="2129">
      <calculatedColumnFormula>[1]DataRT!$I3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28" dataDxfId="2127" tableBorderDxfId="2126" dataCellStyle="Comma">
  <autoFilter ref="AB304:AV398" xr:uid="{505C5E5D-245B-A747-9456-0A0E743C05A8}"/>
  <tableColumns count="21">
    <tableColumn id="1" xr3:uid="{F7696D4B-4AED-544C-B7C4-D7CE117BA3E4}" name="Sald0" dataDxfId="2125" dataCellStyle="Comma"/>
    <tableColumn id="2" xr3:uid="{715ED5A9-49EF-A648-85DA-96BA79BF9465}" name="Sald1" dataDxfId="2124" dataCellStyle="Comma"/>
    <tableColumn id="3" xr3:uid="{C7F806CC-F109-4247-B40E-74E3AE1489B3}" name="Sald2" dataDxfId="2123" dataCellStyle="Comma"/>
    <tableColumn id="4" xr3:uid="{18B41461-0D38-0849-89C0-982034BE0F82}" name="Sald3" dataDxfId="2122" dataCellStyle="Comma"/>
    <tableColumn id="5" xr3:uid="{8298E28E-80F4-1048-8A5F-010EBB7B8A3E}" name="Sald4" dataDxfId="2121" dataCellStyle="Comma"/>
    <tableColumn id="6" xr3:uid="{32D5C376-8552-A04D-9ED9-02FE6C79D9A2}" name="Sald5" dataDxfId="2120" dataCellStyle="Comma"/>
    <tableColumn id="7" xr3:uid="{0ABF3F59-1C72-A14A-9072-D4A990EA8CE3}" name="Sald6" dataDxfId="2119" dataCellStyle="Comma"/>
    <tableColumn id="8" xr3:uid="{0FD2AAEC-31D8-8C4D-A76B-31EAAFF62550}" name="Sald7" dataDxfId="2118" dataCellStyle="Comma"/>
    <tableColumn id="9" xr3:uid="{F861BBF0-6B76-7944-AEF1-EE42D7F8BE67}" name="Sald8" dataDxfId="2117" dataCellStyle="Comma"/>
    <tableColumn id="10" xr3:uid="{C7145DD9-60A5-6649-B81D-9A811F1A04C8}" name="Sald9" dataDxfId="2116" dataCellStyle="Comma"/>
    <tableColumn id="11" xr3:uid="{44B06E69-05E2-7E4A-AC70-25BCA74106DD}" name="Sald10" dataDxfId="2115" dataCellStyle="Comma"/>
    <tableColumn id="12" xr3:uid="{A3625923-E054-3845-B42D-2D38393132BF}" name="Sald11" dataDxfId="2114" dataCellStyle="Comma"/>
    <tableColumn id="13" xr3:uid="{CF2D3173-D401-C247-BA64-D3BECA1113C9}" name="Sald12" dataDxfId="2113" dataCellStyle="Comma"/>
    <tableColumn id="14" xr3:uid="{7CA064B5-3FF3-5347-A4DA-C9135895E78E}" name="Sald13" dataDxfId="2112" dataCellStyle="Comma"/>
    <tableColumn id="15" xr3:uid="{F88906F4-6EF3-8D44-AFB3-7F6171120460}" name="Sald14" dataDxfId="2111" dataCellStyle="Comma"/>
    <tableColumn id="16" xr3:uid="{08BE88DE-285E-DD4E-9B94-ABF49BDF2583}" name="Sald15" dataDxfId="2110" dataCellStyle="Comma"/>
    <tableColumn id="17" xr3:uid="{FF350C71-FB06-814C-AB62-C38F3BD8773D}" name="Sald16" dataDxfId="2109" dataCellStyle="Comma"/>
    <tableColumn id="18" xr3:uid="{871A4128-CC31-834F-9E52-C6732E47E371}" name="Sald17" dataDxfId="2108" dataCellStyle="Comma"/>
    <tableColumn id="19" xr3:uid="{CEC6770B-F0F3-E944-84DF-0EB3CF5BF1C5}" name="Sald18" dataDxfId="2107" dataCellStyle="Comma"/>
    <tableColumn id="20" xr3:uid="{4ED80F33-FFBC-754A-BC03-7BBA30F2CF36}" name="Sald19" dataDxfId="2106" dataCellStyle="Comma"/>
    <tableColumn id="21" xr3:uid="{EE7FE24F-4084-A047-A96A-BFD7777A0526}" name="Sald20" dataDxfId="21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04" dataDxfId="2103" tableBorderDxfId="2102">
  <autoFilter ref="F404:Z498" xr:uid="{72791BE6-AE3B-984E-9283-1FCA25508BF8}"/>
  <tableColumns count="21">
    <tableColumn id="1" xr3:uid="{5F2442DC-292F-7E44-9E79-EC5946746F80}" name="High0" dataDxfId="2101"/>
    <tableColumn id="2" xr3:uid="{0549D8C8-5CD6-D547-AA4E-06EF2CCBBC47}" name="High1" dataDxfId="2100"/>
    <tableColumn id="3" xr3:uid="{9808B4C7-981B-8E41-932E-5EEDB044D191}" name="High2" dataDxfId="2099"/>
    <tableColumn id="4" xr3:uid="{B0305D9C-4013-9546-B636-C1949178510D}" name="High3" dataDxfId="2098"/>
    <tableColumn id="5" xr3:uid="{F9E69E5D-F110-9B48-9329-9C8765C01A16}" name="High4" dataDxfId="2097"/>
    <tableColumn id="6" xr3:uid="{48A1E920-9742-9B42-B5B4-CE8842722C58}" name="High5" dataDxfId="2096"/>
    <tableColumn id="7" xr3:uid="{0FAA0644-82A0-C647-85BA-148C691889ED}" name="High6" dataDxfId="2095"/>
    <tableColumn id="8" xr3:uid="{E26B2014-11CB-6C43-9007-791975CDE457}" name="High7" dataDxfId="2094"/>
    <tableColumn id="9" xr3:uid="{BB5A97F1-1D0F-3B40-9D75-3BC9680046D9}" name="High8" dataDxfId="2093"/>
    <tableColumn id="10" xr3:uid="{9937F62A-F0DE-504F-9DDF-9B58BBCDF30D}" name="High9" dataDxfId="2092"/>
    <tableColumn id="11" xr3:uid="{29A4776E-C258-E74A-ADF9-5D021108CAC4}" name="High10" dataDxfId="2091"/>
    <tableColumn id="12" xr3:uid="{8849CFF6-7CC5-C142-AF6B-ADEA6C57F16A}" name="High11" dataDxfId="2090"/>
    <tableColumn id="13" xr3:uid="{633224FB-FB56-3346-B3D4-7815BD0EE8D2}" name="High12" dataDxfId="2089"/>
    <tableColumn id="14" xr3:uid="{AE8EB41C-C141-E34D-998C-B0CD93824B2C}" name="High13" dataDxfId="2088"/>
    <tableColumn id="15" xr3:uid="{D5C19F64-CCDC-C14F-9A29-B00650B50A72}" name="High14" dataDxfId="2087"/>
    <tableColumn id="16" xr3:uid="{30340F11-A4CE-D545-A219-2AE57981DD72}" name="High15" dataDxfId="2086"/>
    <tableColumn id="17" xr3:uid="{DC13C9CF-21E4-0341-AC85-77254CBA4C10}" name="High16" dataDxfId="2085"/>
    <tableColumn id="18" xr3:uid="{8B477E38-014E-7349-BDEF-006CC12B5F71}" name="High17" dataDxfId="2084"/>
    <tableColumn id="19" xr3:uid="{244FB7EE-D034-2C4B-855E-A5622CFD9DCC}" name="High18" dataDxfId="2083"/>
    <tableColumn id="20" xr3:uid="{BE6D664C-133B-0D49-9894-15834393E697}" name="High19" dataDxfId="2082"/>
    <tableColumn id="21" xr3:uid="{0D39CB33-A7F6-3446-97CA-74E68796A5EF}" name="High20" dataDxfId="2081">
      <calculatedColumnFormula>[1]DataRT!$J3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80" dataDxfId="2079" tableBorderDxfId="2078" dataCellStyle="Comma">
  <autoFilter ref="AB504:AV598" xr:uid="{2059310D-912B-5146-8786-585E1C6FFCF2}"/>
  <tableColumns count="21">
    <tableColumn id="1" xr3:uid="{C4347E4A-86BC-5043-97CE-45A14B956E41}" name="M_Val0" dataDxfId="2077" dataCellStyle="Comma"/>
    <tableColumn id="2" xr3:uid="{B1FF6CEC-79A5-F849-8927-C7B81EC7DECC}" name="M_Val1" dataDxfId="2076" dataCellStyle="Comma"/>
    <tableColumn id="3" xr3:uid="{A3EF44CD-266F-BE4D-AA64-EC5EB34BABDE}" name="M_Val2" dataDxfId="2075" dataCellStyle="Comma"/>
    <tableColumn id="4" xr3:uid="{33FCDB11-ACFC-144C-96FF-80A724DEA2D2}" name="M_Val3" dataDxfId="2074" dataCellStyle="Comma"/>
    <tableColumn id="5" xr3:uid="{ECF85600-2A51-6B4A-A8AA-85CC4E8C8A69}" name="M_Val4" dataDxfId="2073" dataCellStyle="Comma"/>
    <tableColumn id="6" xr3:uid="{DA6F66BD-BF68-A745-930D-40C93490CE38}" name="M_Val5" dataDxfId="2072" dataCellStyle="Comma"/>
    <tableColumn id="7" xr3:uid="{3825427F-1753-8E4B-9F49-DC786B094ADF}" name="M_Val6" dataDxfId="2071" dataCellStyle="Comma"/>
    <tableColumn id="8" xr3:uid="{DE50C296-7BE6-2344-ADBB-42DDE8201D63}" name="M_Val7" dataDxfId="2070" dataCellStyle="Comma"/>
    <tableColumn id="9" xr3:uid="{6E7F2388-373F-3347-A802-C9769737C04E}" name="M_Val8" dataDxfId="2069" dataCellStyle="Comma"/>
    <tableColumn id="10" xr3:uid="{A785C2B5-06C3-8744-8BCE-7DF4FD77BC91}" name="M_Val9" dataDxfId="2068" dataCellStyle="Comma"/>
    <tableColumn id="11" xr3:uid="{8C7CA10E-47BD-E84A-BD5C-1A0BE803DEC1}" name="M_Val10" dataDxfId="2067" dataCellStyle="Comma"/>
    <tableColumn id="12" xr3:uid="{1E4D3DAF-E7FF-874F-9172-DEC7EE7EAB78}" name="M_Val11" dataDxfId="2066" dataCellStyle="Comma"/>
    <tableColumn id="13" xr3:uid="{92B8A6BB-8666-2348-B666-A1B1F7225487}" name="M_Val12" dataDxfId="2065" dataCellStyle="Comma"/>
    <tableColumn id="14" xr3:uid="{2BB9A822-DD2E-954F-B6F7-E6E26EE77E8B}" name="M_Val13" dataDxfId="2064" dataCellStyle="Comma"/>
    <tableColumn id="15" xr3:uid="{155B15D5-436D-664E-8647-3917F45F9F75}" name="M_Val14" dataDxfId="2063" dataCellStyle="Comma"/>
    <tableColumn id="16" xr3:uid="{2317AB74-4C6E-FC4A-8D59-B4EA62202F18}" name="M_Val15" dataDxfId="2062" dataCellStyle="Comma"/>
    <tableColumn id="17" xr3:uid="{FA0A4F43-775A-E940-A9B0-C394FF2B3489}" name="M_Val16" dataDxfId="2061" dataCellStyle="Comma"/>
    <tableColumn id="18" xr3:uid="{914B7672-9B72-E249-BB28-1D744A2474DA}" name="M_Val17" dataDxfId="2060" dataCellStyle="Comma"/>
    <tableColumn id="19" xr3:uid="{FEAB0C78-F15D-434B-A119-CE6A5430E083}" name="M_Val18" dataDxfId="2059" dataCellStyle="Comma"/>
    <tableColumn id="20" xr3:uid="{7060E8A2-F8A5-8741-9D69-3F1A5F8B6BF0}" name="M_Val19" dataDxfId="2058" dataCellStyle="Comma"/>
    <tableColumn id="21" xr3:uid="{FA8ABABE-3921-3E45-831B-C8F137C9C488}" name="M_Val20" dataDxfId="20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56" dataDxfId="2055" tableBorderDxfId="2054">
  <autoFilter ref="F504:Z598" xr:uid="{36432D48-615D-1C48-A920-5E65086EABA8}"/>
  <tableColumns count="21">
    <tableColumn id="1" xr3:uid="{6AB3A1F6-3AFC-8A45-971A-236D7AC7AB72}" name="PE0" dataDxfId="2053"/>
    <tableColumn id="2" xr3:uid="{C1F36B94-A69D-D048-9AB8-5EA83B7C9B99}" name="PE1" dataDxfId="2052"/>
    <tableColumn id="3" xr3:uid="{63661DA8-D795-6C49-A71B-41F019D21DDC}" name="PE2" dataDxfId="2051"/>
    <tableColumn id="4" xr3:uid="{D5A54A31-FEF4-BA4E-9B48-3EEF87AD1F14}" name="PE3" dataDxfId="2050"/>
    <tableColumn id="5" xr3:uid="{B65A08F3-5A74-754D-A3C6-8CDB9EF676C2}" name="PE4" dataDxfId="2049"/>
    <tableColumn id="6" xr3:uid="{7D4695C5-0843-EF45-A864-194AC78A2520}" name="PE5" dataDxfId="2048"/>
    <tableColumn id="7" xr3:uid="{35BB55FC-B3A0-964C-AEA0-9AA1136AF415}" name="PE6" dataDxfId="2047"/>
    <tableColumn id="8" xr3:uid="{1D2CBFF1-8B15-A84D-81C4-481E8A48D1DC}" name="PE7" dataDxfId="2046"/>
    <tableColumn id="9" xr3:uid="{A828A73C-F96B-5249-93ED-64ED903CA99D}" name="PE8" dataDxfId="2045"/>
    <tableColumn id="10" xr3:uid="{8870CD52-48DF-8841-998E-4E415A2751E6}" name="PE9" dataDxfId="2044"/>
    <tableColumn id="11" xr3:uid="{93CEE660-F7F2-1242-8DB3-9770EDC47297}" name="PE10" dataDxfId="2043"/>
    <tableColumn id="12" xr3:uid="{7271FB2D-1E6B-FE46-89C9-E6D759BE0E9C}" name="PE11" dataDxfId="2042"/>
    <tableColumn id="13" xr3:uid="{F5323927-9C3C-1445-8A2F-D173633B0D4C}" name="PE12" dataDxfId="2041"/>
    <tableColumn id="14" xr3:uid="{F94286AA-0AD1-F44B-A550-F7D2B757B377}" name="PE13" dataDxfId="2040"/>
    <tableColumn id="15" xr3:uid="{3E87B3EC-0708-2840-B184-905CF0494D38}" name="PE14" dataDxfId="2039"/>
    <tableColumn id="16" xr3:uid="{937EBC93-3781-5349-A2AC-956E22021E08}" name="PE15" dataDxfId="2038"/>
    <tableColumn id="17" xr3:uid="{638B58F0-3B34-CD4E-B605-167004C8346E}" name="PE16" dataDxfId="2037"/>
    <tableColumn id="18" xr3:uid="{E1AD3DD0-1478-964D-8994-FF3EA6BE4C0F}" name="PE17" dataDxfId="2036"/>
    <tableColumn id="19" xr3:uid="{9E8E221E-BFCA-BA44-9CF6-97E06234E423}" name="PE18" dataDxfId="2035"/>
    <tableColumn id="20" xr3:uid="{C4FBB163-9E7D-C545-98D8-5012D5EBEE1F}" name="PE19" dataDxfId="2034"/>
    <tableColumn id="21" xr3:uid="{EB5F2E20-930D-4648-8D82-E36CBF64AD58}" name="PE20" dataDxfId="2033">
      <calculatedColumnFormula>[1]DataRT!$K3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32" dataDxfId="2031" tableBorderDxfId="2030" dataCellStyle="Comma">
  <autoFilter ref="AB604:AV698" xr:uid="{3609B58A-1615-B540-A3F4-6B519A654E28}"/>
  <tableColumns count="21">
    <tableColumn id="1" xr3:uid="{A0B04F0D-EC99-2549-B887-D57FA0D5E86F}" name="Gravity0" dataDxfId="2029" dataCellStyle="Percent"/>
    <tableColumn id="2" xr3:uid="{8D4C8AFE-708C-3547-976C-9A96BCBB8AFE}" name="Gravity1" dataDxfId="2028" dataCellStyle="Percent"/>
    <tableColumn id="3" xr3:uid="{7DFEBD87-178F-F64B-84A1-99F2119E39BA}" name="Gravity2" dataDxfId="2027" dataCellStyle="Percent"/>
    <tableColumn id="4" xr3:uid="{1D750563-D4F9-1A4D-A506-0AFE6C2D1D11}" name="Gravity3" dataDxfId="2026" dataCellStyle="Percent"/>
    <tableColumn id="5" xr3:uid="{0C9EE0C1-A0F5-A74E-8AB9-1AFD9B1C16DB}" name="Gravity4" dataDxfId="2025" dataCellStyle="Percent"/>
    <tableColumn id="6" xr3:uid="{9B19E6A0-AB29-C740-A355-E5A5CAD21CAB}" name="Gravity5" dataDxfId="2024" dataCellStyle="Percent"/>
    <tableColumn id="7" xr3:uid="{C28A85C1-D8C2-CA41-8F08-02E8F8024840}" name="Gravity6" dataDxfId="2023" dataCellStyle="Percent"/>
    <tableColumn id="8" xr3:uid="{357255E7-2CA0-0A43-9C09-B4D68962DF89}" name="Gravity7" dataDxfId="2022" dataCellStyle="Percent"/>
    <tableColumn id="9" xr3:uid="{C55B8262-AD8C-5141-BB34-1E2036804933}" name="Gravity8" dataDxfId="2021" dataCellStyle="Percent"/>
    <tableColumn id="10" xr3:uid="{298C0C4D-7682-4740-A283-7CAC9012D782}" name="Gravity9" dataDxfId="2020" dataCellStyle="Percent"/>
    <tableColumn id="11" xr3:uid="{B2D984E2-F2D7-B140-A5DB-627777F1DCD8}" name="Gravity10" dataDxfId="2019" dataCellStyle="Percent"/>
    <tableColumn id="12" xr3:uid="{9BB8DE4A-EB39-9548-A681-07940F2F801B}" name="Gravity11" dataDxfId="2018" dataCellStyle="Percent"/>
    <tableColumn id="13" xr3:uid="{76A3DECB-D825-C34E-8854-40CC9AFC168B}" name="Gravity12" dataDxfId="2017" dataCellStyle="Percent"/>
    <tableColumn id="14" xr3:uid="{AB485574-61F2-474C-89CB-FD8087756B5F}" name="Gravity13" dataDxfId="2016" dataCellStyle="Percent"/>
    <tableColumn id="15" xr3:uid="{438E0A68-B270-F947-817C-A58D392C7C30}" name="Gravity14" dataDxfId="2015" dataCellStyle="Percent"/>
    <tableColumn id="16" xr3:uid="{2B03B8A5-CB2F-C04E-B9AF-40D10250B197}" name="Gravity15" dataDxfId="2014" dataCellStyle="Percent"/>
    <tableColumn id="17" xr3:uid="{8387BA87-3B28-BE46-AD30-96A306038D1F}" name="Gravity16" dataDxfId="2013" dataCellStyle="Percent"/>
    <tableColumn id="18" xr3:uid="{F7904E93-BC46-0140-B3D6-49F92A3C3B5D}" name="Gravity17" dataDxfId="2012" dataCellStyle="Percent"/>
    <tableColumn id="19" xr3:uid="{672772F2-D35C-FE45-9C9E-A94C236B7B44}" name="Gravity18" dataDxfId="2011" dataCellStyle="Percent"/>
    <tableColumn id="20" xr3:uid="{208290DE-04CD-8449-90BB-B19A0603A99B}" name="Gravity19" dataDxfId="2010" dataCellStyle="Percent"/>
    <tableColumn id="21" xr3:uid="{D3DBFB11-389F-5340-8DDD-4E481D36F033}" name="Gravity20" dataDxfId="20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08" dataDxfId="2007" tableBorderDxfId="2006">
  <autoFilter ref="F604:Z698" xr:uid="{4DCF9413-627E-A447-A977-39461A12B0A3}"/>
  <tableColumns count="21">
    <tableColumn id="1" xr3:uid="{6C815857-AD36-514F-8897-BFA64C5DF519}" name="Change0" dataDxfId="2005"/>
    <tableColumn id="2" xr3:uid="{D38C3A03-2443-AD4B-AABC-4865D01815F2}" name="Change1" dataDxfId="2004"/>
    <tableColumn id="3" xr3:uid="{F6A50E01-2E70-8A44-A203-8594C9A07E19}" name="Change2" dataDxfId="2003"/>
    <tableColumn id="4" xr3:uid="{706AC2D7-888F-424A-A18C-849A98565C59}" name="Change3" dataDxfId="2002"/>
    <tableColumn id="5" xr3:uid="{560434CF-FA00-224C-B78C-55A65C6677B2}" name="Change4" dataDxfId="2001"/>
    <tableColumn id="6" xr3:uid="{9BB8986A-CB07-764B-974F-0200B964D48F}" name="Change5" dataDxfId="2000"/>
    <tableColumn id="7" xr3:uid="{A2BACA41-D491-AB49-BEA6-9772D4BD92BB}" name="Change6" dataDxfId="1999"/>
    <tableColumn id="8" xr3:uid="{B018DF0E-1556-A640-A7CD-653956B49AF4}" name="Change7" dataDxfId="1998"/>
    <tableColumn id="9" xr3:uid="{0589AC3B-0F4E-9B4F-BB47-CE809EB1DBF8}" name="Change8" dataDxfId="1997"/>
    <tableColumn id="10" xr3:uid="{43E47C43-9E48-B94B-A809-58536D8414BF}" name="Change9" dataDxfId="1996"/>
    <tableColumn id="11" xr3:uid="{A0D7F08A-CDD4-414F-9F26-553F599CBBF1}" name="Change10" dataDxfId="1995"/>
    <tableColumn id="12" xr3:uid="{488D9FD5-AC07-7A41-BD58-03C91357C94E}" name="Change11" dataDxfId="1994"/>
    <tableColumn id="13" xr3:uid="{EE9196AD-D051-6B4A-A202-A7144C6DFD66}" name="Change12" dataDxfId="1993"/>
    <tableColumn id="14" xr3:uid="{98450C78-3B61-1240-A662-7D5D61F30136}" name="Change13" dataDxfId="1992"/>
    <tableColumn id="15" xr3:uid="{EFA82915-6798-D846-878D-4446ABAE0933}" name="Change14" dataDxfId="1991"/>
    <tableColumn id="16" xr3:uid="{1CB917FE-8C88-4342-92DA-8B016542CFD2}" name="Change15" dataDxfId="1990"/>
    <tableColumn id="17" xr3:uid="{42105FB5-22CD-9342-866F-5BA47B717B37}" name="Change16" dataDxfId="1989"/>
    <tableColumn id="18" xr3:uid="{9FDA4AD2-5AA7-AC4E-BDB4-8AA2B4A4A42A}" name="Change17" dataDxfId="1988"/>
    <tableColumn id="19" xr3:uid="{6F1473B0-92BE-D749-A143-3A92C357032F}" name="Change18" dataDxfId="1987"/>
    <tableColumn id="20" xr3:uid="{25B55CEC-14E6-7E42-9FB8-CC16C431ABE7}" name="Change19" dataDxfId="1986"/>
    <tableColumn id="21" xr3:uid="{C59011F9-9453-234D-A348-16CE831E6078}" name="Change20" dataDxfId="1985">
      <calculatedColumnFormula>[1]DataRT!$L3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84" dataDxfId="1983" tableBorderDxfId="1982" dataCellStyle="Comma">
  <autoFilter ref="AB703:AV797" xr:uid="{A5611BBA-DEBB-A742-816E-7FD6E0ADDC18}"/>
  <tableColumns count="21">
    <tableColumn id="1" xr3:uid="{9E345079-25ED-314A-BD31-D6BE104235D5}" name="Price_R_0" dataDxfId="1981" dataCellStyle="Comma"/>
    <tableColumn id="2" xr3:uid="{814A6345-1ED8-FE41-9109-8CD80D16593D}" name="Price_R_1" dataDxfId="1980" dataCellStyle="Comma"/>
    <tableColumn id="3" xr3:uid="{63A5BA5B-6637-7146-BCAB-AF0A6BD84542}" name="Price_R_2" dataDxfId="1979" dataCellStyle="Comma"/>
    <tableColumn id="4" xr3:uid="{C60CA0E4-422E-874F-B78B-A323C8C52AD9}" name="Price_R_3" dataDxfId="1978" dataCellStyle="Comma"/>
    <tableColumn id="5" xr3:uid="{7482E8DF-E6B5-9E41-8E12-A7E87DCC4331}" name="Price_R_4" dataDxfId="1977" dataCellStyle="Comma"/>
    <tableColumn id="6" xr3:uid="{D2D2A512-B5A8-7944-8FDD-4BCD959F2381}" name="Price_R_5" dataDxfId="1976" dataCellStyle="Comma"/>
    <tableColumn id="7" xr3:uid="{4F82805C-CC22-E74C-B851-5D6D0D84B7DC}" name="Price_R_6" dataDxfId="1975" dataCellStyle="Comma"/>
    <tableColumn id="8" xr3:uid="{BE4CDE83-DB86-9A48-85B9-E2A9B9E30C11}" name="Price_R_7" dataDxfId="1974" dataCellStyle="Comma"/>
    <tableColumn id="9" xr3:uid="{6C1BF96F-8EDB-6946-A2F3-C983E0C0C055}" name="Price_R_8" dataDxfId="1973" dataCellStyle="Comma"/>
    <tableColumn id="10" xr3:uid="{DA1EB53F-7FEE-8641-A52B-536EA3AB1DAC}" name="Price_R_9" dataDxfId="1972" dataCellStyle="Comma"/>
    <tableColumn id="11" xr3:uid="{A78F983A-0F51-D747-8420-29D3EA740487}" name="Price_R_10" dataDxfId="1971" dataCellStyle="Comma"/>
    <tableColumn id="12" xr3:uid="{6EE0B1E4-6446-F242-8E37-5BC854705E77}" name="Price_R_11" dataDxfId="1970" dataCellStyle="Comma"/>
    <tableColumn id="13" xr3:uid="{B85618C8-1B52-2A43-94AF-62D2CF27CAA3}" name="Price_R_12" dataDxfId="1969" dataCellStyle="Comma"/>
    <tableColumn id="14" xr3:uid="{6F404DC1-D1DD-7741-9D45-4928A4B19C45}" name="Price_R_13" dataDxfId="1968" dataCellStyle="Comma"/>
    <tableColumn id="15" xr3:uid="{B9BCB79E-3DF6-A845-AA0F-D76186F6F272}" name="Price_R_14" dataDxfId="1967" dataCellStyle="Comma"/>
    <tableColumn id="16" xr3:uid="{A3C7848D-67D3-FF45-8B42-6D9A6E4C865F}" name="Price_R_15" dataDxfId="1966" dataCellStyle="Comma"/>
    <tableColumn id="17" xr3:uid="{6385658D-D996-6E49-96D3-AC27BD18C68D}" name="Price_R_16" dataDxfId="1965" dataCellStyle="Comma"/>
    <tableColumn id="18" xr3:uid="{6755F4F7-AB0E-1140-BD86-0CEB49445E3C}" name="Price_R_17" dataDxfId="1964" dataCellStyle="Comma"/>
    <tableColumn id="19" xr3:uid="{5F2B6E7B-CF5C-004B-BBB8-34AC8C1B33C1}" name="Price_R_18" dataDxfId="1963" dataCellStyle="Comma"/>
    <tableColumn id="20" xr3:uid="{5BBB4D31-9AF3-3C40-A301-74F15E49AF4B}" name="Price_R_19" dataDxfId="1962" dataCellStyle="Comma"/>
    <tableColumn id="21" xr3:uid="{F53B7264-073C-B04C-AB0C-D9A23BDED3A3}" name="Price_R_20" dataDxfId="19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60" dataDxfId="1959" tableBorderDxfId="1958" dataCellStyle="Percent">
  <autoFilter ref="F703:Z797" xr:uid="{217639E3-C9A3-E441-ACF7-1F3F452949DB}"/>
  <tableColumns count="21">
    <tableColumn id="1" xr3:uid="{07F85B24-C0AB-654A-99EE-FF2231A0E5E9}" name="Change%0" dataDxfId="1957" totalsRowDxfId="1956" dataCellStyle="Percent"/>
    <tableColumn id="2" xr3:uid="{6277BEEF-ED87-8F44-856D-A182DAC7D192}" name="Change%1" dataDxfId="1955" totalsRowDxfId="1954" dataCellStyle="Percent"/>
    <tableColumn id="3" xr3:uid="{81173F8B-762A-6F48-A5CE-466659ED4610}" name="Change%2" dataDxfId="1953" totalsRowDxfId="1952" dataCellStyle="Percent"/>
    <tableColumn id="4" xr3:uid="{5FAB3EA3-5005-BF42-8BD0-60FA27AB26A0}" name="Change%3" dataDxfId="1951" totalsRowDxfId="1950" dataCellStyle="Percent"/>
    <tableColumn id="5" xr3:uid="{263B0787-0B05-754C-BD4B-2E271E2ECCC7}" name="Change%4" dataDxfId="1949" totalsRowDxfId="1948" dataCellStyle="Percent"/>
    <tableColumn id="6" xr3:uid="{30CF5F57-193D-0442-A594-4E8DE2F03ADB}" name="Change%5" dataDxfId="1947" totalsRowDxfId="1946" dataCellStyle="Percent"/>
    <tableColumn id="7" xr3:uid="{4B8BFE6B-2BED-4D42-AEC9-87DFA508274E}" name="Change%6" dataDxfId="1945" totalsRowDxfId="1944" dataCellStyle="Percent"/>
    <tableColumn id="8" xr3:uid="{07CEB146-02E3-E541-9100-0CB50F4E0739}" name="Change%7" dataDxfId="1943" totalsRowDxfId="1942" dataCellStyle="Percent"/>
    <tableColumn id="9" xr3:uid="{4CDDB7A4-680A-2340-B992-0DC78E17A997}" name="Change%8" dataDxfId="1941" totalsRowDxfId="1940" dataCellStyle="Percent"/>
    <tableColumn id="10" xr3:uid="{9AA5B541-EC12-DE45-B4D3-4EE2138C5D3C}" name="Change%9" dataDxfId="1939" totalsRowDxfId="1938" dataCellStyle="Percent"/>
    <tableColumn id="11" xr3:uid="{DA0F2F38-7866-354A-AF05-3F766DEF3C41}" name="Change%10" dataDxfId="1937" totalsRowDxfId="1936" dataCellStyle="Percent"/>
    <tableColumn id="12" xr3:uid="{ACEEC37C-251A-744A-A91C-58964EEB2458}" name="Change%11" dataDxfId="1935" totalsRowDxfId="1934" dataCellStyle="Percent"/>
    <tableColumn id="13" xr3:uid="{64EA9527-9991-AA4B-B95F-7836E1D6B699}" name="Change%12" dataDxfId="1933" totalsRowDxfId="1932" dataCellStyle="Percent"/>
    <tableColumn id="14" xr3:uid="{BF77A13F-B55D-E945-85FD-1B2DEE78796D}" name="Change%13" dataDxfId="1931" totalsRowDxfId="1930" dataCellStyle="Percent"/>
    <tableColumn id="15" xr3:uid="{37253EE7-EBB5-FB4C-AAD0-28CC218B6D0F}" name="Change%14" dataDxfId="1929" totalsRowDxfId="1928" dataCellStyle="Percent"/>
    <tableColumn id="16" xr3:uid="{67C0BADF-9353-854D-BCD6-DB9E43EE9E3E}" name="Change%15" dataDxfId="1927" totalsRowDxfId="1926" dataCellStyle="Percent"/>
    <tableColumn id="17" xr3:uid="{8C76684D-54C9-0441-8A71-E4B91154A635}" name="Change%16" dataDxfId="1925" totalsRowDxfId="1924" dataCellStyle="Percent"/>
    <tableColumn id="18" xr3:uid="{09F452FF-F0DF-F44D-8DCF-4990F34FA347}" name="Change%17" dataDxfId="1923" totalsRowDxfId="1922" dataCellStyle="Percent"/>
    <tableColumn id="19" xr3:uid="{0F279240-DB4F-A344-BDFA-918E88A0673B}" name="Change%18" dataDxfId="1921" totalsRowDxfId="1920" dataCellStyle="Percent"/>
    <tableColumn id="20" xr3:uid="{1D897499-2474-6042-AF31-D19B07F64D1C}" name="Change%19" dataDxfId="1919" totalsRowDxfId="1918" dataCellStyle="Percent"/>
    <tableColumn id="21" xr3:uid="{2E614D1E-AA18-8C46-95FC-92384A1FC5E5}" name="Change%20" dataDxfId="1917" totalsRowDxfId="1916" dataCellStyle="Percent">
      <calculatedColumnFormula>[1]DataRT!$M3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15" dataDxfId="1914" tableBorderDxfId="1913" dataCellStyle="Comma">
  <autoFilter ref="AB803:AV897" xr:uid="{1DC97B12-567A-5F43-B215-F635C4FFAF56}"/>
  <tableColumns count="21">
    <tableColumn id="1" xr3:uid="{727EC8D5-2244-CA4D-B85E-1371B26803A7}" name="CH-R-0" dataDxfId="1912" dataCellStyle="Comma"/>
    <tableColumn id="2" xr3:uid="{1D4D9313-D8EA-EE45-834B-B8110298E57E}" name="CH-R-1" dataDxfId="1911" dataCellStyle="Comma"/>
    <tableColumn id="3" xr3:uid="{BFBBF7D3-3ACF-E04D-8ACF-5FC756167FF7}" name="CH-R-2" dataDxfId="1910" dataCellStyle="Comma"/>
    <tableColumn id="4" xr3:uid="{8AB840F2-736F-CA41-A42D-74A8241D8796}" name="CH-R-3" dataDxfId="1909" dataCellStyle="Comma"/>
    <tableColumn id="5" xr3:uid="{5D1E54CB-AE29-0144-B1FC-B3B15533987B}" name="CH-R-4" dataDxfId="1908" dataCellStyle="Comma"/>
    <tableColumn id="6" xr3:uid="{BA1BC152-62C6-244E-85BC-7E4C47ECE56F}" name="CH-R-5" dataDxfId="1907" dataCellStyle="Comma"/>
    <tableColumn id="7" xr3:uid="{0FB3DBC1-359D-0D4A-A6BD-6D34EB9BE4B5}" name="CH-R-6" dataDxfId="1906" dataCellStyle="Comma"/>
    <tableColumn id="8" xr3:uid="{C5DF6FC7-DD4A-6B48-936C-A6C0052CA0E2}" name="CH-R-7" dataDxfId="1905" dataCellStyle="Comma"/>
    <tableColumn id="9" xr3:uid="{294D38E4-945E-E243-AF30-979EE13B6E0E}" name="CH-R-8" dataDxfId="1904" dataCellStyle="Comma"/>
    <tableColumn id="10" xr3:uid="{1003CB93-FC9A-3047-A4AD-4014B5E1BDB1}" name="CH-R-9" dataDxfId="1903" dataCellStyle="Comma"/>
    <tableColumn id="11" xr3:uid="{59E8ED13-A37B-A548-9E5F-0C631205C7A6}" name="CH-R-10" dataDxfId="1902" dataCellStyle="Comma"/>
    <tableColumn id="12" xr3:uid="{F8B58B23-BC44-2C4F-94DD-52848147470C}" name="CH-R-11" dataDxfId="1901" dataCellStyle="Comma"/>
    <tableColumn id="13" xr3:uid="{6587F87F-94FF-3948-A1ED-50697B285DD9}" name="CH-R-12" dataDxfId="1900" dataCellStyle="Comma"/>
    <tableColumn id="14" xr3:uid="{5F72F02E-D1EB-0A48-AC14-631092D2AB8F}" name="CH-R-13" dataDxfId="1899" dataCellStyle="Comma"/>
    <tableColumn id="15" xr3:uid="{40CDB037-F34C-2C46-A44D-4EEB99A4F48A}" name="CH-R-14" dataDxfId="1898" dataCellStyle="Comma"/>
    <tableColumn id="16" xr3:uid="{36A7D946-56B9-424A-AC3F-16C20613B32D}" name="CH-R-15" dataDxfId="1897" dataCellStyle="Comma"/>
    <tableColumn id="17" xr3:uid="{98778DB8-B67D-2440-B38A-5470013D7E4A}" name="CH-R-16" dataDxfId="1896" dataCellStyle="Comma"/>
    <tableColumn id="18" xr3:uid="{4B26C77F-CDA1-384A-A838-99098596B1CA}" name="CH-R-17" dataDxfId="1895" dataCellStyle="Comma"/>
    <tableColumn id="19" xr3:uid="{D80360C1-FD36-B649-BA53-444CF7B6B399}" name="CH-R-18" dataDxfId="1894" dataCellStyle="Comma"/>
    <tableColumn id="20" xr3:uid="{70AEF62D-042F-584F-A3F6-7A20A448F2FA}" name="CH-R-19" dataDxfId="1893" dataCellStyle="Comma"/>
    <tableColumn id="21" xr3:uid="{0399200B-8517-864B-BB3B-55D173BBA511}" name="CH-R-20" dataDxfId="18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91" dataDxfId="1890" tableBorderDxfId="1889">
  <autoFilter ref="F803:Z896" xr:uid="{DE443FDB-A09F-D546-9DCC-6F79C8591A3A}"/>
  <tableColumns count="21">
    <tableColumn id="1" xr3:uid="{66DF501E-0E04-284D-AE56-250C1181933A}" name="LOW520" dataDxfId="1888"/>
    <tableColumn id="2" xr3:uid="{51019CAA-7B7B-8843-BBCF-5E5CF4955750}" name="LOW521" dataDxfId="1887"/>
    <tableColumn id="3" xr3:uid="{2F991A5F-695C-964A-B29C-4DD5E41602D3}" name="LOW522" dataDxfId="1886"/>
    <tableColumn id="4" xr3:uid="{AB3D5084-566B-2B4F-9C79-27669957BB9F}" name="LOW523" dataDxfId="1885"/>
    <tableColumn id="5" xr3:uid="{6C53359E-20BC-C146-9D57-DC52E93E1D0E}" name="LOW524" dataDxfId="1884"/>
    <tableColumn id="6" xr3:uid="{70979044-9A70-5441-A295-C2836D7D4EED}" name="LOW525" dataDxfId="1883"/>
    <tableColumn id="7" xr3:uid="{80D3193C-0073-D342-AB91-282BC9934C5D}" name="LOW526" dataDxfId="1882"/>
    <tableColumn id="8" xr3:uid="{1F04BB25-949C-A647-B2F5-3D7AAD3EE4C5}" name="LOW527" dataDxfId="1881"/>
    <tableColumn id="9" xr3:uid="{9BA5549A-8A81-D144-8C7C-F545ADD31E5A}" name="LOW528" dataDxfId="1880"/>
    <tableColumn id="10" xr3:uid="{8500AE99-78F5-2544-959C-444C1B16D49C}" name="LOW529" dataDxfId="1879"/>
    <tableColumn id="11" xr3:uid="{3DB600FC-DD7E-DA49-BBB5-1B3A8D390CA1}" name="LOW530" dataDxfId="1878"/>
    <tableColumn id="12" xr3:uid="{B776E02F-5049-7C41-9287-FC66BD83FD7C}" name="LOW531" dataDxfId="1877"/>
    <tableColumn id="13" xr3:uid="{2A31C167-B981-AA42-AD62-98EB96BEFE66}" name="LOW532" dataDxfId="1876"/>
    <tableColumn id="14" xr3:uid="{D9B09FFF-8924-C041-A13C-2CF52F057E93}" name="LOW533" dataDxfId="1875"/>
    <tableColumn id="15" xr3:uid="{C89D40B5-88F9-7F40-9C11-C00C2540EF0B}" name="LOW534" dataDxfId="1874"/>
    <tableColumn id="16" xr3:uid="{5B579388-FC67-8E4A-91A7-9373EE02FD6D}" name="LOW535" dataDxfId="1873"/>
    <tableColumn id="17" xr3:uid="{BA4BE745-0FD6-B44F-B87F-E6D03EF83F74}" name="LOW536" dataDxfId="1872"/>
    <tableColumn id="18" xr3:uid="{4F99BD31-6BBB-4C4E-AF0E-C5201824FB40}" name="LOW537" dataDxfId="1871"/>
    <tableColumn id="19" xr3:uid="{027111A8-F0C3-2E49-B4C8-66CA04669A75}" name="LOW538" dataDxfId="1870"/>
    <tableColumn id="20" xr3:uid="{898C76AA-1E86-5248-9312-D2A982DF2BC1}" name="LOW539" dataDxfId="1869"/>
    <tableColumn id="21" xr3:uid="{4ED07DB6-2955-E747-8AD4-966FA8287E02}" name="LOW540" dataDxfId="1868">
      <calculatedColumnFormula>[1]DataRT!$N3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67" dataDxfId="1866" tableBorderDxfId="1865">
  <autoFilter ref="F902:Z996" xr:uid="{A1989BE9-E4C8-204A-8EC4-E515463D6985}"/>
  <tableColumns count="21">
    <tableColumn id="1" xr3:uid="{CCDAF27B-3366-AB41-9C05-67D8AB44D4C7}" name="HIGH520" dataDxfId="1864" dataCellStyle="Comma"/>
    <tableColumn id="2" xr3:uid="{66800E83-F458-F641-A4A6-8E929A7BC7C5}" name="HIGH521" dataDxfId="1863"/>
    <tableColumn id="3" xr3:uid="{50281050-1392-2349-A75F-437D63C0923A}" name="HIGH522" dataDxfId="1862"/>
    <tableColumn id="4" xr3:uid="{02987E0E-C4C8-F64F-A903-54444C25D7A5}" name="HIGH523" dataDxfId="1861"/>
    <tableColumn id="5" xr3:uid="{1C8321CF-3789-B942-8086-84D8FC5EF89B}" name="HIGH524" dataDxfId="1860"/>
    <tableColumn id="6" xr3:uid="{8EF5F9E0-0987-2244-862B-B4A06B974900}" name="HIGH525" dataDxfId="1859"/>
    <tableColumn id="7" xr3:uid="{74B46C00-40B4-3A45-8BC9-0EC98E687645}" name="HIGH526" dataDxfId="1858"/>
    <tableColumn id="8" xr3:uid="{13302214-C76A-9E43-852A-951084F77FEA}" name="HIGH527" dataDxfId="1857"/>
    <tableColumn id="9" xr3:uid="{36EAB480-A1A3-084D-BFBC-05E7EE00265E}" name="HIGH528" dataDxfId="1856"/>
    <tableColumn id="10" xr3:uid="{F3503877-08D5-6948-B0C1-AC821D9C45C5}" name="HIGH529" dataDxfId="1855"/>
    <tableColumn id="11" xr3:uid="{32C868C5-378D-FF40-812E-1D62D5C262B5}" name="HIGH530" dataDxfId="1854"/>
    <tableColumn id="12" xr3:uid="{974976C8-811B-B542-9ACC-A07556104D5D}" name="HIGH531" dataDxfId="1853"/>
    <tableColumn id="13" xr3:uid="{8EFA0DD6-DC2A-FB4D-BFF3-7DD01DC6CD24}" name="HIGH532" dataDxfId="1852"/>
    <tableColumn id="14" xr3:uid="{A6F85B1E-9147-4F47-A979-FBAEA4A15F17}" name="HIGH533" dataDxfId="1851"/>
    <tableColumn id="15" xr3:uid="{F3D09233-8B42-B448-BF0C-B6AB160E9B03}" name="HIGH534" dataDxfId="1850"/>
    <tableColumn id="16" xr3:uid="{FEB17489-56E2-BF43-A14A-29AF2FB81F6F}" name="HIGH535" dataDxfId="1849"/>
    <tableColumn id="17" xr3:uid="{B41E1FB1-F71C-2348-8B12-860AF115417C}" name="HIGH536" dataDxfId="1848"/>
    <tableColumn id="18" xr3:uid="{C1BB1E6B-5675-A346-A11C-A87C031AD1A5}" name="HIGH537" dataDxfId="1847"/>
    <tableColumn id="19" xr3:uid="{86E6ADFF-340C-9146-9B5E-4E9C76C88F59}" name="HIGH538" dataDxfId="1846"/>
    <tableColumn id="20" xr3:uid="{EFB55E1D-EB5D-FD4F-ABE5-FB8031ED630E}" name="HIGH539" dataDxfId="1845"/>
    <tableColumn id="21" xr3:uid="{5617BEFC-D126-7146-A1A8-E3206935A4F5}" name="HIGH540" dataDxfId="1844">
      <calculatedColumnFormula>[1]DataRT!$O3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43" dataDxfId="1842" tableBorderDxfId="1841">
  <autoFilter ref="F1001:Z1095" xr:uid="{8DAF20EC-FF35-DE4F-9098-7E9343F0641B}"/>
  <tableColumns count="21">
    <tableColumn id="1" xr3:uid="{B3E72227-C152-6545-AAB1-0674C78DD4CA}" name="Volume0" dataDxfId="1840"/>
    <tableColumn id="2" xr3:uid="{44BDEDA8-E930-DC4B-82C0-675E1102E708}" name="Volume1" dataDxfId="1839"/>
    <tableColumn id="3" xr3:uid="{2B2A1DCE-B9EC-3F43-BD26-58D797066ACD}" name="Volume2" dataDxfId="1838"/>
    <tableColumn id="4" xr3:uid="{DFE41D08-A256-C94D-B744-ECF9E816875C}" name="Volume3" dataDxfId="1837"/>
    <tableColumn id="5" xr3:uid="{C0DF0F2F-58F0-714A-9FF4-A8682A1F3C0B}" name="Volume4" dataDxfId="1836"/>
    <tableColumn id="6" xr3:uid="{6173CC3E-D986-EC43-984F-D946E06D5B94}" name="Volume5" dataDxfId="1835"/>
    <tableColumn id="7" xr3:uid="{114AAB9D-4B2B-A647-9313-BCBA903A3513}" name="Volume6" dataDxfId="1834"/>
    <tableColumn id="8" xr3:uid="{53EFA4DE-9A07-FE47-A251-BB8D255E4EB8}" name="Volume7" dataDxfId="1833"/>
    <tableColumn id="9" xr3:uid="{18C94A55-2F25-084A-9640-943067E91284}" name="Volume8" dataDxfId="1832"/>
    <tableColumn id="10" xr3:uid="{836BAD23-7619-4645-8764-EB77B1427659}" name="Volume9" dataDxfId="1831"/>
    <tableColumn id="11" xr3:uid="{E4A6B4E0-74F0-8D4B-96CF-D56C7DD8F08A}" name="Volume10" dataDxfId="1830"/>
    <tableColumn id="12" xr3:uid="{C1A9A2E3-93CC-3041-9EC2-31623DCABB6C}" name="Volume11" dataDxfId="1829"/>
    <tableColumn id="13" xr3:uid="{E0142E08-C564-E443-9FC7-0607E2316E25}" name="Volume12" dataDxfId="1828"/>
    <tableColumn id="14" xr3:uid="{8D53300E-D5DB-7B42-8845-1B0A2E494262}" name="Volume13" dataDxfId="1827"/>
    <tableColumn id="15" xr3:uid="{9DFECEBD-3B06-3E43-AF7E-8644958914AE}" name="Volume14" dataDxfId="1826"/>
    <tableColumn id="16" xr3:uid="{DC69221A-F447-8A42-A5D4-462EE430A9BC}" name="Volume15" dataDxfId="1825"/>
    <tableColumn id="17" xr3:uid="{86A2E9AF-0E5A-0F4A-B409-7F6E53DA4CCF}" name="Volume16" dataDxfId="1824"/>
    <tableColumn id="18" xr3:uid="{746B717B-21BA-4346-96B2-7048F7EA0275}" name="Volume17" dataDxfId="1823"/>
    <tableColumn id="19" xr3:uid="{F6963C48-F97C-6D47-BE9D-5BB0B53684CD}" name="Volume18" dataDxfId="1822"/>
    <tableColumn id="20" xr3:uid="{B44B7DF5-2539-D747-8014-370786A69140}" name="Volume19" dataDxfId="1821"/>
    <tableColumn id="21" xr3:uid="{CD202E5D-BEC6-DC45-83A1-369B18AD153F}" name="Volume20" dataDxfId="1820">
      <calculatedColumnFormula>[1]DataRT!$P3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19" dataDxfId="1818" tableBorderDxfId="1817" dataCellStyle="Comma">
  <autoFilter ref="F1100:Z1194" xr:uid="{3EE0B227-8581-DE42-9CB7-10D8CA661FF2}"/>
  <tableColumns count="21">
    <tableColumn id="1" xr3:uid="{C85E8DCA-5245-5048-8F18-181D1CC88078}" name="VolumeAV0" dataDxfId="1816" dataCellStyle="Comma"/>
    <tableColumn id="2" xr3:uid="{552BBB2F-D8F3-9E4F-8187-798F57E91491}" name="VolumeAV1" dataDxfId="1815" dataCellStyle="Comma"/>
    <tableColumn id="3" xr3:uid="{E206F8A1-0B59-7A4C-84A7-52F3D3E42580}" name="VolumeAV2" dataDxfId="1814" dataCellStyle="Comma"/>
    <tableColumn id="4" xr3:uid="{7A6E365D-A83C-BF4C-B6FB-F9815FE99ED7}" name="VolumeAV3" dataDxfId="1813" dataCellStyle="Comma"/>
    <tableColumn id="5" xr3:uid="{AA8BBD46-ADC4-DF45-B244-3F7AAE4826E9}" name="VolumeAV4" dataDxfId="1812" dataCellStyle="Comma"/>
    <tableColumn id="6" xr3:uid="{F877F64B-6397-4642-B5BD-0B3AD6FF5DB0}" name="VolumeAV5" dataDxfId="1811" dataCellStyle="Comma"/>
    <tableColumn id="7" xr3:uid="{55A6F6E2-CA7E-3044-8359-1172E697A40B}" name="VolumeAV6" dataDxfId="1810" dataCellStyle="Comma"/>
    <tableColumn id="8" xr3:uid="{CDA1A456-FD81-0E41-9FC9-B01A1A75506A}" name="VolumeAV7" dataDxfId="1809" dataCellStyle="Comma"/>
    <tableColumn id="9" xr3:uid="{F9EA7004-940F-4E42-9E05-45ACC60D31E3}" name="VolumeAV8" dataDxfId="1808" dataCellStyle="Comma"/>
    <tableColumn id="10" xr3:uid="{32FCDE73-4126-D643-A9EA-46C7A1AB5C2C}" name="VolumeAV9" dataDxfId="1807" dataCellStyle="Comma"/>
    <tableColumn id="11" xr3:uid="{7439CF2B-B03F-B349-A5AD-03A86DA63C60}" name="VolumeAV10" dataDxfId="1806" dataCellStyle="Comma"/>
    <tableColumn id="12" xr3:uid="{C0B9B680-5103-AE4E-ABA5-DC0D3B8256CD}" name="VolumeAV11" dataDxfId="1805" dataCellStyle="Comma"/>
    <tableColumn id="13" xr3:uid="{23A5D386-C520-0B4B-BF4E-FAAA66D794D4}" name="VolumeAV12" dataDxfId="1804" dataCellStyle="Comma"/>
    <tableColumn id="14" xr3:uid="{98A613A1-A0C8-CE4A-BD85-8FE3FB18160D}" name="VolumeAV13" dataDxfId="1803" dataCellStyle="Comma"/>
    <tableColumn id="15" xr3:uid="{A7A58C4F-A83C-2D4A-B754-9B307634A5A4}" name="VolumeAV14" dataDxfId="1802" dataCellStyle="Comma"/>
    <tableColumn id="16" xr3:uid="{F8BBBBA1-2662-2841-82D7-65FA8FA94BC2}" name="VolumeAV15" dataDxfId="1801" dataCellStyle="Comma"/>
    <tableColumn id="17" xr3:uid="{1E3A524D-09C1-1547-98DB-667D506C3291}" name="VolumeAV16" dataDxfId="1800" dataCellStyle="Comma"/>
    <tableColumn id="18" xr3:uid="{75328263-19F5-9E41-A079-EA70EAB2BD37}" name="VolumeAV17" dataDxfId="1799" dataCellStyle="Comma"/>
    <tableColumn id="19" xr3:uid="{7429A8D8-0A57-E74F-9269-8E54044F49AB}" name="VolumeAV18" dataDxfId="1798" dataCellStyle="Comma"/>
    <tableColumn id="20" xr3:uid="{575D40F2-3F48-1D4D-9813-1574FF33990B}" name="VolumeAV19" dataDxfId="1797" dataCellStyle="Comma"/>
    <tableColumn id="21" xr3:uid="{E4DCEDCE-1D73-E54B-8746-C7B82073AA57}" name="VolumeAV20" dataDxfId="1796" dataCellStyle="Comma">
      <calculatedColumnFormula>[1]DataRT!$Q3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95" dataDxfId="1794" tableBorderDxfId="1793">
  <autoFilter ref="F1199:Z1293" xr:uid="{071FD0FF-AECC-C844-91B0-2D3814BAA800}"/>
  <tableColumns count="21">
    <tableColumn id="1" xr3:uid="{3E6BCBC8-17C5-D544-8397-29CB96C09FB0}" name="BETA0" dataDxfId="1792"/>
    <tableColumn id="2" xr3:uid="{EA9DF148-0896-0241-9853-BCCF84E573C7}" name="BETA1" dataDxfId="1791"/>
    <tableColumn id="3" xr3:uid="{305CE689-D655-3047-8897-0CB222FC9C97}" name="BETA2" dataDxfId="1790"/>
    <tableColumn id="4" xr3:uid="{B642F9B5-64FD-F541-A471-56F96D4838D5}" name="BETA3" dataDxfId="1789"/>
    <tableColumn id="5" xr3:uid="{7D408C4F-A6DA-7744-90B5-58BED4DCA387}" name="BETA4" dataDxfId="1788"/>
    <tableColumn id="6" xr3:uid="{1C388ED8-51FC-FC4B-8218-215A76F7FE67}" name="BETA5" dataDxfId="1787"/>
    <tableColumn id="7" xr3:uid="{E7CDFCD7-DA4D-2449-AF1E-C02968632992}" name="BETA6" dataDxfId="1786"/>
    <tableColumn id="8" xr3:uid="{85FC13AF-AA4A-F542-9735-2441281158E1}" name="BETA7" dataDxfId="1785"/>
    <tableColumn id="9" xr3:uid="{99F619D1-DC28-C640-9EA1-3B3528D0F909}" name="BETA8" dataDxfId="1784"/>
    <tableColumn id="10" xr3:uid="{8EF98610-5953-1744-9F07-FCBA4B8DAD80}" name="BETA9" dataDxfId="1783"/>
    <tableColumn id="11" xr3:uid="{48405BC4-9142-8448-A3A7-0E5B30515726}" name="BETA10" dataDxfId="1782"/>
    <tableColumn id="12" xr3:uid="{4B254EFA-F69B-CD48-95A7-E3DD170FDAF6}" name="BETA11" dataDxfId="1781"/>
    <tableColumn id="13" xr3:uid="{F4BD7B80-FE62-584F-87F5-9610991B2DF9}" name="BETA12" dataDxfId="1780"/>
    <tableColumn id="14" xr3:uid="{997D1600-D275-2448-9059-48C623B70DBD}" name="BETA13" dataDxfId="1779"/>
    <tableColumn id="15" xr3:uid="{7FB75DCB-5880-334F-A05B-5C68FD891D9C}" name="BETA14" dataDxfId="1778"/>
    <tableColumn id="16" xr3:uid="{29D4352B-3770-A444-8C39-24FF6DCF527D}" name="BETA15" dataDxfId="1777"/>
    <tableColumn id="17" xr3:uid="{CC6C6D3F-4D9E-FB4E-870B-9E37C67A1E94}" name="BETA16" dataDxfId="1776"/>
    <tableColumn id="18" xr3:uid="{B6C6B591-4B12-5B48-B6EE-A7BF688195FF}" name="BETA17" dataDxfId="1775"/>
    <tableColumn id="19" xr3:uid="{91C40A07-D511-6C45-9282-58D43AF5D020}" name="BETA18" dataDxfId="1774"/>
    <tableColumn id="20" xr3:uid="{4980A1EB-51EE-2C4F-B65C-97ED9A3D26B5}" name="BETA19" dataDxfId="1773"/>
    <tableColumn id="21" xr3:uid="{C4D8FCC4-CF6E-EF4C-8612-A56614867063}" name="BETA20" dataDxfId="1772">
      <calculatedColumnFormula>[1]DataRT!$R3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71" dataDxfId="1770" tableBorderDxfId="1769" dataCellStyle="Comma">
  <autoFilter ref="AB902:AV996" xr:uid="{6B77735E-46E6-7545-A642-770D818A2D75}"/>
  <tableColumns count="21">
    <tableColumn id="1" xr3:uid="{78A7C6E8-2822-4343-B8B3-B58D5A5C861C}" name="RSI0" dataDxfId="1768" dataCellStyle="Comma"/>
    <tableColumn id="2" xr3:uid="{E98CCE09-2573-4E47-ACFE-022664B84B4C}" name="RSI1" dataDxfId="1767" dataCellStyle="Comma"/>
    <tableColumn id="3" xr3:uid="{ACFE02A1-D8BD-EB4A-B834-5B28E9ACC18D}" name="RSI2" dataDxfId="1766" dataCellStyle="Comma"/>
    <tableColumn id="4" xr3:uid="{B6282100-5411-B14D-A9C9-B2CAC437FBB9}" name="RSI3" dataDxfId="1765" dataCellStyle="Comma"/>
    <tableColumn id="5" xr3:uid="{7A8EE7B4-22B4-404D-B15A-BC6B8B952E38}" name="RSI4" dataDxfId="1764" dataCellStyle="Comma"/>
    <tableColumn id="6" xr3:uid="{2989F0E1-E812-514F-95E6-26AA98E62E04}" name="RSI5" dataDxfId="1763" dataCellStyle="Comma"/>
    <tableColumn id="7" xr3:uid="{A8D8FA8D-9763-1640-AB49-A2CC0DF27AD9}" name="RSI6" dataDxfId="1762" dataCellStyle="Comma"/>
    <tableColumn id="8" xr3:uid="{2383B8DB-8E34-2045-80E5-BFC5F537D306}" name="RSI7" dataDxfId="1761" dataCellStyle="Comma"/>
    <tableColumn id="9" xr3:uid="{BEE36186-0446-AA4E-A48D-58473919680F}" name="RSI8" dataDxfId="1760" dataCellStyle="Comma"/>
    <tableColumn id="10" xr3:uid="{3056AA09-B75A-3F47-BA0C-4BC0730AA9A2}" name="RSI9" dataDxfId="1759" dataCellStyle="Comma"/>
    <tableColumn id="11" xr3:uid="{88D58233-4FE5-6D43-8260-B992739672EC}" name="RSI10" dataDxfId="1758" dataCellStyle="Comma"/>
    <tableColumn id="12" xr3:uid="{D08F0A16-307A-CB4E-B109-169320FBD1E9}" name="RSI11" dataDxfId="1757" dataCellStyle="Comma"/>
    <tableColumn id="13" xr3:uid="{5675D356-6E8F-7140-84E2-2760931C0061}" name="RSI12" dataDxfId="1756" dataCellStyle="Comma"/>
    <tableColumn id="14" xr3:uid="{56E1F75D-E50B-6941-9C85-C8456F3A502D}" name="RSI13" dataDxfId="1755" dataCellStyle="Comma"/>
    <tableColumn id="15" xr3:uid="{0EB5233D-4800-3B48-8C4D-83F182791517}" name="RSI14" dataDxfId="1754" dataCellStyle="Comma"/>
    <tableColumn id="16" xr3:uid="{F1DA6FAA-219D-DB40-888E-4B8355632C3E}" name="RSI15" dataDxfId="1753" dataCellStyle="Comma"/>
    <tableColumn id="17" xr3:uid="{87038607-300B-9A4E-8AB1-32360C0BCED1}" name="RSI16" dataDxfId="1752" dataCellStyle="Comma"/>
    <tableColumn id="18" xr3:uid="{216E4659-AF11-2749-A023-E9DBCA3D3FA2}" name="RSI17" dataDxfId="1751" dataCellStyle="Comma"/>
    <tableColumn id="19" xr3:uid="{3369DE30-2A5A-4049-8BC3-16DCF75D83FE}" name="RSI18" dataDxfId="1750" dataCellStyle="Comma"/>
    <tableColumn id="20" xr3:uid="{48350DE2-6BE5-1345-84B2-782B10F06A03}" name="RSI19" dataDxfId="1749" dataCellStyle="Comma"/>
    <tableColumn id="21" xr3:uid="{48474E5F-00E7-A24D-9184-B6F5A16251A0}" name="RSI20" dataDxfId="17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47" dataDxfId="1746" tableBorderDxfId="1745" dataCellStyle="Comma">
  <autoFilter ref="AB1001:AV1095" xr:uid="{55876AF5-DDC5-0C46-8253-9CE2A2026D21}"/>
  <tableColumns count="21">
    <tableColumn id="1" xr3:uid="{7881D38C-EE57-AD43-9C51-A2D36B2DD1C0}" name="RSIConv0" dataDxfId="1744" dataCellStyle="Comma"/>
    <tableColumn id="2" xr3:uid="{273702F5-9D3C-9F4A-80D0-0DCDBB3DCD59}" name="RSIConv1" dataDxfId="1743" dataCellStyle="Comma"/>
    <tableColumn id="3" xr3:uid="{83DCA11F-CA44-8848-8B85-F0B2E37C4F0C}" name="RSIConv2" dataDxfId="1742" dataCellStyle="Comma"/>
    <tableColumn id="4" xr3:uid="{55C21B30-B418-0D45-AD39-1565CF1997A1}" name="RSIConv3" dataDxfId="1741" dataCellStyle="Comma"/>
    <tableColumn id="5" xr3:uid="{BB9B84B0-BCEB-794C-8FF2-D58E69348C06}" name="RSIConv4" dataDxfId="1740" dataCellStyle="Comma"/>
    <tableColumn id="6" xr3:uid="{097186E5-7C8A-3F41-B35A-49384289CD0F}" name="RSIConv5" dataDxfId="1739" dataCellStyle="Comma"/>
    <tableColumn id="7" xr3:uid="{CC05FA3D-FFB7-BE47-99D3-2646C96C0CBF}" name="RSIConv6" dataDxfId="1738" dataCellStyle="Comma"/>
    <tableColumn id="8" xr3:uid="{CB2150CC-BF4D-D345-A7AA-4181448136A7}" name="RSIConv7" dataDxfId="1737" dataCellStyle="Comma"/>
    <tableColumn id="9" xr3:uid="{72A1979C-0FD2-9F4E-AFE5-CBD747F6B4AA}" name="RSIConv8" dataDxfId="1736" dataCellStyle="Comma"/>
    <tableColumn id="10" xr3:uid="{D515DCE0-17C5-8E42-BAD4-109A2A5298F0}" name="RSIConv9" dataDxfId="1735" dataCellStyle="Comma"/>
    <tableColumn id="11" xr3:uid="{F44C4C40-F6CC-1941-9573-4BA0D73A8D58}" name="RSIConv10" dataDxfId="1734" dataCellStyle="Comma"/>
    <tableColumn id="12" xr3:uid="{4DE80765-1FE2-A649-B6F3-0C2B4518761C}" name="RSIConv11" dataDxfId="1733" dataCellStyle="Comma"/>
    <tableColumn id="13" xr3:uid="{8544D363-8B56-7C43-95EE-FFDB1DEA969C}" name="RSIConv12" dataDxfId="1732" dataCellStyle="Comma"/>
    <tableColumn id="14" xr3:uid="{D60B5757-70FA-A245-9445-8A97AB6A0396}" name="RSIConv13" dataDxfId="1731" dataCellStyle="Comma"/>
    <tableColumn id="15" xr3:uid="{B4235226-F5D9-DD46-910F-103FE2B1C3B9}" name="RSIConv14" dataDxfId="1730" dataCellStyle="Comma"/>
    <tableColumn id="16" xr3:uid="{05479B02-8B5D-8441-B9F1-DB51C7A70F30}" name="RSIConv15" dataDxfId="1729" dataCellStyle="Comma"/>
    <tableColumn id="17" xr3:uid="{2C4FA0F3-DB10-274D-8CF3-2AE6D06CE419}" name="RSIConv16" dataDxfId="1728" dataCellStyle="Comma"/>
    <tableColumn id="18" xr3:uid="{58D242FC-0690-DD47-B0BA-60ED63154F95}" name="RSIConv17" dataDxfId="1727" dataCellStyle="Comma"/>
    <tableColumn id="19" xr3:uid="{65EAB3BB-4FC4-6448-B97E-F13E83B68528}" name="RSIConv18" dataDxfId="1726" dataCellStyle="Comma"/>
    <tableColumn id="20" xr3:uid="{E85541A1-4E16-B549-87E0-867D3FA7AB11}" name="RSIConv19" dataDxfId="1725" dataCellStyle="Comma"/>
    <tableColumn id="21" xr3:uid="{62EE7DD4-57B6-1B4B-BB14-920C26DA151F}" name="RSIConv20" dataDxfId="17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23" dataDxfId="1722" tableBorderDxfId="1721" dataCellStyle="Comma">
  <autoFilter ref="AB1100:AV1194" xr:uid="{A6858140-8021-514E-B3E1-C7BF94FA0033}"/>
  <tableColumns count="21">
    <tableColumn id="1" xr3:uid="{E298D0BD-45AF-4148-9BAD-429094EF8271}" name="Cash0" dataDxfId="1720" dataCellStyle="Comma"/>
    <tableColumn id="2" xr3:uid="{86547C8D-C915-714E-9477-0F23E52B00F6}" name="Cash1" dataDxfId="1719" dataCellStyle="Comma"/>
    <tableColumn id="3" xr3:uid="{36D62499-6FBB-044B-ABE4-67E8EC92B406}" name="Cash2" dataDxfId="1718" dataCellStyle="Comma"/>
    <tableColumn id="4" xr3:uid="{95CBFF96-C40A-394B-871E-117B86F71A75}" name="Cash3" dataDxfId="1717" dataCellStyle="Comma"/>
    <tableColumn id="5" xr3:uid="{40B0C993-D356-544E-8F72-B25CD1561DB9}" name="Cash4" dataDxfId="1716" dataCellStyle="Comma"/>
    <tableColumn id="6" xr3:uid="{16105271-212F-7F47-BCE1-3C465279D64E}" name="Cash5" dataDxfId="1715" dataCellStyle="Comma"/>
    <tableColumn id="7" xr3:uid="{9B523121-22D5-7D4C-9773-B20E7E733C34}" name="Cash6" dataDxfId="1714" dataCellStyle="Comma"/>
    <tableColumn id="8" xr3:uid="{99749C28-89C2-3D49-97C2-E4C4640DF6DA}" name="Cash7" dataDxfId="1713" dataCellStyle="Comma"/>
    <tableColumn id="9" xr3:uid="{5111F612-3907-904E-986D-8892DD33995C}" name="Cash8" dataDxfId="1712" dataCellStyle="Comma"/>
    <tableColumn id="10" xr3:uid="{E08E9B9D-14BA-5440-95B0-D4AFDB52F61F}" name="Cash9" dataDxfId="1711" dataCellStyle="Comma"/>
    <tableColumn id="11" xr3:uid="{D271A389-E25F-104D-9413-0FD54B41EEAE}" name="Cash10" dataDxfId="1710" dataCellStyle="Comma"/>
    <tableColumn id="12" xr3:uid="{3B4A241E-9074-734F-915D-7726D458DCAF}" name="Cash11" dataDxfId="1709" dataCellStyle="Comma"/>
    <tableColumn id="13" xr3:uid="{E8D8F957-8CFE-914E-B859-B221C47E58B2}" name="Cash12" dataDxfId="1708" dataCellStyle="Comma"/>
    <tableColumn id="14" xr3:uid="{113831A1-CC99-3B42-B8F5-AFEB1DC22D33}" name="Cash13" dataDxfId="1707" dataCellStyle="Comma"/>
    <tableColumn id="15" xr3:uid="{0E765A96-5FE3-4C4B-82B8-8B3F51B4536C}" name="Cash14" dataDxfId="1706" dataCellStyle="Comma"/>
    <tableColumn id="16" xr3:uid="{F2C78A88-D1BC-014E-8114-18527AC2CB5B}" name="Cash15" dataDxfId="1705" dataCellStyle="Comma"/>
    <tableColumn id="17" xr3:uid="{D2964560-F4EE-6344-A6DE-47921DE660C0}" name="Cash16" dataDxfId="1704" dataCellStyle="Comma"/>
    <tableColumn id="18" xr3:uid="{4FD8EDF7-D5A7-1440-B477-3FF6B70BEDD0}" name="Cash17" dataDxfId="1703" dataCellStyle="Comma"/>
    <tableColumn id="19" xr3:uid="{3649DE1E-D435-714F-BB19-EF3402C6AF22}" name="Cash18" dataDxfId="1702" dataCellStyle="Comma"/>
    <tableColumn id="20" xr3:uid="{701D1C02-DFD0-784A-9F28-745E11161D7E}" name="Cash19" dataDxfId="1701" dataCellStyle="Comma"/>
    <tableColumn id="21" xr3:uid="{0C684961-AF54-3648-8593-3FE8563E6C51}" name="Cash20" dataDxfId="17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99" dataDxfId="1698" tableBorderDxfId="1697" dataCellStyle="Comma">
  <autoFilter ref="AB1199:AV1293" xr:uid="{0A5A3FC2-1860-534B-8DD0-10BDA217BDFE}"/>
  <tableColumns count="21">
    <tableColumn id="1" xr3:uid="{B7BE4C83-4F89-A148-9BFD-EF937D226141}" name="RevSale0" dataDxfId="1696" dataCellStyle="Comma"/>
    <tableColumn id="2" xr3:uid="{D9B00968-AB75-D341-95A0-B5E0538F519B}" name="RevSale1" dataDxfId="1695" dataCellStyle="Comma"/>
    <tableColumn id="3" xr3:uid="{848EC437-A5F6-CD42-94EE-ADC9AE69EB25}" name="RevSale2" dataDxfId="1694" dataCellStyle="Comma"/>
    <tableColumn id="4" xr3:uid="{1B494BF3-2E0F-8F4A-9955-142385E1F8BD}" name="RevSale3" dataDxfId="1693" dataCellStyle="Comma"/>
    <tableColumn id="5" xr3:uid="{48A95940-B649-F245-BDFB-40FD49B4EEA9}" name="RevSale4" dataDxfId="1692" dataCellStyle="Comma"/>
    <tableColumn id="6" xr3:uid="{F29C926F-5AD5-DB46-A4C8-38488FC88563}" name="RevSale5" dataDxfId="1691" dataCellStyle="Comma"/>
    <tableColumn id="7" xr3:uid="{40881A88-B6CC-1748-AE84-DBBF15CDD664}" name="RevSale6" dataDxfId="1690" dataCellStyle="Comma"/>
    <tableColumn id="8" xr3:uid="{06780BEA-27AA-E74D-A331-9525B9D24152}" name="RevSale7" dataDxfId="1689" dataCellStyle="Comma"/>
    <tableColumn id="9" xr3:uid="{0900939F-F515-6C46-888D-909EDE9F09FB}" name="RevSale8" dataDxfId="1688" dataCellStyle="Comma"/>
    <tableColumn id="10" xr3:uid="{0DE3B22B-7FDD-5F47-B41E-5678A133FE87}" name="RevSale9" dataDxfId="1687" dataCellStyle="Comma"/>
    <tableColumn id="11" xr3:uid="{F662376C-7504-8046-9CD8-038237C565B0}" name="RevSale10" dataDxfId="1686" dataCellStyle="Comma"/>
    <tableColumn id="12" xr3:uid="{007BA40B-4C88-4243-B8BD-C61A273884FA}" name="RevSale11" dataDxfId="1685" dataCellStyle="Comma"/>
    <tableColumn id="13" xr3:uid="{9000EAA8-2766-DC4D-8C59-5A2A0FF49296}" name="RevSale12" dataDxfId="1684" dataCellStyle="Comma"/>
    <tableColumn id="14" xr3:uid="{6FC4A1EC-D5E3-3A4E-8294-EC201288D435}" name="RevSale13" dataDxfId="1683" dataCellStyle="Comma"/>
    <tableColumn id="15" xr3:uid="{43639010-CC3B-D243-B85E-C1E15232EBDC}" name="RevSale14" dataDxfId="1682" dataCellStyle="Comma"/>
    <tableColumn id="16" xr3:uid="{61BFA615-44B6-9D4C-B74F-B6FFE6E04A2D}" name="RevSale15" dataDxfId="1681" dataCellStyle="Comma"/>
    <tableColumn id="17" xr3:uid="{D569100A-7B22-4E4A-970A-85E3A0A201C1}" name="RevSale16" dataDxfId="1680" dataCellStyle="Comma"/>
    <tableColumn id="18" xr3:uid="{06F7FE50-0662-3A4D-9EE3-8DB9F5D70BFF}" name="RevSale17" dataDxfId="1679" dataCellStyle="Comma"/>
    <tableColumn id="19" xr3:uid="{15DF4D6C-5238-9246-BC08-243E825E1949}" name="RevSale18" dataDxfId="1678" dataCellStyle="Comma"/>
    <tableColumn id="20" xr3:uid="{49CC288D-DED6-E54C-AE81-4FB2F509C2FB}" name="RevSale19" dataDxfId="1677" dataCellStyle="Comma"/>
    <tableColumn id="21" xr3:uid="{106C00F1-2979-8B4B-BB61-4D1DF0F6F9E0}" name="RevSale20" dataDxfId="16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75" dataDxfId="1674" tableBorderDxfId="1673" dataCellStyle="Comma">
  <autoFilter ref="AB1298:AV1392" xr:uid="{029B3B90-231D-984A-8913-4BD26833EE55}"/>
  <tableColumns count="21">
    <tableColumn id="1" xr3:uid="{6A48BBC4-9F8C-E241-ABF9-8B082D07A915}" name="RevBuy0" dataDxfId="1672" dataCellStyle="Comma"/>
    <tableColumn id="2" xr3:uid="{3DC22D7D-8F33-224B-9FD3-A02E0E52A654}" name="RevBuy1" dataDxfId="1671" dataCellStyle="Comma"/>
    <tableColumn id="3" xr3:uid="{BFA86469-714F-604A-83B7-ADBDA419AAAC}" name="RevBuy2" dataDxfId="1670" dataCellStyle="Comma"/>
    <tableColumn id="4" xr3:uid="{BD5D4CEC-DFA9-A645-B64D-5478236122ED}" name="RevBuy3" dataDxfId="1669" dataCellStyle="Comma"/>
    <tableColumn id="5" xr3:uid="{FEEEA6B5-12EE-CA49-BC91-E9808CF75D06}" name="RevBuy4" dataDxfId="1668" dataCellStyle="Comma"/>
    <tableColumn id="6" xr3:uid="{8DDFBBE0-AB23-7641-A24A-F97BF48C35AC}" name="RevBuy5" dataDxfId="1667" dataCellStyle="Comma"/>
    <tableColumn id="7" xr3:uid="{9AAFF624-6153-C640-9CA1-6E9EAE0C62E6}" name="RevBuy6" dataDxfId="1666" dataCellStyle="Comma"/>
    <tableColumn id="8" xr3:uid="{3CE951EB-53B3-1244-B40C-ACD7AE718ADE}" name="RevBuy7" dataDxfId="1665" dataCellStyle="Comma"/>
    <tableColumn id="9" xr3:uid="{0F49B9D0-426D-C34B-8BC8-3409AFDA4ABC}" name="RevBuy8" dataDxfId="1664" dataCellStyle="Comma"/>
    <tableColumn id="10" xr3:uid="{9A0FBB4F-5D77-2B4B-99E0-824364A5297D}" name="RevBuy9" dataDxfId="1663" dataCellStyle="Comma"/>
    <tableColumn id="11" xr3:uid="{A6DFA062-72DB-994D-B9D4-26B6405DD395}" name="RevBuy10" dataDxfId="1662" dataCellStyle="Comma"/>
    <tableColumn id="12" xr3:uid="{7393EDBB-4FCA-B149-8058-EB9D09947DDE}" name="RevBuy11" dataDxfId="1661" dataCellStyle="Comma"/>
    <tableColumn id="13" xr3:uid="{0E6A4A32-6A6F-174A-95B9-58836CFD2CB3}" name="RevBuy12" dataDxfId="1660" dataCellStyle="Comma"/>
    <tableColumn id="14" xr3:uid="{2CF43023-9A75-C748-985A-9E29BD626892}" name="RevBuy13" dataDxfId="1659" dataCellStyle="Comma"/>
    <tableColumn id="15" xr3:uid="{4E36864A-377C-3A48-BC00-50578A6E506F}" name="RevBuy14" dataDxfId="1658" dataCellStyle="Comma"/>
    <tableColumn id="16" xr3:uid="{DB1CD117-EFF8-1840-99D4-2D16851999F1}" name="RevBuy15" dataDxfId="1657" dataCellStyle="Comma"/>
    <tableColumn id="17" xr3:uid="{42B2D85B-B956-8E40-9443-86D19B1A05D9}" name="RevBuy16" dataDxfId="1656" dataCellStyle="Comma"/>
    <tableColumn id="18" xr3:uid="{512DE7CC-E954-994C-A03A-4ABBD8962618}" name="RevBuy17" dataDxfId="1655" dataCellStyle="Comma"/>
    <tableColumn id="19" xr3:uid="{695A19CA-5D3E-ED4B-97F1-6D391036EF05}" name="RevBuy18" dataDxfId="1654" dataCellStyle="Comma"/>
    <tableColumn id="20" xr3:uid="{B2119E64-AACB-A14C-9559-514A472B4B21}" name="RevBuy19" dataDxfId="1653" dataCellStyle="Comma"/>
    <tableColumn id="21" xr3:uid="{2163EE0E-D715-DF4A-AEE0-8201AC51B898}" name="RevBuy20" dataDxfId="16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51" dataDxfId="1650" tableBorderDxfId="1649" dataCellStyle="Comma">
  <autoFilter ref="AB1397:AV1491" xr:uid="{A862798D-1A6F-4F4B-9D3C-CC5F9499011B}"/>
  <tableColumns count="21">
    <tableColumn id="1" xr3:uid="{3AC0D457-1D0C-7F49-A40F-0DE88B6B346F}" name="ExtraV0" dataDxfId="1648" totalsRowDxfId="1647" dataCellStyle="Comma"/>
    <tableColumn id="2" xr3:uid="{BBA9E372-2827-524A-8766-E691E6346A00}" name="ExtraV1" dataDxfId="1646" totalsRowDxfId="1645" dataCellStyle="Comma"/>
    <tableColumn id="3" xr3:uid="{86FFF09D-F252-5D4A-B7AE-018C7F417359}" name="ExtraV2" dataDxfId="1644" totalsRowDxfId="1643" dataCellStyle="Comma"/>
    <tableColumn id="4" xr3:uid="{EC3B54C3-0BA1-454F-B2AE-A9D80F740098}" name="ExtraV3" dataDxfId="1642" totalsRowDxfId="1641" dataCellStyle="Comma"/>
    <tableColumn id="5" xr3:uid="{D993D839-87B0-0E40-8C6F-15665A8E8072}" name="ExtraV4" dataDxfId="1640" totalsRowDxfId="1639" dataCellStyle="Comma"/>
    <tableColumn id="6" xr3:uid="{1BFB46B7-C176-504F-8EBB-26171A3D0521}" name="ExtraV5" dataDxfId="1638" totalsRowDxfId="1637" dataCellStyle="Comma"/>
    <tableColumn id="7" xr3:uid="{2B054E70-6A65-2841-B5D4-1D5AA57C8782}" name="ExtraV6" dataDxfId="1636" totalsRowDxfId="1635" dataCellStyle="Comma"/>
    <tableColumn id="8" xr3:uid="{68325155-E45A-FC4D-97C1-76858716F55F}" name="ExtraV7" dataDxfId="1634" totalsRowDxfId="1633" dataCellStyle="Comma"/>
    <tableColumn id="9" xr3:uid="{C54B2B53-F7FD-7A49-BDA6-04D9B4EF7741}" name="ExtraV8" dataDxfId="1632" totalsRowDxfId="1631" dataCellStyle="Comma"/>
    <tableColumn id="10" xr3:uid="{6B6BA1C0-34D2-A141-93A2-236370689F5C}" name="ExtraV9" dataDxfId="1630" totalsRowDxfId="1629" dataCellStyle="Comma"/>
    <tableColumn id="11" xr3:uid="{05AD6B97-9023-594F-8540-CDDA816224C7}" name="ExtraV10" dataDxfId="1628" totalsRowDxfId="1627" dataCellStyle="Comma"/>
    <tableColumn id="12" xr3:uid="{AE2DB8DB-D042-3345-AE75-DF958B831776}" name="ExtraV11" dataDxfId="1626" totalsRowDxfId="1625" dataCellStyle="Comma"/>
    <tableColumn id="13" xr3:uid="{DB617589-A099-C643-8929-3D2CA9AFC0F5}" name="ExtraV12" dataDxfId="1624" totalsRowDxfId="1623" dataCellStyle="Comma"/>
    <tableColumn id="14" xr3:uid="{CD892BF4-9983-4847-9C5F-D9B2BB0D5F2D}" name="ExtraV13" dataDxfId="1622" totalsRowDxfId="1621" dataCellStyle="Comma"/>
    <tableColumn id="15" xr3:uid="{8E18B52E-0B40-1F43-8E69-05D5D9F2074B}" name="ExtraV14" dataDxfId="1620" totalsRowDxfId="1619" dataCellStyle="Comma"/>
    <tableColumn id="16" xr3:uid="{077DD0B2-C59F-8E48-9793-B86BF53B2326}" name="ExtraV15" dataDxfId="1618" totalsRowDxfId="1617" dataCellStyle="Comma"/>
    <tableColumn id="17" xr3:uid="{FA7FEF7D-BB41-C94D-AD7E-65D253D5E0B2}" name="ExtraV16" dataDxfId="1616" totalsRowDxfId="1615" dataCellStyle="Comma"/>
    <tableColumn id="18" xr3:uid="{DE9E75AC-9C77-CB44-9498-19B521B8BE07}" name="ExtraV17" dataDxfId="1614" totalsRowDxfId="1613" dataCellStyle="Comma"/>
    <tableColumn id="19" xr3:uid="{2FEDB87D-6676-E142-B6C6-4C01E32E4F0A}" name="ExtraV18" dataDxfId="1612" totalsRowDxfId="1611" dataCellStyle="Comma"/>
    <tableColumn id="20" xr3:uid="{2FCA0075-35A7-1B40-8488-C039CCE16E9D}" name="ExtraV19" dataDxfId="1610" totalsRowDxfId="1609" dataCellStyle="Comma"/>
    <tableColumn id="21" xr3:uid="{8B815B8D-74CB-1A4D-B00D-1F6DAD74FC4B}" name="ExtraV20" dataDxfId="1608" totalsRowDxfId="16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06" dataDxfId="1605" tableBorderDxfId="1604" dataCellStyle="Percent">
  <autoFilter ref="AB1496:AV1590" xr:uid="{0F744D99-CBDB-A840-B675-EB13CC0AC422}"/>
  <tableColumns count="21">
    <tableColumn id="1" xr3:uid="{E1EC9148-EB38-344A-9ECF-E8F28A8A49A8}" name="Rev_GL0" dataDxfId="1603" dataCellStyle="Percent"/>
    <tableColumn id="2" xr3:uid="{4187F546-585D-D945-A89B-784CBB16D86B}" name="Rev_GL1" dataDxfId="1602" dataCellStyle="Percent"/>
    <tableColumn id="3" xr3:uid="{952B18A9-1809-FD4A-A0D4-0B8C6B10222D}" name="Rev_GL2" dataDxfId="1601" dataCellStyle="Percent"/>
    <tableColumn id="4" xr3:uid="{454132EA-52DC-4B46-84C9-F8C1817AAA8B}" name="Rev_GL3" dataDxfId="1600" dataCellStyle="Percent"/>
    <tableColumn id="5" xr3:uid="{46042E51-AD37-D64B-9F54-0AECB1CF208E}" name="Rev_GL4" dataDxfId="1599" dataCellStyle="Percent"/>
    <tableColumn id="6" xr3:uid="{88F9D56A-B70E-5F42-94D8-D65259D09AB6}" name="Rev_GL5" dataDxfId="1598" dataCellStyle="Percent"/>
    <tableColumn id="7" xr3:uid="{E66AADF7-66BC-6945-B6C8-8DE9B67D7D8C}" name="Rev_GL6" dataDxfId="1597" dataCellStyle="Percent"/>
    <tableColumn id="8" xr3:uid="{37DCCF9B-EF3C-2E46-A599-23C1C4979010}" name="Rev_GL7" dataDxfId="1596" dataCellStyle="Percent"/>
    <tableColumn id="9" xr3:uid="{E3EC2144-FCFD-4A4A-9A90-DBEB5288EF9F}" name="Rev_GL8" dataDxfId="1595" dataCellStyle="Percent"/>
    <tableColumn id="10" xr3:uid="{F8204BC8-8C71-AC4D-94AB-07EF311BCDB1}" name="Rev_GL9" dataDxfId="1594" dataCellStyle="Percent"/>
    <tableColumn id="11" xr3:uid="{9BC9C872-1F07-7B4D-9217-6A0B6AF47865}" name="Rev_GL10" dataDxfId="1593" dataCellStyle="Percent"/>
    <tableColumn id="12" xr3:uid="{120827D9-3318-D744-9216-DC27D3CF5968}" name="Rev_GL11" dataDxfId="1592" dataCellStyle="Percent"/>
    <tableColumn id="13" xr3:uid="{5D3F0E9B-693A-E944-918D-50F58C26C2C4}" name="Rev_GL12" dataDxfId="1591" dataCellStyle="Percent"/>
    <tableColumn id="14" xr3:uid="{17E4A056-EF9A-6746-8B3A-898BFDD6A696}" name="Rev_GL13" dataDxfId="1590" dataCellStyle="Percent"/>
    <tableColumn id="15" xr3:uid="{FFEBDC05-8049-534C-A5B3-7EBE90032BE1}" name="Rev_GL14" dataDxfId="1589" dataCellStyle="Percent"/>
    <tableColumn id="16" xr3:uid="{0A197748-CDC1-C64A-AE17-D22E200567DB}" name="Rev_GL15" dataDxfId="1588" dataCellStyle="Percent"/>
    <tableColumn id="17" xr3:uid="{42E0E5EF-910E-5F4E-9CF1-9CFAEC4C8700}" name="Rev_GL16" dataDxfId="1587" dataCellStyle="Percent"/>
    <tableColumn id="18" xr3:uid="{8B111263-3695-3044-B75D-C98410149243}" name="Rev_GL17" dataDxfId="1586" dataCellStyle="Percent"/>
    <tableColumn id="19" xr3:uid="{C3255BF8-7FCD-D64A-97FB-553379A81A55}" name="Rev_GL18" dataDxfId="1585" dataCellStyle="Percent"/>
    <tableColumn id="20" xr3:uid="{7A6EE87E-0D4C-D14A-B440-FBF691F1A8D2}" name="Rev_GL19" dataDxfId="1584" dataCellStyle="Percent"/>
    <tableColumn id="21" xr3:uid="{2E0D70B8-5AC9-9044-8C37-930BC7209F87}" name="Rev_GL20" dataDxfId="15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82" dataDxfId="1581" tableBorderDxfId="1580" dataCellStyle="Percent">
  <autoFilter ref="F1298:Z1392" xr:uid="{AF2A9EC8-851C-1C46-8C70-3CD3F3C868AC}"/>
  <tableColumns count="21">
    <tableColumn id="1" xr3:uid="{CA2857FA-1FC2-104D-B66E-371CA24537CD}" name="Naft0" dataDxfId="1579" dataCellStyle="Percent"/>
    <tableColumn id="2" xr3:uid="{8C525679-2502-FF45-B2B9-12506AA3F644}" name="Naft1" dataDxfId="1578" dataCellStyle="Percent"/>
    <tableColumn id="3" xr3:uid="{AD993A4C-A7F1-E342-9EC4-C90192C82B31}" name="Naft2" dataDxfId="1577" dataCellStyle="Percent"/>
    <tableColumn id="4" xr3:uid="{40B8B76F-5171-D54D-BF06-A4AC21350B3B}" name="Naft3" dataDxfId="1576" dataCellStyle="Percent"/>
    <tableColumn id="5" xr3:uid="{762033C0-4281-1746-84F3-542BF017FA4B}" name="Naft4" dataDxfId="1575" dataCellStyle="Percent"/>
    <tableColumn id="6" xr3:uid="{FAFE4B64-0CB1-994E-8F05-C5E44C8DDB03}" name="Naft5" dataDxfId="1574" dataCellStyle="Percent"/>
    <tableColumn id="7" xr3:uid="{AF0D904D-7647-BB48-8D6E-B302E22C3C1C}" name="Naft6" dataDxfId="1573" dataCellStyle="Percent"/>
    <tableColumn id="8" xr3:uid="{CF096B0E-2F7F-924E-BA91-4DC10C6E3ED9}" name="Naft7" dataDxfId="1572" dataCellStyle="Percent"/>
    <tableColumn id="9" xr3:uid="{C3C4E1F9-90C6-9646-BC1A-573E5493DC64}" name="Naft8" dataDxfId="1571" dataCellStyle="Percent"/>
    <tableColumn id="10" xr3:uid="{8A89D7FB-45BB-7642-A43A-239F682092E7}" name="Naft9" dataDxfId="1570" dataCellStyle="Percent"/>
    <tableColumn id="11" xr3:uid="{6CB557D2-EFB9-2E40-ADFE-F1D06A55A2C1}" name="Naft10" dataDxfId="1569" dataCellStyle="Percent"/>
    <tableColumn id="12" xr3:uid="{D7F02D6C-BB3C-D747-B902-F6B6DDD59B57}" name="Naft11" dataDxfId="1568" dataCellStyle="Percent"/>
    <tableColumn id="13" xr3:uid="{FD8D6943-9FA6-EA49-BBD9-F5E3DDB53BE7}" name="Naft12" dataDxfId="1567" dataCellStyle="Percent"/>
    <tableColumn id="14" xr3:uid="{2393C95D-1173-E448-837B-713DEFB9753C}" name="Naft13" dataDxfId="1566" dataCellStyle="Percent"/>
    <tableColumn id="15" xr3:uid="{E4C43FA3-A3C8-D340-985B-1BEA174F8B98}" name="Naft14" dataDxfId="1565" dataCellStyle="Percent"/>
    <tableColumn id="16" xr3:uid="{5F4E9827-A41F-8D4B-B649-51F74733E28D}" name="Naft15" dataDxfId="1564" dataCellStyle="Percent"/>
    <tableColumn id="17" xr3:uid="{DC3B667D-F4B9-8648-ACF1-C0371C364AA1}" name="Naft16" dataDxfId="1563" dataCellStyle="Percent"/>
    <tableColumn id="18" xr3:uid="{3E4D8A11-1F61-DE42-9951-C0BA46393626}" name="Naft17" dataDxfId="1562" dataCellStyle="Percent"/>
    <tableColumn id="19" xr3:uid="{50825E73-0383-E743-BD57-1CC0EAEE123B}" name="Naft18" dataDxfId="1561" dataCellStyle="Percent"/>
    <tableColumn id="20" xr3:uid="{BF93579D-889E-5B4A-A245-055F31FD5F5F}" name="Naft19" dataDxfId="1560" dataCellStyle="Percent"/>
    <tableColumn id="21" xr3:uid="{1A3DDD58-5298-C144-A846-CB3FD97B6F3B}" name="Naft20" dataDxfId="15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58" dataDxfId="1557" tableBorderDxfId="1556">
  <autoFilter ref="F1397:Z1491" xr:uid="{F6EF671C-15EB-6340-A931-CD19935BD39E}"/>
  <tableColumns count="21">
    <tableColumn id="1" xr3:uid="{3937D0B6-0B63-584B-8662-4CF442418B39}" name="Free2_0" dataDxfId="1555"/>
    <tableColumn id="2" xr3:uid="{297E75E7-30A8-614A-BC6B-7EDF8EA51692}" name="Free2_1" dataDxfId="1554"/>
    <tableColumn id="3" xr3:uid="{7F7BAB67-5081-FE41-B799-765A7833B5F6}" name="Free2_2" dataDxfId="1553"/>
    <tableColumn id="4" xr3:uid="{700C6907-FB66-B04F-81CB-5569C38B311E}" name="Free2_3" dataDxfId="1552"/>
    <tableColumn id="5" xr3:uid="{E20B3C31-90B8-D44C-9ECA-BC79BF5194CC}" name="Free2_4" dataDxfId="1551"/>
    <tableColumn id="6" xr3:uid="{27ADA4AC-F4C1-944D-8D1E-59B6112D7B6E}" name="Free2_5" dataDxfId="1550"/>
    <tableColumn id="7" xr3:uid="{97FCEADF-673E-2044-B069-C5D83CC6CD02}" name="Free2_6" dataDxfId="1549"/>
    <tableColumn id="8" xr3:uid="{2DAEB5D8-A75B-6345-B212-BABEC279EF4F}" name="Free2_7" dataDxfId="1548"/>
    <tableColumn id="9" xr3:uid="{D048A8D0-4C56-164A-B9F6-25853F5C87FB}" name="Free2_8" dataDxfId="1547"/>
    <tableColumn id="10" xr3:uid="{1B9502C7-37BD-1F47-9E14-6E91E86574DE}" name="Free2_9" dataDxfId="1546"/>
    <tableColumn id="11" xr3:uid="{9B6DF665-04C4-7649-852D-B0E5327053BC}" name="Free2_10" dataDxfId="1545"/>
    <tableColumn id="12" xr3:uid="{ABA824BF-6AB3-F848-89AE-8ACE9C246B08}" name="Free2_11" dataDxfId="1544"/>
    <tableColumn id="13" xr3:uid="{BE8860B0-2B51-9346-9587-0367E9E40239}" name="Free2_12" dataDxfId="1543"/>
    <tableColumn id="14" xr3:uid="{3BEA1E54-18D2-6740-93C2-7BD649B58A23}" name="Free2_13" dataDxfId="1542"/>
    <tableColumn id="15" xr3:uid="{79159609-704E-8146-B86F-5E75085DE96C}" name="Free2_14" dataDxfId="1541"/>
    <tableColumn id="16" xr3:uid="{E8E7FE0B-CAFC-A648-A958-2ACB64144D08}" name="Free2_15" dataDxfId="1540"/>
    <tableColumn id="17" xr3:uid="{D33B5289-1DC5-5447-8C39-5A33CEF0329C}" name="Free2_16" dataDxfId="1539"/>
    <tableColumn id="18" xr3:uid="{A4005841-AE7D-4E45-B5E4-DCCB8C0DAF66}" name="Free2_17" dataDxfId="1538"/>
    <tableColumn id="19" xr3:uid="{BF68ED05-57C6-CF48-97AC-E91CD45EE53C}" name="Free2_18" dataDxfId="1537"/>
    <tableColumn id="20" xr3:uid="{E9FBBC2B-85F5-8242-86CF-10EB4C79D58D}" name="Free2_19" dataDxfId="1536"/>
    <tableColumn id="21" xr3:uid="{29DD2BEB-9881-8043-9502-DA3DA8E0EC3C}" name="Free2_20" dataDxfId="1535">
      <calculatedColumnFormula>[1]DataRT!$R3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34" dataDxfId="1533" tableBorderDxfId="1532" dataCellStyle="Comma">
  <autoFilter ref="AB404:AV498" xr:uid="{A5A966C8-A895-2142-9D9C-4A177559753C}"/>
  <tableColumns count="21">
    <tableColumn id="1" xr3:uid="{086170E0-912A-0046-8C70-71421FDB86CB}" name="Saldo_5Day0" dataDxfId="1531" dataCellStyle="Comma"/>
    <tableColumn id="2" xr3:uid="{C47EE9E0-CEB9-744E-A9B1-030E5081996F}" name="Saldo_5Day1" dataDxfId="1530" dataCellStyle="Comma"/>
    <tableColumn id="3" xr3:uid="{0374466B-D15D-8849-BFAB-F2C39763E33E}" name="Saldo_5Day2" dataDxfId="1529" dataCellStyle="Comma"/>
    <tableColumn id="4" xr3:uid="{3DC4E1AB-5240-2B47-95A1-A9FED5CB7931}" name="Saldo_5Day3" dataDxfId="1528" dataCellStyle="Comma"/>
    <tableColumn id="5" xr3:uid="{AD8D194A-067C-D54B-B1FC-6AA332CE1097}" name="Saldo_5Day4" dataDxfId="1527" dataCellStyle="Comma"/>
    <tableColumn id="6" xr3:uid="{B5DAB107-F4BA-3846-B1DF-1BB15544E5EB}" name="Saldo_5Day5" dataDxfId="1526" dataCellStyle="Comma"/>
    <tableColumn id="7" xr3:uid="{FC981E9A-3BB2-EC42-9BD0-4739A49F449B}" name="Saldo_5Day6" dataDxfId="1525" dataCellStyle="Comma"/>
    <tableColumn id="8" xr3:uid="{0D786F90-14A9-EC46-B54E-55D2023B3BAB}" name="Saldo_5Day7" dataDxfId="1524" dataCellStyle="Comma"/>
    <tableColumn id="9" xr3:uid="{640827C4-D151-714F-9431-310E739241DB}" name="Saldo_5Day8" dataDxfId="1523" dataCellStyle="Comma"/>
    <tableColumn id="10" xr3:uid="{883C6F42-8C48-8A47-A661-A9DC638F12F2}" name="Saldo_5Day9" dataDxfId="1522" dataCellStyle="Comma"/>
    <tableColumn id="11" xr3:uid="{CEF2A3F7-C727-D942-BBAD-594BB418F823}" name="Saldo_5Day10" dataDxfId="1521" dataCellStyle="Comma"/>
    <tableColumn id="12" xr3:uid="{A3DB2142-E94A-AD4D-9220-463878802587}" name="Saldo_5Day11" dataDxfId="1520" dataCellStyle="Comma"/>
    <tableColumn id="13" xr3:uid="{1FFAEF3D-A638-0843-889A-A25ABD8D4445}" name="Saldo_5Day12" dataDxfId="1519" dataCellStyle="Comma"/>
    <tableColumn id="14" xr3:uid="{66353A91-21E4-6345-9E5E-23B2AA7D6228}" name="Saldo_5Day13" dataDxfId="1518" dataCellStyle="Comma"/>
    <tableColumn id="15" xr3:uid="{4FA84C89-1A8F-284D-9C13-78D90BBF6266}" name="Saldo_5Day14" dataDxfId="1517" dataCellStyle="Comma"/>
    <tableColumn id="16" xr3:uid="{AEB3F103-A250-9D40-91AE-588B1AF73D28}" name="Saldo_5Day15" dataDxfId="1516" dataCellStyle="Comma"/>
    <tableColumn id="17" xr3:uid="{89C20C78-7E59-C74D-AF29-1A8CCB46B1D9}" name="Saldo_5Day16" dataDxfId="1515" dataCellStyle="Comma"/>
    <tableColumn id="18" xr3:uid="{44BE309E-DDA6-0F4A-98BD-B8D4F08F3A35}" name="Saldo_5Day17" dataDxfId="1514" dataCellStyle="Comma"/>
    <tableColumn id="19" xr3:uid="{F644A9A2-2953-9D41-B057-FC93AC10643A}" name="Saldo_5Day18" dataDxfId="1513" dataCellStyle="Comma"/>
    <tableColumn id="20" xr3:uid="{913F3E58-BEA0-7047-9081-6EE33487BB80}" name="Saldo_5Day19" dataDxfId="1512" dataCellStyle="Comma"/>
    <tableColumn id="21" xr3:uid="{AF453376-8DDF-764F-B09C-84B72B80BF75}" name="Saldo_5Day20" dataDxfId="15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10" totalsRowDxfId="1509"/>
    <tableColumn id="2" xr3:uid="{C0145B90-171D-F843-922B-5308D656256B}" name="Summary1" dataDxfId="1508" totalsRowDxfId="1507"/>
    <tableColumn id="3" xr3:uid="{13B89441-86AC-2245-A728-E49F31DB3D6A}" name="Summary2" dataDxfId="1506" totalsRowDxfId="1505"/>
    <tableColumn id="4" xr3:uid="{1B918288-DC53-904B-AB84-4C90F09BE4EC}" name="Summary3" dataDxfId="1504" totalsRowDxfId="1503"/>
    <tableColumn id="5" xr3:uid="{48DD1F16-0C12-8349-8732-19827F0EAE9F}" name="Summary4" dataDxfId="1502" totalsRowDxfId="1501"/>
    <tableColumn id="6" xr3:uid="{D4E4DABC-EA23-ED49-81B2-4BFF2A0772F9}" name="Summary5" dataDxfId="1500" totalsRowDxfId="1499"/>
    <tableColumn id="7" xr3:uid="{4C49F7EE-3ECF-174B-A361-EC8BFAA95624}" name="Summary6" dataDxfId="1498" totalsRowDxfId="1497" dataCellStyle="Percent"/>
    <tableColumn id="8" xr3:uid="{816A286C-4A21-3144-93B8-B400778D576A}" name="Summary7" dataDxfId="1496" totalsRowDxfId="1495"/>
    <tableColumn id="9" xr3:uid="{59E1500E-A932-4840-BA3E-5B3025BB1454}" name="Summary8" dataDxfId="1494" totalsRowDxfId="1493"/>
    <tableColumn id="10" xr3:uid="{F96B4C1B-365D-1741-B72A-531258FFE2BC}" name="Summary9" dataDxfId="1492" totalsRowDxfId="1491"/>
    <tableColumn id="11" xr3:uid="{77C9D1FE-F025-D54B-8787-3FC4E59E56AD}" name="Summary10" dataDxfId="1490" totalsRowDxfId="1489"/>
    <tableColumn id="12" xr3:uid="{47411572-1EC6-254C-9838-49A66022B7E4}" name="Summary11" dataDxfId="1488" totalsRowDxfId="1487"/>
    <tableColumn id="13" xr3:uid="{60CF3707-8850-F148-BBF5-A0EE9B808735}" name="Summary12" dataDxfId="1486" totalsRowDxfId="1485" dataCellStyle="Comma"/>
    <tableColumn id="14" xr3:uid="{3A0F36B9-4B29-0A4C-A448-D9CF99B8C62F}" name="Summary13" dataDxfId="1484" totalsRowDxfId="1483"/>
    <tableColumn id="15" xr3:uid="{C63BF0B5-FDDE-D043-A434-8FF7E3AE8994}" name="Summary14" dataDxfId="1482" totalsRowDxfId="1481"/>
    <tableColumn id="16" xr3:uid="{07929D4C-E2BA-E64A-AA43-4BF7D1D5E3A2}" name="Summary15" dataDxfId="1480" totalsRowDxfId="1479"/>
    <tableColumn id="17" xr3:uid="{A2E5D0AD-33EE-F140-9570-FEF3580B722F}" name="Summary16" dataDxfId="1478" totalsRowDxfId="1477"/>
    <tableColumn id="18" xr3:uid="{379DD2CB-9A5C-D142-A1F0-8F2739E2CFA8}" name="Summary17" dataDxfId="1476" totalsRowDxfId="1475" dataCellStyle="Percent"/>
    <tableColumn id="19" xr3:uid="{268245B6-FCB0-084E-A766-46A83AED1DB3}" name="Summary18" dataDxfId="1474" totalsRowDxfId="1473" dataCellStyle="Comma"/>
    <tableColumn id="20" xr3:uid="{861CA8D0-B5BD-6F48-80D5-D373641A59B8}" name="Summary19" dataDxfId="1472" totalsRowDxfId="1471"/>
    <tableColumn id="21" xr3:uid="{2D6D6470-C27B-9441-BFD7-B5A6B11B21EE}" name="Summary20" dataDxfId="1470" totalsRowDxfId="146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68" dataCellStyle="Percent">
  <autoFilter ref="F1496:Z1590" xr:uid="{BD0B59F9-75A4-6345-9840-A2E778B47C79}"/>
  <tableColumns count="21">
    <tableColumn id="1" xr3:uid="{3DEEB649-1545-504F-B74F-9FE969CBD76A}" name="MarkUp0" dataDxfId="1467" dataCellStyle="Percent"/>
    <tableColumn id="2" xr3:uid="{A6C89CFF-07F2-8B49-AAA7-95B57C6AEA42}" name="MarkUp1" dataDxfId="1466" dataCellStyle="Percent"/>
    <tableColumn id="3" xr3:uid="{80775B53-35F4-1742-A64B-DBC41620A5F8}" name="MarkUp2" dataDxfId="1465" dataCellStyle="Percent"/>
    <tableColumn id="4" xr3:uid="{789F2A95-FF0D-514F-A880-E9C55248174B}" name="MarkUp3" dataDxfId="1464" dataCellStyle="Percent"/>
    <tableColumn id="5" xr3:uid="{DB0D0239-7981-3C47-AD76-C782554E8AB8}" name="MarkUp4" dataDxfId="1463" dataCellStyle="Percent"/>
    <tableColumn id="6" xr3:uid="{544A8C51-585B-F848-8A7B-A1008FDFDF37}" name="MarkUp5" dataDxfId="1462" dataCellStyle="Percent"/>
    <tableColumn id="7" xr3:uid="{A575BF9D-8361-714D-B07E-8D0E262F5FBB}" name="MarkUp6" dataDxfId="1461" dataCellStyle="Percent"/>
    <tableColumn id="8" xr3:uid="{0B8D438E-DFEB-DA4D-8453-53E9B370F907}" name="MarkUp7" dataDxfId="1460" dataCellStyle="Percent"/>
    <tableColumn id="9" xr3:uid="{DA3BFA50-3B0C-844C-8D33-C1F303E0855D}" name="MarkUp8" dataDxfId="1459" dataCellStyle="Percent"/>
    <tableColumn id="10" xr3:uid="{8E2DFA05-ADCD-0240-B8AC-9A068217E1F3}" name="MarkUp9" dataDxfId="1458" dataCellStyle="Percent"/>
    <tableColumn id="11" xr3:uid="{1799051C-A221-0543-BE05-0E219A76BB16}" name="MarkUp10" dataDxfId="1457" dataCellStyle="Percent"/>
    <tableColumn id="12" xr3:uid="{98820823-ACB0-1F49-AA92-A32FD2BAD762}" name="MarkUp11" dataDxfId="1456" dataCellStyle="Percent"/>
    <tableColumn id="13" xr3:uid="{C19E583A-0D28-FB48-9A8A-B5A7CB5484A4}" name="MarkUp12" dataDxfId="1455" dataCellStyle="Percent"/>
    <tableColumn id="14" xr3:uid="{8059EBA1-5F47-CF46-84AB-5A12E88D8D2C}" name="MarkUp13" dataDxfId="1454" dataCellStyle="Percent"/>
    <tableColumn id="15" xr3:uid="{510C91B6-E50C-FC46-BFA2-6964EC87E14B}" name="MarkUp14" dataDxfId="1453" dataCellStyle="Percent"/>
    <tableColumn id="16" xr3:uid="{8C82C0B6-D9ED-CE4B-AED9-78058B4F22DA}" name="MarkUp15" dataDxfId="1452" dataCellStyle="Percent"/>
    <tableColumn id="17" xr3:uid="{1CC24814-7184-0C4B-A764-BAC31484FFD7}" name="MarkUp16" dataDxfId="1451" dataCellStyle="Percent"/>
    <tableColumn id="18" xr3:uid="{254EACA1-0431-EB47-9340-65308D62D404}" name="MarkUp17" dataDxfId="1450" dataCellStyle="Percent"/>
    <tableColumn id="19" xr3:uid="{B63624E4-0107-AE46-B98F-363678F4DBF5}" name="MarkUp18" dataDxfId="1449" dataCellStyle="Percent"/>
    <tableColumn id="20" xr3:uid="{096A92CA-4B2E-E442-A2EC-DE652EE21C06}" name="MarkUp19" dataDxfId="1448" dataCellStyle="Percent"/>
    <tableColumn id="21" xr3:uid="{92E1C85C-4F66-6340-BEBE-C53E1E837A88}" name="MarkUp20" dataDxfId="1447"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46" dataCellStyle="Percent">
  <autoFilter ref="F1596:Z1689" xr:uid="{D5BEC7A6-EF60-3B46-B9E8-034B7BBF3E15}"/>
  <tableColumns count="21">
    <tableColumn id="1" xr3:uid="{2C2B2823-339F-4D4E-B506-4D9D2FD31170}" name="Sum**2_0" dataDxfId="1445" dataCellStyle="Percent"/>
    <tableColumn id="2" xr3:uid="{63B31B64-D53D-D148-A12E-0035DE733783}" name="Sum**2_1" dataDxfId="1444" dataCellStyle="Percent"/>
    <tableColumn id="3" xr3:uid="{AB7122E0-6AA1-2345-9984-477938E242DE}" name="Sum**2_2" dataDxfId="1443" dataCellStyle="Percent"/>
    <tableColumn id="4" xr3:uid="{C1F1B198-A6E5-6E4B-9EFE-3A79002AA194}" name="Sum**2_3" dataDxfId="1442" dataCellStyle="Percent"/>
    <tableColumn id="5" xr3:uid="{CD8ADFDF-0FAA-2F4B-A5BA-D3744B56DB65}" name="Sum**2_4" dataDxfId="1441" dataCellStyle="Percent"/>
    <tableColumn id="6" xr3:uid="{A773326D-FA9D-F645-8327-6BD976AF582F}" name="Sum**2_5" dataDxfId="1440" dataCellStyle="Percent"/>
    <tableColumn id="7" xr3:uid="{819DBD76-9239-DC4A-9670-B59537B37853}" name="Sum**2_6" dataDxfId="1439" dataCellStyle="Percent"/>
    <tableColumn id="8" xr3:uid="{9E873F49-2374-174D-9563-D76244E18328}" name="Sum**2_7" dataDxfId="1438" dataCellStyle="Percent"/>
    <tableColumn id="9" xr3:uid="{B103D527-25A1-D646-AD0A-2D6D80419144}" name="Sum**2_8" dataDxfId="1437" dataCellStyle="Percent"/>
    <tableColumn id="10" xr3:uid="{96CCA32E-3C73-7142-BF4C-C158F7B37810}" name="Sum**2_9" dataDxfId="1436" dataCellStyle="Percent"/>
    <tableColumn id="11" xr3:uid="{56B7687B-91AF-4445-A28F-2881C7A6A6CD}" name="Sum**2_10" dataDxfId="1435" dataCellStyle="Percent"/>
    <tableColumn id="12" xr3:uid="{DB2A6F66-3621-8846-9226-BC837F3A8607}" name="Sum**2_11" dataDxfId="1434" dataCellStyle="Percent"/>
    <tableColumn id="13" xr3:uid="{AF2CAAB5-0134-4944-A2DF-51F7D4C73924}" name="Sum**2_12" dataDxfId="1433" dataCellStyle="Percent"/>
    <tableColumn id="14" xr3:uid="{96835407-A70C-7447-8F4F-990440ABEC87}" name="Sum**2_13" dataDxfId="1432" dataCellStyle="Percent"/>
    <tableColumn id="15" xr3:uid="{CA0AA75C-43E5-784B-8D61-06F3C41CF8A0}" name="Sum**2_14" dataDxfId="1431" dataCellStyle="Percent"/>
    <tableColumn id="16" xr3:uid="{13A8CBF4-DB9A-B849-8F2C-A0A188E0DF2A}" name="Sum**2_15" dataDxfId="1430" dataCellStyle="Percent"/>
    <tableColumn id="17" xr3:uid="{1F0AAC37-63D2-6F47-A469-FCC7FEF1D822}" name="Sum**2_16" dataDxfId="1429" dataCellStyle="Percent"/>
    <tableColumn id="18" xr3:uid="{A2F60BCE-BEE7-654C-BC93-9A7FA97E5352}" name="Sum**2_17" dataDxfId="1428" dataCellStyle="Percent"/>
    <tableColumn id="19" xr3:uid="{C3C24884-56D0-D04B-B09F-B980FE86E022}" name="Sum**2_18" dataDxfId="1427" dataCellStyle="Percent"/>
    <tableColumn id="20" xr3:uid="{87579DA9-E185-BD4F-B501-5C2BD25EC567}" name="Sum**2_19" dataDxfId="1426" dataCellStyle="Percent"/>
    <tableColumn id="21" xr3:uid="{8C3E0B6F-730F-3540-A789-4533BE6E2F4F}" name="Sum**2_20" dataDxfId="1425"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24" dataCellStyle="Percent">
  <autoFilter ref="AB1595:AV1689" xr:uid="{E6A8CF0B-7BCE-7A42-AF72-2FEB89DD3A0B}"/>
  <tableColumns count="21">
    <tableColumn id="1" xr3:uid="{9EDCB166-851C-9C48-A224-9B8BFE7FE3EA}" name="Sum**2_0" dataDxfId="1423" dataCellStyle="Percent"/>
    <tableColumn id="2" xr3:uid="{61601C57-E293-4C4A-A5AB-3FE09D2D2FF9}" name="Sum**2_1" dataDxfId="1422" dataCellStyle="Percent"/>
    <tableColumn id="3" xr3:uid="{1C26E27A-CF61-7E4F-9A2A-AF52B8F9FA0A}" name="Sum**2_2" dataDxfId="1421" dataCellStyle="Percent"/>
    <tableColumn id="4" xr3:uid="{75C65365-474A-3D45-ADC6-D2047EA06590}" name="Sum**2_3" dataDxfId="1420" dataCellStyle="Percent"/>
    <tableColumn id="5" xr3:uid="{09B33CCF-A873-244E-AC3B-291C83A0BE67}" name="Sum**2_4" dataDxfId="1419" dataCellStyle="Percent"/>
    <tableColumn id="6" xr3:uid="{9B1510FE-6D6F-5A4A-9B5A-BD71A0794CEE}" name="Sum**2_5" dataDxfId="1418" dataCellStyle="Percent"/>
    <tableColumn id="7" xr3:uid="{31F83491-B3A3-D54A-BA15-B163AC5F2C9A}" name="Sum**2_6" dataDxfId="1417" dataCellStyle="Percent"/>
    <tableColumn id="8" xr3:uid="{9979AA70-2D99-DE49-B7D5-D643B1001152}" name="Sum**2_7" dataDxfId="1416" dataCellStyle="Percent"/>
    <tableColumn id="9" xr3:uid="{56FDE8E4-7BDA-C045-92CE-C96F0478841C}" name="Sum**2_8" dataDxfId="1415" dataCellStyle="Percent"/>
    <tableColumn id="10" xr3:uid="{BF651EAC-5DE6-8C4B-ABC0-7FF266F414FD}" name="Sum**2_9" dataDxfId="1414" dataCellStyle="Percent"/>
    <tableColumn id="11" xr3:uid="{3274233F-09E2-B64E-8CBF-8506F78A99B0}" name="Sum**2_10" dataDxfId="1413" dataCellStyle="Percent"/>
    <tableColumn id="12" xr3:uid="{CD61E0F9-09BC-1745-A795-3F33957E3D3B}" name="Sum**2_11" dataDxfId="1412" dataCellStyle="Percent"/>
    <tableColumn id="13" xr3:uid="{BABFF967-AEF7-3644-A589-7A5B73F2D156}" name="Sum**2_12" dataDxfId="1411" dataCellStyle="Percent"/>
    <tableColumn id="14" xr3:uid="{D196ECB2-3F4E-6544-B4EC-2376A142D915}" name="Sum**2_13" dataDxfId="1410" dataCellStyle="Percent"/>
    <tableColumn id="15" xr3:uid="{4D81CFC7-992B-D642-904A-CBCDCAD97394}" name="Sum**2_14" dataDxfId="1409" dataCellStyle="Percent"/>
    <tableColumn id="16" xr3:uid="{5C315818-8E3C-1848-ABAE-9D4300EDBD1B}" name="Sum**2_15" dataDxfId="1408" dataCellStyle="Percent"/>
    <tableColumn id="17" xr3:uid="{728CDA8F-F9BB-C84B-83D6-434A28B7A69E}" name="Sum**2_16" dataDxfId="1407" dataCellStyle="Percent"/>
    <tableColumn id="18" xr3:uid="{AB73409A-6B6D-6B4B-9F6A-31BD45FAC5D4}" name="Sum**2_17" dataDxfId="1406" dataCellStyle="Percent"/>
    <tableColumn id="19" xr3:uid="{27A4013B-1966-EE44-AF6E-83D9EAC45769}" name="Sum**2_18" dataDxfId="1405" dataCellStyle="Percent"/>
    <tableColumn id="20" xr3:uid="{E4C94DB5-B5B2-DE4C-93AC-18C099042A0A}" name="Sum**2_19" dataDxfId="1404" dataCellStyle="Percent"/>
    <tableColumn id="21" xr3:uid="{8DDFD0E0-45EB-0249-B5F1-B1404A2BB9D0}" name="Sum**2_20" dataDxfId="1403"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02"/>
    <tableColumn id="6" xr3:uid="{6CD35761-7716-F844-8AFD-9AD0DA2D1AAF}" name="YTChg5" dataDxfId="1401"/>
    <tableColumn id="7" xr3:uid="{78E5C771-5566-C94D-8D04-27B9FB5E7651}" name="YTChg6" dataDxfId="1400" dataCellStyle="Percent"/>
    <tableColumn id="8" xr3:uid="{73C26D4B-48AF-3D46-B671-432194BF504C}" name="YTChg7" dataDxfId="1399"/>
    <tableColumn id="9" xr3:uid="{83E7FC4C-38C3-4B44-8912-AA08D1092E9E}" name="YTChg8"/>
    <tableColumn id="10" xr3:uid="{48CE05BF-DA40-BF42-A501-A01DD1FF524B}" name="YTChg9" dataDxfId="1398"/>
    <tableColumn id="11" xr3:uid="{37C00FB8-016E-0345-8F7E-90F263DB49E6}" name="YTChg10" dataDxfId="1397"/>
    <tableColumn id="12" xr3:uid="{DA1D9B79-9E70-634C-AB9A-E8C7256E6781}" name="YTChg11"/>
    <tableColumn id="13" xr3:uid="{474BC66F-E848-2F48-A010-419F1A8E34C7}" name="YTChg12" dataDxfId="1396"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395" dataCellStyle="Percent"/>
    <tableColumn id="19" xr3:uid="{40EB9D23-041A-834B-BA45-C29E2B36BACA}" name="YTChg18" dataDxfId="1394"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393" totalsRowDxfId="1391" tableBorderDxfId="1392">
  <autoFilter ref="A3:KF71" xr:uid="{6184EC62-F546-EC44-B85F-22666178BACB}"/>
  <tableColumns count="292">
    <tableColumn id="1" xr3:uid="{57623EC6-295D-6C46-8762-F4C1DD08499F}" name="RegIndex" dataDxfId="1390" totalsRowDxfId="1389">
      <calculatedColumnFormula>ROW() - ROW(TabReg[[#Headers],[RegIndex]])</calculatedColumnFormula>
    </tableColumn>
    <tableColumn id="2" xr3:uid="{59C53E03-08BC-7241-A405-B961C9CD4E4C}" name="AAPL" totalsRowFunction="custom" dataDxfId="1388" totalsRowDxfId="1387">
      <totalsRowFormula>COUNT(TabReg[AAPL])</totalsRowFormula>
    </tableColumn>
    <tableColumn id="3" xr3:uid="{E8ED35B7-2399-6041-8311-C19BDE1DDA95}" name="AAPL1" totalsRowFunction="custom" dataDxfId="1386" totalsRowDxfId="1385" dataCellStyle="Comma">
      <totalsRowFormula>COUNT(TabReg[AAPL1])</totalsRowFormula>
    </tableColumn>
    <tableColumn id="4" xr3:uid="{C3865FAF-DC26-3B45-AC2D-579945EE4DE2}" name="AAPL2" totalsRowFunction="custom" dataDxfId="1384" totalsRowDxfId="1383" dataCellStyle="Comma">
      <totalsRowFormula>COUNT(TabReg[AAPL2])</totalsRowFormula>
    </tableColumn>
    <tableColumn id="5" xr3:uid="{58414643-D5EF-DC42-BE18-AFAB1AA967A3}" name="ADEA" totalsRowFunction="custom" dataDxfId="1382" totalsRowDxfId="1381">
      <totalsRowFormula>COUNT(TabReg[ADEA])</totalsRowFormula>
    </tableColumn>
    <tableColumn id="6" xr3:uid="{770722DB-0B2C-4149-8CBF-EBAC14770B02}" name="ADEA1" totalsRowFunction="custom" dataDxfId="1380" totalsRowDxfId="1379" dataCellStyle="Comma">
      <totalsRowFormula>COUNT(TabReg[ADEA1])</totalsRowFormula>
    </tableColumn>
    <tableColumn id="7" xr3:uid="{ADBB0985-AFC7-0A49-AAD9-9FD8A0ADA9E8}" name="ADEA2" totalsRowFunction="custom" dataDxfId="1378" totalsRowDxfId="1377" dataCellStyle="Comma">
      <totalsRowFormula>COUNT(TabReg[ADEA2])</totalsRowFormula>
    </tableColumn>
    <tableColumn id="8" xr3:uid="{F9B8D055-A3B6-6049-AB67-FD35F31EAD12}" name="AET" totalsRowFunction="custom" dataDxfId="1376" totalsRowDxfId="1375">
      <totalsRowFormula>COUNT(TabReg[AET])</totalsRowFormula>
    </tableColumn>
    <tableColumn id="9" xr3:uid="{4F1B47E7-AE09-DE47-9326-7E38373F590D}" name="AET1" totalsRowFunction="custom" dataDxfId="1374" totalsRowDxfId="1373" dataCellStyle="Comma">
      <totalsRowFormula>COUNT(TabReg[AET1])</totalsRowFormula>
    </tableColumn>
    <tableColumn id="10" xr3:uid="{C55D7E50-6E70-8245-AF6D-9B0AF1B842F6}" name="AET2" totalsRowFunction="custom" dataDxfId="1372" totalsRowDxfId="1371" dataCellStyle="Comma">
      <totalsRowFormula>COUNT(TabReg[AET2])</totalsRowFormula>
    </tableColumn>
    <tableColumn id="11" xr3:uid="{75AEAC53-9C89-8F4E-A89E-5819F07855E8}" name="AMZN" totalsRowFunction="custom" dataDxfId="1370" totalsRowDxfId="1369">
      <totalsRowFormula>COUNT(TabReg[AMZN])</totalsRowFormula>
    </tableColumn>
    <tableColumn id="12" xr3:uid="{50DF90F7-5FF8-F84C-9DEF-B56AE90E9FE1}" name="AMZN1" totalsRowFunction="custom" dataDxfId="1368" totalsRowDxfId="1367" dataCellStyle="Comma">
      <totalsRowFormula>COUNT(TabReg[AMZN1])</totalsRowFormula>
    </tableColumn>
    <tableColumn id="13" xr3:uid="{BB3AD602-9B27-A44D-956D-E044A03841B0}" name="AMZN2" totalsRowFunction="custom" dataDxfId="1366" totalsRowDxfId="1365" dataCellStyle="Comma">
      <totalsRowFormula>COUNT(TabReg[AMZN2])</totalsRowFormula>
    </tableColumn>
    <tableColumn id="14" xr3:uid="{49715757-C441-334A-8359-CB03A54D44A0}" name="ALDNE" totalsRowFunction="custom" dataDxfId="1364" totalsRowDxfId="1363" dataCellStyle="Comma">
      <totalsRowFormula>COUNT(TabReg[ALDNE])</totalsRowFormula>
    </tableColumn>
    <tableColumn id="15" xr3:uid="{2367F0AA-874E-0F49-8743-948F4AA0066D}" name="ALDNE1" totalsRowFunction="custom" dataDxfId="1362" totalsRowDxfId="1361" dataCellStyle="Comma">
      <totalsRowFormula>COUNT(TabReg[ALDNE1])</totalsRowFormula>
    </tableColumn>
    <tableColumn id="16" xr3:uid="{136C77A7-D877-524E-A602-4F388B4DC883}" name="ALDNE2" totalsRowFunction="custom" dataDxfId="1360" totalsRowDxfId="1359" dataCellStyle="Comma">
      <totalsRowFormula>COUNT(TabReg[ALDNE2])</totalsRowFormula>
    </tableColumn>
    <tableColumn id="179" xr3:uid="{24648F26-5ACD-B54B-A6CE-ED445344889D}" name="ASML" totalsRowFunction="custom" dataDxfId="1358" totalsRowDxfId="1357" dataCellStyle="Comma">
      <totalsRowFormula>COUNT(TabReg[ASML])</totalsRowFormula>
    </tableColumn>
    <tableColumn id="180" xr3:uid="{4685999F-AD40-C34D-B18F-9AE018200409}" name="ASML1" totalsRowFunction="custom" dataDxfId="1356" totalsRowDxfId="1355" dataCellStyle="Comma">
      <totalsRowFormula>COUNT(TabReg[ASML1])</totalsRowFormula>
    </tableColumn>
    <tableColumn id="181" xr3:uid="{4FFE09BD-40A8-0846-9183-DCBB01B1E7C1}" name="ASML2" totalsRowFunction="custom" dataDxfId="1354" totalsRowDxfId="1353" dataCellStyle="Comma">
      <totalsRowFormula>COUNT(TabReg[ASML2])</totalsRowFormula>
    </tableColumn>
    <tableColumn id="175" xr3:uid="{C078EC90-D9D7-E54A-B14B-6247837CA7D1}" name="AVGO" dataDxfId="1352" totalsRowDxfId="1351" dataCellStyle="Comma"/>
    <tableColumn id="174" xr3:uid="{4907FD99-23B8-0C46-B85B-0B8F78B3E102}" name="AVGO1" dataDxfId="1350" totalsRowDxfId="1349" dataCellStyle="Comma"/>
    <tableColumn id="173" xr3:uid="{BBB39EE6-6F6F-BE4E-ABA4-34B7CD29B270}" name="AVGO2" dataDxfId="1348" totalsRowDxfId="1347" dataCellStyle="Comma"/>
    <tableColumn id="279" xr3:uid="{7779299B-53A0-B24B-931D-BAB9A59FEE4F}" name="AZN" totalsRowFunction="custom" dataDxfId="1346" totalsRowDxfId="1345" dataCellStyle="Comma">
      <totalsRowFormula>COUNT(TabReg[AZN])</totalsRowFormula>
    </tableColumn>
    <tableColumn id="280" xr3:uid="{E931132A-A088-874A-B802-74955F5A51ED}" name="AZN1" totalsRowFunction="custom" dataDxfId="1344" totalsRowDxfId="1343" dataCellStyle="Comma">
      <totalsRowFormula>COUNT(TabReg[AZN1])</totalsRowFormula>
    </tableColumn>
    <tableColumn id="278" xr3:uid="{2DB0600A-9980-454D-B57C-8E1729380840}" name="AZN2" totalsRowFunction="custom" dataDxfId="1342" totalsRowDxfId="1341" dataCellStyle="Comma">
      <totalsRowFormula>COUNT(TabReg[AZN2])</totalsRowFormula>
    </tableColumn>
    <tableColumn id="290" xr3:uid="{3A948DBC-E554-114B-9856-05ED7CFD7F8C}" name="BLDP" totalsRowFunction="custom" dataDxfId="1340" totalsRowDxfId="1339" dataCellStyle="Comma">
      <totalsRowFormula>COUNT(TabReg[BLDP])</totalsRowFormula>
    </tableColumn>
    <tableColumn id="291" xr3:uid="{EBF4CFFB-7F3F-A648-AA96-9F683DEB40C2}" name="BLDP1" totalsRowFunction="custom" dataDxfId="1338" totalsRowDxfId="1337" dataCellStyle="Comma">
      <totalsRowFormula>COUNT(TabReg[BLDP1])</totalsRowFormula>
    </tableColumn>
    <tableColumn id="292" xr3:uid="{DEF375A3-1AEB-1447-AAA1-210FF59FFAB3}" name="BLDP2" totalsRowFunction="custom" dataDxfId="1336" totalsRowDxfId="1335" dataCellStyle="Comma">
      <totalsRowFormula>COUNT(TabReg[BLDP2])</totalsRowFormula>
    </tableColumn>
    <tableColumn id="281" xr3:uid="{3B2EE5F2-7BA3-4944-9A29-0E94A422A457}" name="BMRA" totalsRowFunction="custom" dataDxfId="1334" totalsRowDxfId="1333" dataCellStyle="Comma">
      <totalsRowFormula>COUNT(TabReg[BMRA])</totalsRowFormula>
    </tableColumn>
    <tableColumn id="282" xr3:uid="{7CAF9C5B-8DD1-DC42-8DE9-44E2726437AF}" name="BMRA1" totalsRowFunction="custom" dataDxfId="1332" totalsRowDxfId="1331" dataCellStyle="Comma">
      <totalsRowFormula>COUNT(TabReg[BMRA1])</totalsRowFormula>
    </tableColumn>
    <tableColumn id="283" xr3:uid="{86EB1738-523E-9446-A1FD-BA96C5EEC9D8}" name="BMRA2" totalsRowFunction="custom" dataDxfId="1330" totalsRowDxfId="1329" dataCellStyle="Comma">
      <totalsRowFormula>COUNT(TabReg[BMRA2])</totalsRowFormula>
    </tableColumn>
    <tableColumn id="17" xr3:uid="{6CE9E4BB-2E28-D048-BEC8-1E8072E45461}" name="C" totalsRowFunction="custom" dataDxfId="1328" totalsRowDxfId="1327" dataCellStyle="Comma">
      <totalsRowFormula>COUNT(TabReg[C])</totalsRowFormula>
    </tableColumn>
    <tableColumn id="18" xr3:uid="{9335FB1F-2111-9347-8BEA-BA672F606FE1}" name="C1" totalsRowFunction="custom" dataDxfId="1326" totalsRowDxfId="1325" dataCellStyle="Comma">
      <totalsRowFormula>COUNT(TabReg[C1])</totalsRowFormula>
    </tableColumn>
    <tableColumn id="19" xr3:uid="{47B8B9DB-56E0-4849-B633-AB8E567BC6A2}" name="C2" totalsRowFunction="custom" dataDxfId="1324" totalsRowDxfId="1323" dataCellStyle="Comma">
      <totalsRowFormula>COUNT(TabReg[C2])</totalsRowFormula>
    </tableColumn>
    <tableColumn id="20" xr3:uid="{66BF6E62-9341-8D45-8C56-4B59337C40DE}" name="CSCO" totalsRowFunction="custom" dataDxfId="1322" totalsRowDxfId="1321" dataCellStyle="Comma">
      <totalsRowFormula>COUNT(TabReg[CSCO])</totalsRowFormula>
    </tableColumn>
    <tableColumn id="21" xr3:uid="{0766B374-52D4-2947-BA01-337368F5998F}" name="CSCO1" totalsRowFunction="custom" dataDxfId="1320" totalsRowDxfId="1319" dataCellStyle="Comma">
      <totalsRowFormula>COUNT(TabReg[CSCO1])</totalsRowFormula>
    </tableColumn>
    <tableColumn id="22" xr3:uid="{9342CC24-A8C2-5B40-86F8-AEAC5372742F}" name="CSCO2" totalsRowFunction="custom" dataDxfId="1318" totalsRowDxfId="1317" dataCellStyle="Comma">
      <totalsRowFormula>COUNT(TabReg[CSCO2])</totalsRowFormula>
    </tableColumn>
    <tableColumn id="23" xr3:uid="{3B6738B7-B322-7B41-9D51-6C47F21F1EC2}" name="CVS" totalsRowFunction="custom" dataDxfId="1316" totalsRowDxfId="1315" dataCellStyle="Comma">
      <totalsRowFormula>COUNT(TabReg[CVS])</totalsRowFormula>
    </tableColumn>
    <tableColumn id="24" xr3:uid="{69FD021F-7252-9E48-A9C1-B58E1E44090C}" name="CVS1" totalsRowFunction="custom" dataDxfId="1314" totalsRowDxfId="1313" dataCellStyle="Comma">
      <totalsRowFormula>COUNT(TabReg[CVS1])</totalsRowFormula>
    </tableColumn>
    <tableColumn id="25" xr3:uid="{1459F42D-6ADD-C642-9895-1BEA61E6EB67}" name="CVS2" totalsRowFunction="custom" dataDxfId="1312" totalsRowDxfId="1311" dataCellStyle="Comma">
      <totalsRowFormula>COUNT(TabReg[CVS2])</totalsRowFormula>
    </tableColumn>
    <tableColumn id="26" xr3:uid="{063E938B-FAE4-744E-9F28-8F39125ADC16}" name="DDD" totalsRowFunction="custom" dataDxfId="1310" totalsRowDxfId="1309">
      <totalsRowFormula>COUNT(TabReg[DDD])</totalsRowFormula>
    </tableColumn>
    <tableColumn id="27" xr3:uid="{1C7D2960-4D7C-3A43-864A-9D2F2207D012}" name="DDD1" totalsRowFunction="custom" dataDxfId="1308" totalsRowDxfId="1307" dataCellStyle="Comma">
      <totalsRowFormula>COUNT(TabReg[DDD1])</totalsRowFormula>
    </tableColumn>
    <tableColumn id="28" xr3:uid="{1BEB1AF9-8C3C-B04C-9A62-E35492C2C4B4}" name="DDD2" totalsRowFunction="custom" dataDxfId="1306" totalsRowDxfId="1305" dataCellStyle="Comma">
      <totalsRowFormula>COUNT(TabReg[DDD2])</totalsRowFormula>
    </tableColumn>
    <tableColumn id="29" xr3:uid="{ABF122A5-B5D9-754E-898C-5A469C089337}" name="DIS" totalsRowFunction="custom" dataDxfId="1304" totalsRowDxfId="1303">
      <totalsRowFormula>COUNT(TabReg[DIS])</totalsRowFormula>
    </tableColumn>
    <tableColumn id="30" xr3:uid="{7C2A5D2F-4040-8040-8346-E75A957CFF74}" name="DIS1" totalsRowFunction="custom" dataDxfId="1302" totalsRowDxfId="1301" dataCellStyle="Comma">
      <totalsRowFormula>COUNT(TabReg[DIS1])</totalsRowFormula>
    </tableColumn>
    <tableColumn id="31" xr3:uid="{3D5AE59B-27C1-0F4D-8490-91E3B001EC18}" name="DIS2" totalsRowFunction="custom" dataDxfId="1300" totalsRowDxfId="1299" dataCellStyle="Comma">
      <totalsRowFormula>COUNT(TabReg[DIS2])</totalsRowFormula>
    </tableColumn>
    <tableColumn id="32" xr3:uid="{D9A01F25-6BC9-2A4C-BE7A-8A095A4F4699}" name="DSY" totalsRowFunction="custom" dataDxfId="1298" totalsRowDxfId="1297">
      <totalsRowFormula>COUNT(TabReg[DSY])</totalsRowFormula>
    </tableColumn>
    <tableColumn id="33" xr3:uid="{345BC183-7AAE-3C47-BE0D-B82379F2CAE1}" name="DSY1" totalsRowFunction="custom" dataDxfId="1296" totalsRowDxfId="1295" dataCellStyle="Comma">
      <totalsRowFormula>COUNT(TabReg[DSY1])</totalsRowFormula>
    </tableColumn>
    <tableColumn id="34" xr3:uid="{25CD66A3-4CD6-E742-B453-45470819DC16}" name="DSY2" totalsRowFunction="custom" dataDxfId="1294" totalsRowDxfId="1293" dataCellStyle="Comma">
      <totalsRowFormula>COUNT(TabReg[DSY2])</totalsRowFormula>
    </tableColumn>
    <tableColumn id="35" xr3:uid="{D83AFDCF-42BD-564D-9427-1D78C6682439}" name="DVA" totalsRowFunction="custom" dataDxfId="1292" totalsRowDxfId="1291">
      <totalsRowFormula>COUNT(TabReg[DVA])</totalsRowFormula>
    </tableColumn>
    <tableColumn id="36" xr3:uid="{C061890B-B5E9-6841-8038-940695CA8CF1}" name="DVA1" totalsRowFunction="custom" dataDxfId="1290" totalsRowDxfId="1289" dataCellStyle="Comma">
      <totalsRowFormula>COUNT(TabReg[DVA1])</totalsRowFormula>
    </tableColumn>
    <tableColumn id="37" xr3:uid="{BDA00239-5392-EB47-861F-6CC9421DE4C2}" name="DVA2" totalsRowFunction="custom" dataDxfId="1288" totalsRowDxfId="1287" dataCellStyle="Comma">
      <totalsRowFormula>COUNT(TabReg[DVA2])</totalsRowFormula>
    </tableColumn>
    <tableColumn id="38" xr3:uid="{EAB6CDF7-DCC5-3947-82F8-B20B36657868}" name="DXC" totalsRowFunction="custom" dataDxfId="1286" totalsRowDxfId="1285">
      <totalsRowFormula>COUNT(TabReg[DXC])</totalsRowFormula>
    </tableColumn>
    <tableColumn id="39" xr3:uid="{70295CBC-7FD4-C542-97C0-076D2DBB8560}" name="DXC1" totalsRowFunction="custom" dataDxfId="1284" totalsRowDxfId="1283" dataCellStyle="Comma">
      <totalsRowFormula>COUNT(TabReg[DXC1])</totalsRowFormula>
    </tableColumn>
    <tableColumn id="40" xr3:uid="{FD803DE8-0F34-1F4F-B4CA-C142B6124013}" name="DXC2" totalsRowFunction="custom" dataDxfId="1282" totalsRowDxfId="1281" dataCellStyle="Comma">
      <totalsRowFormula>COUNT(TabReg[DXC2])</totalsRowFormula>
    </tableColumn>
    <tableColumn id="41" xr3:uid="{883A6563-5D30-3647-A642-03C1D2587F09}" name="EOAN" totalsRowFunction="custom" dataDxfId="1280" totalsRowDxfId="1279">
      <totalsRowFormula>COUNT(TabReg[EOAN])</totalsRowFormula>
    </tableColumn>
    <tableColumn id="42" xr3:uid="{DA9DDAAE-CAB2-6143-95E1-1416DF9923B1}" name="EOAN1" totalsRowFunction="custom" dataDxfId="1278" totalsRowDxfId="1277" dataCellStyle="Comma">
      <totalsRowFormula>COUNT(TabReg[EOAN1])</totalsRowFormula>
    </tableColumn>
    <tableColumn id="43" xr3:uid="{313E3763-ACA8-6547-84D3-3905F0AEFB64}" name="EOAN2" totalsRowFunction="custom" dataDxfId="1276" totalsRowDxfId="1275" dataCellStyle="Comma">
      <totalsRowFormula>COUNT(TabReg[EOAN2])</totalsRowFormula>
    </tableColumn>
    <tableColumn id="44" xr3:uid="{DE961D13-327B-554F-B7CF-C73C3AEF6BBD}" name="EPIX" totalsRowFunction="custom" dataDxfId="1274" totalsRowDxfId="1273">
      <totalsRowFormula>COUNT(TabReg[EPIX])</totalsRowFormula>
    </tableColumn>
    <tableColumn id="45" xr3:uid="{6C6AE2AF-0CFC-044D-B320-623532E243D7}" name="EPIX1" totalsRowFunction="custom" dataDxfId="1272" totalsRowDxfId="1271" dataCellStyle="Comma">
      <totalsRowFormula>COUNT(TabReg[EPIX1])</totalsRowFormula>
    </tableColumn>
    <tableColumn id="46" xr3:uid="{A85AEFAE-0C46-2342-A2A0-03C1C03F2383}" name="EPIX2" totalsRowFunction="custom" dataDxfId="1270" totalsRowDxfId="1269" dataCellStyle="Comma">
      <totalsRowFormula>COUNT(TabReg[EPIX2])</totalsRowFormula>
    </tableColumn>
    <tableColumn id="47" xr3:uid="{1034943A-F82F-A944-8F7E-1E4A894BCAF1}" name="GM" totalsRowFunction="custom" dataDxfId="1268" totalsRowDxfId="1267">
      <totalsRowFormula>COUNT(TabReg[GM])</totalsRowFormula>
    </tableColumn>
    <tableColumn id="48" xr3:uid="{51DE31AC-13D3-CD46-B5FE-5DA3D9A31D71}" name="GM1" totalsRowFunction="custom" dataDxfId="1266" totalsRowDxfId="1265" dataCellStyle="Comma">
      <totalsRowFormula>COUNT(TabReg[GM1])</totalsRowFormula>
    </tableColumn>
    <tableColumn id="49" xr3:uid="{574522F8-74D0-F04C-86A4-21E8FF51BAF4}" name="GM2" totalsRowFunction="custom" dataDxfId="1264" totalsRowDxfId="1263" dataCellStyle="Comma">
      <totalsRowFormula>COUNT(TabReg[GM2])</totalsRowFormula>
    </tableColumn>
    <tableColumn id="50" xr3:uid="{F1F680B7-6221-4B43-9EEC-42EADC72535E}" name="HPE" totalsRowFunction="custom" dataDxfId="1262" totalsRowDxfId="1261">
      <totalsRowFormula>COUNT(TabReg[HPE])</totalsRowFormula>
    </tableColumn>
    <tableColumn id="51" xr3:uid="{A794E8F2-2178-E945-A531-C9DEAC87C0CF}" name="HPE1" totalsRowFunction="custom" dataDxfId="1260" totalsRowDxfId="1259" dataCellStyle="Comma">
      <totalsRowFormula>COUNT(TabReg[HPE1])</totalsRowFormula>
    </tableColumn>
    <tableColumn id="52" xr3:uid="{74900C8F-AF95-EF44-8790-FF51D716DB9C}" name="HPE2" totalsRowFunction="custom" dataDxfId="1258" totalsRowDxfId="1257" dataCellStyle="Comma">
      <totalsRowFormula>COUNT(TabReg[HPE2])</totalsRowFormula>
    </tableColumn>
    <tableColumn id="53" xr3:uid="{9E4C7D64-DCA6-8149-AAA3-41838EBEED0F}" name="HPQ" totalsRowFunction="custom" dataDxfId="1256" totalsRowDxfId="1255">
      <totalsRowFormula>COUNT(TabReg[HPQ])</totalsRowFormula>
    </tableColumn>
    <tableColumn id="54" xr3:uid="{3322AA64-E865-144B-80CB-759A3279236E}" name="HPQ1" totalsRowFunction="custom" dataDxfId="1254" totalsRowDxfId="1253" dataCellStyle="Comma">
      <totalsRowFormula>COUNT(TabReg[HPQ1])</totalsRowFormula>
    </tableColumn>
    <tableColumn id="55" xr3:uid="{94334F80-D1DF-404A-B3D8-EF0FA062E0F9}" name="HPQ2" totalsRowFunction="custom" dataDxfId="1252" totalsRowDxfId="1251" dataCellStyle="Comma">
      <totalsRowFormula>COUNT(TabReg[HPQ2])</totalsRowFormula>
    </tableColumn>
    <tableColumn id="284" xr3:uid="{B51A72A3-F030-9F40-92FE-BF02BB2A5D59}" name="IAG" totalsRowFunction="custom" dataDxfId="1250" totalsRowDxfId="1249">
      <totalsRowFormula>COUNT(TabReg[IAG])</totalsRowFormula>
    </tableColumn>
    <tableColumn id="285" xr3:uid="{CEA5A13B-039C-444A-8A33-BDB427ADC196}" name="IAG1" totalsRowFunction="custom" dataDxfId="1248" totalsRowDxfId="1247" dataCellStyle="Comma">
      <totalsRowFormula>COUNT(TabReg[IAG1])</totalsRowFormula>
    </tableColumn>
    <tableColumn id="286" xr3:uid="{2E05A3E4-533D-F646-8DBA-FDCA0D064519}" name="IAG2" totalsRowFunction="custom" dataDxfId="1246" totalsRowDxfId="1245" dataCellStyle="Comma">
      <totalsRowFormula>COUNT(TabReg[IAG2])</totalsRowFormula>
    </tableColumn>
    <tableColumn id="56" xr3:uid="{6F12E7F1-8AF1-1846-AF5B-31B60034E0D7}" name="KR" totalsRowFunction="custom" dataDxfId="1244" totalsRowDxfId="1243">
      <totalsRowFormula>COUNT(TabReg[KR])</totalsRowFormula>
    </tableColumn>
    <tableColumn id="57" xr3:uid="{5BEC4E93-146D-7245-8EDE-093807DDEE21}" name="KR1" totalsRowFunction="custom" dataDxfId="1242" totalsRowDxfId="1241" dataCellStyle="Comma">
      <totalsRowFormula>COUNT(TabReg[KR1])</totalsRowFormula>
    </tableColumn>
    <tableColumn id="58" xr3:uid="{717517AC-D851-A04B-9414-52C005882D84}" name="KR2" totalsRowFunction="custom" dataDxfId="1240" totalsRowDxfId="1239" dataCellStyle="Comma">
      <totalsRowFormula>COUNT(TabReg[KR2])</totalsRowFormula>
    </tableColumn>
    <tableColumn id="59" xr3:uid="{D021B57D-07DD-E947-B756-65EFC624E3F3}" name="LNSR" totalsRowFunction="custom" dataDxfId="1238" totalsRowDxfId="1237">
      <totalsRowFormula>COUNT(TabReg[LNSR])</totalsRowFormula>
    </tableColumn>
    <tableColumn id="60" xr3:uid="{66BE0145-D170-4D49-8DAC-3456350BE6D9}" name="LNSR1" totalsRowFunction="custom" dataDxfId="1236" totalsRowDxfId="1235" dataCellStyle="Comma">
      <totalsRowFormula>COUNT(TabReg[LNSR1])</totalsRowFormula>
    </tableColumn>
    <tableColumn id="61" xr3:uid="{7AD7594E-BCF1-7E48-8728-03B525428275}" name="LNSR2" totalsRowFunction="custom" dataDxfId="1234" totalsRowDxfId="1233" dataCellStyle="Comma">
      <totalsRowFormula>COUNT(TabReg[LNSR2])</totalsRowFormula>
    </tableColumn>
    <tableColumn id="62" xr3:uid="{43377BA1-60BD-EE40-894C-18287FDB1B16}" name="LUMN" totalsRowFunction="custom" dataDxfId="1232" totalsRowDxfId="1231">
      <totalsRowFormula>COUNT(TabReg[LUMN])</totalsRowFormula>
    </tableColumn>
    <tableColumn id="63" xr3:uid="{AD8D0B7B-217E-934B-A293-F7C63FBED141}" name="LUMN1" totalsRowFunction="custom" dataDxfId="1230" totalsRowDxfId="1229" dataCellStyle="Comma">
      <totalsRowFormula>COUNT(TabReg[LUMN1])</totalsRowFormula>
    </tableColumn>
    <tableColumn id="64" xr3:uid="{A870C284-0CA4-AE40-9EE1-3AB29BC5D4F3}" name="LUMN2" totalsRowFunction="custom" dataDxfId="1228" totalsRowDxfId="1227" dataCellStyle="Comma">
      <totalsRowFormula>COUNT(TabReg[LUMN2])</totalsRowFormula>
    </tableColumn>
    <tableColumn id="65" xr3:uid="{E275E28D-3757-9044-A4A4-D99F5D566005}" name="MRNA" totalsRowFunction="custom" dataDxfId="1226" totalsRowDxfId="1225">
      <totalsRowFormula>COUNT(TabReg[MRNA])</totalsRowFormula>
    </tableColumn>
    <tableColumn id="66" xr3:uid="{6AD855FC-9BBF-C445-985D-CA7838F8FD2D}" name="MRNA1" totalsRowFunction="custom" dataDxfId="1224" totalsRowDxfId="1223" dataCellStyle="Comma">
      <totalsRowFormula>COUNT(TabReg[MRNA1])</totalsRowFormula>
    </tableColumn>
    <tableColumn id="67" xr3:uid="{3068B037-08B2-D448-9549-6A149801D195}" name="MRNA2" totalsRowFunction="custom" dataDxfId="1222" totalsRowDxfId="1221" dataCellStyle="Comma">
      <totalsRowFormula>COUNT(TabReg[MRNA2])</totalsRowFormula>
    </tableColumn>
    <tableColumn id="68" xr3:uid="{49549E71-6C51-4A4C-B492-0153C310953B}" name="MSFT" totalsRowFunction="custom" dataDxfId="1220" totalsRowDxfId="1219">
      <totalsRowFormula>COUNT(TabReg[MSFT])</totalsRowFormula>
    </tableColumn>
    <tableColumn id="69" xr3:uid="{8DF195BA-794A-0A40-8685-FAE62977224A}" name="MSFT1" totalsRowFunction="custom" dataDxfId="1218" totalsRowDxfId="1217" dataCellStyle="Comma">
      <totalsRowFormula>COUNT(TabReg[MSFT1])</totalsRowFormula>
    </tableColumn>
    <tableColumn id="70" xr3:uid="{E7B650AE-A343-1F4D-B438-EAF54796762D}" name="MSFT2" totalsRowFunction="custom" dataDxfId="1216" totalsRowDxfId="1215" dataCellStyle="Comma">
      <totalsRowFormula>COUNT(TabReg[MSFT2])</totalsRowFormula>
    </tableColumn>
    <tableColumn id="71" xr3:uid="{4607C2AF-82CF-2243-A48D-A39169CBA57A}" name="NEE" totalsRowFunction="custom" dataDxfId="1214" totalsRowDxfId="1213">
      <totalsRowFormula>COUNT(TabReg[NEE])</totalsRowFormula>
    </tableColumn>
    <tableColumn id="72" xr3:uid="{5D4EB61A-7397-9E47-8536-E31BAAA24355}" name="NEE1" totalsRowFunction="custom" dataDxfId="1212" totalsRowDxfId="1211" dataCellStyle="Comma">
      <totalsRowFormula>COUNT(TabReg[NEE1])</totalsRowFormula>
    </tableColumn>
    <tableColumn id="73" xr3:uid="{B6AABF8F-F7D4-BB41-AAD4-AFCC47585858}" name="NEE2" totalsRowFunction="custom" dataDxfId="1210" totalsRowDxfId="1209" dataCellStyle="Comma">
      <totalsRowFormula>COUNT(TabReg[NEE2])</totalsRowFormula>
    </tableColumn>
    <tableColumn id="74" xr3:uid="{52882C01-3B38-C744-BF22-E05F01808FEE}" name="NEM" totalsRowFunction="custom" dataDxfId="1208" totalsRowDxfId="1207">
      <totalsRowFormula>COUNT(TabReg[NEM])</totalsRowFormula>
    </tableColumn>
    <tableColumn id="75" xr3:uid="{24398854-C209-6C4B-9B66-920EB4C8B544}" name="NEM1" totalsRowFunction="custom" dataDxfId="1206" totalsRowDxfId="1205" dataCellStyle="Comma">
      <totalsRowFormula>COUNT(TabReg[NEM1])</totalsRowFormula>
    </tableColumn>
    <tableColumn id="76" xr3:uid="{3597365E-AEEA-6047-A23F-2848214BCC19}" name="NEM2" totalsRowFunction="custom" dataDxfId="1204" totalsRowDxfId="1203" dataCellStyle="Comma">
      <totalsRowFormula>COUNT(TabReg[NEM2])</totalsRowFormula>
    </tableColumn>
    <tableColumn id="77" xr3:uid="{4BD1BB60-3B6E-B547-9FE0-2B384EFF0910}" name="NFLX" totalsRowFunction="custom" dataDxfId="1202" totalsRowDxfId="1201">
      <totalsRowFormula>COUNT(TabReg[NFLX])</totalsRowFormula>
    </tableColumn>
    <tableColumn id="78" xr3:uid="{CAF9351A-3A29-0D44-B1EE-3271D7689AFA}" name="NFLX1" totalsRowFunction="custom" dataDxfId="1200" totalsRowDxfId="1199" dataCellStyle="Comma">
      <totalsRowFormula>COUNT(TabReg[NFLX1])</totalsRowFormula>
    </tableColumn>
    <tableColumn id="79" xr3:uid="{0510658C-3791-4748-BD84-8C9883EE2448}" name="NFLX2" totalsRowFunction="custom" dataDxfId="1198" totalsRowDxfId="1197" dataCellStyle="Comma">
      <totalsRowFormula>COUNT(TabReg[NFLX2])</totalsRowFormula>
    </tableColumn>
    <tableColumn id="80" xr3:uid="{442BD350-9075-D64B-8A88-64DCBE51B30A}" name="NOTE" totalsRowFunction="custom" dataDxfId="1196" totalsRowDxfId="1195">
      <totalsRowFormula>COUNT(TabReg[NOTE])</totalsRowFormula>
    </tableColumn>
    <tableColumn id="81" xr3:uid="{6DE1FDFB-FFF4-AC4C-AF68-9F7F0CF3B558}" name="NOTE1" totalsRowFunction="custom" dataDxfId="1194" totalsRowDxfId="1193" dataCellStyle="Comma">
      <totalsRowFormula>COUNT(TabReg[NOTE1])</totalsRowFormula>
    </tableColumn>
    <tableColumn id="82" xr3:uid="{DE24F44E-8FA3-B048-82A8-E77F97825CA4}" name="NOTE2" totalsRowFunction="custom" dataDxfId="1192" totalsRowDxfId="1191" dataCellStyle="Comma">
      <totalsRowFormula>COUNT(TabReg[NOTE2])</totalsRowFormula>
    </tableColumn>
    <tableColumn id="83" xr3:uid="{9F6B78F2-DBBC-1A46-A62D-57E0901EF550}" name="PAAS" totalsRowFunction="custom" dataDxfId="1190" totalsRowDxfId="1189">
      <totalsRowFormula>COUNT(TabReg[PAAS])</totalsRowFormula>
    </tableColumn>
    <tableColumn id="84" xr3:uid="{0C908565-3389-EC4E-A6AB-52D31DD4689D}" name="PAAS1" totalsRowFunction="custom" dataDxfId="1188" totalsRowDxfId="1187" dataCellStyle="Comma">
      <totalsRowFormula>COUNT(TabReg[PAAS1])</totalsRowFormula>
    </tableColumn>
    <tableColumn id="85" xr3:uid="{2B626666-3F4C-DA47-9281-BDA5E66093CD}" name="PAAS2" totalsRowFunction="custom" dataDxfId="1186" totalsRowDxfId="1185" dataCellStyle="Comma">
      <totalsRowFormula>COUNT(TabReg[PAAS2])</totalsRowFormula>
    </tableColumn>
    <tableColumn id="86" xr3:uid="{F4E3303B-0E98-4C4C-AE0B-E64934CC95A6}" name="PROF" totalsRowFunction="custom" dataDxfId="1184" totalsRowDxfId="1183">
      <totalsRowFormula>COUNT(TabReg[PROF])</totalsRowFormula>
    </tableColumn>
    <tableColumn id="87" xr3:uid="{DE03D08F-9F3C-D449-A3B5-8748D00BFE01}" name="PROF1" totalsRowFunction="custom" dataDxfId="1182" totalsRowDxfId="1181" dataCellStyle="Comma">
      <totalsRowFormula>COUNT(TabReg[PROF1])</totalsRowFormula>
    </tableColumn>
    <tableColumn id="88" xr3:uid="{3569531C-2EA3-5B48-A18A-1DCF94D98401}" name="PROF2" totalsRowFunction="custom" dataDxfId="1180" totalsRowDxfId="1179" dataCellStyle="Comma">
      <totalsRowFormula>COUNT(TabReg[PROF2])</totalsRowFormula>
    </tableColumn>
    <tableColumn id="89" xr3:uid="{75113B95-6171-E140-BB9D-63439FA70099}" name="POET" totalsRowFunction="custom" dataDxfId="1178" totalsRowDxfId="1177">
      <totalsRowFormula>COUNT(TabReg[POET])</totalsRowFormula>
    </tableColumn>
    <tableColumn id="90" xr3:uid="{83152C3B-8CD6-B143-9EB4-93109EC82770}" name="POET1" totalsRowFunction="custom" dataDxfId="1176" totalsRowDxfId="1175" dataCellStyle="Comma">
      <totalsRowFormula>COUNT(TabReg[POET1])</totalsRowFormula>
    </tableColumn>
    <tableColumn id="91" xr3:uid="{3E7BB71D-2688-9E47-A610-5D73CD9AA787}" name="POET2" totalsRowFunction="custom" dataDxfId="1174" totalsRowDxfId="1173" dataCellStyle="Comma">
      <totalsRowFormula>COUNT(TabReg[POET2])</totalsRowFormula>
    </tableColumn>
    <tableColumn id="92" xr3:uid="{CE5B0666-9EC2-054D-AFC3-C980131F81B8}" name="PW" totalsRowFunction="custom" dataDxfId="1172" totalsRowDxfId="1171">
      <totalsRowFormula>COUNT(TabReg[PW])</totalsRowFormula>
    </tableColumn>
    <tableColumn id="93" xr3:uid="{0E0F1866-7C84-6648-9FED-367E22A8B639}" name="PW1" totalsRowFunction="custom" dataDxfId="1170" totalsRowDxfId="1169" dataCellStyle="Comma">
      <totalsRowFormula>COUNT(TabReg[PW1])</totalsRowFormula>
    </tableColumn>
    <tableColumn id="94" xr3:uid="{73BAB3D4-5375-1246-9E6A-2A0B4994EC3C}" name="PW2" totalsRowFunction="custom" dataDxfId="1168" totalsRowDxfId="1167" dataCellStyle="Comma">
      <totalsRowFormula>COUNT(TabReg[PW2])</totalsRowFormula>
    </tableColumn>
    <tableColumn id="95" xr3:uid="{62667957-E2C9-3A47-8AEA-85E8FB7BF330}" name="RIGL" totalsRowFunction="custom" dataDxfId="1166" totalsRowDxfId="1165">
      <totalsRowFormula>COUNT(TabReg[RIGL])</totalsRowFormula>
    </tableColumn>
    <tableColumn id="96" xr3:uid="{8F4D9886-9333-4148-B2C7-5C81493AE4BD}" name="RIGL1" totalsRowFunction="custom" dataDxfId="1164" totalsRowDxfId="1163" dataCellStyle="Comma">
      <totalsRowFormula>COUNT(TabReg[RIGL1])</totalsRowFormula>
    </tableColumn>
    <tableColumn id="97" xr3:uid="{680094D7-06F8-524C-BA76-746BA0D1D205}" name="RIGL2" totalsRowFunction="custom" dataDxfId="1162" totalsRowDxfId="1161" dataCellStyle="Comma">
      <totalsRowFormula>COUNT(TabReg[RIGL2])</totalsRowFormula>
    </tableColumn>
    <tableColumn id="98" xr3:uid="{D886DD55-C3E7-634E-8462-B3FD2D56434A}" name="RWE" totalsRowFunction="custom" dataDxfId="1160" totalsRowDxfId="1159">
      <totalsRowFormula>COUNT(TabReg[RWE])</totalsRowFormula>
    </tableColumn>
    <tableColumn id="99" xr3:uid="{0A4DDF35-0DBD-7440-B2AE-2C35740FECF2}" name="RWE1" totalsRowFunction="custom" dataDxfId="1158" totalsRowDxfId="1157" dataCellStyle="Comma">
      <totalsRowFormula>COUNT(TabReg[RWE1])</totalsRowFormula>
    </tableColumn>
    <tableColumn id="100" xr3:uid="{6A68AE46-0376-A040-8013-9EF9BEF52B13}" name="RWE2" totalsRowFunction="custom" dataDxfId="1156" totalsRowDxfId="1155" dataCellStyle="Comma">
      <totalsRowFormula>COUNT(TabReg[RWE2])</totalsRowFormula>
    </tableColumn>
    <tableColumn id="185" xr3:uid="{DE00E83F-2920-024F-B423-12D5FAE83151}" name="SAP" totalsRowFunction="custom" dataDxfId="1154" totalsRowDxfId="1153">
      <totalsRowFormula>COUNT(TabReg[SAP])</totalsRowFormula>
    </tableColumn>
    <tableColumn id="186" xr3:uid="{3F10E388-7AB3-E043-80E3-1DED6BD713F1}" name="SAP1" totalsRowFunction="custom" dataDxfId="1152" totalsRowDxfId="1151" dataCellStyle="Comma">
      <totalsRowFormula>COUNT(TabReg[SAP1])</totalsRowFormula>
    </tableColumn>
    <tableColumn id="187" xr3:uid="{E8D0D7A6-83F5-A64B-96E4-6B51993BBD00}" name="SAP2" totalsRowFunction="custom" dataDxfId="1150" totalsRowDxfId="1149">
      <totalsRowFormula>COUNT(TabReg[SAP2])</totalsRowFormula>
    </tableColumn>
    <tableColumn id="188" xr3:uid="{C8262558-0B27-4A44-BF9A-0898AD5C5095}" name="SHECY" totalsRowFunction="custom" dataDxfId="1148" totalsRowDxfId="1147">
      <totalsRowFormula>COUNT(TabReg[SHECY])</totalsRowFormula>
    </tableColumn>
    <tableColumn id="189" xr3:uid="{2C6CC351-BB1F-AA4A-860C-3C1D2C50A4FC}" name="SHECY1" totalsRowFunction="custom" dataDxfId="1146" totalsRowDxfId="1145" dataCellStyle="Comma">
      <totalsRowFormula>COUNT(TabReg[SHECY1])</totalsRowFormula>
    </tableColumn>
    <tableColumn id="190" xr3:uid="{98889618-47DC-2149-B0F2-6618201B43B0}" name="SHECY2" totalsRowFunction="custom" dataDxfId="1144" totalsRowDxfId="1143">
      <totalsRowFormula>COUNT(TabReg[SHECY2])</totalsRowFormula>
    </tableColumn>
    <tableColumn id="101" xr3:uid="{521C5459-0F23-5347-9B6A-EDC0A3E3BC25}" name="SSYS" totalsRowFunction="custom" dataDxfId="1142" totalsRowDxfId="1141">
      <totalsRowFormula>COUNT(TabReg[SSYS])</totalsRowFormula>
    </tableColumn>
    <tableColumn id="102" xr3:uid="{6FB8136B-6631-984D-9D04-2A5E527DD95D}" name="SSYS1" totalsRowFunction="custom" dataDxfId="1140" totalsRowDxfId="1139" dataCellStyle="Comma">
      <totalsRowFormula>COUNT(TabReg[SSYS1])</totalsRowFormula>
    </tableColumn>
    <tableColumn id="103" xr3:uid="{913E48BF-4356-634C-ADC3-621D146F4A17}" name="SSYS2" totalsRowFunction="custom" dataDxfId="1138" totalsRowDxfId="1137" dataCellStyle="Comma">
      <totalsRowFormula>COUNT(TabReg[SSYS2])</totalsRowFormula>
    </tableColumn>
    <tableColumn id="104" xr3:uid="{2456B9BF-4D21-D54C-A793-6973577C34DE}" name="TSLA" totalsRowFunction="custom" dataDxfId="1136" totalsRowDxfId="1135">
      <totalsRowFormula>COUNT(TabReg[TSLA])</totalsRowFormula>
    </tableColumn>
    <tableColumn id="105" xr3:uid="{B8E3C6CF-2410-9448-99CC-EA470C412ADB}" name="TSLA1" totalsRowFunction="custom" dataDxfId="1134" totalsRowDxfId="1133" dataCellStyle="Comma">
      <totalsRowFormula>COUNT(TabReg[TSLA1])</totalsRowFormula>
    </tableColumn>
    <tableColumn id="106" xr3:uid="{6DABB6B4-568C-E242-BA9A-66B1823D06FB}" name="TSLA2" totalsRowFunction="custom" dataDxfId="1132" totalsRowDxfId="1131" dataCellStyle="Comma">
      <totalsRowFormula>COUNT(TabReg[TSLA2])</totalsRowFormula>
    </tableColumn>
    <tableColumn id="107" xr3:uid="{7B18E74E-1F96-DE49-A713-7E8C042E7F88}" name="TSM" totalsRowFunction="custom" dataDxfId="1130" totalsRowDxfId="1129">
      <totalsRowFormula>COUNT(TabReg[TSM])</totalsRowFormula>
    </tableColumn>
    <tableColumn id="108" xr3:uid="{D12190D1-9044-9141-ADD8-0871FA1688C0}" name="TSM1" totalsRowFunction="custom" dataDxfId="1128" totalsRowDxfId="1127" dataCellStyle="Comma">
      <totalsRowFormula>COUNT(TabReg[TSM1])</totalsRowFormula>
    </tableColumn>
    <tableColumn id="109" xr3:uid="{1B66B6A6-B718-8F42-98E0-CD76F0D5A829}" name="TSM2" totalsRowFunction="custom" dataDxfId="1126" totalsRowDxfId="1125" dataCellStyle="Comma">
      <totalsRowFormula>COUNT(TabReg[TSM2])</totalsRowFormula>
    </tableColumn>
    <tableColumn id="110" xr3:uid="{1A945ACE-273D-734A-8C83-77BB5E8319BD}" name="UN0" totalsRowFunction="custom" dataDxfId="1124" totalsRowDxfId="1123">
      <totalsRowFormula>COUNT(TabReg[UN0])</totalsRowFormula>
    </tableColumn>
    <tableColumn id="111" xr3:uid="{3DA9E56D-F97D-F74D-9B25-778FFC4532B6}" name="UN01" totalsRowFunction="custom" dataDxfId="1122" totalsRowDxfId="1121" dataCellStyle="Comma">
      <totalsRowFormula>COUNT(TabReg[UN01])</totalsRowFormula>
    </tableColumn>
    <tableColumn id="112" xr3:uid="{D83DF0EE-56BB-804E-88D8-BCDE3B64BC7E}" name="UN02" totalsRowFunction="custom" dataDxfId="1120" totalsRowDxfId="1119" dataCellStyle="Comma">
      <totalsRowFormula>COUNT(TabReg[UN02])</totalsRowFormula>
    </tableColumn>
    <tableColumn id="113" xr3:uid="{AB6DA1FE-83BC-8C44-AE28-39191AE0A338}" name="UNIT" totalsRowFunction="custom" dataDxfId="1118" totalsRowDxfId="1117">
      <totalsRowFormula>COUNT(TabReg[UNIT])</totalsRowFormula>
    </tableColumn>
    <tableColumn id="114" xr3:uid="{C4F3FB31-D6F1-2447-8736-7372F6D4C91C}" name="UNIT1" totalsRowFunction="custom" dataDxfId="1116" totalsRowDxfId="1115" dataCellStyle="Comma">
      <totalsRowFormula>COUNT(TabReg[UNIT1])</totalsRowFormula>
    </tableColumn>
    <tableColumn id="115" xr3:uid="{AB5F6294-8139-4A49-8631-32C384FB1DBC}" name="UNIT2" totalsRowFunction="custom" dataDxfId="1114" totalsRowDxfId="1113" dataCellStyle="Comma">
      <totalsRowFormula>COUNT(TabReg[UNIT2])</totalsRowFormula>
    </tableColumn>
    <tableColumn id="191" xr3:uid="{AD95F93D-62BB-8646-881A-FDCF1F4203E3}" name="Free" totalsRowFunction="custom" dataDxfId="1112" totalsRowDxfId="1111">
      <totalsRowFormula>COUNT(TabReg[Free])</totalsRowFormula>
    </tableColumn>
    <tableColumn id="192" xr3:uid="{751C8CA5-9FC6-6144-8379-1FF0AC9B4A7C}" name="Free1" totalsRowFunction="custom" dataDxfId="1110" totalsRowDxfId="1109" dataCellStyle="Comma">
      <totalsRowFormula>COUNT(TabReg[Free1])</totalsRowFormula>
    </tableColumn>
    <tableColumn id="193" xr3:uid="{37F82F33-F30B-EA48-B816-29C8A5F9F7B9}" name="Free2" totalsRowFunction="custom" dataDxfId="1108" totalsRowDxfId="1107">
      <totalsRowFormula>COUNT(TabReg[Free2])</totalsRowFormula>
    </tableColumn>
    <tableColumn id="233" xr3:uid="{5C4BF384-1740-CB49-8025-B346D90C0917}" name="VLVLY" totalsRowFunction="custom" dataDxfId="1106" totalsRowDxfId="1105">
      <totalsRowFormula>COUNT(TabReg[VLVLY])</totalsRowFormula>
    </tableColumn>
    <tableColumn id="234" xr3:uid="{6B24C139-13D4-CD4F-AA1F-A361E6F76F4F}" name="VLVLY1" totalsRowFunction="custom" dataDxfId="1104" totalsRowDxfId="1103" dataCellStyle="Comma">
      <totalsRowFormula>COUNT(TabReg[VLVLY1])</totalsRowFormula>
    </tableColumn>
    <tableColumn id="235" xr3:uid="{12493D9D-4297-CF46-B66F-1559E8FB14BE}" name="VLVLY2" totalsRowFunction="custom" dataDxfId="1102" totalsRowDxfId="1101">
      <totalsRowFormula>COUNT(TabReg[VLVLY2])</totalsRowFormula>
    </tableColumn>
    <tableColumn id="236" xr3:uid="{7E0EDE3A-36BF-2B41-B80B-CC97CAEA7DE6}" name="VONN" totalsRowFunction="custom" dataDxfId="1100" totalsRowDxfId="1099">
      <totalsRowFormula>COUNT(TabReg[VONN])</totalsRowFormula>
    </tableColumn>
    <tableColumn id="237" xr3:uid="{8B33F160-B82A-B345-A971-DA3D869687B4}" name="VONN1" totalsRowFunction="custom" dataDxfId="1098" totalsRowDxfId="1097" dataCellStyle="Comma">
      <totalsRowFormula>COUNT(TabReg[VONN1])</totalsRowFormula>
    </tableColumn>
    <tableColumn id="238" xr3:uid="{8182C875-990C-F64B-9F13-C9023F898A5D}" name="VONN2" totalsRowFunction="custom" dataDxfId="1096" totalsRowDxfId="1095" dataCellStyle="Comma">
      <totalsRowFormula>COUNT(TabReg[VONN2])</totalsRowFormula>
    </tableColumn>
    <tableColumn id="116" xr3:uid="{EAFA0E97-DD26-2746-8568-280408AB6E0E}" name="VTRS" totalsRowFunction="custom" dataDxfId="1094" totalsRowDxfId="1093">
      <totalsRowFormula>COUNT(TabReg[VTRS])</totalsRowFormula>
    </tableColumn>
    <tableColumn id="117" xr3:uid="{F4925C9A-0EA1-854B-9D01-DD31D1925353}" name="VTRS1" totalsRowFunction="custom" dataDxfId="1092" totalsRowDxfId="1091" dataCellStyle="Comma">
      <totalsRowFormula>COUNT(TabReg[VTRS1])</totalsRowFormula>
    </tableColumn>
    <tableColumn id="118" xr3:uid="{FDD4CF08-9B2E-2740-B044-F3F004164CAB}" name="VTRS2" totalsRowFunction="custom" dataDxfId="1090" totalsRowDxfId="1089" dataCellStyle="Comma">
      <totalsRowFormula>COUNT(TabReg[VTRS2])</totalsRowFormula>
    </tableColumn>
    <tableColumn id="119" xr3:uid="{FC06DF00-5468-524C-8EDC-8EEF915AA6FD}" name="WBA" totalsRowFunction="custom" dataDxfId="1088" totalsRowDxfId="1087">
      <totalsRowFormula>COUNT(TabReg[WBA])</totalsRowFormula>
    </tableColumn>
    <tableColumn id="120" xr3:uid="{D5C360EB-B8B1-A741-B40E-C08576251C87}" name="WBA1" totalsRowFunction="custom" dataDxfId="1086" totalsRowDxfId="1085" dataCellStyle="Comma">
      <totalsRowFormula>COUNT(TabReg[WBA1])</totalsRowFormula>
    </tableColumn>
    <tableColumn id="121" xr3:uid="{39CEDF0B-E2E3-E448-9E9B-A947524DF97B}" name="WBA2" totalsRowFunction="custom" dataDxfId="1084" totalsRowDxfId="1083" dataCellStyle="Comma">
      <totalsRowFormula>COUNT(TabReg[WBA2])</totalsRowFormula>
    </tableColumn>
    <tableColumn id="122" xr3:uid="{51611324-95E2-7A49-B281-67A46FC8D674}" name="XOM" totalsRowFunction="custom" dataDxfId="1082" totalsRowDxfId="1081">
      <totalsRowFormula>COUNT(TabReg[XOM])</totalsRowFormula>
    </tableColumn>
    <tableColumn id="123" xr3:uid="{13422B36-F155-B840-B2CF-B05574FDF663}" name="XOM1" totalsRowFunction="custom" dataDxfId="1080" totalsRowDxfId="1079" dataCellStyle="Comma">
      <totalsRowFormula>COUNT(TabReg[XOM1])</totalsRowFormula>
    </tableColumn>
    <tableColumn id="124" xr3:uid="{764EB640-E02A-5C4B-8207-C8D40970E5C7}" name="XOM2" totalsRowFunction="custom" dataDxfId="1078" totalsRowDxfId="1077" dataCellStyle="Comma">
      <totalsRowFormula>COUNT(TabReg[XOM2])</totalsRowFormula>
    </tableColumn>
    <tableColumn id="125" xr3:uid="{2E708A98-1149-AD42-A6A9-5C9860AA9242}" name="XPER" totalsRowFunction="custom" dataDxfId="1076" totalsRowDxfId="1075">
      <totalsRowFormula>COUNT(TabReg[XPER])</totalsRowFormula>
    </tableColumn>
    <tableColumn id="126" xr3:uid="{93528364-BF0F-7144-A219-2BB9427F4E0B}" name="XPER1" totalsRowFunction="custom" dataDxfId="1074" totalsRowDxfId="1073" dataCellStyle="Comma">
      <totalsRowFormula>COUNT(TabReg[XPER1])</totalsRowFormula>
    </tableColumn>
    <tableColumn id="127" xr3:uid="{6FA0AB33-2B74-8741-86CE-5DD24EAFB0AE}" name="XPER2" totalsRowFunction="custom" dataDxfId="1072" totalsRowDxfId="1071" dataCellStyle="Comma">
      <totalsRowFormula>COUNT(TabReg[XPER2])</totalsRowFormula>
    </tableColumn>
    <tableColumn id="128" xr3:uid="{C486E5C1-6BEC-8C4B-86D1-C3E8153030D4}" name="MVEALDNE" totalsRowFunction="custom" dataDxfId="1070" totalsRowDxfId="1069">
      <totalsRowFormula>COUNT(TabReg[MVEALDNE])</totalsRowFormula>
    </tableColumn>
    <tableColumn id="129" xr3:uid="{3FB451E6-2946-8040-A85E-6B646D511A9C}" name="MVEALDNE1" totalsRowFunction="custom" dataDxfId="1068" totalsRowDxfId="1067" dataCellStyle="Comma">
      <totalsRowFormula>COUNT(TabReg[MVEALDNE1])</totalsRowFormula>
    </tableColumn>
    <tableColumn id="130" xr3:uid="{626584AD-E5BE-944D-BE1F-698427DA51F7}" name="MVEALDNE2" totalsRowFunction="custom" dataDxfId="1066" totalsRowDxfId="1065" dataCellStyle="Comma">
      <totalsRowFormula>COUNT(TabReg[MVEALDNE2])</totalsRowFormula>
    </tableColumn>
    <tableColumn id="131" xr3:uid="{DD68A5C2-4B08-024C-9778-DA46318A392D}" name="MVEDDD" totalsRowFunction="custom" dataDxfId="1064" totalsRowDxfId="1063">
      <totalsRowFormula>COUNT(TabReg[MVEDDD])</totalsRowFormula>
    </tableColumn>
    <tableColumn id="132" xr3:uid="{D9A558E3-596C-5C4F-936E-47C954B63F35}" name="MVEDDD1" totalsRowFunction="custom" dataDxfId="1062" totalsRowDxfId="1061" dataCellStyle="Comma">
      <totalsRowFormula>COUNT(TabReg[MVEDDD1])</totalsRowFormula>
    </tableColumn>
    <tableColumn id="133" xr3:uid="{7120DB8C-7514-FA48-A08E-5B247085EBF9}" name="MVEDDD2" totalsRowFunction="custom" dataDxfId="1060" totalsRowDxfId="1059" dataCellStyle="Comma">
      <totalsRowFormula>COUNT(TabReg[MVEDDD2])</totalsRowFormula>
    </tableColumn>
    <tableColumn id="134" xr3:uid="{2FD8B1C9-64F0-584A-A7F0-676B72893EB0}" name="MVEDSY" totalsRowFunction="custom" dataDxfId="1058" totalsRowDxfId="1057">
      <totalsRowFormula>COUNT(TabReg[MVEDSY])</totalsRowFormula>
    </tableColumn>
    <tableColumn id="135" xr3:uid="{D76DA24F-4421-F847-B121-A8F4A193BD82}" name="MVEDSY1" totalsRowFunction="custom" dataDxfId="1056" totalsRowDxfId="1055" dataCellStyle="Comma">
      <totalsRowFormula>COUNT(TabReg[MVEDSY1])</totalsRowFormula>
    </tableColumn>
    <tableColumn id="136" xr3:uid="{396A0ECB-755E-104D-A8E3-7A5B2AE7C6EA}" name="MVEDSY2" totalsRowFunction="custom" dataDxfId="1054" totalsRowDxfId="1053" dataCellStyle="Comma">
      <totalsRowFormula>COUNT(TabReg[MVEDSY2])</totalsRowFormula>
    </tableColumn>
    <tableColumn id="137" xr3:uid="{2C0B4D1E-F3B5-484A-9C4B-65760000E495}" name="MVEEOAN" totalsRowFunction="custom" dataDxfId="1052" totalsRowDxfId="1051">
      <totalsRowFormula>COUNT(TabReg[MVEEOAN])</totalsRowFormula>
    </tableColumn>
    <tableColumn id="138" xr3:uid="{1FF1B771-C944-A04A-B9B9-0F3D9C680168}" name="MVEEOAN1" totalsRowFunction="custom" dataDxfId="1050" totalsRowDxfId="1049" dataCellStyle="Comma">
      <totalsRowFormula>COUNT(TabReg[MVEEOAN1])</totalsRowFormula>
    </tableColumn>
    <tableColumn id="139" xr3:uid="{66A5709F-8CE1-C54D-A79D-76E0054D3090}" name="MVEEOAN2" totalsRowFunction="custom" dataDxfId="1048" totalsRowDxfId="1047" dataCellStyle="Comma">
      <totalsRowFormula>COUNT(TabReg[MVEEOAN2])</totalsRowFormula>
    </tableColumn>
    <tableColumn id="140" xr3:uid="{6631A4B3-359A-FC4A-ADBD-0EC86E90A804}" name="MVEENI" totalsRowFunction="custom" dataDxfId="1046" totalsRowDxfId="1045">
      <totalsRowFormula>COUNT(TabReg[MVEENI])</totalsRowFormula>
    </tableColumn>
    <tableColumn id="141" xr3:uid="{A95026D5-E0DE-2C40-B806-896DAD5080B2}" name="MVEENI1" totalsRowFunction="custom" dataDxfId="1044" totalsRowDxfId="1043" dataCellStyle="Comma">
      <totalsRowFormula>COUNT(TabReg[MVEENI1])</totalsRowFormula>
    </tableColumn>
    <tableColumn id="142" xr3:uid="{F8B96B9E-4850-7843-AD4B-6B4E2A697D2B}" name="MVEENI2" totalsRowFunction="custom" dataDxfId="1042" totalsRowDxfId="1041" dataCellStyle="Comma">
      <totalsRowFormula>COUNT(TabReg[MVEENI2])</totalsRowFormula>
    </tableColumn>
    <tableColumn id="143" xr3:uid="{10AC4A37-9481-6542-84E4-55D1CA14160D}" name="MVEEPIX" totalsRowFunction="custom" dataDxfId="1040" totalsRowDxfId="1039">
      <totalsRowFormula>COUNT(TabReg[MVEEPIX])</totalsRowFormula>
    </tableColumn>
    <tableColumn id="144" xr3:uid="{299E26EE-7492-CC43-869A-F15EBBF8E46C}" name="MVEEPIX1" totalsRowFunction="custom" dataDxfId="1038" totalsRowDxfId="1037" dataCellStyle="Comma">
      <totalsRowFormula>COUNT(TabReg[MVEEPIX1])</totalsRowFormula>
    </tableColumn>
    <tableColumn id="145" xr3:uid="{C8D192BC-03B4-D644-8664-CCB8652B8687}" name="MVEEPIX2" totalsRowFunction="custom" dataDxfId="1036" totalsRowDxfId="1035" dataCellStyle="Comma">
      <totalsRowFormula>COUNT(TabReg[MVEEPIX2])</totalsRowFormula>
    </tableColumn>
    <tableColumn id="146" xr3:uid="{798AB43E-D927-AA4A-952C-C7A4EED1515C}" name="MVEGLE" totalsRowFunction="custom" dataDxfId="1034" totalsRowDxfId="1033">
      <totalsRowFormula>COUNT(TabReg[MVEGLE])</totalsRowFormula>
    </tableColumn>
    <tableColumn id="147" xr3:uid="{29D52BAD-01AC-9843-99E2-108D85712955}" name="MVEGLE1" totalsRowFunction="custom" dataDxfId="1032" totalsRowDxfId="1031" dataCellStyle="Comma">
      <totalsRowFormula>COUNT(TabReg[MVEGLE1])</totalsRowFormula>
    </tableColumn>
    <tableColumn id="148" xr3:uid="{91A1A354-6935-214C-B655-6FA5D05B6148}" name="MVEGLE2" totalsRowFunction="custom" dataDxfId="1030" totalsRowDxfId="1029" dataCellStyle="Comma">
      <totalsRowFormula>COUNT(TabReg[MVEGLE2])</totalsRowFormula>
    </tableColumn>
    <tableColumn id="149" xr3:uid="{63EC1406-ED3D-7248-BC5E-B3891B5F1C34}" name="MVEORA" totalsRowFunction="custom" dataDxfId="1028" totalsRowDxfId="1027">
      <totalsRowFormula>COUNT(TabReg[MVEORA])</totalsRowFormula>
    </tableColumn>
    <tableColumn id="150" xr3:uid="{BD96D106-F762-CA4F-9926-DCA72A4EFCF8}" name="MVEORA1" totalsRowFunction="custom" dataDxfId="1026" totalsRowDxfId="1025" dataCellStyle="Comma">
      <totalsRowFormula>COUNT(TabReg[MVEORA1])</totalsRowFormula>
    </tableColumn>
    <tableColumn id="151" xr3:uid="{6F6EEB8A-4418-9F48-B010-D1102DED03E8}" name="MVEORA2" totalsRowFunction="custom" dataDxfId="1024" totalsRowDxfId="1023" dataCellStyle="Comma">
      <totalsRowFormula>COUNT(TabReg[MVEORA2])</totalsRowFormula>
    </tableColumn>
    <tableColumn id="152" xr3:uid="{08AF805C-499B-CA44-8B1B-09DDD9BDDA89}" name="MVERWE" totalsRowFunction="custom" dataDxfId="1022" totalsRowDxfId="1021">
      <totalsRowFormula>COUNT(TabReg[MVERWE])</totalsRowFormula>
    </tableColumn>
    <tableColumn id="153" xr3:uid="{73DE675B-333C-8042-A051-7C22080AA480}" name="MVERWE1" totalsRowFunction="custom" dataDxfId="1020" totalsRowDxfId="1019" dataCellStyle="Comma">
      <totalsRowFormula>COUNT(TabReg[MVERWE1])</totalsRowFormula>
    </tableColumn>
    <tableColumn id="154" xr3:uid="{3F90A3E1-83FC-5F43-9DEE-1A1BF3455758}" name="MVERWE2" totalsRowFunction="custom" dataDxfId="1018" totalsRowDxfId="1017" dataCellStyle="Comma">
      <totalsRowFormula>COUNT(TabReg[MVERWE2])</totalsRowFormula>
    </tableColumn>
    <tableColumn id="155" xr3:uid="{E9F565FB-317B-7B48-8D94-56DBC6AB96D8}" name="MVESAP" totalsRowFunction="custom" dataDxfId="1016" totalsRowDxfId="1015">
      <totalsRowFormula>COUNT(TabReg[MVESAP])</totalsRowFormula>
    </tableColumn>
    <tableColumn id="156" xr3:uid="{877F9E2B-72C9-1D43-8E9B-7585F3B9C5A8}" name="MVESAP1" totalsRowFunction="custom" dataDxfId="1014" totalsRowDxfId="1013" dataCellStyle="Comma">
      <totalsRowFormula>COUNT(TabReg[MVESAP1])</totalsRowFormula>
    </tableColumn>
    <tableColumn id="157" xr3:uid="{095D7B94-97D5-F04F-8693-4C0766693B3D}" name="MVESAP2" totalsRowFunction="custom" dataDxfId="1012" totalsRowDxfId="1011" dataCellStyle="Comma">
      <totalsRowFormula>COUNT(TabReg[MVESAP2])</totalsRowFormula>
    </tableColumn>
    <tableColumn id="158" xr3:uid="{6DAC9D38-B756-EA4C-9F7A-8677964ECEE7}" name="MVEUN0" totalsRowFunction="custom" dataDxfId="1010" totalsRowDxfId="1009">
      <totalsRowFormula>COUNT(TabReg[MVEUN0])</totalsRowFormula>
    </tableColumn>
    <tableColumn id="159" xr3:uid="{A8EC8BAE-FF6E-2249-9250-9AA033F9ED29}" name="MVEUN01" totalsRowFunction="custom" dataDxfId="1008" totalsRowDxfId="1007" dataCellStyle="Comma">
      <totalsRowFormula>COUNT(TabReg[MVEUN01])</totalsRowFormula>
    </tableColumn>
    <tableColumn id="160" xr3:uid="{F612F125-1D81-1E44-874A-33914890A832}" name="MVEUN02" totalsRowFunction="custom" dataDxfId="1006" totalsRowDxfId="1005" dataCellStyle="Comma">
      <totalsRowFormula>COUNT(TabReg[MVEUN02])</totalsRowFormula>
    </tableColumn>
    <tableColumn id="245" xr3:uid="{87DB3F20-52D6-CA4E-88EA-60775FA48471}" name="SAFAAPL" totalsRowFunction="custom" dataDxfId="1004" totalsRowDxfId="1003">
      <totalsRowFormula>COUNT(TabReg[SAFAAPL])</totalsRowFormula>
    </tableColumn>
    <tableColumn id="246" xr3:uid="{20517EE6-352A-AD43-8441-3441B61C1D89}" name="SAFAAPL1" totalsRowFunction="custom" dataDxfId="1002" totalsRowDxfId="1001" dataCellStyle="Comma">
      <totalsRowFormula>COUNT(TabReg[SAFAAPL1])</totalsRowFormula>
    </tableColumn>
    <tableColumn id="247" xr3:uid="{3C4F3F09-49B3-EA48-ABFA-662F1DB33DA3}" name="SAFAAPL2" totalsRowFunction="custom" dataDxfId="1000" totalsRowDxfId="999">
      <totalsRowFormula>COUNT(TabReg[SAFAAPL2])</totalsRowFormula>
    </tableColumn>
    <tableColumn id="248" xr3:uid="{AABFB2F9-1399-A74B-9F06-69E103AFB9CD}" name="SAFAMZN" totalsRowFunction="custom" dataDxfId="998" totalsRowDxfId="997">
      <totalsRowFormula>COUNT(TabReg[SAFAMZN])</totalsRowFormula>
    </tableColumn>
    <tableColumn id="249" xr3:uid="{D38CCD21-85E7-5243-8853-685BFE452284}" name="SAFAMZN1" totalsRowFunction="custom" dataDxfId="996" totalsRowDxfId="995" dataCellStyle="Comma">
      <totalsRowFormula>COUNT(TabReg[SAFAMZN1])</totalsRowFormula>
    </tableColumn>
    <tableColumn id="250" xr3:uid="{E22F61D9-4EB0-B94C-8F20-A63DF62D6B14}" name="SAFAMZN2" totalsRowFunction="custom" dataDxfId="994" totalsRowDxfId="993">
      <totalsRowFormula>COUNT(TabReg[SAFAMZN2])</totalsRowFormula>
    </tableColumn>
    <tableColumn id="251" xr3:uid="{F25F604C-FECA-CA4F-B82A-F2731B9AB9E2}" name="SAFASML" totalsRowFunction="custom" dataDxfId="992" totalsRowDxfId="991">
      <totalsRowFormula>COUNT(TabReg[SAFASML])</totalsRowFormula>
    </tableColumn>
    <tableColumn id="252" xr3:uid="{30ACA57E-5B73-3341-B584-158624B040E3}" name="SAFASML1" totalsRowFunction="custom" dataDxfId="990" totalsRowDxfId="989" dataCellStyle="Comma">
      <totalsRowFormula>COUNT(TabReg[SAFASML1])</totalsRowFormula>
    </tableColumn>
    <tableColumn id="253" xr3:uid="{20ED69C9-1D65-6341-8E2D-F366D2B2C54B}" name="SAFASML2" totalsRowFunction="custom" dataDxfId="988" totalsRowDxfId="987">
      <totalsRowFormula>COUNT(TabReg[SAFASML2])</totalsRowFormula>
    </tableColumn>
    <tableColumn id="254" xr3:uid="{2C63720C-5818-4944-BDB8-32411EDB5BB5}" name="SAFDDD" totalsRowFunction="custom" dataDxfId="986" totalsRowDxfId="985">
      <totalsRowFormula>COUNT(TabReg[SAFDDD])</totalsRowFormula>
    </tableColumn>
    <tableColumn id="255" xr3:uid="{D31C2829-AC58-5245-9282-3889257E506D}" name="SAFDDD1" totalsRowFunction="custom" dataDxfId="984" totalsRowDxfId="983" dataCellStyle="Comma">
      <totalsRowFormula>COUNT(TabReg[SAFDDD1])</totalsRowFormula>
    </tableColumn>
    <tableColumn id="256" xr3:uid="{E7DF0399-71E8-B642-B9E4-D0FDA4593657}" name="SAFDDD2" totalsRowFunction="custom" dataDxfId="982" totalsRowDxfId="981">
      <totalsRowFormula>COUNT(TabReg[SAFDDD2])</totalsRowFormula>
    </tableColumn>
    <tableColumn id="194" xr3:uid="{F93F1814-DD60-0A4E-8EA3-934D7D95DB83}" name="SAFDIS" totalsRowFunction="custom" dataDxfId="980" totalsRowDxfId="979">
      <totalsRowFormula>COUNT(TabReg[SAFDIS])</totalsRowFormula>
    </tableColumn>
    <tableColumn id="195" xr3:uid="{A22E8D43-4FB7-1445-8926-DD20EC462EE2}" name="SAFDIS1" totalsRowFunction="custom" dataDxfId="978" totalsRowDxfId="977" dataCellStyle="Comma">
      <totalsRowFormula>COUNT(TabReg[SAFDIS1])</totalsRowFormula>
    </tableColumn>
    <tableColumn id="196" xr3:uid="{730E80A0-73EA-F14F-B023-90418CB7FF94}" name="SAFDIS2" totalsRowFunction="custom" dataDxfId="976" totalsRowDxfId="975" dataCellStyle="Comma">
      <totalsRowFormula>COUNT(TabReg[SAFDIS2])</totalsRowFormula>
    </tableColumn>
    <tableColumn id="197" xr3:uid="{6EBEAD56-C7F4-BE4A-B558-A5F2DBB0CE46}" name="SAFGM" totalsRowFunction="custom" dataDxfId="974" totalsRowDxfId="973">
      <totalsRowFormula>COUNT(TabReg[SAFGM])</totalsRowFormula>
    </tableColumn>
    <tableColumn id="198" xr3:uid="{8550DAEC-2C07-FC46-A369-CE27ACA32089}" name="SAFGM1" totalsRowFunction="custom" dataDxfId="972" totalsRowDxfId="971" dataCellStyle="Comma">
      <totalsRowFormula>COUNT(TabReg[SAFGM1])</totalsRowFormula>
    </tableColumn>
    <tableColumn id="199" xr3:uid="{076EBF9E-377C-F747-82A7-FA7768DD8DC4}" name="SAFGM2" totalsRowFunction="custom" dataDxfId="970" totalsRowDxfId="969" dataCellStyle="Comma">
      <totalsRowFormula>COUNT(TabReg[SAFGM2])</totalsRowFormula>
    </tableColumn>
    <tableColumn id="200" xr3:uid="{735B8A44-120B-FF4C-AAEF-AFACB3D9DFCF}" name="SAFIAG" totalsRowFunction="custom" dataDxfId="968" totalsRowDxfId="967">
      <totalsRowFormula>COUNT(TabReg[SAFIAG])</totalsRowFormula>
    </tableColumn>
    <tableColumn id="201" xr3:uid="{A329D987-F158-744A-9A1D-8059162935DD}" name="SAFIAG1" totalsRowFunction="custom" dataDxfId="966" totalsRowDxfId="965" dataCellStyle="Comma">
      <totalsRowFormula>COUNT(TabReg[SAFIAG1])</totalsRowFormula>
    </tableColumn>
    <tableColumn id="296" xr3:uid="{CA00107A-3584-4E4D-9727-9DD9D29E985C}" name="SAFIAG2" totalsRowFunction="custom" dataDxfId="964" totalsRowDxfId="963" dataCellStyle="Comma">
      <totalsRowFormula>COUNT(TabReg[SAFIAG2])</totalsRowFormula>
    </tableColumn>
    <tableColumn id="297" xr3:uid="{C33A51F9-76AA-7E4A-8F99-9984D22DF038}" name="SAFMRNA" totalsRowFunction="custom" dataDxfId="962" totalsRowDxfId="961" dataCellStyle="Comma">
      <totalsRowFormula>COUNT(TabReg[SAFMRNA])</totalsRowFormula>
    </tableColumn>
    <tableColumn id="298" xr3:uid="{38EAE1F2-CCA3-2243-8FA9-8C83A7C2E83E}" name="SAFMRNA1" totalsRowFunction="custom" dataDxfId="960" totalsRowDxfId="959" dataCellStyle="Comma">
      <totalsRowFormula>COUNT(TabReg[SAFMRNA1])</totalsRowFormula>
    </tableColumn>
    <tableColumn id="202" xr3:uid="{58031338-9EAE-DB42-B765-E2B6B518A683}" name="SAFMRNA2" totalsRowFunction="custom" dataDxfId="958" totalsRowDxfId="957" dataCellStyle="Comma">
      <totalsRowFormula>COUNT(TabReg[SAFMRNA2])</totalsRowFormula>
    </tableColumn>
    <tableColumn id="299" xr3:uid="{4C1E3C38-AA96-C24E-95A1-3B57744A500F}" name="BLNK" totalsRowFunction="custom" dataDxfId="956" totalsRowDxfId="955">
      <totalsRowFormula>COUNT(TabReg[BLNK])</totalsRowFormula>
    </tableColumn>
    <tableColumn id="300" xr3:uid="{023BBB79-E8CA-254F-9A5F-6769DEF86DEB}" name="BLNK1" totalsRowFunction="custom" dataDxfId="954" totalsRowDxfId="953" dataCellStyle="Comma">
      <totalsRowFormula>COUNT(TabReg[BLNK1])</totalsRowFormula>
    </tableColumn>
    <tableColumn id="301" xr3:uid="{8FF7052C-5BC8-6246-B336-C9608EE0C4D8}" name="BLNK2" totalsRowFunction="custom" dataDxfId="952" totalsRowDxfId="951" dataCellStyle="Comma">
      <totalsRowFormula>COUNT(TabReg[BLNK2])</totalsRowFormula>
    </tableColumn>
    <tableColumn id="203" xr3:uid="{5146FD2A-2827-254E-AC2D-0ACF26A0C74F}" name="ENI" totalsRowFunction="custom" dataDxfId="950" totalsRowDxfId="949">
      <totalsRowFormula>COUNT(TabReg[ENI])</totalsRowFormula>
    </tableColumn>
    <tableColumn id="204" xr3:uid="{6DC93B63-70C5-4745-A0E8-9B1894B72882}" name="ENI1" totalsRowFunction="custom" dataDxfId="948" totalsRowDxfId="947" dataCellStyle="Comma">
      <totalsRowFormula>COUNT(TabReg[ENI1])</totalsRowFormula>
    </tableColumn>
    <tableColumn id="205" xr3:uid="{1586E4F1-AF55-7943-9C5C-6F56BC0D13FB}" name="ENI2" totalsRowFunction="custom" dataDxfId="946" totalsRowDxfId="945" dataCellStyle="Comma">
      <totalsRowFormula>COUNT(TabReg[ENI2])</totalsRowFormula>
    </tableColumn>
    <tableColumn id="206" xr3:uid="{F90D6620-764A-014D-8E1D-2C110AC0BDCF}" name="EZJ" totalsRowFunction="custom" dataDxfId="944" totalsRowDxfId="943">
      <totalsRowFormula>COUNT(TabReg[EZJ])</totalsRowFormula>
    </tableColumn>
    <tableColumn id="207" xr3:uid="{AEF036D2-CA8D-5244-B754-038CD142E280}" name="EZJ1" totalsRowFunction="custom" dataDxfId="942" totalsRowDxfId="941" dataCellStyle="Comma">
      <totalsRowFormula>COUNT(TabReg[EZJ1])</totalsRowFormula>
    </tableColumn>
    <tableColumn id="208" xr3:uid="{172612BD-38A4-9045-8225-B6BACB6E0938}" name="EZJ2" totalsRowFunction="custom" dataDxfId="940" totalsRowDxfId="939" dataCellStyle="Comma">
      <totalsRowFormula>COUNT(TabReg[EZJ2])</totalsRowFormula>
    </tableColumn>
    <tableColumn id="257" xr3:uid="{897D4C8A-78D4-D145-ACA9-1DF7996B1927}" name="F" totalsRowFunction="custom" dataDxfId="938" totalsRowDxfId="937">
      <totalsRowFormula>COUNT(TabReg[F])</totalsRowFormula>
    </tableColumn>
    <tableColumn id="258" xr3:uid="{A7D8D583-1B05-8148-91A8-CEB2BB055274}" name="F1" totalsRowFunction="custom" dataDxfId="936" totalsRowDxfId="935" dataCellStyle="Comma">
      <totalsRowFormula>COUNT(TabReg[F1])</totalsRowFormula>
    </tableColumn>
    <tableColumn id="259" xr3:uid="{22766649-0D25-BF4F-85D7-B86CDF58DA39}" name="F2" totalsRowFunction="custom" dataDxfId="934" totalsRowDxfId="933" dataCellStyle="Comma">
      <totalsRowFormula>COUNT(TabReg[F2])</totalsRowFormula>
    </tableColumn>
    <tableColumn id="260" xr3:uid="{FCD11F79-1C56-6C45-AC2E-082E924CB4A3}" name="GLE" totalsRowFunction="custom" dataDxfId="932" totalsRowDxfId="931">
      <totalsRowFormula>COUNT(TabReg[GLE])</totalsRowFormula>
    </tableColumn>
    <tableColumn id="261" xr3:uid="{5EB7E023-E38C-DD45-912B-0DFE7A6D3146}" name="GLE1" totalsRowFunction="custom" dataDxfId="930" totalsRowDxfId="929" dataCellStyle="Comma">
      <totalsRowFormula>COUNT(TabReg[GLE1])</totalsRowFormula>
    </tableColumn>
    <tableColumn id="262" xr3:uid="{FC176C26-7A73-DB43-BD0A-E6EE991D681A}" name="GLE2" totalsRowFunction="custom" dataDxfId="928" totalsRowDxfId="927" dataCellStyle="Comma">
      <totalsRowFormula>COUNT(TabReg[GLE2])</totalsRowFormula>
    </tableColumn>
    <tableColumn id="263" xr3:uid="{9446E411-2C2F-D343-A67C-95ED97E45DA5}" name="GNRC" totalsRowFunction="custom" dataDxfId="926" totalsRowDxfId="925">
      <totalsRowFormula>COUNT(TabReg[GNRC])</totalsRowFormula>
    </tableColumn>
    <tableColumn id="264" xr3:uid="{F3FE8B53-FAAF-CB4E-A4D7-0F5EE1683F9E}" name="GNRC1" totalsRowFunction="custom" dataDxfId="924" totalsRowDxfId="923" dataCellStyle="Comma">
      <totalsRowFormula>COUNT(TabReg[GNRC1])</totalsRowFormula>
    </tableColumn>
    <tableColumn id="265" xr3:uid="{E75747AB-0FE8-A948-9AB7-15132E227017}" name="GNRC2" totalsRowFunction="custom" dataDxfId="922" totalsRowDxfId="921" dataCellStyle="Comma">
      <totalsRowFormula>COUNT(TabReg[GNRC2])</totalsRowFormula>
    </tableColumn>
    <tableColumn id="209" xr3:uid="{131BFBC2-6A94-CC42-BD9A-855C7FE85C35}" name="GS" totalsRowFunction="custom" dataDxfId="920" totalsRowDxfId="919">
      <totalsRowFormula>COUNT(TabReg[GS])</totalsRowFormula>
    </tableColumn>
    <tableColumn id="210" xr3:uid="{A78ED95C-9665-9742-8BFA-99A9C75BC404}" name="GS1" totalsRowFunction="custom" dataDxfId="918" totalsRowDxfId="917" dataCellStyle="Comma">
      <totalsRowFormula>COUNT(TabReg[GS1])</totalsRowFormula>
    </tableColumn>
    <tableColumn id="211" xr3:uid="{8F5C146D-8344-9C4B-BCA6-5AF63729897B}" name="GS2" totalsRowFunction="custom" dataDxfId="916" totalsRowDxfId="915" dataCellStyle="Comma">
      <totalsRowFormula>COUNT(TabReg[GS2])</totalsRowFormula>
    </tableColumn>
    <tableColumn id="266" xr3:uid="{20F2F446-BE57-094C-9573-EB81C34762AF}" name="LAZR" totalsRowFunction="custom" dataDxfId="914" totalsRowDxfId="913">
      <totalsRowFormula>COUNT(TabReg[LAZR])</totalsRowFormula>
    </tableColumn>
    <tableColumn id="267" xr3:uid="{F00BD279-0ECA-F743-9538-36D809B80CD3}" name="LAZR1" totalsRowFunction="custom" dataDxfId="912" totalsRowDxfId="911" dataCellStyle="Comma">
      <totalsRowFormula>COUNT(TabReg[LAZR1])</totalsRowFormula>
    </tableColumn>
    <tableColumn id="268" xr3:uid="{1D038EDA-DE9D-4245-89D8-B2C045C70A6C}" name="LAZR2" totalsRowFunction="custom" dataDxfId="910" totalsRowDxfId="909">
      <totalsRowFormula>COUNT(TabReg[LAZR2])</totalsRowFormula>
    </tableColumn>
    <tableColumn id="269" xr3:uid="{F16F4EFF-2D64-E744-A3AC-95F9B17CEA2F}" name="LUV" totalsRowFunction="custom" dataDxfId="908" totalsRowDxfId="907">
      <totalsRowFormula>COUNT(TabReg[LUV])</totalsRowFormula>
    </tableColumn>
    <tableColumn id="270" xr3:uid="{AC39F39E-E54F-1B4B-81E0-A9D66F18D678}" name="LUV1" totalsRowFunction="custom" dataDxfId="906" totalsRowDxfId="905" dataCellStyle="Comma">
      <totalsRowFormula>COUNT(TabReg[LUV1])</totalsRowFormula>
    </tableColumn>
    <tableColumn id="271" xr3:uid="{DDA01EC9-A8EC-E340-8856-045E57C154E5}" name="LUV2" totalsRowFunction="custom" dataDxfId="904" totalsRowDxfId="903" dataCellStyle="Comma">
      <totalsRowFormula>COUNT(TabReg[LUV2])</totalsRowFormula>
    </tableColumn>
    <tableColumn id="272" xr3:uid="{749351A6-512B-204B-84E4-670FAACD0369}" name="MA" totalsRowFunction="custom" dataDxfId="902" totalsRowDxfId="901">
      <totalsRowFormula>COUNT(TabReg[MA])</totalsRowFormula>
    </tableColumn>
    <tableColumn id="273" xr3:uid="{828049A8-7C35-B542-8930-68C89091C4D8}" name="MA1" totalsRowFunction="custom" dataDxfId="900" totalsRowDxfId="899" dataCellStyle="Comma">
      <totalsRowFormula>COUNT(TabReg[MA1])</totalsRowFormula>
    </tableColumn>
    <tableColumn id="274" xr3:uid="{B1925B35-79A0-C947-AF5A-95C1B54AAD2D}" name="MA2" totalsRowFunction="custom" dataDxfId="898" totalsRowDxfId="897">
      <totalsRowFormula>COUNT(TabReg[MA2])</totalsRowFormula>
    </tableColumn>
    <tableColumn id="275" xr3:uid="{9E1D1A56-BAC9-7447-BC8D-85593A0856D6}" name="NVAX" totalsRowFunction="custom" dataDxfId="896" totalsRowDxfId="895">
      <totalsRowFormula>COUNT(TabReg[NVAX])</totalsRowFormula>
    </tableColumn>
    <tableColumn id="276" xr3:uid="{0B75FE73-7F51-5D4E-9BEB-979D6617649C}" name="NVAX1" totalsRowFunction="custom" dataDxfId="894" totalsRowDxfId="893" dataCellStyle="Comma">
      <totalsRowFormula>COUNT(TabReg[NVAX1])</totalsRowFormula>
    </tableColumn>
    <tableColumn id="277" xr3:uid="{4A6A0493-9483-CA4A-885C-1B1C245534E5}" name="NVAX2" totalsRowFunction="custom" dataDxfId="892" totalsRowDxfId="891">
      <totalsRowFormula>COUNT(TabReg[NVAX2])</totalsRowFormula>
    </tableColumn>
    <tableColumn id="287" xr3:uid="{7D4C2FDC-F45E-014B-8CCA-692692C22E13}" name="NVS" totalsRowFunction="custom" dataDxfId="890" totalsRowDxfId="889">
      <totalsRowFormula>COUNT(TabReg[NVS])</totalsRowFormula>
    </tableColumn>
    <tableColumn id="288" xr3:uid="{FBCE367A-3707-9948-B314-F8D5000F6BF9}" name="NVS1" totalsRowFunction="custom" dataDxfId="888" totalsRowDxfId="887" dataCellStyle="Comma">
      <totalsRowFormula>COUNT(TabReg[NVS1])</totalsRowFormula>
    </tableColumn>
    <tableColumn id="289" xr3:uid="{15239B29-1C46-C24A-8E4B-52142A0760BA}" name="NVS2" totalsRowFunction="custom" dataDxfId="886" totalsRowDxfId="885">
      <totalsRowFormula>COUNT(TabReg[NVS2])</totalsRowFormula>
    </tableColumn>
    <tableColumn id="293" xr3:uid="{9E5FA77E-2974-304D-BF26-38A14FFED41C}" name="ORA" totalsRowFunction="custom" dataDxfId="884" totalsRowDxfId="883">
      <totalsRowFormula>COUNT(TabReg[ORA])</totalsRowFormula>
    </tableColumn>
    <tableColumn id="294" xr3:uid="{EAFF0433-5E40-6A4A-8274-D6B66E885F64}" name="ORA1" totalsRowFunction="custom" dataDxfId="882" totalsRowDxfId="881" dataCellStyle="Comma">
      <totalsRowFormula>COUNT(TabReg[ORA1])</totalsRowFormula>
    </tableColumn>
    <tableColumn id="295" xr3:uid="{98FDE75C-EEE2-D945-8F39-C938380B1DCF}" name="ORA2" totalsRowFunction="custom" dataDxfId="880" totalsRowDxfId="879">
      <totalsRowFormula>COUNT(TabReg[ORA2])</totalsRowFormula>
    </tableColumn>
    <tableColumn id="341" xr3:uid="{79F0B853-990E-F048-9DB7-48CEDB15D449}" name="OXY" totalsRowFunction="custom" dataDxfId="878" totalsRowDxfId="877">
      <totalsRowFormula>COUNT(TabReg[OXY])</totalsRowFormula>
    </tableColumn>
    <tableColumn id="342" xr3:uid="{67D8C685-D16D-354A-B89E-7171813BBACB}" name="OXY1" totalsRowFunction="custom" dataDxfId="876" totalsRowDxfId="875" dataCellStyle="Comma">
      <totalsRowFormula>COUNT(TabReg[OXY1])</totalsRowFormula>
    </tableColumn>
    <tableColumn id="343" xr3:uid="{28DE8418-782B-5944-BAEF-72062E46E63B}" name="OXY2" totalsRowFunction="custom" dataDxfId="874" totalsRowDxfId="873">
      <totalsRowFormula>COUNT(TabReg[OXY2])</totalsRowFormula>
    </tableColumn>
    <tableColumn id="344" xr3:uid="{89941348-5FF4-CB40-BC45-E8D2587B0B46}" name="PFE" totalsRowFunction="custom" dataDxfId="872" totalsRowDxfId="871">
      <totalsRowFormula>COUNT(TabReg[PFE])</totalsRowFormula>
    </tableColumn>
    <tableColumn id="345" xr3:uid="{244BE308-157C-A446-BC34-CFC3E87F727E}" name="PFE1" totalsRowFunction="custom" dataDxfId="870" totalsRowDxfId="869" dataCellStyle="Comma">
      <totalsRowFormula>COUNT(TabReg[PFE1])</totalsRowFormula>
    </tableColumn>
    <tableColumn id="346" xr3:uid="{D5E76701-0AE3-1E47-92EE-A72611DC786D}" name="PFE2" totalsRowFunction="custom" dataDxfId="868" totalsRowDxfId="867">
      <totalsRowFormula>COUNT(TabReg[PFE2])</totalsRowFormula>
    </tableColumn>
    <tableColumn id="347" xr3:uid="{E30CEE26-CE01-2644-851E-A54AC199B369}" name="RIG" totalsRowFunction="custom" dataDxfId="866" totalsRowDxfId="865">
      <totalsRowFormula>COUNT(TabReg[RIG])</totalsRowFormula>
    </tableColumn>
    <tableColumn id="348" xr3:uid="{0BDB8355-85ED-0F48-B9D2-BE4BFC6AB116}" name="RIG1" totalsRowFunction="custom" dataDxfId="864" totalsRowDxfId="863" dataCellStyle="Comma">
      <totalsRowFormula>COUNT(TabReg[RIG1])</totalsRowFormula>
    </tableColumn>
    <tableColumn id="349" xr3:uid="{A9F9D8BA-10B6-E84E-A870-0D7A28806645}" name="RIG2" totalsRowFunction="custom" dataDxfId="862" totalsRowDxfId="861">
      <totalsRowFormula>COUNT(TabReg[RIG2])</totalsRowFormula>
    </tableColumn>
    <tableColumn id="212" xr3:uid="{F30CC0DB-52A4-E744-A741-C26358086BAC}" name="RRC" totalsRowFunction="custom" dataDxfId="860" totalsRowDxfId="859">
      <totalsRowFormula>COUNT(TabReg[RRC])</totalsRowFormula>
    </tableColumn>
    <tableColumn id="213" xr3:uid="{56C3BFFD-3193-F64F-B26B-CEEED7BF9A3F}" name="RRC1" totalsRowFunction="custom" dataDxfId="858" totalsRowDxfId="857" dataCellStyle="Comma">
      <totalsRowFormula>COUNT(TabReg[RRC1])</totalsRowFormula>
    </tableColumn>
    <tableColumn id="214" xr3:uid="{8DE967B3-1687-0848-A144-0C489B72A69B}" name="RRC2" totalsRowFunction="custom" dataDxfId="856" totalsRowDxfId="855" dataCellStyle="Comma">
      <totalsRowFormula>COUNT(TabReg[RRC2])</totalsRowFormula>
    </tableColumn>
    <tableColumn id="215" xr3:uid="{622EC914-822C-924A-AEF5-A27E19DF6037}" name="XYZ" totalsRowFunction="custom" dataDxfId="854" totalsRowDxfId="853">
      <totalsRowFormula>COUNT(TabReg[XYZ])</totalsRowFormula>
    </tableColumn>
    <tableColumn id="216" xr3:uid="{B030C74E-0D3D-6541-B7BB-48BF89C99809}" name="XYZ1" totalsRowFunction="custom" dataDxfId="852" totalsRowDxfId="851" dataCellStyle="Comma">
      <totalsRowFormula>COUNT(TabReg[XYZ1])</totalsRowFormula>
    </tableColumn>
    <tableColumn id="217" xr3:uid="{ACEFFD2C-EAB6-9948-989F-D7D5AC701829}" name="XYZ2" totalsRowFunction="custom" dataDxfId="850" totalsRowDxfId="849" dataCellStyle="Comma">
      <totalsRowFormula>COUNT(TabReg[XYZ2])</totalsRowFormula>
    </tableColumn>
    <tableColumn id="218" xr3:uid="{4CD2CE15-E36E-3E42-A306-F305A7C90830}" name="THC" totalsRowFunction="custom" dataDxfId="848" totalsRowDxfId="847">
      <totalsRowFormula>COUNT(TabReg[THC])</totalsRowFormula>
    </tableColumn>
    <tableColumn id="219" xr3:uid="{C11F035D-CDF4-174B-9BE6-F7593779E4D8}" name="THC1" totalsRowFunction="custom" dataDxfId="846" totalsRowDxfId="845" dataCellStyle="Comma">
      <totalsRowFormula>COUNT(TabReg[THC1])</totalsRowFormula>
    </tableColumn>
    <tableColumn id="220" xr3:uid="{2A06D532-4E45-4645-BB9C-323A66479BFA}" name="THC2" totalsRowFunction="custom" dataDxfId="844" totalsRowDxfId="843" dataCellStyle="Comma">
      <totalsRowFormula>COUNT(TabReg[THC2])</totalsRowFormula>
    </tableColumn>
    <tableColumn id="221" xr3:uid="{6EA5B267-5542-3547-8C51-B4865046DAB9}" name="X" totalsRowFunction="custom" dataDxfId="842" totalsRowDxfId="841">
      <totalsRowFormula>COUNT(TabReg[X])</totalsRowFormula>
    </tableColumn>
    <tableColumn id="222" xr3:uid="{365245E0-D863-7643-BC5B-7BD0ECB1DE4C}" name="X1" totalsRowFunction="custom" dataDxfId="840" totalsRowDxfId="839" dataCellStyle="Comma">
      <totalsRowFormula>COUNT(TabReg[X1])</totalsRowFormula>
    </tableColumn>
    <tableColumn id="223" xr3:uid="{DCD6AC1F-F77E-0741-AC5D-657E140B6DC2}" name="X2" totalsRowFunction="custom" dataDxfId="838" totalsRowDxfId="837" dataCellStyle="Comma">
      <totalsRowFormula>COUNT(TabReg[X2])</totalsRowFormula>
    </tableColumn>
    <tableColumn id="302" xr3:uid="{12D2B534-7A04-F54F-80F6-A11D14B88280}" name="LOCK" totalsRowFunction="custom" dataDxfId="836" totalsRowDxfId="835">
      <totalsRowFormula>COUNT(TabReg[LOCK])</totalsRowFormula>
    </tableColumn>
    <tableColumn id="303" xr3:uid="{8CFAE27D-A663-E64A-BF5D-1F73B5863089}" name="LOCK1" totalsRowFunction="custom" dataDxfId="834" totalsRowDxfId="833" dataCellStyle="Comma">
      <totalsRowFormula>COUNT(TabReg[LOCK1])</totalsRowFormula>
    </tableColumn>
    <tableColumn id="304" xr3:uid="{D90F9136-0218-FB4C-836E-08A741E13B5A}" name="LOCK2" totalsRowFunction="custom" dataDxfId="832" totalsRowDxfId="831" dataCellStyle="Comma">
      <totalsRowFormula>COUNT(TabReg[LOCK2])</totalsRowFormula>
    </tableColumn>
    <tableColumn id="161" xr3:uid="{A9E992B2-11DC-8849-A7E9-148965BC4326}" name="JBASML" totalsRowFunction="custom" dataDxfId="830" totalsRowDxfId="829">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28" totalsRowDxfId="827"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26" totalsRowDxfId="82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24" totalsRowDxfId="82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22" totalsRowDxfId="821"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20" totalsRowDxfId="819">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1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16" totalsRowDxfId="81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14" totalsRowDxfId="81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12" totalsRowDxfId="81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10" totalsRowDxfId="809"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08" totalsRowDxfId="807">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703" headerRowCellStyle="Comma">
  <autoFilter ref="A2:BP96" xr:uid="{1355A38B-5BD1-D249-AD6D-96E02BC9C311}"/>
  <tableColumns count="68">
    <tableColumn id="2" xr3:uid="{AB1EC51C-CE10-C44F-8563-D562A0774781}" name="Scale" totalsRowLabel="Total" dataDxfId="702" totalsRowDxfId="701">
      <calculatedColumnFormula>IF(_xlfn.XLOOKUP(TabTRADER[[#This Row],[ClickTick]],TabCalc[Ticker],TabCalc[Cur])="GBp",0.01,1)</calculatedColumnFormula>
    </tableColumn>
    <tableColumn id="3" xr3:uid="{85E73ED8-4FDB-0D4B-87C7-1C8139DDD84A}" name="LastBuy_RevRem_n" dataDxfId="700" totalsRowDxfId="699">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698" totalsRowDxfId="697">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696"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694" totalsRowDxfId="693">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692" totalsRowDxfId="691"/>
    <tableColumn id="12" xr3:uid="{F165B824-ACDF-0044-A649-45E93AB88C03}" name="LastSale_RevBuy$" dataDxfId="690" totalsRowDxfId="689"/>
    <tableColumn id="13" xr3:uid="{C007EDF1-F9A7-A54D-B9A5-63A7F0F2DE88}" name="if_ReBuy_nSold" dataDxfId="688" totalsRowDxfId="687" dataCellStyle="Comma"/>
    <tableColumn id="15" xr3:uid="{7D769024-523A-604D-B662-648DD5B77A3D}" name="Rebuy2" dataDxfId="686" totalsRowDxfId="685" dataCellStyle="Comma"/>
    <tableColumn id="16" xr3:uid="{E3F0170B-738A-4C4A-B89A-95794135EB60}" name="Gravity" dataDxfId="684" totalsRowDxfId="683" dataCellStyle="Comma">
      <calculatedColumnFormula>_xlfn.XLOOKUP(TabTRADER[[#This Row],[ClickTick]],TabCalc[Ticker],ListGravity)</calculatedColumnFormula>
    </tableColumn>
    <tableColumn id="17" xr3:uid="{294D7F67-21E5-8B44-89D8-1F7A1CA93BAB}" name="Extran" dataDxfId="682" totalsRowDxfId="681"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680" totalsRowDxfId="679"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678" totalsRowDxfId="677">
      <calculatedColumnFormula>_xlfn.XLOOKUP(TabTRADER[[#This Row],[ClickTick]],TabCalc[Ticker],TabCalc[Agiotage])</calculatedColumnFormula>
    </tableColumn>
    <tableColumn id="20" xr3:uid="{42A2A74C-CA9D-004F-8FB3-8DE0DE7852F9}" name="RSI" dataDxfId="676" totalsRowDxfId="675" dataCellStyle="Comma">
      <calculatedColumnFormula array="1">_xlfn.XLOOKUP(TabTRADER[[#This Row],[ClickTick]],ListTickers,Tab2RSIConventional[RSIConv20])</calculatedColumnFormula>
    </tableColumn>
    <tableColumn id="11" xr3:uid="{9014D1F9-34DC-3748-977E-00BCAAA27F23}" name="Begin/Status" dataDxfId="674" totalsRowDxfId="673"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672" totalsRowDxfId="671" dataCellStyle="Comma">
      <calculatedColumnFormula>_xlfn.XLOOKUP(TabTRADER[[#This Row],[ClickTick]],TabCalc[Ticker],TabCalc[L_Bn])</calculatedColumnFormula>
    </tableColumn>
    <tableColumn id="31" xr3:uid="{528D52A3-6941-1949-A034-665AD9FAE6A1}" name="L_Bp" dataDxfId="670" totalsRowDxfId="669" dataCellStyle="Comma">
      <calculatedColumnFormula>_xlfn.XLOOKUP(TabTRADER[[#This Row],[ClickTick]],TabCalc[Ticker],TabCalc[L_Bp])</calculatedColumnFormula>
    </tableColumn>
    <tableColumn id="21" xr3:uid="{708FCF43-CBDB-8F4F-8472-28891FF733C4}" name="Rev_Sale" dataDxfId="668" totalsRowDxfId="667">
      <calculatedColumnFormula>(TabTRADER[[#This Row],[M]]+TabTRADER[[#This Row],[L_Bp]])/ABS(TabTRADER[[#This Row],[L_Bp]])</calculatedColumnFormula>
    </tableColumn>
    <tableColumn id="22" xr3:uid="{FE1A96A1-072C-D74B-83F4-42AA4B053368}" name="Sale_Back_$" totalsRowFunction="sum" dataDxfId="666" totalsRowDxfId="665" dataCellStyle="Comma">
      <calculatedColumnFormula>_xlfn.XLOOKUP(TabTRADER[[#This Row],[ClickTick]],TabCalc[Ticker],TabCalc[Rev(MinStock)])*(1-Commission)</calculatedColumnFormula>
    </tableColumn>
    <tableColumn id="7" xr3:uid="{E41693E9-FA9D-724E-8373-ADDD00EA5A62}" name="Agiotage" dataDxfId="664" totalsRowDxfId="663" dataCellStyle="Percent">
      <calculatedColumnFormula>_xlfn.XLOOKUP(TabTRADER[[#This Row],[ClickTick]],TabCalc[Ticker],TabCalc[Agiotage])</calculatedColumnFormula>
    </tableColumn>
    <tableColumn id="42" xr3:uid="{7CC4EE64-3885-9F45-8D66-FF4F8A62FA79}" name="SncOpenYest%" totalsRowFunction="sum" dataDxfId="662" totalsRowDxfId="661">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660" totalsRowDxfId="659" dataCellStyle="Comma">
      <calculatedColumnFormula>_xlfn.XLOOKUP(TabTRADER[[#This Row],[ClickTick]],[1]!RTData[Ticker_Symbol],[1]!RTData[Currency])</calculatedColumnFormula>
    </tableColumn>
    <tableColumn id="9" xr3:uid="{AB89C7C7-F885-7043-91BD-2951C5C799FB}" name="M" dataDxfId="658" totalsRowDxfId="657" dataCellStyle="Comma">
      <calculatedColumnFormula>_xlfn.XLOOKUP(TabTRADER[[#This Row],[ClickTick]],TabCalc[Ticker],TabCalc[M])</calculatedColumnFormula>
    </tableColumn>
    <tableColumn id="10" xr3:uid="{A64F3714-DFF9-6546-B45D-A323AD90D7C9}" name="ClickTick" dataDxfId="656" totalsRowDxfId="655">
      <calculatedColumnFormula>SORTING!B3</calculatedColumnFormula>
    </tableColumn>
    <tableColumn id="54" xr3:uid="{EBDD1601-CCB5-FD46-832E-ACF4F62B8FAF}" name="Target1Y" dataDxfId="654" totalsRowDxfId="653">
      <calculatedColumnFormula>_xlfn.XLOOKUP(TabTRADER[[#This Row],[ClickTick]],TabCalc[Ticker],TabCalc[Y])</calculatedColumnFormula>
    </tableColumn>
    <tableColumn id="57" xr3:uid="{AC840AB4-C360-B048-B882-E681719F5339}" name="Y_Change" dataDxfId="652" totalsRowDxfId="651" dataCellStyle="Comma">
      <calculatedColumnFormula>_xlfn.XLOOKUP(TabTRADER[[#This Row],[ClickTick]],[1]!RTData[Ticker_Symbol],[1]!RTData[YTChange])</calculatedColumnFormula>
    </tableColumn>
    <tableColumn id="8" xr3:uid="{C207CF0F-86BD-F844-8AD2-9525818B008A}" name="A" dataDxfId="650" totalsRowDxfId="649" dataCellStyle="Comma"/>
    <tableColumn id="60" xr3:uid="{455EB8C9-4981-D846-9DA9-DBC931878F14}" name="Ch%_Yest" dataDxfId="648" totalsRowDxfId="647" dataCellStyle="Comma">
      <calculatedColumnFormula array="1">_xlfn.XLOOKUP(TabTRADER[[#This Row],[ClickTick]],ListTickers,Tab1ChangePercent[Change%19])</calculatedColumnFormula>
    </tableColumn>
    <tableColumn id="52" xr3:uid="{68C8CE58-14CD-8543-8CA6-0BDBACC71AB6}" name="N" dataDxfId="646" totalsRowDxfId="645">
      <calculatedColumnFormula>_xlfn.XLOOKUP(TabTRADER[[#This Row],[ClickTick]],TabCalc[Ticker],TabCalc[NAfter])</calculatedColumnFormula>
    </tableColumn>
    <tableColumn id="45" xr3:uid="{DAA0B676-9E0E-864B-BD4C-31777526BBCA}" name="Glnow_/M_Value_K$" dataDxfId="644" totalsRowDxfId="643">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642" totalsRowDxfId="641"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640" totalsRowDxfId="639"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638" totalsRowDxfId="637"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636" totalsRowDxfId="635"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634" totalsRowDxfId="633"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632" totalsRowDxfId="631"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630" totalsRowDxfId="629"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628" totalsRowDxfId="627"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626" totalsRowDxfId="625" dataCellStyle="Percent">
      <calculatedColumnFormula>_xlfn.XLOOKUP(TabTRADER[[#This Row],[ClickTick]],TabCalc[Ticker],TabCalc[Ann%RevLB])</calculatedColumnFormula>
    </tableColumn>
    <tableColumn id="64" xr3:uid="{67659519-1C42-244B-921B-725F68AA979B}" name="MUP" dataDxfId="624" totalsRowDxfId="623" dataCellStyle="Percent">
      <calculatedColumnFormula>_xlfn.XLOOKUP(TabTRADER[[#This Row],[ClickTick]],TabCalc[Ticker],TabCalc[Up20])</calculatedColumnFormula>
    </tableColumn>
    <tableColumn id="62" xr3:uid="{BD8F261A-D478-8F4A-BEDF-C53705997463}" name="vs.LBt%" dataDxfId="622" totalsRowDxfId="621"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20" totalsRowDxfId="619"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18" totalsRowDxfId="61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16" totalsRowDxfId="61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14" totalsRowDxfId="613"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2" totalsRowDxfId="61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610" totalsRowDxfId="609">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608" totalsRowDxfId="607"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606" totalsRowDxfId="605" dataCellStyle="Comma">
      <calculatedColumnFormula>_xlfn.XLOOKUP(TabTRADER[[#This Row],[ClickTick]],TabCalc[Ticker],TabCalc[L_Sn])</calculatedColumnFormula>
    </tableColumn>
    <tableColumn id="32" xr3:uid="{089D5B01-CA85-1A4E-8FB3-81A40C89B0F9}" name="L_Sp" dataDxfId="604" totalsRowDxfId="603" dataCellStyle="Comma">
      <calculatedColumnFormula>_xlfn.XLOOKUP(TabTRADER[[#This Row],[ClickTick]],TabCalc[Ticker],TabCalc[L_Sp])</calculatedColumnFormula>
    </tableColumn>
    <tableColumn id="23" xr3:uid="{A3EEAFE0-9CBA-FC42-8ECA-46F817BA644B}" name="Rev_Buy" dataDxfId="602" totalsRowDxfId="601">
      <calculatedColumnFormula>-IFERROR((TabTRADER[[#This Row],[M]]-TabTRADER[[#This Row],[L_Sp]])/TabTRADER[[#This Row],[L_Sp]],0)</calculatedColumnFormula>
    </tableColumn>
    <tableColumn id="24" xr3:uid="{3F91613F-AC29-AB41-B5A5-812FE6F84343}" name="Buy_Back" totalsRowFunction="sum" dataDxfId="600" totalsRowDxfId="599" dataCellStyle="Comma">
      <calculatedColumnFormula>TabTRADER[[#This Row],[L_Sn]]*(TabTRADER[[#This Row],[M]]-TabTRADER[[#This Row],[L_Sp]])*(1-Commission)*TabTRADER[[#This Row],[Scale]]</calculatedColumnFormula>
    </tableColumn>
    <tableColumn id="34" xr3:uid="{C0AAEF90-D448-6047-B6DE-CB0FE45089CF}" name="Rev_B@Y" totalsRowFunction="max" dataDxfId="598" totalsRowDxfId="597">
      <calculatedColumnFormula>TabTRADER[[#This Row],[L_Sn]]*(TabTRADER[[#This Row],[Agiotage]]-TabTRADER[[#This Row],[M]])/(TabTRADER[[#This Row],[L_Bn]]*TabTRADER[[#This Row],[M]])</calculatedColumnFormula>
    </tableColumn>
    <tableColumn id="25" xr3:uid="{AAE29823-FB0F-F640-9407-FB84AE6E64B6}" name="TakeGain_A" dataDxfId="596" totalsRowDxfId="595">
      <calculatedColumnFormula>IFERROR((TabTRADER[[#This Row],[M]]-TabTRADER[[#This Row],[A]])/TabTRADER[[#This Row],[A]],0)</calculatedColumnFormula>
    </tableColumn>
    <tableColumn id="26" xr3:uid="{7550FC06-5A93-6F46-B561-83A49DA6DDC1}" name="Alln*M-A:GL$" dataDxfId="594" totalsRowDxfId="593"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592" totalsRowDxfId="591" dataCellStyle="Comma"/>
    <tableColumn id="49" xr3:uid="{744FF3A2-F5E4-9545-B57B-D8CDE6F502E1}" name="MinB/M" dataDxfId="590" totalsRowDxfId="589" dataCellStyle="Comma"/>
    <tableColumn id="28" xr3:uid="{B960CEB6-2522-4147-8EDC-C07732CFB8E5}" name="Tick_M_A" dataDxfId="588" totalsRowDxfId="587">
      <calculatedColumnFormula>TabTRADER[[#This Row],[ClickTick]]&amp;": "&amp;_xlfn.XLOOKUP(TabTRADER[[#This Row],[ClickTick]],TabCalc[Ticker],TabCalc[Pile?])</calculatedColumnFormula>
    </tableColumn>
    <tableColumn id="29" xr3:uid="{16DF2913-98AD-B246-8118-794256FA3500}" name="Status" totalsRowFunction="count" dataDxfId="586" totalsRowDxfId="585"/>
    <tableColumn id="35" xr3:uid="{F14A80AE-E62C-DF48-99D4-9293058E44B1}" name="Code" dataDxfId="584" totalsRowDxfId="583">
      <calculatedColumnFormula array="1">_xlfn.TEXTJOIN("",,INDEX({"M","A","Y"}, _xlfn.SORTBY({1,2,3}, -CHOOSE({1,2,3}, TabTRADER[[#This Row],[M]], TabTRADER[[#This Row],[A]], TabTRADER[[#This Row],[Agiotage]]))))</calculatedColumnFormula>
    </tableColumn>
    <tableColumn id="37" xr3:uid="{E6B8B070-0576-C54E-8049-42AD03CF00A9}" name="TonM" dataDxfId="582" totalsRowDxfId="581">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580">
      <calculatedColumnFormula>TabTRADER[[#This Row],[L_Sn]]*TabTRADER[[#This Row],[L_Sp]]+TabTRADER[[#This Row],[SellMore]]*TabTRADER[[#This Row],[M]]</calculatedColumnFormula>
    </tableColumn>
    <tableColumn id="39" xr3:uid="{493C574C-1BCF-3241-AFCD-2265A016AB75}" name="SellMore" dataDxfId="579"/>
    <tableColumn id="40" xr3:uid="{A99302DF-FBDC-D545-91AF-29D9F0C0AE01}" name="NoStock" dataDxfId="578" dataCellStyle="Percent"/>
    <tableColumn id="41" xr3:uid="{877B67EB-D7DA-554B-951C-D198CA8535FE}" name="HOLD" dataDxfId="577" totalsRowDxfId="576">
      <calculatedColumnFormula>TabTRADER[[#This Row],[ReBuy]]/(TabTRADER[[#This Row],[L_Sn]]+TabTRADER[[#This Row],[SellMore]])</calculatedColumnFormula>
    </tableColumn>
    <tableColumn id="43" xr3:uid="{92F17730-71E8-AE49-A350-B41610408C9D}" name="Column7" dataDxfId="575">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574">
      <calculatedColumnFormula>(TabTRADER[[#This Row],[M]]-TabTRADER[[#This Row],[Agiotage]])/(TabTRADER[[#This Row],[M]]-TabTRADER[[#This Row],[A]])-1</calculatedColumnFormula>
    </tableColumn>
    <tableColumn id="68" xr3:uid="{09E388EE-11E8-EE40-AFDA-665C399A4A38}" name="index" dataDxfId="573" totalsRowDxfId="572">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571" tableBorderDxfId="570">
  <autoFilter ref="B3:JZ36" xr:uid="{B9FDB8E1-C2D8-CA44-9290-EA3B066D98B2}"/>
  <tableColumns count="285">
    <tableColumn id="1" xr3:uid="{4F3C6718-1B2B-FE44-B8C7-4CA3C7D81539}" name="AAPL" totalsRowFunction="sum" dataDxfId="569" totalsRowDxfId="568" dataCellStyle="Comma">
      <calculatedColumnFormula>C4*(_xlfn.XLOOKUP(B$3,TabCalc[Ticker],TabCalc[M])+D4)</calculatedColumnFormula>
    </tableColumn>
    <tableColumn id="2" xr3:uid="{FF2983F9-BF22-2A43-A1DE-D6A2929E69C2}" name="AAPL1" totalsRowFunction="sum" dataDxfId="567" totalsRowDxfId="566" dataCellStyle="Comma"/>
    <tableColumn id="3" xr3:uid="{AE90608B-5D45-834A-9CEC-916B02A0BF70}" name="AAPL2" totalsRowFunction="average" dataDxfId="565" totalsRowDxfId="564" dataCellStyle="Comma"/>
    <tableColumn id="4" xr3:uid="{4B747254-4228-9644-99B3-FF68845A1767}" name="ADEA" totalsRowFunction="sum" dataDxfId="563" totalsRowDxfId="562" dataCellStyle="Comma">
      <calculatedColumnFormula>F4*(_xlfn.XLOOKUP(E$3,TabCalc[Ticker],TabCalc[M])+G4)</calculatedColumnFormula>
    </tableColumn>
    <tableColumn id="5" xr3:uid="{A192C7BC-8A1A-024C-AEFD-A4B09613ABCA}" name="ADEA1" totalsRowFunction="sum" dataDxfId="561" totalsRowDxfId="560" dataCellStyle="Comma"/>
    <tableColumn id="6" xr3:uid="{86DBBBB8-C822-A042-882E-DAF1F6E7F1A9}" name="ADEA2" totalsRowFunction="average" dataDxfId="559" totalsRowDxfId="558" dataCellStyle="Comma"/>
    <tableColumn id="7" xr3:uid="{CDB0D2D9-A20E-9F44-855D-B737E27A8610}" name="AET" totalsRowFunction="sum" dataDxfId="557" totalsRowDxfId="556" dataCellStyle="Comma">
      <calculatedColumnFormula>I4*(_xlfn.XLOOKUP(H$3,TabCalc[Ticker],TabCalc[M])+J4)</calculatedColumnFormula>
    </tableColumn>
    <tableColumn id="8" xr3:uid="{F7C57E98-EFA4-264D-A1A8-5E18578768AC}" name="AET1" totalsRowFunction="sum" dataDxfId="555" totalsRowDxfId="554" dataCellStyle="Comma"/>
    <tableColumn id="9" xr3:uid="{5E45A015-732A-FE4C-B729-DE274A6016E0}" name="AET2" totalsRowFunction="average" dataDxfId="553" totalsRowDxfId="552" dataCellStyle="Comma"/>
    <tableColumn id="10" xr3:uid="{29B6658B-8137-294C-BDFD-629EF915B030}" name="AMZN" totalsRowFunction="sum" dataDxfId="551" totalsRowDxfId="550" dataCellStyle="Comma">
      <calculatedColumnFormula>L4*(_xlfn.XLOOKUP(K$3,TabCalc[Ticker],TabCalc[M])+M4)</calculatedColumnFormula>
    </tableColumn>
    <tableColumn id="11" xr3:uid="{D51515D0-AD0A-7042-83F6-2930DDECDC82}" name="AMZN1" totalsRowFunction="sum" dataDxfId="549" totalsRowDxfId="548" dataCellStyle="Comma"/>
    <tableColumn id="12" xr3:uid="{D6411F6F-1618-5046-A24E-F795B967A62E}" name="AMZN2" totalsRowFunction="average" dataDxfId="547" totalsRowDxfId="546" dataCellStyle="Comma"/>
    <tableColumn id="13" xr3:uid="{8C7D245B-EC8F-414A-AE20-9F53131FF92C}" name="ALDNE" totalsRowFunction="sum" dataDxfId="545" totalsRowDxfId="544" dataCellStyle="Comma">
      <calculatedColumnFormula>O4*(_xlfn.XLOOKUP(N$3,TabCalc[Ticker],TabCalc[M])+P4)</calculatedColumnFormula>
    </tableColumn>
    <tableColumn id="14" xr3:uid="{9A5ACEE4-9677-974E-BBC5-32C8CE678401}" name="ALDNE1" totalsRowFunction="sum" dataDxfId="543" totalsRowDxfId="542" dataCellStyle="Comma"/>
    <tableColumn id="15" xr3:uid="{C9CC9906-076E-B542-90B7-A75EAA4C486F}" name="ALDNE2" totalsRowFunction="average" dataDxfId="541" totalsRowDxfId="540" dataCellStyle="Comma"/>
    <tableColumn id="16" xr3:uid="{04CB329C-3089-0945-9AC7-48EFD8C7E2D0}" name="ASML" totalsRowFunction="sum" dataDxfId="539" totalsRowDxfId="538" dataCellStyle="Comma">
      <calculatedColumnFormula>R4*(_xlfn.XLOOKUP(Q$3,TabCalc[Ticker],TabCalc[M])+S4)</calculatedColumnFormula>
    </tableColumn>
    <tableColumn id="17" xr3:uid="{B77296A8-A666-6444-97C5-8C071857CF23}" name="ASML1" totalsRowFunction="sum" dataDxfId="537" totalsRowDxfId="536" dataCellStyle="Comma"/>
    <tableColumn id="18" xr3:uid="{83202C9D-48DB-5B48-B948-26C6A8D48AB1}" name="ASML2" totalsRowFunction="average" dataDxfId="535" totalsRowDxfId="534" dataCellStyle="Comma"/>
    <tableColumn id="19" xr3:uid="{FB5345B6-A211-DB42-A1E9-A005590036FF}" name="AVGO" dataDxfId="533" totalsRowDxfId="532" dataCellStyle="Comma">
      <calculatedColumnFormula>U4*(_xlfn.XLOOKUP(T$3,TabCalc[Ticker],TabCalc[M])+V4)</calculatedColumnFormula>
    </tableColumn>
    <tableColumn id="20" xr3:uid="{68D705CA-90AF-6242-9C88-DFDD951676B9}" name="AVGO1" dataDxfId="531" totalsRowDxfId="530" dataCellStyle="Comma"/>
    <tableColumn id="21" xr3:uid="{C5D19C38-801A-6A46-8BA6-8B94CC71900F}" name="AVGO2" dataDxfId="529" totalsRowDxfId="528" dataCellStyle="Comma"/>
    <tableColumn id="22" xr3:uid="{A277A45B-54A4-0A4D-A9D7-28389A195826}" name="AZN" dataDxfId="527" totalsRowDxfId="526" dataCellStyle="Comma">
      <calculatedColumnFormula>X4*(_xlfn.XLOOKUP(W$3,TabCalc[Ticker],TabCalc[M])+Y4)</calculatedColumnFormula>
    </tableColumn>
    <tableColumn id="23" xr3:uid="{92B99FAD-1108-734D-8297-53766E839787}" name="AZN1" dataDxfId="525" totalsRowDxfId="524" dataCellStyle="Comma"/>
    <tableColumn id="24" xr3:uid="{82125733-91A0-0E43-98ED-EE5820A40A2D}" name="AZN2" dataDxfId="523" totalsRowDxfId="522" dataCellStyle="Comma"/>
    <tableColumn id="25" xr3:uid="{11C1CFCE-DD1E-034E-9F0B-6EAC1073C537}" name="BLDP" dataDxfId="521" totalsRowDxfId="520" dataCellStyle="Comma">
      <calculatedColumnFormula>AA4*(_xlfn.XLOOKUP(Z$3,TabCalc[Ticker],TabCalc[M])+AB4)</calculatedColumnFormula>
    </tableColumn>
    <tableColumn id="26" xr3:uid="{360D253A-CA28-5E4D-B955-B8406C4A5F9E}" name="BLDP1" dataDxfId="519" totalsRowDxfId="518" dataCellStyle="Comma"/>
    <tableColumn id="27" xr3:uid="{78BB3D99-F937-4F43-8875-B7E23A6FA32B}" name="BLDP2" dataDxfId="517" totalsRowDxfId="516" dataCellStyle="Comma"/>
    <tableColumn id="28" xr3:uid="{C59C5AD3-A4D8-7B4F-83F9-EFA750C2D5EB}" name="BMRA" dataDxfId="515" totalsRowDxfId="514" dataCellStyle="Comma">
      <calculatedColumnFormula>AD4*(_xlfn.XLOOKUP(AC$3,TabCalc[Ticker],TabCalc[M])+AE4)</calculatedColumnFormula>
    </tableColumn>
    <tableColumn id="29" xr3:uid="{30176083-A0E5-FE4E-8CA3-9FF85C53DAA0}" name="BMRA1" dataDxfId="513" totalsRowDxfId="512" dataCellStyle="Comma"/>
    <tableColumn id="30" xr3:uid="{157B3467-E16E-6B4C-B0AC-345A122E272E}" name="BMRA2" dataDxfId="511" totalsRowDxfId="510" dataCellStyle="Comma"/>
    <tableColumn id="31" xr3:uid="{09259404-461E-4B42-97D7-BC216348265E}" name="C" dataDxfId="509" totalsRowDxfId="508" dataCellStyle="Comma">
      <calculatedColumnFormula>AG4*(_xlfn.XLOOKUP(AF$3,TabCalc[Ticker],TabCalc[M])+AH4)</calculatedColumnFormula>
    </tableColumn>
    <tableColumn id="32" xr3:uid="{C2842856-FA06-F241-9877-F4F2A22D62C0}" name="C1" dataDxfId="507" totalsRowDxfId="506" dataCellStyle="Comma"/>
    <tableColumn id="33" xr3:uid="{CE4D0E24-6414-C94A-9600-A11AABD3BC40}" name="C2" dataDxfId="505" totalsRowDxfId="504" dataCellStyle="Comma"/>
    <tableColumn id="34" xr3:uid="{078D17E2-A2D5-3D4D-B742-157B8CB3F0BA}" name="CSCO" dataDxfId="503" totalsRowDxfId="502" dataCellStyle="Comma">
      <calculatedColumnFormula>AJ4*(_xlfn.XLOOKUP(AI$3,TabCalc[Ticker],TabCalc[M])+AK4)</calculatedColumnFormula>
    </tableColumn>
    <tableColumn id="35" xr3:uid="{DA4CCFB4-3785-A448-BD12-B24CFFE15100}" name="CSCO1" dataDxfId="501" totalsRowDxfId="500" dataCellStyle="Comma"/>
    <tableColumn id="36" xr3:uid="{706D3649-B8D9-CB46-85BB-2503E26E2C17}" name="CSCO2" dataDxfId="499" totalsRowDxfId="498" dataCellStyle="Comma"/>
    <tableColumn id="37" xr3:uid="{C664F6F7-12B5-6842-8880-53DF3553EBE5}" name="CVS" dataDxfId="497" totalsRowDxfId="496" dataCellStyle="Comma">
      <calculatedColumnFormula>AM4*(_xlfn.XLOOKUP(AL$3,TabCalc[Ticker],TabCalc[M])+AN4)</calculatedColumnFormula>
    </tableColumn>
    <tableColumn id="38" xr3:uid="{4661F2A7-EF10-8F47-A857-292ADCBC9FD1}" name="CVS1" dataDxfId="495" totalsRowDxfId="494" dataCellStyle="Comma"/>
    <tableColumn id="39" xr3:uid="{846CEC17-7EC7-E84E-B199-0C0E8960419B}" name="CVS2" dataDxfId="493" totalsRowDxfId="492" dataCellStyle="Comma"/>
    <tableColumn id="40" xr3:uid="{4DCD0661-9DF9-CE49-90F9-D694D57AE82F}" name="DDD" dataDxfId="491" totalsRowDxfId="490" dataCellStyle="Comma">
      <calculatedColumnFormula>AP4*(_xlfn.XLOOKUP(AO$3,TabCalc[Ticker],TabCalc[M])+AQ4)</calculatedColumnFormula>
    </tableColumn>
    <tableColumn id="41" xr3:uid="{65C42C47-BEEF-5A43-8793-34D0816F3BC5}" name="DDD1" dataDxfId="489" totalsRowDxfId="488" dataCellStyle="Comma"/>
    <tableColumn id="42" xr3:uid="{3B8ABE3C-1DCC-6A4B-970C-E21CDF07AC21}" name="DDD2" dataDxfId="487" totalsRowDxfId="486" dataCellStyle="Comma"/>
    <tableColumn id="43" xr3:uid="{1569A28F-F511-5C4D-8DD6-30ACA757E7E7}" name="DIS" dataDxfId="485" totalsRowDxfId="484" dataCellStyle="Comma">
      <calculatedColumnFormula>AS4*(_xlfn.XLOOKUP(AR$3,TabCalc[Ticker],TabCalc[M])+AT4)</calculatedColumnFormula>
    </tableColumn>
    <tableColumn id="44" xr3:uid="{E403B095-56DF-0641-9062-C7B3671154B2}" name="DIS1" dataDxfId="483" totalsRowDxfId="482" dataCellStyle="Comma"/>
    <tableColumn id="45" xr3:uid="{8DFBDE8E-AC27-7A42-BE30-25EF0C39ED2D}" name="DIS2" dataDxfId="481" totalsRowDxfId="480" dataCellStyle="Comma"/>
    <tableColumn id="46" xr3:uid="{6046D983-09F2-8342-B55E-38DC94662758}" name="DSY" dataDxfId="479" totalsRowDxfId="478" dataCellStyle="Comma">
      <calculatedColumnFormula>AV4*(_xlfn.XLOOKUP(AU$3,TabCalc[Ticker],TabCalc[M])+AW4)</calculatedColumnFormula>
    </tableColumn>
    <tableColumn id="47" xr3:uid="{F8D640E4-7B06-4C41-8CCD-2056E9C5A036}" name="DSY1" dataDxfId="477" totalsRowDxfId="476" dataCellStyle="Comma"/>
    <tableColumn id="48" xr3:uid="{B16CF993-FFAD-8348-9062-209D2EB1063C}" name="DSY2" dataDxfId="475" totalsRowDxfId="474" dataCellStyle="Comma"/>
    <tableColumn id="49" xr3:uid="{16299194-B209-E04F-B83E-22E206A94209}" name="DVA" dataDxfId="473" totalsRowDxfId="472" dataCellStyle="Comma">
      <calculatedColumnFormula>AY4*(_xlfn.XLOOKUP(AX$3,TabCalc[Ticker],TabCalc[M])+AZ4)</calculatedColumnFormula>
    </tableColumn>
    <tableColumn id="50" xr3:uid="{B0D37179-E335-0D45-9DAC-63F72DFDB690}" name="DVA1" dataDxfId="471" totalsRowDxfId="470" dataCellStyle="Comma"/>
    <tableColumn id="51" xr3:uid="{4A45E220-F558-E14A-9111-D79E6AEE9F87}" name="DVA2" dataDxfId="469" totalsRowDxfId="468" dataCellStyle="Comma"/>
    <tableColumn id="52" xr3:uid="{5FE7A652-62D3-034A-85CF-95616062006C}" name="DXC" dataDxfId="467" totalsRowDxfId="466" dataCellStyle="Comma">
      <calculatedColumnFormula>BB4*(_xlfn.XLOOKUP(BA$3,TabCalc[Ticker],TabCalc[M])+BC4)</calculatedColumnFormula>
    </tableColumn>
    <tableColumn id="53" xr3:uid="{83D50AE1-D96C-5A4F-BBB5-435FC1C1CDCD}" name="DXC1" dataDxfId="465" totalsRowDxfId="464" dataCellStyle="Comma"/>
    <tableColumn id="54" xr3:uid="{FD007891-17F4-544B-A18C-7CF33EC95A98}" name="DXC2" dataDxfId="463" totalsRowDxfId="462" dataCellStyle="Comma"/>
    <tableColumn id="55" xr3:uid="{9AD98B59-186F-4645-B06F-1EFB866D9D3A}" name="EOAN" dataDxfId="461" totalsRowDxfId="460" dataCellStyle="Comma">
      <calculatedColumnFormula>BE4*(_xlfn.XLOOKUP(BD$3,TabCalc[Ticker],TabCalc[M])+BF4)</calculatedColumnFormula>
    </tableColumn>
    <tableColumn id="56" xr3:uid="{2C37859C-05A6-2F46-A430-12020E97CDDA}" name="EOAN1" dataDxfId="459" totalsRowDxfId="458" dataCellStyle="Comma"/>
    <tableColumn id="57" xr3:uid="{39A52E6F-F4D8-0A42-B6F4-7E059D490412}" name="EOAN2" dataDxfId="457" totalsRowDxfId="456" dataCellStyle="Comma"/>
    <tableColumn id="58" xr3:uid="{7BBECE56-3D92-2F42-9FC8-DB87EB6560AC}" name="EPIX" dataDxfId="455" totalsRowDxfId="454" dataCellStyle="Comma">
      <calculatedColumnFormula>BH4*(_xlfn.XLOOKUP(BG$3,TabCalc[Ticker],TabCalc[M])+BI4)</calculatedColumnFormula>
    </tableColumn>
    <tableColumn id="59" xr3:uid="{334321B6-C136-5045-B0D8-C45B5968E1F4}" name="EPIX1" dataDxfId="453" totalsRowDxfId="452" dataCellStyle="Comma"/>
    <tableColumn id="60" xr3:uid="{65990670-CFEB-7B48-9CA3-1AA957BC261E}" name="EPIX2" dataDxfId="451" totalsRowDxfId="450" dataCellStyle="Comma"/>
    <tableColumn id="61" xr3:uid="{336FC4A6-72E6-AD47-BB46-577B146714F1}" name="GM" dataDxfId="449" totalsRowDxfId="448" dataCellStyle="Comma">
      <calculatedColumnFormula>BK4*(_xlfn.XLOOKUP(BJ$3,TabCalc[Ticker],TabCalc[M])+BL4)</calculatedColumnFormula>
    </tableColumn>
    <tableColumn id="62" xr3:uid="{C4B9154B-A497-C746-A22E-268498C355B1}" name="GM1" dataDxfId="447" totalsRowDxfId="446" dataCellStyle="Comma"/>
    <tableColumn id="63" xr3:uid="{533CB1C3-2006-3A44-82D6-50E2F60B1390}" name="GM2" dataDxfId="445" totalsRowDxfId="444" dataCellStyle="Comma"/>
    <tableColumn id="64" xr3:uid="{64C92ADD-B441-A54B-B34F-ACC0AAA55A6D}" name="HPE" dataDxfId="443" totalsRowDxfId="442" dataCellStyle="Comma">
      <calculatedColumnFormula>BN4*(_xlfn.XLOOKUP(BM$3,TabCalc[Ticker],TabCalc[M])+BO4)</calculatedColumnFormula>
    </tableColumn>
    <tableColumn id="65" xr3:uid="{DDC3C698-57C9-8E40-9B44-03AEF5E2D33E}" name="HPE1" dataDxfId="441" totalsRowDxfId="440" dataCellStyle="Comma"/>
    <tableColumn id="66" xr3:uid="{FE47C51F-A166-3D4F-B502-DB6D6F219911}" name="HPE2" dataDxfId="439" totalsRowDxfId="438" dataCellStyle="Comma"/>
    <tableColumn id="67" xr3:uid="{17E23500-7942-B64E-82CA-F7883926C605}" name="HPQ" dataDxfId="437" totalsRowDxfId="436" dataCellStyle="Comma">
      <calculatedColumnFormula>BQ4*(_xlfn.XLOOKUP(BP$3,TabCalc[Ticker],TabCalc[M])+BR4)</calculatedColumnFormula>
    </tableColumn>
    <tableColumn id="68" xr3:uid="{CA289335-17CB-674A-8A96-84F9C9BFB456}" name="HPQ1" dataDxfId="435" totalsRowDxfId="434" dataCellStyle="Comma"/>
    <tableColumn id="69" xr3:uid="{D3EAC5FA-188A-F74E-956B-23A739D82BE2}" name="HPQ2" dataDxfId="433" totalsRowDxfId="432" dataCellStyle="Comma"/>
    <tableColumn id="70" xr3:uid="{F794EEC2-757B-0B4C-A97F-488A63CF054F}" name="IAG" dataDxfId="431" totalsRowDxfId="430" dataCellStyle="Comma">
      <calculatedColumnFormula>BT4*(_xlfn.XLOOKUP(BS$3,TabCalc[Ticker],TabCalc[M])+BU4)</calculatedColumnFormula>
    </tableColumn>
    <tableColumn id="71" xr3:uid="{C8D9C546-3E1E-3944-8CAE-5102C0B702A7}" name="IAG1" dataDxfId="429" totalsRowDxfId="428" dataCellStyle="Comma"/>
    <tableColumn id="72" xr3:uid="{2711F9B5-1A47-ED40-91E3-53338F3897E5}" name="IAG2" dataDxfId="427" totalsRowDxfId="426" dataCellStyle="Comma"/>
    <tableColumn id="73" xr3:uid="{F5FC5392-4456-AB4B-8BA4-9DBAE831115C}" name="KR" dataDxfId="425" totalsRowDxfId="424" dataCellStyle="Comma">
      <calculatedColumnFormula>BW4*(_xlfn.XLOOKUP(BV$3,TabCalc[Ticker],TabCalc[M])+BX4)</calculatedColumnFormula>
    </tableColumn>
    <tableColumn id="74" xr3:uid="{777F8583-92B7-8F41-859A-79C3721421C1}" name="KR1" dataDxfId="423" totalsRowDxfId="422" dataCellStyle="Comma"/>
    <tableColumn id="75" xr3:uid="{E99A7506-8017-FC4E-9CA2-52E6F7C05881}" name="KR2" dataDxfId="421" totalsRowDxfId="420" dataCellStyle="Comma"/>
    <tableColumn id="76" xr3:uid="{920BB91C-1886-7148-98B1-FDFF98736F14}" name="LNSR" dataDxfId="419" totalsRowDxfId="418" dataCellStyle="Comma">
      <calculatedColumnFormula>BZ4*(_xlfn.XLOOKUP(BY$3,TabCalc[Ticker],TabCalc[M])+CA4)</calculatedColumnFormula>
    </tableColumn>
    <tableColumn id="77" xr3:uid="{0CA43B86-716C-254E-860A-62C5E5FF6526}" name="LNSR1" dataDxfId="417" totalsRowDxfId="416" dataCellStyle="Comma"/>
    <tableColumn id="78" xr3:uid="{7AEF95B8-712B-F642-87C9-6A9501098ED9}" name="LNSR2" dataDxfId="415" totalsRowDxfId="414" dataCellStyle="Comma"/>
    <tableColumn id="79" xr3:uid="{3CDEC1EC-7A39-7C41-A8F5-6DD96DF561A2}" name="LUMN" dataDxfId="413" totalsRowDxfId="412" dataCellStyle="Comma">
      <calculatedColumnFormula>CC4*(_xlfn.XLOOKUP(CB$3,TabCalc[Ticker],TabCalc[M])+CD4)</calculatedColumnFormula>
    </tableColumn>
    <tableColumn id="80" xr3:uid="{075ED823-73A8-3140-A535-39CB4912DA86}" name="LUMN1" dataDxfId="411" totalsRowDxfId="410" dataCellStyle="Comma"/>
    <tableColumn id="81" xr3:uid="{EF42D74A-4522-2241-832E-A1E70E9145F9}" name="LUMN2" dataDxfId="409" totalsRowDxfId="408" dataCellStyle="Comma"/>
    <tableColumn id="82" xr3:uid="{FAD1EB90-EE7E-7E4D-8F6A-D530C21860C4}" name="MRNA" dataDxfId="407" totalsRowDxfId="406" dataCellStyle="Comma">
      <calculatedColumnFormula>CF4*(_xlfn.XLOOKUP(CE$3,TabCalc[Ticker],TabCalc[M])+CG4)</calculatedColumnFormula>
    </tableColumn>
    <tableColumn id="83" xr3:uid="{E96325F3-3FFB-4945-97DF-3E0B895B32BA}" name="MRNA1" dataDxfId="405" totalsRowDxfId="404" dataCellStyle="Comma"/>
    <tableColumn id="84" xr3:uid="{38C36CD7-FFF3-B94D-BBA2-E3FCEDD9E2C9}" name="MRNA2" dataDxfId="403" totalsRowDxfId="402" dataCellStyle="Comma"/>
    <tableColumn id="85" xr3:uid="{D3F7B5A1-68CB-DD47-95A2-C2A2F4FEB49A}" name="MSFT" dataDxfId="401" totalsRowDxfId="400" dataCellStyle="Comma">
      <calculatedColumnFormula>CI4*(_xlfn.XLOOKUP(CH$3,TabCalc[Ticker],TabCalc[M])+CJ4)</calculatedColumnFormula>
    </tableColumn>
    <tableColumn id="86" xr3:uid="{498E253A-4894-CC4A-8BDB-D493B847ADEE}" name="MSFT1" dataDxfId="399" totalsRowDxfId="398" dataCellStyle="Comma"/>
    <tableColumn id="87" xr3:uid="{6B7745C3-9073-9F42-86E9-6E29F372AB19}" name="MSFT2" dataDxfId="397" totalsRowDxfId="396" dataCellStyle="Comma"/>
    <tableColumn id="88" xr3:uid="{7967BFC4-C0E3-5F41-B5FB-B99F8B1F4F60}" name="NEE" dataDxfId="395" totalsRowDxfId="394" dataCellStyle="Comma">
      <calculatedColumnFormula>CL4*(_xlfn.XLOOKUP(CK$3,TabCalc[Ticker],TabCalc[M])+CM4)</calculatedColumnFormula>
    </tableColumn>
    <tableColumn id="89" xr3:uid="{E26FAAA2-E84A-664D-A186-5B869A89DE66}" name="NEE1" dataDxfId="393" totalsRowDxfId="392" dataCellStyle="Comma"/>
    <tableColumn id="90" xr3:uid="{D4457184-AC90-FF46-A98C-28B4FE42662F}" name="NEE2" dataDxfId="391" totalsRowDxfId="390" dataCellStyle="Comma"/>
    <tableColumn id="91" xr3:uid="{0350E67E-C364-DC45-860A-163A20CB2AF7}" name="NEM" dataDxfId="389" totalsRowDxfId="388" dataCellStyle="Comma">
      <calculatedColumnFormula>CO4*(_xlfn.XLOOKUP(CN$3,TabCalc[Ticker],TabCalc[M])+CP4)</calculatedColumnFormula>
    </tableColumn>
    <tableColumn id="92" xr3:uid="{CC763123-44C0-0B48-8910-25EBF34C057F}" name="NEM1" dataDxfId="387" totalsRowDxfId="386" dataCellStyle="Comma"/>
    <tableColumn id="93" xr3:uid="{BC59D84A-BD01-F546-A05F-73A544F2A66B}" name="NEM2" dataDxfId="385" totalsRowDxfId="384" dataCellStyle="Comma"/>
    <tableColumn id="94" xr3:uid="{01C43689-6564-574E-8C2F-3218C46EED39}" name="NFLX" dataDxfId="383" totalsRowDxfId="382" dataCellStyle="Comma">
      <calculatedColumnFormula>CR4*(_xlfn.XLOOKUP(CQ$3,TabCalc[Ticker],TabCalc[M])+CS4)</calculatedColumnFormula>
    </tableColumn>
    <tableColumn id="95" xr3:uid="{C61EBA53-FA20-E14E-AC13-AF5A204B1D64}" name="NFLX1" dataDxfId="381" totalsRowDxfId="380" dataCellStyle="Comma"/>
    <tableColumn id="96" xr3:uid="{528E1A3F-ADF3-A041-AF88-A5D1CBE54694}" name="NFLX2" dataDxfId="379" totalsRowDxfId="378" dataCellStyle="Comma"/>
    <tableColumn id="97" xr3:uid="{EE8DB3DE-C84A-7142-9DBE-22152BE7F05C}" name="NOTE" dataDxfId="377" totalsRowDxfId="376" dataCellStyle="Comma">
      <calculatedColumnFormula>CU4*(_xlfn.XLOOKUP(CT$3,TabCalc[Ticker],TabCalc[M])+CV4)</calculatedColumnFormula>
    </tableColumn>
    <tableColumn id="98" xr3:uid="{3EB79190-BE55-FF41-A5B8-89261ABFCCEF}" name="NOTE1" dataDxfId="375" totalsRowDxfId="374" dataCellStyle="Comma"/>
    <tableColumn id="99" xr3:uid="{C275B362-7AF8-D04D-A60A-29807754C61A}" name="NOTE2" dataDxfId="373" totalsRowDxfId="372" dataCellStyle="Comma"/>
    <tableColumn id="100" xr3:uid="{84156E29-C75E-1549-93F0-4C22B621E470}" name="PAAS" dataDxfId="371" totalsRowDxfId="370" dataCellStyle="Comma">
      <calculatedColumnFormula>CX4*(_xlfn.XLOOKUP(CW$3,TabCalc[Ticker],TabCalc[M])+CY4)</calculatedColumnFormula>
    </tableColumn>
    <tableColumn id="101" xr3:uid="{3074A862-D4A8-BC4A-8525-FBE77503EFCE}" name="PAAS1" dataDxfId="369" totalsRowDxfId="368" dataCellStyle="Comma"/>
    <tableColumn id="102" xr3:uid="{B774B9E2-AFA0-CC40-8434-1E869C710642}" name="PAAS2" dataDxfId="367" totalsRowDxfId="366" dataCellStyle="Comma"/>
    <tableColumn id="103" xr3:uid="{F59B1991-C44E-1842-B560-FD6BA7BF65E1}" name="PROF" dataDxfId="365" totalsRowDxfId="364" dataCellStyle="Comma">
      <calculatedColumnFormula>DA4*(_xlfn.XLOOKUP(CZ$3,TabCalc[Ticker],TabCalc[M])+DB4)</calculatedColumnFormula>
    </tableColumn>
    <tableColumn id="104" xr3:uid="{7A648921-782B-094B-9AC1-9A3182FADEE7}" name="PROF1" dataDxfId="363" totalsRowDxfId="362" dataCellStyle="Comma"/>
    <tableColumn id="105" xr3:uid="{E134CDF6-54A6-104D-A588-BD86FD67040F}" name="PROF2" dataDxfId="361" totalsRowDxfId="360" dataCellStyle="Comma"/>
    <tableColumn id="106" xr3:uid="{86D65F56-DF53-CC4A-9E19-B529E65F1C75}" name="POET" dataDxfId="359" totalsRowDxfId="358" dataCellStyle="Comma">
      <calculatedColumnFormula>DD4*(_xlfn.XLOOKUP(DC$3,TabCalc[Ticker],TabCalc[M])+DE4)</calculatedColumnFormula>
    </tableColumn>
    <tableColumn id="107" xr3:uid="{E9280078-06B8-9649-8650-511767770BD3}" name="POET1" dataDxfId="357" totalsRowDxfId="356" dataCellStyle="Comma"/>
    <tableColumn id="108" xr3:uid="{2E35D0FA-1511-8C47-B29B-8A3751083E79}" name="POET2" dataDxfId="355" totalsRowDxfId="354" dataCellStyle="Comma"/>
    <tableColumn id="109" xr3:uid="{ACDC3A1B-310F-344D-A25D-EFAF2DA754F5}" name="PW" dataDxfId="353" totalsRowDxfId="352" dataCellStyle="Comma">
      <calculatedColumnFormula>DG4*(_xlfn.XLOOKUP(DF$3,TabCalc[Ticker],TabCalc[M])+DH4)</calculatedColumnFormula>
    </tableColumn>
    <tableColumn id="110" xr3:uid="{FAEE4FEA-62CA-294D-ABF9-4563064E6BA8}" name="PW1" dataDxfId="351" totalsRowDxfId="350" dataCellStyle="Comma"/>
    <tableColumn id="111" xr3:uid="{80FF5CFA-8F63-894A-9C56-7A6A804F620F}" name="PW2" dataDxfId="349" totalsRowDxfId="348" dataCellStyle="Comma"/>
    <tableColumn id="112" xr3:uid="{FE3C1657-D29A-254B-8304-D173720389C1}" name="RIGL" dataDxfId="347" totalsRowDxfId="346" dataCellStyle="Comma">
      <calculatedColumnFormula>DJ4*(_xlfn.XLOOKUP(DI$3,TabCalc[Ticker],TabCalc[M])+DK4)</calculatedColumnFormula>
    </tableColumn>
    <tableColumn id="113" xr3:uid="{39AEED7D-52C8-8347-BCA2-C8207398A415}" name="RIGL1" dataDxfId="345" totalsRowDxfId="344" dataCellStyle="Comma"/>
    <tableColumn id="114" xr3:uid="{65A5449B-6191-3848-AAE6-E474979A4826}" name="RIGL2" dataDxfId="343" totalsRowDxfId="342" dataCellStyle="Comma"/>
    <tableColumn id="115" xr3:uid="{64B37DD2-A420-3A4C-BB41-103D11E44E00}" name="RWE" dataDxfId="341" totalsRowDxfId="340" dataCellStyle="Comma">
      <calculatedColumnFormula>DM4*(_xlfn.XLOOKUP(DL$3,TabCalc[Ticker],TabCalc[M])+DN4)</calculatedColumnFormula>
    </tableColumn>
    <tableColumn id="116" xr3:uid="{0C8DB87B-3DFF-F849-803F-304BE29ACE6F}" name="RWE1" dataDxfId="339" totalsRowDxfId="338" dataCellStyle="Comma"/>
    <tableColumn id="117" xr3:uid="{F03B718E-935E-5944-8702-A489484FF2A5}" name="RWE2" dataDxfId="337" totalsRowDxfId="336" dataCellStyle="Comma"/>
    <tableColumn id="118" xr3:uid="{E81E3112-8486-004F-A62E-9163C465EABC}" name="SAP" dataDxfId="335" totalsRowDxfId="334" dataCellStyle="Comma">
      <calculatedColumnFormula>DP4*(_xlfn.XLOOKUP(DO$3,TabCalc[Ticker],TabCalc[M])+DQ4)</calculatedColumnFormula>
    </tableColumn>
    <tableColumn id="119" xr3:uid="{DF7A2077-A8B7-B24B-BCC7-9A5CE980BB63}" name="SAP1" dataDxfId="333" totalsRowDxfId="332" dataCellStyle="Comma"/>
    <tableColumn id="120" xr3:uid="{81BAD1BF-576A-C14A-B5BC-22A810BF9C8B}" name="SAP2" dataDxfId="331" totalsRowDxfId="330" dataCellStyle="Comma"/>
    <tableColumn id="121" xr3:uid="{F83ADD54-B4F0-BE40-98DA-A3F47F9655A7}" name="SHECY" dataDxfId="329" totalsRowDxfId="328" dataCellStyle="Comma">
      <calculatedColumnFormula>DS4*(_xlfn.XLOOKUP(DR$3,TabCalc[Ticker],TabCalc[M])+DT4)</calculatedColumnFormula>
    </tableColumn>
    <tableColumn id="122" xr3:uid="{22AC636A-1AE3-5E4B-B841-E385E86CDD56}" name="SHECY1" dataDxfId="327" totalsRowDxfId="326" dataCellStyle="Comma"/>
    <tableColumn id="123" xr3:uid="{388F1694-2482-C14D-B433-CDD72262C7F2}" name="SHECY2" dataDxfId="325" totalsRowDxfId="324" dataCellStyle="Comma"/>
    <tableColumn id="124" xr3:uid="{20F10A2E-5921-DF40-8350-2F803C2D284F}" name="SSYS" dataDxfId="323" totalsRowDxfId="322" dataCellStyle="Comma">
      <calculatedColumnFormula>DV4*(_xlfn.XLOOKUP(DU$3,TabCalc[Ticker],TabCalc[M])+DW4)</calculatedColumnFormula>
    </tableColumn>
    <tableColumn id="125" xr3:uid="{CFB45D49-E59D-E94A-91A9-6D7BFA0DA4BF}" name="SSYS1" dataDxfId="321" totalsRowDxfId="320" dataCellStyle="Comma"/>
    <tableColumn id="126" xr3:uid="{FBE6F387-DE88-A54B-8EDA-5A7F03478FE9}" name="SSYS2" dataDxfId="319" totalsRowDxfId="318" dataCellStyle="Comma"/>
    <tableColumn id="127" xr3:uid="{729B6E9F-E8D7-8743-8199-94F998ED5529}" name="TSLA" dataDxfId="317" totalsRowDxfId="316" dataCellStyle="Comma">
      <calculatedColumnFormula>DY4*(_xlfn.XLOOKUP(DX$3,TabCalc[Ticker],TabCalc[M])+DZ4)</calculatedColumnFormula>
    </tableColumn>
    <tableColumn id="128" xr3:uid="{5FC83869-9BDE-DB42-89C9-A75961A28912}" name="TSLA1" dataDxfId="315" totalsRowDxfId="314" dataCellStyle="Comma"/>
    <tableColumn id="129" xr3:uid="{7ED7429F-A831-2741-B223-E18CF879D0FF}" name="TSLA2" dataDxfId="313" totalsRowDxfId="312" dataCellStyle="Comma"/>
    <tableColumn id="130" xr3:uid="{8F2F86A1-AB73-4C45-B6A3-71BCA5A197E9}" name="TSM" dataDxfId="311" totalsRowDxfId="310" dataCellStyle="Comma">
      <calculatedColumnFormula>EB4*(_xlfn.XLOOKUP(EA$3,TabCalc[Ticker],TabCalc[M])+EC4)</calculatedColumnFormula>
    </tableColumn>
    <tableColumn id="131" xr3:uid="{44F96535-4AB3-654D-9E97-294D66B63AA9}" name="TSM1" dataDxfId="309" totalsRowDxfId="308" dataCellStyle="Comma"/>
    <tableColumn id="132" xr3:uid="{C9083538-F7CF-244B-BA6D-8F04FACB053E}" name="TSM2" dataDxfId="307" totalsRowDxfId="306" dataCellStyle="Comma"/>
    <tableColumn id="133" xr3:uid="{FC95878B-E72D-B64D-A477-817226300E96}" name="UN0" dataDxfId="305" totalsRowDxfId="304" dataCellStyle="Comma">
      <calculatedColumnFormula>EE4*(_xlfn.XLOOKUP(ED$3,TabCalc[Ticker],TabCalc[M])+EF4)</calculatedColumnFormula>
    </tableColumn>
    <tableColumn id="134" xr3:uid="{7E5B9EDF-F393-2448-A152-B30F39B596FD}" name="UN01" dataDxfId="303" totalsRowDxfId="302" dataCellStyle="Comma"/>
    <tableColumn id="135" xr3:uid="{65FB4079-20B9-BC47-9D99-5CC5FE09BDF5}" name="UN02" dataDxfId="301" totalsRowDxfId="300" dataCellStyle="Comma"/>
    <tableColumn id="136" xr3:uid="{6D8B7C95-E8BD-CF4E-A0F8-6ACCCE764AF4}" name="UNIT" dataDxfId="299" totalsRowDxfId="298" dataCellStyle="Comma">
      <calculatedColumnFormula>EH4*(_xlfn.XLOOKUP(EG$3,TabCalc[Ticker],TabCalc[M])+EI4)</calculatedColumnFormula>
    </tableColumn>
    <tableColumn id="137" xr3:uid="{0F1D805F-0864-C14A-9BA6-E30A638F801B}" name="UNIT1" dataDxfId="297" totalsRowDxfId="296" dataCellStyle="Comma"/>
    <tableColumn id="138" xr3:uid="{8339927D-798A-374E-952D-498E693C2F81}" name="UNIT2" dataDxfId="295" totalsRowDxfId="294" dataCellStyle="Comma"/>
    <tableColumn id="139" xr3:uid="{E86CE4B2-67C3-E946-99EE-215F9AFBB44B}" name="Free" dataDxfId="293" totalsRowDxfId="292" dataCellStyle="Comma">
      <calculatedColumnFormula>EK4*(_xlfn.XLOOKUP(EJ$3,TabCalc[Ticker],TabCalc[M])+EL4)</calculatedColumnFormula>
    </tableColumn>
    <tableColumn id="140" xr3:uid="{2A1F7BD6-D7FB-5149-B6B0-D7DE17D011FF}" name="Free1" dataDxfId="291" totalsRowDxfId="290" dataCellStyle="Comma"/>
    <tableColumn id="141" xr3:uid="{33907480-858B-7E4F-AFC4-0EDC7312C3F7}" name="Free2" dataDxfId="289" totalsRowDxfId="288" dataCellStyle="Comma"/>
    <tableColumn id="142" xr3:uid="{00D1CCC4-1D2A-0345-A1E0-9F720EA238C8}" name="VLVLY" dataDxfId="287" totalsRowDxfId="286" dataCellStyle="Comma">
      <calculatedColumnFormula>EN4*(_xlfn.XLOOKUP(EM$3,TabCalc[Ticker],TabCalc[M])+EO4)</calculatedColumnFormula>
    </tableColumn>
    <tableColumn id="143" xr3:uid="{ECF23EF1-8B60-9744-9A10-58CBC82F4625}" name="VLVLY1" dataDxfId="285" totalsRowDxfId="284" dataCellStyle="Comma"/>
    <tableColumn id="144" xr3:uid="{7004DF05-E0F2-794A-AB5E-B44C42C1B293}" name="VLVLY2" dataDxfId="283" totalsRowDxfId="282" dataCellStyle="Comma"/>
    <tableColumn id="145" xr3:uid="{41F14CA5-D644-7844-92B5-1CDA6AD1EDBD}" name="VONN" dataDxfId="281" totalsRowDxfId="280" dataCellStyle="Comma">
      <calculatedColumnFormula>EQ4*(_xlfn.XLOOKUP(EP$3,TabCalc[Ticker],TabCalc[M])+ER4)</calculatedColumnFormula>
    </tableColumn>
    <tableColumn id="146" xr3:uid="{D4CB0390-24B1-184E-9999-820F8A0A3E71}" name="VONN1" dataDxfId="279" totalsRowDxfId="278" dataCellStyle="Comma"/>
    <tableColumn id="147" xr3:uid="{0F61E6EC-5AA7-4E4E-9881-330A85520104}" name="VONN2" dataDxfId="277" totalsRowDxfId="276" dataCellStyle="Comma"/>
    <tableColumn id="148" xr3:uid="{42C8BF39-DEFC-3D4D-8A5D-2BA2E330D8D9}" name="VTRS" dataDxfId="275" totalsRowDxfId="274" dataCellStyle="Comma">
      <calculatedColumnFormula>ET4*(_xlfn.XLOOKUP(ES$3,TabCalc[Ticker],TabCalc[M])+EU4)</calculatedColumnFormula>
    </tableColumn>
    <tableColumn id="149" xr3:uid="{0E05FFE0-E1FD-7241-BD67-7FD0BF47A6E7}" name="VTRS1" dataDxfId="273" totalsRowDxfId="272" dataCellStyle="Comma"/>
    <tableColumn id="150" xr3:uid="{4D304682-5B3C-9443-A1F2-DD94157006BF}" name="VTRS2" dataDxfId="271" totalsRowDxfId="270" dataCellStyle="Comma"/>
    <tableColumn id="151" xr3:uid="{6FAB44FC-5959-A841-BE04-05A288B83A96}" name="WBA" dataDxfId="269" totalsRowDxfId="268" dataCellStyle="Comma">
      <calculatedColumnFormula>EW4*(_xlfn.XLOOKUP(EV$3,TabCalc[Ticker],TabCalc[M])+EX4)</calculatedColumnFormula>
    </tableColumn>
    <tableColumn id="152" xr3:uid="{EB1E6E75-1A3D-F54A-BDAC-B7FB81FAAA76}" name="WBA1" dataDxfId="267" totalsRowDxfId="266" dataCellStyle="Comma"/>
    <tableColumn id="153" xr3:uid="{0E0D2AAF-3A9E-9B42-B1C7-78FF8512709B}" name="WBA2" dataDxfId="265" totalsRowDxfId="264"/>
    <tableColumn id="154" xr3:uid="{78C7D213-AD65-A147-B2D4-136490099172}" name="XOM" dataDxfId="263" totalsRowDxfId="262" dataCellStyle="Comma">
      <calculatedColumnFormula>EZ4*(_xlfn.XLOOKUP(EY$3,TabCalc[Ticker],TabCalc[M])+FA4)</calculatedColumnFormula>
    </tableColumn>
    <tableColumn id="155" xr3:uid="{5FC889AE-E8E8-0C48-B5C2-8A78C0BB67CB}" name="XOM1" dataDxfId="261" totalsRowDxfId="260" dataCellStyle="Comma"/>
    <tableColumn id="156" xr3:uid="{4431D097-8451-014D-BC06-B1985AD57878}" name="XOM2" dataDxfId="259" totalsRowDxfId="258"/>
    <tableColumn id="157" xr3:uid="{0E46A2D5-3273-B447-BEED-AE25F7D069CD}" name="XPER" dataDxfId="257" totalsRowDxfId="256" dataCellStyle="Comma">
      <calculatedColumnFormula>FC4*(_xlfn.XLOOKUP(FB$3,TabCalc[Ticker],TabCalc[M])+FD4)</calculatedColumnFormula>
    </tableColumn>
    <tableColumn id="158" xr3:uid="{E61E2579-C816-774A-B173-ABA6CCC18EE0}" name="XPER1" dataDxfId="255" totalsRowDxfId="254" dataCellStyle="Comma"/>
    <tableColumn id="159" xr3:uid="{265E885E-1CAF-0748-9DE0-769739590A1B}" name="XPER2" dataDxfId="253" totalsRowDxfId="252"/>
    <tableColumn id="160" xr3:uid="{3820CAC2-68B6-3748-A506-ADBB9F837618}" name="MVEALDNE" dataDxfId="251" totalsRowDxfId="250" dataCellStyle="Comma">
      <calculatedColumnFormula>FF4*(_xlfn.XLOOKUP(FE$3,TabCalc[Ticker],TabCalc[M])+FG4)</calculatedColumnFormula>
    </tableColumn>
    <tableColumn id="161" xr3:uid="{A0543065-1D11-C54C-960C-D08B13ADB829}" name="MVEALDNE1" dataDxfId="249" totalsRowDxfId="248" dataCellStyle="Comma"/>
    <tableColumn id="162" xr3:uid="{BD3314F7-04D1-874A-8549-329C72734F3D}" name="MVEALDNE2" dataDxfId="247" totalsRowDxfId="246" dataCellStyle="Comma"/>
    <tableColumn id="163" xr3:uid="{C8F49C24-279A-A346-B056-A737A6F85AE9}" name="MVEDDD" dataDxfId="245" totalsRowDxfId="244" dataCellStyle="Comma">
      <calculatedColumnFormula>FI4*(_xlfn.XLOOKUP(FH$3,TabCalc[Ticker],TabCalc[M])+FJ4)</calculatedColumnFormula>
    </tableColumn>
    <tableColumn id="164" xr3:uid="{B06AB4B5-078A-424C-87F9-13B7C649DD51}" name="MVEDDD1" dataDxfId="243" totalsRowDxfId="242" dataCellStyle="Comma"/>
    <tableColumn id="165" xr3:uid="{5D1FC6AB-E21E-C246-A0CF-D8247A189BAC}" name="MVEDDD2" dataDxfId="241" totalsRowDxfId="240" dataCellStyle="Comma"/>
    <tableColumn id="166" xr3:uid="{75E6225D-62D5-4742-AFA8-9736C31E2BFF}" name="MVEDSY" dataDxfId="239" totalsRowDxfId="238" dataCellStyle="Comma">
      <calculatedColumnFormula>FL4*(_xlfn.XLOOKUP(FK$3,TabCalc[Ticker],TabCalc[M])+FM4)</calculatedColumnFormula>
    </tableColumn>
    <tableColumn id="167" xr3:uid="{966A6923-293E-2444-9A23-5F7BB5A04262}" name="MVEDSY1" dataDxfId="237" totalsRowDxfId="236" dataCellStyle="Comma"/>
    <tableColumn id="168" xr3:uid="{1118E635-3B19-DB46-9F11-B12BB1E875FC}" name="MVEDSY2" dataDxfId="235" totalsRowDxfId="234" dataCellStyle="Comma"/>
    <tableColumn id="169" xr3:uid="{2E957AA9-B081-A14E-9108-FF128A790B84}" name="MVEEOAN" dataDxfId="233" totalsRowDxfId="232" dataCellStyle="Comma">
      <calculatedColumnFormula>FO4*(_xlfn.XLOOKUP(FN$3,TabCalc[Ticker],TabCalc[M])+FP4)</calculatedColumnFormula>
    </tableColumn>
    <tableColumn id="170" xr3:uid="{A0606DA9-0DC0-D14E-94B7-BDC8F26A844B}" name="MVEEOAN1" dataDxfId="231" totalsRowDxfId="230" dataCellStyle="Comma"/>
    <tableColumn id="171" xr3:uid="{03F498C0-CF20-AC4C-813D-E60D1042341A}" name="MVEEOAN2" dataDxfId="229" totalsRowDxfId="228" dataCellStyle="Comma"/>
    <tableColumn id="172" xr3:uid="{D4905E0E-6225-7A4B-B4D3-C4A9E8817C59}" name="MVEENI" dataDxfId="227" totalsRowDxfId="226" dataCellStyle="Comma">
      <calculatedColumnFormula>FR4*(_xlfn.XLOOKUP(FQ$3,TabCalc[Ticker],TabCalc[M])+FS4)</calculatedColumnFormula>
    </tableColumn>
    <tableColumn id="173" xr3:uid="{64B53446-A0B1-8246-B470-E50AB2C5EDC9}" name="MVEENI1" dataDxfId="225" totalsRowDxfId="224" dataCellStyle="Comma"/>
    <tableColumn id="174" xr3:uid="{1EE87B8D-7646-2748-9950-418A6569C95E}" name="MVEENI2" dataDxfId="223" totalsRowDxfId="222" dataCellStyle="Comma"/>
    <tableColumn id="175" xr3:uid="{CE13D8FB-3DD0-2D4D-8B70-CBBD6D591004}" name="MVEEPIX" dataDxfId="221" totalsRowDxfId="220" dataCellStyle="Comma">
      <calculatedColumnFormula>FU4*(_xlfn.XLOOKUP(FT$3,TabCalc[Ticker],TabCalc[M])+FV4)</calculatedColumnFormula>
    </tableColumn>
    <tableColumn id="176" xr3:uid="{9685FEC9-D23A-4A49-A43D-9AFF22AF6B6B}" name="MVEEPIX1" dataDxfId="219" totalsRowDxfId="218" dataCellStyle="Comma"/>
    <tableColumn id="177" xr3:uid="{DD9AA91E-A700-B044-9B39-2039AD46446A}" name="MVEEPIX2" dataDxfId="217" totalsRowDxfId="216" dataCellStyle="Comma"/>
    <tableColumn id="178" xr3:uid="{E730A607-73BA-6741-8FD9-2DB67F9B782A}" name="MVEGLE" dataDxfId="215" totalsRowDxfId="214" dataCellStyle="Comma">
      <calculatedColumnFormula>FX4*(_xlfn.XLOOKUP(FW$3,TabCalc[Ticker],TabCalc[M])+FY4)</calculatedColumnFormula>
    </tableColumn>
    <tableColumn id="179" xr3:uid="{BEB0F207-007F-BD4F-92A0-37F8695434E9}" name="MVEGLE1" dataDxfId="213" totalsRowDxfId="212" dataCellStyle="Comma"/>
    <tableColumn id="180" xr3:uid="{29F037D3-4405-6543-B349-A70079931FB1}" name="MVEGLE2" dataDxfId="211" totalsRowDxfId="210" dataCellStyle="Comma"/>
    <tableColumn id="181" xr3:uid="{C8B245DB-DF16-FC4F-931F-E81CB9BBF7B2}" name="MVEORA" dataDxfId="209" totalsRowDxfId="208" dataCellStyle="Comma">
      <calculatedColumnFormula>GA4*(_xlfn.XLOOKUP(FZ$3,TabCalc[Ticker],TabCalc[M])+GB4)</calculatedColumnFormula>
    </tableColumn>
    <tableColumn id="182" xr3:uid="{D903C307-9791-7445-84DE-4733652E096C}" name="MVEORA1" dataDxfId="207" totalsRowDxfId="206" dataCellStyle="Comma"/>
    <tableColumn id="183" xr3:uid="{B918E06A-7F74-4B48-9C49-E84E94857CE2}" name="MVEORA2" dataDxfId="205" totalsRowDxfId="204" dataCellStyle="Comma"/>
    <tableColumn id="184" xr3:uid="{15C75F0C-7812-B844-9CE0-4120E521988E}" name="MVERWE" dataDxfId="203" totalsRowDxfId="202" dataCellStyle="Comma">
      <calculatedColumnFormula>GD4*(_xlfn.XLOOKUP(GC$3,TabCalc[Ticker],TabCalc[M])+GE4)</calculatedColumnFormula>
    </tableColumn>
    <tableColumn id="185" xr3:uid="{F34D96F3-8856-124C-B582-F166D95DE24E}" name="MVERWE1" dataDxfId="201" totalsRowDxfId="200" dataCellStyle="Comma"/>
    <tableColumn id="186" xr3:uid="{7C6D5177-8805-364D-96E9-808F000002BE}" name="MVERWE2" dataDxfId="199" totalsRowDxfId="198" dataCellStyle="Comma"/>
    <tableColumn id="187" xr3:uid="{6FDB4658-5ED5-3B4F-9594-F34A6C55A047}" name="MVESAP" dataDxfId="197" totalsRowDxfId="196" dataCellStyle="Comma">
      <calculatedColumnFormula>GG4*(_xlfn.XLOOKUP(GF$3,TabCalc[Ticker],TabCalc[M])+GH4)</calculatedColumnFormula>
    </tableColumn>
    <tableColumn id="188" xr3:uid="{9172DE0E-F5D9-6D45-9FA5-13F9353D77CE}" name="MVESAP1" dataDxfId="195" totalsRowDxfId="194" dataCellStyle="Comma"/>
    <tableColumn id="189" xr3:uid="{440AACDB-64D0-FB4F-8A2A-D0897192C709}" name="MVESAP2" dataDxfId="193" totalsRowDxfId="192" dataCellStyle="Comma"/>
    <tableColumn id="190" xr3:uid="{0FCF7579-5965-604A-A65D-258362E4C2BE}" name="MVEUN0" dataDxfId="191" totalsRowDxfId="190" dataCellStyle="Comma">
      <calculatedColumnFormula>GJ4*(_xlfn.XLOOKUP(GI$3,TabCalc[Ticker],TabCalc[M])+GK4)</calculatedColumnFormula>
    </tableColumn>
    <tableColumn id="191" xr3:uid="{57F9CA37-2493-8148-8436-143BE0A5D9E0}" name="MVEUN01" dataDxfId="189" totalsRowDxfId="188" dataCellStyle="Comma"/>
    <tableColumn id="192" xr3:uid="{DFD39CE4-780E-884B-BC2E-280709B1BCDA}" name="MVEUN02" dataDxfId="187" totalsRowDxfId="186" dataCellStyle="Comma"/>
    <tableColumn id="193" xr3:uid="{E3D86E5C-3036-3745-9926-210CAAFAD7C8}" name="SAFAAPL" totalsRowFunction="sum" dataDxfId="185" totalsRowDxfId="184" dataCellStyle="Comma">
      <calculatedColumnFormula>GM4*(_xlfn.XLOOKUP(GL$3,TabCalc[Ticker],TabCalc[M])+GN4)</calculatedColumnFormula>
    </tableColumn>
    <tableColumn id="194" xr3:uid="{FF18444A-A208-FE43-9CFF-64026A262E73}" name="SAFAAPL1" totalsRowFunction="sum" dataDxfId="183" totalsRowDxfId="182" dataCellStyle="Comma"/>
    <tableColumn id="195" xr3:uid="{84176513-3FA0-1545-94D9-D44CFF5883FA}" name="SAFAAPL2" totalsRowFunction="average" dataDxfId="181" totalsRowDxfId="180" dataCellStyle="Comma"/>
    <tableColumn id="196" xr3:uid="{4CBA2AA6-F524-194B-A9E1-1915FFFFA4C8}" name="SAFAMZN" totalsRowFunction="sum" dataDxfId="179" totalsRowDxfId="178" dataCellStyle="Comma">
      <calculatedColumnFormula>GP4*(_xlfn.XLOOKUP(GO$3,TabCalc[Ticker],TabCalc[M])+GQ4)</calculatedColumnFormula>
    </tableColumn>
    <tableColumn id="197" xr3:uid="{AE80B7F0-A13E-BD45-803B-55C1C01EE9C5}" name="SAFAMZN1" totalsRowFunction="sum" dataDxfId="177" totalsRowDxfId="176" dataCellStyle="Comma"/>
    <tableColumn id="198" xr3:uid="{64F06311-56C7-E84F-BD4C-989A8B345110}" name="SAFAMZN2" totalsRowFunction="average" dataDxfId="175" totalsRowDxfId="174" dataCellStyle="Comma"/>
    <tableColumn id="199" xr3:uid="{775363EB-0F54-C541-8562-4A379B17EADC}" name="SAFASML" totalsRowFunction="sum" dataDxfId="173" totalsRowDxfId="172" dataCellStyle="Comma">
      <calculatedColumnFormula>GS4*(_xlfn.XLOOKUP(GR$3,TabCalc[Ticker],TabCalc[M])+GT4)</calculatedColumnFormula>
    </tableColumn>
    <tableColumn id="200" xr3:uid="{46C8FB70-49E5-DA4E-B9C6-85E89CBBB5D2}" name="SAFASML1" totalsRowFunction="sum" dataDxfId="171" totalsRowDxfId="170" dataCellStyle="Comma"/>
    <tableColumn id="201" xr3:uid="{5CFC5AE2-BB9E-BF4E-9536-714C86396EB9}" name="SAFASML2" totalsRowFunction="average" dataDxfId="169" totalsRowDxfId="168" dataCellStyle="Comma"/>
    <tableColumn id="202" xr3:uid="{2B388994-C6C9-0145-B61B-B365A9E7944D}" name="SAFDDD" totalsRowFunction="sum" dataDxfId="167" totalsRowDxfId="166" dataCellStyle="Comma">
      <calculatedColumnFormula>GV4*(_xlfn.XLOOKUP(GU$3,TabCalc[Ticker],TabCalc[M])+GW4)</calculatedColumnFormula>
    </tableColumn>
    <tableColumn id="203" xr3:uid="{EC7D730F-171D-5841-B2E3-8CCB70DE842F}" name="SAFDDD1" totalsRowFunction="sum" dataDxfId="165" totalsRowDxfId="164" dataCellStyle="Comma"/>
    <tableColumn id="204" xr3:uid="{5FAAEB35-DECD-244B-B6B4-4926CB30645A}" name="SAFDDD2" totalsRowFunction="average" dataDxfId="163" totalsRowDxfId="162" dataCellStyle="Comma"/>
    <tableColumn id="205" xr3:uid="{AED14D0A-9588-F14F-9433-95F490D9E17E}" name="SAFDIS" totalsRowFunction="sum" dataDxfId="161" totalsRowDxfId="160" dataCellStyle="Comma">
      <calculatedColumnFormula>GY4*(_xlfn.XLOOKUP(GX$3,TabCalc[Ticker],TabCalc[M])+GZ4)</calculatedColumnFormula>
    </tableColumn>
    <tableColumn id="206" xr3:uid="{114427FC-7455-B04A-A6DD-826FA591A5EE}" name="SAFDIS1" totalsRowFunction="sum" dataDxfId="159" totalsRowDxfId="158" dataCellStyle="Comma"/>
    <tableColumn id="207" xr3:uid="{237C6617-E1E6-9A45-A95E-AF4856201610}" name="SAFDIS2" totalsRowFunction="average" dataDxfId="157" totalsRowDxfId="156" dataCellStyle="Comma"/>
    <tableColumn id="208" xr3:uid="{4E509DFA-86B7-CD4F-9F15-18F2851CBFE7}" name="SAFGM" totalsRowFunction="sum" dataDxfId="155" totalsRowDxfId="154" dataCellStyle="Comma">
      <calculatedColumnFormula>HB4*(_xlfn.XLOOKUP(HA$3,TabCalc[Ticker],TabCalc[M])+HC4)</calculatedColumnFormula>
    </tableColumn>
    <tableColumn id="209" xr3:uid="{E12ABEE4-9265-9343-9331-DC1DBFA56091}" name="SAFGM1" totalsRowFunction="sum" dataDxfId="153" totalsRowDxfId="152" dataCellStyle="Comma"/>
    <tableColumn id="210" xr3:uid="{B4D1E6C5-EA57-0545-9936-5131B6AFAB33}" name="SAFGM2" totalsRowFunction="average" dataDxfId="151" totalsRowDxfId="150" dataCellStyle="Comma"/>
    <tableColumn id="211" xr3:uid="{27E94563-2841-AF44-882D-8B7C4CF26E41}" name="SAFIAG" totalsRowFunction="sum" dataDxfId="149" totalsRowDxfId="148" dataCellStyle="Comma">
      <calculatedColumnFormula>HE4*(_xlfn.XLOOKUP(HD$3,TabCalc[Ticker],TabCalc[M])+HF4)</calculatedColumnFormula>
    </tableColumn>
    <tableColumn id="212" xr3:uid="{015596F7-028B-EF41-8610-35212F6C6E0A}" name="SAFIAG1" totalsRowFunction="sum" dataDxfId="147" totalsRowDxfId="146" dataCellStyle="Comma"/>
    <tableColumn id="213" xr3:uid="{1E90A488-7D24-2641-89A0-5E10BB30D3E2}" name="SAFIAG2" totalsRowFunction="average" dataDxfId="145" totalsRowDxfId="144" dataCellStyle="Comma"/>
    <tableColumn id="214" xr3:uid="{E2934692-5F80-5142-A085-BAB3016D1D7D}" name="SAFMRNA" totalsRowFunction="sum" dataDxfId="143" totalsRowDxfId="142" dataCellStyle="Comma">
      <calculatedColumnFormula>HH4*(_xlfn.XLOOKUP(HG$3,TabCalc[Ticker],TabCalc[M])+HI4)</calculatedColumnFormula>
    </tableColumn>
    <tableColumn id="215" xr3:uid="{B5288CAF-4E4E-6A41-8D03-CFF98B939A73}" name="SAFMRNA1" totalsRowFunction="sum" dataDxfId="141" totalsRowDxfId="140" dataCellStyle="Comma"/>
    <tableColumn id="216" xr3:uid="{E379AF68-9AF7-5645-B486-E8B292B5F7C7}" name="SAFMRNA2" totalsRowFunction="average" dataDxfId="139" totalsRowDxfId="138" dataCellStyle="Comma"/>
    <tableColumn id="217" xr3:uid="{7669526C-C45D-164B-B7FC-D486C9FF0CED}" name="BLNK" totalsRowFunction="sum" dataDxfId="137" totalsRowDxfId="136" dataCellStyle="Comma">
      <calculatedColumnFormula>HK4*(_xlfn.XLOOKUP(HJ$3,TabCalc[Ticker],TabCalc[M])+HL4)</calculatedColumnFormula>
    </tableColumn>
    <tableColumn id="218" xr3:uid="{EB728490-D337-F843-A196-E31315AE89DA}" name="BLNK1" totalsRowFunction="sum" dataDxfId="135" totalsRowDxfId="134" dataCellStyle="Comma"/>
    <tableColumn id="219" xr3:uid="{49A5A043-B549-214A-915F-58CDC0E497DA}" name="BLNK2" totalsRowFunction="average" dataDxfId="133" totalsRowDxfId="132" dataCellStyle="Comma"/>
    <tableColumn id="220" xr3:uid="{C225E383-5B3A-D246-BE92-549A7117AA19}" name="ENI" totalsRowFunction="sum" dataDxfId="131" totalsRowDxfId="130" dataCellStyle="Comma">
      <calculatedColumnFormula>HN4*(_xlfn.XLOOKUP(HM$3,TabCalc[Ticker],TabCalc[M])+HO4)</calculatedColumnFormula>
    </tableColumn>
    <tableColumn id="221" xr3:uid="{58DD1976-BCC3-1641-94EA-C37E2379D322}" name="ENI1" totalsRowFunction="sum" dataDxfId="129" totalsRowDxfId="128" dataCellStyle="Comma"/>
    <tableColumn id="222" xr3:uid="{91099446-2ED1-AD42-B338-64989653AEF5}" name="ENI2" totalsRowFunction="average" dataDxfId="127" totalsRowDxfId="126" dataCellStyle="Comma"/>
    <tableColumn id="223" xr3:uid="{94D8AF40-ECA0-354C-B75F-5D3226599EFC}" name="EZJ" totalsRowFunction="sum" dataDxfId="125" totalsRowDxfId="124" dataCellStyle="Comma">
      <calculatedColumnFormula>HQ4*(_xlfn.XLOOKUP(HP$3,TabCalc[Ticker],TabCalc[M])+HR4)</calculatedColumnFormula>
    </tableColumn>
    <tableColumn id="224" xr3:uid="{BF26A8AA-5B90-794F-BD83-D51B4040DBC5}" name="EZJ1" totalsRowFunction="sum" dataDxfId="123" totalsRowDxfId="122" dataCellStyle="Comma"/>
    <tableColumn id="225" xr3:uid="{3689C227-DC38-A04E-94B5-D5FC6B66A85B}" name="EZJ2" totalsRowFunction="average" dataDxfId="121" totalsRowDxfId="120" dataCellStyle="Comma"/>
    <tableColumn id="226" xr3:uid="{FB7C2B18-95F9-9F48-B6F8-7107918C37B0}" name="F" totalsRowFunction="sum" dataDxfId="119" totalsRowDxfId="118" dataCellStyle="Comma">
      <calculatedColumnFormula>HT4*(_xlfn.XLOOKUP(HS$3,TabCalc[Ticker],TabCalc[M])+HU4)</calculatedColumnFormula>
    </tableColumn>
    <tableColumn id="227" xr3:uid="{59201844-A7EE-0D4E-A913-002521A7DFF7}" name="F1" totalsRowFunction="sum" dataDxfId="117" totalsRowDxfId="116" dataCellStyle="Comma"/>
    <tableColumn id="228" xr3:uid="{2784B2D6-D849-AD47-9AE6-C37C7F718EDC}" name="F2" totalsRowFunction="average" dataDxfId="115" totalsRowDxfId="114" dataCellStyle="Comma"/>
    <tableColumn id="229" xr3:uid="{5172CAD0-43DE-4A44-B3CF-A2D7F6ECA044}" name="GLE" totalsRowFunction="sum" dataDxfId="113" totalsRowDxfId="112" dataCellStyle="Comma">
      <calculatedColumnFormula>HW4*(_xlfn.XLOOKUP(HV$3,TabCalc[Ticker],TabCalc[M])+HX4)</calculatedColumnFormula>
    </tableColumn>
    <tableColumn id="230" xr3:uid="{1A17A66C-4D5C-8947-A874-ED96997253F5}" name="GLE1" totalsRowFunction="sum" dataDxfId="111" totalsRowDxfId="110" dataCellStyle="Comma"/>
    <tableColumn id="231" xr3:uid="{51390D36-859F-F947-9F17-40DF6678074C}" name="GLE2" totalsRowFunction="average" dataDxfId="109" totalsRowDxfId="108" dataCellStyle="Comma"/>
    <tableColumn id="232" xr3:uid="{E898C86B-1F4A-6D40-BBD5-FA08BEBDF164}" name="GNRC" totalsRowFunction="sum" dataDxfId="107" totalsRowDxfId="106" dataCellStyle="Comma">
      <calculatedColumnFormula>HZ4*(_xlfn.XLOOKUP(HY$3,TabCalc[Ticker],TabCalc[M])+IA4)</calculatedColumnFormula>
    </tableColumn>
    <tableColumn id="233" xr3:uid="{740B70BA-648E-4E48-A652-F470085294B4}" name="GNRC1" totalsRowFunction="sum" dataDxfId="105" totalsRowDxfId="104" dataCellStyle="Comma"/>
    <tableColumn id="234" xr3:uid="{2F969E41-2934-A047-B1B2-9FFA73F86BA4}" name="GNRC2" totalsRowFunction="average" dataDxfId="103" totalsRowDxfId="102" dataCellStyle="Comma"/>
    <tableColumn id="235" xr3:uid="{68E93E7C-D13A-3E44-9E22-D0A4371CD0F0}" name="GS" totalsRowFunction="sum" dataDxfId="101" totalsRowDxfId="100" dataCellStyle="Comma">
      <calculatedColumnFormula>IC4*(_xlfn.XLOOKUP(IB$3,TabCalc[Ticker],TabCalc[M])+ID4)</calculatedColumnFormula>
    </tableColumn>
    <tableColumn id="236" xr3:uid="{389DA179-71AB-FE4B-A39A-C93BCB1FB2E4}" name="GS1" totalsRowFunction="sum" dataDxfId="99" totalsRowDxfId="98" dataCellStyle="Comma"/>
    <tableColumn id="237" xr3:uid="{2E819FD9-9936-F240-8450-6DC6610CEBF5}" name="GS2" totalsRowFunction="average" dataDxfId="97" totalsRowDxfId="96" dataCellStyle="Comma"/>
    <tableColumn id="238" xr3:uid="{FB45914F-65A5-4241-B148-E2F60812B6C3}" name="LAZR" totalsRowFunction="sum" dataDxfId="95" totalsRowDxfId="94" dataCellStyle="Comma">
      <calculatedColumnFormula>IF4*(_xlfn.XLOOKUP(IE$3,TabCalc[Ticker],TabCalc[M])+IG4)</calculatedColumnFormula>
    </tableColumn>
    <tableColumn id="239" xr3:uid="{CF8C5BB1-A44F-1047-93BE-D4E505F70014}" name="LAZR1" totalsRowFunction="sum" dataDxfId="93" totalsRowDxfId="92" dataCellStyle="Comma"/>
    <tableColumn id="240" xr3:uid="{BBB6BF29-FDD1-8B42-AB8F-CC2B044F8E0E}" name="LAZR2" totalsRowFunction="average" dataDxfId="91" totalsRowDxfId="90" dataCellStyle="Comma"/>
    <tableColumn id="241" xr3:uid="{4626281E-0051-5F41-918A-C974DAD7A8B8}" name="LUV" totalsRowFunction="sum" dataDxfId="89" totalsRowDxfId="88" dataCellStyle="Comma">
      <calculatedColumnFormula>II4*(_xlfn.XLOOKUP(IH$3,TabCalc[Ticker],TabCalc[M])+IJ4)</calculatedColumnFormula>
    </tableColumn>
    <tableColumn id="242" xr3:uid="{DC6573B8-8548-A54D-B782-F4BA2982C75A}" name="LUV1" totalsRowFunction="sum" dataDxfId="87" totalsRowDxfId="86" dataCellStyle="Comma"/>
    <tableColumn id="243" xr3:uid="{7D3946E4-49FC-A94A-BA1E-9C8B10F808C3}" name="LUV2" totalsRowFunction="average" dataDxfId="85" totalsRowDxfId="84" dataCellStyle="Comma"/>
    <tableColumn id="244" xr3:uid="{95FF93E3-248C-7F4E-8C0F-13E06B2E9B5F}" name="MA" totalsRowFunction="sum" dataDxfId="83" totalsRowDxfId="82" dataCellStyle="Comma">
      <calculatedColumnFormula>IL4*(_xlfn.XLOOKUP(IK$3,TabCalc[Ticker],TabCalc[M])+IM4)</calculatedColumnFormula>
    </tableColumn>
    <tableColumn id="245" xr3:uid="{8D711E27-1BEF-FC4B-A240-9FF85F1F4FFE}" name="MA1" totalsRowFunction="sum" dataDxfId="81" totalsRowDxfId="80" dataCellStyle="Comma"/>
    <tableColumn id="246" xr3:uid="{C373D45E-C415-5A43-A25D-920AB52AD15D}" name="MA2" totalsRowFunction="average" dataDxfId="79" totalsRowDxfId="78" dataCellStyle="Comma"/>
    <tableColumn id="247" xr3:uid="{B5DB9542-EF25-ED46-912C-E96C598C5B95}" name="NVAX" totalsRowFunction="sum" dataDxfId="77" totalsRowDxfId="76" dataCellStyle="Comma">
      <calculatedColumnFormula>IO4*(_xlfn.XLOOKUP(IN$3,TabCalc[Ticker],TabCalc[M])+IP4)</calculatedColumnFormula>
    </tableColumn>
    <tableColumn id="248" xr3:uid="{E9ED7765-27CF-5540-915B-9709575A569F}" name="NVAX1" totalsRowFunction="sum" dataDxfId="75" totalsRowDxfId="74" dataCellStyle="Comma"/>
    <tableColumn id="249" xr3:uid="{5C6E1216-E6D3-E749-B59D-76C0424F9D79}" name="NVAX2" totalsRowFunction="average" dataDxfId="73" totalsRowDxfId="72" dataCellStyle="Comma"/>
    <tableColumn id="250" xr3:uid="{703D6D6F-409A-4640-870E-8E56D1AEAA52}" name="NVS" totalsRowFunction="sum" dataDxfId="71" totalsRowDxfId="70" dataCellStyle="Comma">
      <calculatedColumnFormula>IR4*(_xlfn.XLOOKUP(IQ$3,TabCalc[Ticker],TabCalc[M]))</calculatedColumnFormula>
    </tableColumn>
    <tableColumn id="251" xr3:uid="{3C12C176-2B62-4145-B89E-20D020A45A29}" name="NVS1" totalsRowFunction="sum" dataDxfId="69" totalsRowDxfId="68" dataCellStyle="Comma"/>
    <tableColumn id="252" xr3:uid="{DA81076B-11C3-DD41-B2AE-FBB09632E161}" name="NVS2" totalsRowFunction="average" dataDxfId="67" totalsRowDxfId="66" dataCellStyle="Comma"/>
    <tableColumn id="253" xr3:uid="{A4E40067-3EDA-2B47-B781-77DE32A0C3A4}" name="ORA" totalsRowFunction="sum" dataDxfId="65" totalsRowDxfId="64" dataCellStyle="Comma">
      <calculatedColumnFormula>IU4*(_xlfn.XLOOKUP(IT$3,TabCalc[Ticker],TabCalc[M])+IV4)</calculatedColumnFormula>
    </tableColumn>
    <tableColumn id="254" xr3:uid="{EDE806CC-445C-D949-BA1D-8437B5C6C058}" name="ORA1" totalsRowFunction="sum" dataDxfId="63" totalsRowDxfId="62" dataCellStyle="Comma"/>
    <tableColumn id="255" xr3:uid="{F483F38C-62A6-2347-925B-49625ADB435F}" name="ORA2" totalsRowFunction="average" dataDxfId="61" totalsRowDxfId="60" dataCellStyle="Comma"/>
    <tableColumn id="256" xr3:uid="{E840F141-B187-4E46-9FE1-56FE22148CE0}" name="OXY" totalsRowFunction="sum" dataDxfId="59" totalsRowDxfId="58" dataCellStyle="Comma">
      <calculatedColumnFormula>IX4*(_xlfn.XLOOKUP(IW$3,TabCalc[Ticker],TabCalc[M])+IY4)</calculatedColumnFormula>
    </tableColumn>
    <tableColumn id="257" xr3:uid="{BB4D994A-23E5-F243-9E5A-EE72A43E6583}" name="OXY1" totalsRowFunction="sum" dataDxfId="57" totalsRowDxfId="56" dataCellStyle="Comma"/>
    <tableColumn id="258" xr3:uid="{6B4719B5-2341-5347-B41B-3E893EFD8F32}" name="OXY2" totalsRowFunction="average" dataDxfId="55" totalsRowDxfId="54" dataCellStyle="Comma"/>
    <tableColumn id="259" xr3:uid="{B9F8C50C-AC54-B245-901E-AC81835A888D}" name="PFE" totalsRowFunction="sum" dataDxfId="53" totalsRowDxfId="52" dataCellStyle="Comma">
      <calculatedColumnFormula>JA4*(_xlfn.XLOOKUP(IZ$3,TabCalc[Ticker],TabCalc[M])+JB4)</calculatedColumnFormula>
    </tableColumn>
    <tableColumn id="260" xr3:uid="{200440A7-9597-5541-B06F-5394908ECBD4}" name="PFE1" totalsRowFunction="sum" dataDxfId="51" totalsRowDxfId="50" dataCellStyle="Comma"/>
    <tableColumn id="261" xr3:uid="{BD830D5D-B303-4E4C-90F5-1BE90210D860}" name="PFE2" totalsRowFunction="average" dataDxfId="49" totalsRowDxfId="48" dataCellStyle="Comma"/>
    <tableColumn id="262" xr3:uid="{E95C3C1D-D1DA-7341-A6C7-350240ABB556}" name="RIG" totalsRowFunction="sum" dataDxfId="47" totalsRowDxfId="46" dataCellStyle="Comma">
      <calculatedColumnFormula>JD4*(_xlfn.XLOOKUP(JC$3,TabCalc[Ticker],TabCalc[M])+JE4)</calculatedColumnFormula>
    </tableColumn>
    <tableColumn id="263" xr3:uid="{903313B4-7B9D-154A-AE3D-77FD3F20BF47}" name="RIG1" totalsRowFunction="sum" dataDxfId="45" totalsRowDxfId="44" dataCellStyle="Comma"/>
    <tableColumn id="264" xr3:uid="{E9244164-4FD9-7746-BD3E-4849A574AB73}" name="RIG2" totalsRowFunction="sum" dataDxfId="43" totalsRowDxfId="42" dataCellStyle="Comma"/>
    <tableColumn id="265" xr3:uid="{9B1C2547-CF68-CF4F-93A0-EA05F87A3A64}" name="RRC" totalsRowFunction="sum" dataDxfId="41" totalsRowDxfId="40" dataCellStyle="Comma">
      <calculatedColumnFormula>JG4*(_xlfn.XLOOKUP(JF$3,TabCalc[Ticker],TabCalc[M])+JH4)</calculatedColumnFormula>
    </tableColumn>
    <tableColumn id="266" xr3:uid="{CD08F2A2-DF91-AA4D-959F-CFB14552D844}" name="RRC1" totalsRowFunction="sum" dataDxfId="39" totalsRowDxfId="38" dataCellStyle="Comma"/>
    <tableColumn id="267" xr3:uid="{CDC2D8B0-B269-7744-BD53-210E13C0BD55}" name="RRC2" totalsRowFunction="average" dataDxfId="37" totalsRowDxfId="36" dataCellStyle="Comma"/>
    <tableColumn id="268" xr3:uid="{845D5BAB-F92C-FF45-8A4C-8139058F1117}" name="XYZ" totalsRowFunction="sum" dataDxfId="35" totalsRowDxfId="34" dataCellStyle="Comma">
      <calculatedColumnFormula>JJ4*(_xlfn.XLOOKUP(JI$3,TabCalc[Ticker],TabCalc[M])+JK4)</calculatedColumnFormula>
    </tableColumn>
    <tableColumn id="269" xr3:uid="{A539E0AA-586B-1245-BC7F-E4BA7C46540E}" name="XYZ1" totalsRowFunction="sum" dataDxfId="33" totalsRowDxfId="32" dataCellStyle="Comma"/>
    <tableColumn id="270" xr3:uid="{6E0B2157-4642-5045-B4BB-094AE6BFA747}" name="XYZ2" totalsRowFunction="average" dataDxfId="31" totalsRowDxfId="30" dataCellStyle="Comma"/>
    <tableColumn id="271" xr3:uid="{9D7AA151-B32B-AF46-8E71-B15590BD1888}" name="THC" totalsRowFunction="sum" dataDxfId="29" totalsRowDxfId="28" dataCellStyle="Comma">
      <calculatedColumnFormula>JM4*(_xlfn.XLOOKUP(JL$3,TabCalc[Ticker],TabCalc[M])+JN4)</calculatedColumnFormula>
    </tableColumn>
    <tableColumn id="272" xr3:uid="{1578BB9F-0EBD-3D44-A97E-58279FD356E8}" name="THC1" totalsRowFunction="sum" dataDxfId="27" totalsRowDxfId="26" dataCellStyle="Comma"/>
    <tableColumn id="273" xr3:uid="{E1B590BB-BE88-E842-931D-959A64574D89}" name="THC2" totalsRowFunction="average" dataDxfId="25" totalsRowDxfId="24" dataCellStyle="Comma"/>
    <tableColumn id="274" xr3:uid="{2C6A0043-B3F5-0E42-9DCF-DB694535043F}" name="X" totalsRowFunction="sum" dataDxfId="23" totalsRowDxfId="22" dataCellStyle="Comma">
      <calculatedColumnFormula>JP4*(_xlfn.XLOOKUP(JO$3,TabCalc[Ticker],TabCalc[M])+JQ4)</calculatedColumnFormula>
    </tableColumn>
    <tableColumn id="275" xr3:uid="{618B8C28-7E04-1844-8C5A-7C077244BE3C}" name="X1" totalsRowFunction="sum" dataDxfId="21" totalsRowDxfId="20" dataCellStyle="Comma"/>
    <tableColumn id="276" xr3:uid="{4BE104A1-9211-4F4C-94BA-24883EE05EB2}" name="X2" totalsRowFunction="average" dataDxfId="19" totalsRowDxfId="18" dataCellStyle="Comma"/>
    <tableColumn id="277" xr3:uid="{9CF61E2D-7D69-3A47-BA46-58E661CC2A03}" name="LOCK" totalsRowFunction="sum" dataDxfId="17" totalsRowDxfId="16" dataCellStyle="Comma">
      <calculatedColumnFormula>JS4*(_xlfn.XLOOKUP(JR$3,TabCalc[Ticker],TabCalc[M])+JT4)</calculatedColumnFormula>
    </tableColumn>
    <tableColumn id="278" xr3:uid="{3CEABE9C-FBED-B14E-B347-305053C76B00}" name="LOCK1" totalsRowFunction="sum" dataDxfId="15" totalsRowDxfId="14" dataCellStyle="Comma"/>
    <tableColumn id="279" xr3:uid="{0C18DBDC-FECC-3341-B235-DF1E9063D6FB}" name="LOCK2" totalsRowFunction="average" dataDxfId="13" totalsRowDxfId="12" dataCellStyle="Comma"/>
    <tableColumn id="280" xr3:uid="{0957126C-3AC2-FC46-9CCE-9CDB97F3259D}" name="JBASML" totalsRowFunction="sum" dataDxfId="11" totalsRowDxfId="10" dataCellStyle="Comma">
      <calculatedColumnFormula>JV4*(_xlfn.XLOOKUP(JU$3,TabCalc[Ticker],TabCalc[M])+JW4)</calculatedColumnFormula>
    </tableColumn>
    <tableColumn id="281" xr3:uid="{4E796D8B-0B1A-A24E-846F-D5CA1530C11A}" name="JBASML1" totalsRowFunction="sum" dataDxfId="9" totalsRowDxfId="8" dataCellStyle="Comma"/>
    <tableColumn id="282" xr3:uid="{05B1CEE8-DE7A-8648-AA60-B3D6FFC1C0B4}" name="JBASML2" totalsRowFunction="average" dataDxfId="7" totalsRowDxfId="6" dataCellStyle="Comma"/>
    <tableColumn id="283" xr3:uid="{D1D8A769-1420-5846-BE54-E349675C5315}" name="JBEOAN" totalsRowFunction="sum" dataDxfId="5" totalsRowDxfId="4" dataCellStyle="Comma">
      <calculatedColumnFormula>JY4*(_xlfn.XLOOKUP(JX$3,TabCalc[Ticker],TabCalc[M])+JZ4)</calculatedColumnFormula>
    </tableColumn>
    <tableColumn id="284" xr3:uid="{AFC92BED-9DE5-594B-8735-E720CDAEFC29}" name="JBEOAN1" totalsRowFunction="sum" dataDxfId="3" totalsRowDxfId="2" dataCellStyle="Comma"/>
    <tableColumn id="285" xr3:uid="{5F4263ED-C98D-B847-B128-EAB2E7CD8E43}" name="JBEOAN2" totalsRowFunction="average"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4085313.56</v>
      </c>
      <c r="I3" t="str" cm="1">
        <f t="array" aca="1" ref="I3:J96" ca="1">_xlfn._xlws.SORT(CHOOSE({1,2},D3:D96,Tab1ChangePercent[Change%19]),2,-1)</f>
        <v>LAZR</v>
      </c>
      <c r="J3" s="561">
        <f ca="1"/>
        <v>8.2608999999999988E-2</v>
      </c>
      <c r="K3" s="153" t="str" cm="1">
        <f t="array" aca="1" ref="K3:L96" ca="1">_xlfn._xlws.SORT(CHOOSE({1,2},D3:D96,Tab1ChangePercent[Change%20]),2,-1)</f>
        <v>PW</v>
      </c>
      <c r="L3" s="561">
        <f ca="1"/>
        <v>0.145346</v>
      </c>
      <c r="M3" s="1" t="str" cm="1">
        <f t="array" aca="1" ref="M3:N96" ca="1">_xlfn._xlws.SORT(CHOOSE({1,2},D3:D96,TabCalc[GLMore@A]),2,-1)</f>
        <v>MSFT</v>
      </c>
      <c r="N3" s="560">
        <f ca="1"/>
        <v>1726750.4000000001</v>
      </c>
      <c r="O3" t="str" cm="1">
        <f t="array" aca="1" ref="O3:P96" ca="1">_xlfn._xlws.SORT(CHOOSE({1,2},D3:D96,TabTRADER[Buy_Back]),2,-1)</f>
        <v>SAFIAG</v>
      </c>
      <c r="P3" s="560">
        <f ca="1"/>
        <v>78974.131999999998</v>
      </c>
      <c r="Q3" t="str" cm="1">
        <f t="array" aca="1" ref="Q3:R96" ca="1">_xlfn._xlws.SORT(CHOOSE({1,2},D3:D96,Tab2SumChangePercent[AVGChan20]),2,-1)</f>
        <v>UNIT</v>
      </c>
      <c r="R3" s="650" t="e">
        <f ca="1"/>
        <v>#REF!</v>
      </c>
      <c r="S3" t="str" cm="1">
        <f t="array" aca="1" ref="S3:T96" ca="1">_xlfn._xlws.SORT(CHOOSE({1,2},D3:D96,Tab2Saldo[Sald20]),2,-1)</f>
        <v>MSFT</v>
      </c>
      <c r="T3" s="87">
        <f ca="1"/>
        <v>117110</v>
      </c>
      <c r="U3" t="str" cm="1">
        <f t="array" aca="1" ref="U3:V96" ca="1">_xlfn._xlws.SORT(CHOOSE({1,2},D3:D96,Tab2Saldo5Days[Saldo_5Day20]),2,-1)</f>
        <v>MSFT</v>
      </c>
      <c r="V3" s="87">
        <f ca="1"/>
        <v>194823.99999999907</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369154.80000000005</v>
      </c>
      <c r="AI3" t="str" cm="1">
        <f t="array" aca="1" ref="AI3:AJ96" ca="1">_xlfn._xlws.SORT(CHOOSE({1,2},D3:D96,Tab2ReBuy[RevBuy20]),2,-1)</f>
        <v>MRNA</v>
      </c>
      <c r="AJ3" s="87">
        <f ca="1"/>
        <v>95205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-0.47534881516587679</v>
      </c>
      <c r="AQ3" s="87" t="str" cm="1">
        <f t="array" aca="1" ref="AQ3:AR96" ca="1">_xlfn._xlws.SORT(CHOOSE({1,2},D3:D96,TabCalc[Ann%RevLB]),2,-1)</f>
        <v>RIGL</v>
      </c>
      <c r="AR3" s="90">
        <f ca="1"/>
        <v>13.303646582855903</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PROF</v>
      </c>
      <c r="F4" s="559">
        <f ca="1"/>
        <v>6.0746796594593659</v>
      </c>
      <c r="G4" s="153" t="str">
        <f ca="1"/>
        <v>NFLX</v>
      </c>
      <c r="H4" s="560">
        <f ca="1"/>
        <v>1501438.99</v>
      </c>
      <c r="I4" t="str">
        <f ca="1"/>
        <v>BLNK</v>
      </c>
      <c r="J4" s="561">
        <f ca="1"/>
        <v>5.2914000000000003E-2</v>
      </c>
      <c r="K4" s="153" t="str">
        <f ca="1"/>
        <v>PROF</v>
      </c>
      <c r="L4" s="561">
        <f ca="1"/>
        <v>7.8739999999999991E-2</v>
      </c>
      <c r="M4" s="1" t="str">
        <f ca="1"/>
        <v>ASML</v>
      </c>
      <c r="N4" s="560">
        <f ca="1"/>
        <v>657385.99999999988</v>
      </c>
      <c r="O4" t="str">
        <f ca="1"/>
        <v>GLE</v>
      </c>
      <c r="P4" s="560">
        <f ca="1"/>
        <v>54178.767999999989</v>
      </c>
      <c r="Q4" t="str">
        <f ca="1"/>
        <v>POET</v>
      </c>
      <c r="R4" s="650">
        <f ca="1"/>
        <v>3.3476874999999989E-2</v>
      </c>
      <c r="S4" t="str">
        <f ca="1"/>
        <v>TSM</v>
      </c>
      <c r="T4" s="87">
        <f ca="1"/>
        <v>40320</v>
      </c>
      <c r="U4" t="str">
        <f ca="1"/>
        <v>POET</v>
      </c>
      <c r="V4" s="87">
        <f ca="1"/>
        <v>30600.000000000029</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39339.999999999978</v>
      </c>
      <c r="AI4" t="str">
        <f ca="1"/>
        <v>EPIX</v>
      </c>
      <c r="AJ4" s="87">
        <f ca="1"/>
        <v>55687.999999999993</v>
      </c>
      <c r="AK4" s="90" t="str">
        <f ca="1"/>
        <v>POET</v>
      </c>
      <c r="AL4" s="310">
        <f ca="1"/>
        <v>3.3476874999999989E-2</v>
      </c>
      <c r="AM4" t="str">
        <f ca="1"/>
        <v>DVA</v>
      </c>
      <c r="AN4" s="310" t="str">
        <f ca="1"/>
        <v/>
      </c>
      <c r="AO4" t="str">
        <f ca="1"/>
        <v>GLE</v>
      </c>
      <c r="AP4" s="310">
        <f ca="1"/>
        <v>-0.46878606247854443</v>
      </c>
      <c r="AQ4" s="87" t="str">
        <f ca="1"/>
        <v>NEM</v>
      </c>
      <c r="AR4" s="90">
        <f ca="1"/>
        <v>3.1315337806210026</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EPIX</v>
      </c>
      <c r="F5" s="559">
        <f ca="1"/>
        <v>1.8522760022071003</v>
      </c>
      <c r="G5" s="153" t="str">
        <f ca="1"/>
        <v>NEM</v>
      </c>
      <c r="H5" s="560">
        <f ca="1"/>
        <v>1274414.9300000002</v>
      </c>
      <c r="I5" t="str">
        <f ca="1"/>
        <v>UNIT</v>
      </c>
      <c r="J5" s="561">
        <f ca="1"/>
        <v>4.8722000000000001E-2</v>
      </c>
      <c r="K5" s="153" t="str">
        <f ca="1"/>
        <v>RIGL</v>
      </c>
      <c r="L5" s="561">
        <f ca="1"/>
        <v>5.1655E-2</v>
      </c>
      <c r="M5" s="1" t="str">
        <f ca="1"/>
        <v>AAPL</v>
      </c>
      <c r="N5" s="560">
        <f ca="1"/>
        <v>573717.39000000036</v>
      </c>
      <c r="O5" t="str">
        <f ca="1"/>
        <v>MVERWE</v>
      </c>
      <c r="P5" s="560">
        <f ca="1"/>
        <v>47943.00325200001</v>
      </c>
      <c r="Q5" t="str">
        <f ca="1"/>
        <v>PAAS</v>
      </c>
      <c r="R5" s="650">
        <f ca="1"/>
        <v>2.4554714285714284E-2</v>
      </c>
      <c r="S5" t="str">
        <f ca="1"/>
        <v>NEM</v>
      </c>
      <c r="T5" s="87">
        <f ca="1"/>
        <v>32200</v>
      </c>
      <c r="U5" t="str">
        <f ca="1"/>
        <v>TSM</v>
      </c>
      <c r="V5" s="87">
        <f ca="1"/>
        <v>24936</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29531.999999999993</v>
      </c>
      <c r="AI5" t="str">
        <f ca="1"/>
        <v>NVAX</v>
      </c>
      <c r="AJ5" s="87">
        <f ca="1"/>
        <v>31934.999999999996</v>
      </c>
      <c r="AK5" s="90" t="str">
        <f ca="1"/>
        <v>PAAS</v>
      </c>
      <c r="AL5" s="310">
        <f ca="1"/>
        <v>2.4554714285714284E-2</v>
      </c>
      <c r="AM5" t="str">
        <f ca="1"/>
        <v>LNSR</v>
      </c>
      <c r="AN5" s="310" t="str">
        <f ca="1"/>
        <v/>
      </c>
      <c r="AO5" t="str">
        <f ca="1"/>
        <v>X</v>
      </c>
      <c r="AP5" s="310">
        <f ca="1"/>
        <v>-0.43809952589350848</v>
      </c>
      <c r="AQ5" s="87" t="str">
        <f ca="1"/>
        <v>PROF</v>
      </c>
      <c r="AR5" s="90">
        <f ca="1"/>
        <v>2.1323057161207442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MVEEPIX</v>
      </c>
      <c r="F6" s="559">
        <f ca="1"/>
        <v>1.8522760022071003</v>
      </c>
      <c r="G6" s="153" t="str">
        <f ca="1"/>
        <v>AAPL</v>
      </c>
      <c r="H6" s="560">
        <f ca="1"/>
        <v>1175007.8750000007</v>
      </c>
      <c r="I6" t="str">
        <f ca="1"/>
        <v>LUV</v>
      </c>
      <c r="J6" s="561">
        <f ca="1"/>
        <v>2.7134000000000002E-2</v>
      </c>
      <c r="K6" s="153" t="str">
        <f ca="1"/>
        <v>UN0</v>
      </c>
      <c r="L6" s="561">
        <f ca="1"/>
        <v>4.1958000000000002E-2</v>
      </c>
      <c r="M6" s="1" t="str">
        <f ca="1"/>
        <v>NEM</v>
      </c>
      <c r="N6" s="560">
        <f ca="1"/>
        <v>508247.91000000003</v>
      </c>
      <c r="O6" t="str">
        <f ca="1"/>
        <v>SAFGM</v>
      </c>
      <c r="P6" s="560">
        <f ca="1"/>
        <v>43739.181680000002</v>
      </c>
      <c r="Q6" t="str">
        <f ca="1"/>
        <v>PW</v>
      </c>
      <c r="R6" s="650">
        <f ca="1"/>
        <v>2.1655499999999998E-2</v>
      </c>
      <c r="S6" t="str">
        <f ca="1"/>
        <v>ALDNE</v>
      </c>
      <c r="T6" s="87">
        <f ca="1"/>
        <v>20239.999999999534</v>
      </c>
      <c r="U6" t="str">
        <f ca="1"/>
        <v>MRNA</v>
      </c>
      <c r="V6" s="87">
        <f ca="1"/>
        <v>19860</v>
      </c>
      <c r="W6" t="str">
        <f ca="1"/>
        <v>WBA</v>
      </c>
      <c r="X6">
        <f ca="1"/>
        <v>1</v>
      </c>
      <c r="Y6" t="str">
        <f ca="1"/>
        <v>XOM</v>
      </c>
      <c r="Z6">
        <f ca="1"/>
        <v>1</v>
      </c>
      <c r="AA6" t="str">
        <f ca="1"/>
        <v>EPIX</v>
      </c>
      <c r="AB6">
        <f ca="1"/>
        <v>82</v>
      </c>
      <c r="AC6" t="str">
        <f ca="1"/>
        <v>MVEEPIX</v>
      </c>
      <c r="AD6" t="e">
        <f ca="1"/>
        <v>#DIV/0!</v>
      </c>
      <c r="AE6" t="str">
        <f ca="1"/>
        <v>C</v>
      </c>
      <c r="AF6" s="87">
        <f ca="1"/>
        <v>0</v>
      </c>
      <c r="AG6" t="str">
        <f ca="1"/>
        <v>MVEENI</v>
      </c>
      <c r="AH6" s="87">
        <f ca="1"/>
        <v>28239.999999999982</v>
      </c>
      <c r="AI6" t="str">
        <f ca="1"/>
        <v>XPER</v>
      </c>
      <c r="AJ6" s="87">
        <f ca="1"/>
        <v>31392.000000000004</v>
      </c>
      <c r="AK6" s="90" t="str">
        <f ca="1"/>
        <v>PW</v>
      </c>
      <c r="AL6" s="310">
        <f ca="1"/>
        <v>2.1655499999999998E-2</v>
      </c>
      <c r="AM6" t="str">
        <f ca="1"/>
        <v>NFLX</v>
      </c>
      <c r="AN6" s="310" t="str">
        <f ca="1"/>
        <v/>
      </c>
      <c r="AO6" t="str">
        <f ca="1"/>
        <v>RWE</v>
      </c>
      <c r="AP6" s="310">
        <f ca="1"/>
        <v>-0.37743472895548702</v>
      </c>
      <c r="AQ6" s="87" t="str">
        <f ca="1"/>
        <v>SAFASML</v>
      </c>
      <c r="AR6" s="90">
        <f ca="1"/>
        <v>1.6226811621511432</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XPER</v>
      </c>
      <c r="F7" s="559">
        <f ca="1"/>
        <v>1.1060872052413513</v>
      </c>
      <c r="G7" s="153" t="str">
        <f ca="1"/>
        <v>EOAN</v>
      </c>
      <c r="H7" s="560">
        <f ca="1"/>
        <v>1153858.5</v>
      </c>
      <c r="I7" t="str">
        <f ca="1"/>
        <v>GM</v>
      </c>
      <c r="J7" s="561">
        <f ca="1"/>
        <v>2.6438000000000003E-2</v>
      </c>
      <c r="K7" s="153" t="str">
        <f ca="1"/>
        <v>MVEUN0</v>
      </c>
      <c r="L7" s="561">
        <f ca="1"/>
        <v>4.1958000000000002E-2</v>
      </c>
      <c r="M7" s="1" t="str">
        <f ca="1"/>
        <v>AMZN</v>
      </c>
      <c r="N7" s="560">
        <f ca="1"/>
        <v>378377.21999999986</v>
      </c>
      <c r="O7" t="str">
        <f ca="1"/>
        <v>RWE</v>
      </c>
      <c r="P7" s="560">
        <f ca="1"/>
        <v>38363.993600000009</v>
      </c>
      <c r="Q7" t="str">
        <f ca="1"/>
        <v>UN0</v>
      </c>
      <c r="R7" s="650">
        <f ca="1"/>
        <v>1.0727994047619049E-2</v>
      </c>
      <c r="S7" t="str">
        <f ca="1"/>
        <v>AAPL</v>
      </c>
      <c r="T7" s="87">
        <f ca="1"/>
        <v>12920.000000000466</v>
      </c>
      <c r="U7" t="str">
        <f ca="1"/>
        <v>ALDNE</v>
      </c>
      <c r="V7" s="87">
        <f ca="1"/>
        <v>15179.999999999534</v>
      </c>
      <c r="W7" t="str">
        <f ca="1"/>
        <v>XOM</v>
      </c>
      <c r="X7">
        <f ca="1"/>
        <v>1</v>
      </c>
      <c r="Y7" t="str">
        <f ca="1"/>
        <v>MVEEPIX</v>
      </c>
      <c r="Z7">
        <f ca="1"/>
        <v>1</v>
      </c>
      <c r="AA7" t="str">
        <f ca="1"/>
        <v>SAFGM</v>
      </c>
      <c r="AB7">
        <f ca="1"/>
        <v>82</v>
      </c>
      <c r="AC7" t="str">
        <f ca="1"/>
        <v>X</v>
      </c>
      <c r="AD7" t="e">
        <f ca="1"/>
        <v>#DIV/0!</v>
      </c>
      <c r="AE7" t="str">
        <f ca="1"/>
        <v>CSCO</v>
      </c>
      <c r="AF7" s="87">
        <f ca="1"/>
        <v>0</v>
      </c>
      <c r="AG7" t="str">
        <f ca="1"/>
        <v>IAG</v>
      </c>
      <c r="AH7" s="87">
        <f ca="1"/>
        <v>26417.600000000006</v>
      </c>
      <c r="AI7" t="str">
        <f ca="1"/>
        <v>DXC</v>
      </c>
      <c r="AJ7" s="87">
        <f ca="1"/>
        <v>29660.000000000004</v>
      </c>
      <c r="AK7" s="90" t="str">
        <f ca="1"/>
        <v>UN0</v>
      </c>
      <c r="AL7" s="310">
        <f ca="1"/>
        <v>1.0727994047619049E-2</v>
      </c>
      <c r="AM7" t="str">
        <f ca="1"/>
        <v>PAAS</v>
      </c>
      <c r="AN7" s="310" t="str">
        <f ca="1"/>
        <v/>
      </c>
      <c r="AO7" t="str">
        <f ca="1"/>
        <v>LUMN</v>
      </c>
      <c r="AP7" s="310">
        <f ca="1"/>
        <v>-0.36826958698372969</v>
      </c>
      <c r="AQ7" s="87" t="str">
        <f ca="1"/>
        <v>KR</v>
      </c>
      <c r="AR7" s="90">
        <f ca="1"/>
        <v>1.3130910540236949</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LOCK</v>
      </c>
      <c r="F8" s="559">
        <f ca="1"/>
        <v>1</v>
      </c>
      <c r="G8" s="153" t="str">
        <f ca="1"/>
        <v>IAG</v>
      </c>
      <c r="H8" s="560">
        <f ca="1"/>
        <v>1148690.6671000002</v>
      </c>
      <c r="I8" t="str">
        <f ca="1"/>
        <v>SAFGM</v>
      </c>
      <c r="J8" s="561">
        <f ca="1"/>
        <v>2.6438000000000003E-2</v>
      </c>
      <c r="K8" s="153" t="str">
        <f ca="1"/>
        <v>UNIT</v>
      </c>
      <c r="L8" s="561">
        <f ca="1"/>
        <v>4.0597000000000001E-2</v>
      </c>
      <c r="M8" s="1" t="str">
        <f ca="1"/>
        <v>LOCK</v>
      </c>
      <c r="N8" s="560">
        <f ca="1"/>
        <v>369154.80000000005</v>
      </c>
      <c r="O8" t="str">
        <f ca="1"/>
        <v>X</v>
      </c>
      <c r="P8" s="560">
        <f ca="1"/>
        <v>29750.846160000008</v>
      </c>
      <c r="Q8" t="str">
        <f ca="1"/>
        <v>LUMN</v>
      </c>
      <c r="R8" s="650">
        <f ca="1"/>
        <v>6.7344583333333327E-3</v>
      </c>
      <c r="S8" t="str">
        <f ca="1"/>
        <v>SAFDDD</v>
      </c>
      <c r="T8" s="87">
        <f ca="1"/>
        <v>9350</v>
      </c>
      <c r="U8" t="str">
        <f ca="1"/>
        <v>SAFDDD</v>
      </c>
      <c r="V8" s="87">
        <f ca="1"/>
        <v>14300</v>
      </c>
      <c r="W8" t="str">
        <f ca="1"/>
        <v>MVEEPIX</v>
      </c>
      <c r="X8">
        <f ca="1"/>
        <v>1</v>
      </c>
      <c r="Y8" t="str">
        <f ca="1"/>
        <v>X</v>
      </c>
      <c r="Z8">
        <f ca="1"/>
        <v>1</v>
      </c>
      <c r="AA8" t="str">
        <f ca="1"/>
        <v>MVEENI</v>
      </c>
      <c r="AB8">
        <f ca="1"/>
        <v>72</v>
      </c>
      <c r="AC8" t="str">
        <f ca="1"/>
        <v>MVEENI</v>
      </c>
      <c r="AD8">
        <f ca="1"/>
        <v>89</v>
      </c>
      <c r="AE8" t="str">
        <f ca="1"/>
        <v>CVS</v>
      </c>
      <c r="AF8" s="87">
        <f ca="1"/>
        <v>0</v>
      </c>
      <c r="AG8" t="str">
        <f ca="1"/>
        <v>SAFAAPL</v>
      </c>
      <c r="AH8" s="87">
        <f ca="1"/>
        <v>21346.900000000005</v>
      </c>
      <c r="AI8" t="str">
        <f ca="1"/>
        <v>MVESAP</v>
      </c>
      <c r="AJ8" s="87">
        <f ca="1"/>
        <v>28640.000000000015</v>
      </c>
      <c r="AK8" s="90" t="str">
        <f ca="1"/>
        <v>LUMN</v>
      </c>
      <c r="AL8" s="310">
        <f ca="1"/>
        <v>6.7344583333333327E-3</v>
      </c>
      <c r="AM8" t="str">
        <f ca="1"/>
        <v>VLVLY</v>
      </c>
      <c r="AN8" s="310" t="str">
        <f ca="1"/>
        <v/>
      </c>
      <c r="AO8" t="str">
        <f ca="1"/>
        <v>MSFT</v>
      </c>
      <c r="AP8" s="310">
        <f ca="1"/>
        <v>-0.34796638129319707</v>
      </c>
      <c r="AQ8" s="87" t="str">
        <f ca="1"/>
        <v>GLE</v>
      </c>
      <c r="AR8" s="90">
        <f ca="1"/>
        <v>1.1997599388935363</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DVA</v>
      </c>
      <c r="F9" s="559">
        <f ca="1"/>
        <v>0.77739301290205343</v>
      </c>
      <c r="G9" s="153" t="str">
        <f ca="1"/>
        <v>TSM</v>
      </c>
      <c r="H9" s="560">
        <f ca="1"/>
        <v>899018.92200000002</v>
      </c>
      <c r="I9" t="str">
        <f ca="1"/>
        <v>PAAS</v>
      </c>
      <c r="J9" s="561">
        <f ca="1"/>
        <v>2.6305000000000002E-2</v>
      </c>
      <c r="K9" s="153" t="str">
        <f ca="1"/>
        <v>ALDNE</v>
      </c>
      <c r="L9" s="561">
        <f ca="1"/>
        <v>3.3033E-2</v>
      </c>
      <c r="M9" s="1" t="str">
        <f ca="1"/>
        <v>TSM</v>
      </c>
      <c r="N9" s="560">
        <f ca="1"/>
        <v>364127.31937500014</v>
      </c>
      <c r="O9" t="str">
        <f ca="1"/>
        <v>GM</v>
      </c>
      <c r="P9" s="560">
        <f ca="1"/>
        <v>22638.715902</v>
      </c>
      <c r="Q9" t="str">
        <f ca="1"/>
        <v>SAFMRNA</v>
      </c>
      <c r="R9" s="650">
        <f ca="1"/>
        <v>6.7344583333333327E-3</v>
      </c>
      <c r="S9" t="str">
        <f ca="1"/>
        <v>POET</v>
      </c>
      <c r="T9" s="87">
        <f ca="1"/>
        <v>9000.0000000000291</v>
      </c>
      <c r="U9" t="str">
        <f ca="1"/>
        <v>SHECY</v>
      </c>
      <c r="V9" s="87">
        <f ca="1"/>
        <v>13550.16320000001</v>
      </c>
      <c r="W9" t="str">
        <f ca="1"/>
        <v>SAFGM</v>
      </c>
      <c r="X9">
        <f ca="1"/>
        <v>1</v>
      </c>
      <c r="Y9" t="str">
        <f ca="1"/>
        <v>IAG</v>
      </c>
      <c r="Z9">
        <f ca="1"/>
        <v>2</v>
      </c>
      <c r="AA9" t="str">
        <f ca="1"/>
        <v>ENI</v>
      </c>
      <c r="AB9">
        <f ca="1"/>
        <v>72</v>
      </c>
      <c r="AC9" t="str">
        <f ca="1"/>
        <v>ENI</v>
      </c>
      <c r="AD9">
        <f ca="1"/>
        <v>89</v>
      </c>
      <c r="AE9" t="str">
        <f ca="1"/>
        <v>EOAN</v>
      </c>
      <c r="AF9" s="87">
        <f ca="1"/>
        <v>0</v>
      </c>
      <c r="AG9" t="str">
        <f ca="1"/>
        <v>SAFASML</v>
      </c>
      <c r="AH9" s="87">
        <f ca="1"/>
        <v>19340.299999999996</v>
      </c>
      <c r="AI9" t="str">
        <f ca="1"/>
        <v>SAFMRNA</v>
      </c>
      <c r="AJ9" s="87">
        <f ca="1"/>
        <v>19866</v>
      </c>
      <c r="AK9" s="90" t="str">
        <f ca="1"/>
        <v>SAFMRNA</v>
      </c>
      <c r="AL9" s="310">
        <f ca="1"/>
        <v>6.7344583333333327E-3</v>
      </c>
      <c r="AM9" t="str">
        <f ca="1"/>
        <v>VONN</v>
      </c>
      <c r="AN9" s="310" t="str">
        <f ca="1"/>
        <v/>
      </c>
      <c r="AO9" t="str">
        <f ca="1"/>
        <v>GM</v>
      </c>
      <c r="AP9" s="310">
        <f ca="1"/>
        <v>-0.3410920634920635</v>
      </c>
      <c r="AQ9" s="87" t="str">
        <f ca="1"/>
        <v>RIG</v>
      </c>
      <c r="AR9" s="90">
        <f ca="1"/>
        <v>1.1982248520710057</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LNSR</v>
      </c>
      <c r="F10" s="559">
        <f ca="1"/>
        <v>0.67310504152532458</v>
      </c>
      <c r="G10" s="153" t="str">
        <f ca="1"/>
        <v>AMZN</v>
      </c>
      <c r="H10" s="560">
        <f ca="1"/>
        <v>853915.78</v>
      </c>
      <c r="I10" t="str">
        <f ca="1"/>
        <v>XOM</v>
      </c>
      <c r="J10" s="561">
        <f ca="1"/>
        <v>2.5239999999999999E-2</v>
      </c>
      <c r="K10" s="153" t="str">
        <f ca="1"/>
        <v>MVEALDNE</v>
      </c>
      <c r="L10" s="561">
        <f ca="1"/>
        <v>3.3033E-2</v>
      </c>
      <c r="M10" s="1" t="str">
        <f ca="1"/>
        <v>IAG</v>
      </c>
      <c r="N10" s="560">
        <f ca="1"/>
        <v>128136.02</v>
      </c>
      <c r="O10" t="str">
        <f ca="1"/>
        <v>XOM</v>
      </c>
      <c r="P10" s="560">
        <f ca="1"/>
        <v>21400.214400000004</v>
      </c>
      <c r="Q10" t="str">
        <f ca="1"/>
        <v>NEM</v>
      </c>
      <c r="R10" s="650">
        <f ca="1"/>
        <v>4.523639285714285E-3</v>
      </c>
      <c r="S10" t="str">
        <f ca="1"/>
        <v>DDD</v>
      </c>
      <c r="T10" s="87">
        <f ca="1"/>
        <v>7225</v>
      </c>
      <c r="U10" t="str">
        <f ca="1"/>
        <v>BLNK</v>
      </c>
      <c r="V10" s="87">
        <f ca="1"/>
        <v>13200</v>
      </c>
      <c r="W10" t="str">
        <f ca="1"/>
        <v>RIG</v>
      </c>
      <c r="X10">
        <f ca="1"/>
        <v>1</v>
      </c>
      <c r="Y10" t="str">
        <f ca="1"/>
        <v>SAP</v>
      </c>
      <c r="Z10">
        <f ca="1"/>
        <v>2</v>
      </c>
      <c r="AA10" t="str">
        <f ca="1"/>
        <v>RIG</v>
      </c>
      <c r="AB10">
        <f ca="1"/>
        <v>70</v>
      </c>
      <c r="AC10" t="str">
        <f ca="1"/>
        <v>EPIX</v>
      </c>
      <c r="AD10">
        <f ca="1"/>
        <v>86</v>
      </c>
      <c r="AE10" t="str">
        <f ca="1"/>
        <v>EPIX</v>
      </c>
      <c r="AF10" s="87">
        <f ca="1"/>
        <v>0</v>
      </c>
      <c r="AG10" t="str">
        <f ca="1"/>
        <v>NEM</v>
      </c>
      <c r="AH10" s="87">
        <f ca="1"/>
        <v>17840.000000000004</v>
      </c>
      <c r="AI10" t="str">
        <f ca="1"/>
        <v>MVEDSY</v>
      </c>
      <c r="AJ10" s="87">
        <f ca="1"/>
        <v>16200</v>
      </c>
      <c r="AK10" s="90" t="str">
        <f ca="1"/>
        <v>NEM</v>
      </c>
      <c r="AL10" s="310">
        <f ca="1"/>
        <v>4.523639285714285E-3</v>
      </c>
      <c r="AM10" t="str">
        <f ca="1"/>
        <v>XOM</v>
      </c>
      <c r="AN10" s="310" t="str">
        <f ca="1"/>
        <v/>
      </c>
      <c r="AO10" t="str">
        <f ca="1"/>
        <v>RIGL</v>
      </c>
      <c r="AP10" s="310">
        <f ca="1"/>
        <v>-0.32368973136226342</v>
      </c>
      <c r="AQ10" s="87" t="str">
        <f ca="1"/>
        <v>CSCO</v>
      </c>
      <c r="AR10" s="90">
        <f ca="1"/>
        <v>1.1126373626373622</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RRC</v>
      </c>
      <c r="F11" s="559">
        <f ca="1"/>
        <v>0.65011551878952545</v>
      </c>
      <c r="G11" s="153" t="str">
        <f ca="1"/>
        <v>ASML</v>
      </c>
      <c r="H11" s="560">
        <f ca="1"/>
        <v>784020.81</v>
      </c>
      <c r="I11" t="str">
        <f ca="1"/>
        <v>KR</v>
      </c>
      <c r="J11" s="561">
        <f ca="1"/>
        <v>2.3254E-2</v>
      </c>
      <c r="K11" s="153" t="str">
        <f ca="1"/>
        <v>OXY</v>
      </c>
      <c r="L11" s="561">
        <f ca="1"/>
        <v>1.7849E-2</v>
      </c>
      <c r="M11" s="1" t="str">
        <f ca="1"/>
        <v>MVEENI</v>
      </c>
      <c r="N11" s="560">
        <f ca="1"/>
        <v>110213.19999999995</v>
      </c>
      <c r="O11" t="str">
        <f ca="1"/>
        <v>GS</v>
      </c>
      <c r="P11" s="560">
        <f ca="1"/>
        <v>15816.769200000002</v>
      </c>
      <c r="Q11" t="str">
        <f ca="1"/>
        <v>ALDNE</v>
      </c>
      <c r="R11" s="650">
        <f ca="1"/>
        <v>3.4727142857142864E-3</v>
      </c>
      <c r="S11" t="str">
        <f ca="1"/>
        <v>PAAS</v>
      </c>
      <c r="T11" s="87">
        <f ca="1"/>
        <v>6800</v>
      </c>
      <c r="U11" t="str">
        <f ca="1"/>
        <v>AAPL</v>
      </c>
      <c r="V11" s="87">
        <f ca="1"/>
        <v>12770.000000000466</v>
      </c>
      <c r="W11" t="str">
        <f ca="1"/>
        <v>X</v>
      </c>
      <c r="X11">
        <f ca="1"/>
        <v>1</v>
      </c>
      <c r="Y11" t="str">
        <f ca="1"/>
        <v>UN0</v>
      </c>
      <c r="Z11">
        <f ca="1"/>
        <v>2</v>
      </c>
      <c r="AA11" t="str">
        <f ca="1"/>
        <v>PW</v>
      </c>
      <c r="AB11">
        <f ca="1"/>
        <v>66</v>
      </c>
      <c r="AC11" t="str">
        <f ca="1"/>
        <v>SAFGM</v>
      </c>
      <c r="AD11">
        <f ca="1"/>
        <v>86</v>
      </c>
      <c r="AE11" t="str">
        <f ca="1"/>
        <v>GM</v>
      </c>
      <c r="AF11" s="87">
        <f ca="1"/>
        <v>0</v>
      </c>
      <c r="AG11" t="str">
        <f ca="1"/>
        <v>ENI</v>
      </c>
      <c r="AH11" s="87">
        <f ca="1"/>
        <v>16216.199999999992</v>
      </c>
      <c r="AI11" t="str">
        <f ca="1"/>
        <v>NFLX</v>
      </c>
      <c r="AJ11" s="87">
        <f ca="1"/>
        <v>12138.999999999987</v>
      </c>
      <c r="AK11" s="90" t="str">
        <f ca="1"/>
        <v>ALDNE</v>
      </c>
      <c r="AL11" s="310">
        <f ca="1"/>
        <v>3.4727142857142864E-3</v>
      </c>
      <c r="AM11" t="str">
        <f ca="1"/>
        <v>MVEGLE</v>
      </c>
      <c r="AN11" s="310" t="str">
        <f ca="1"/>
        <v/>
      </c>
      <c r="AO11" t="str">
        <f ca="1"/>
        <v>SAFGM</v>
      </c>
      <c r="AP11" s="310">
        <f ca="1"/>
        <v>-0.31335113378684804</v>
      </c>
      <c r="AQ11" s="87" t="str">
        <f ca="1"/>
        <v>PAAS</v>
      </c>
      <c r="AR11" s="90">
        <f ca="1"/>
        <v>1.041433370660694</v>
      </c>
      <c r="AS11" s="94" t="str">
        <f ca="1"/>
        <v>NEM</v>
      </c>
      <c r="AT11" s="90">
        <f ca="1"/>
        <v>0.1111111111111111</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VONN</v>
      </c>
      <c r="F12" s="559">
        <f ca="1"/>
        <v>0.42833015527104329</v>
      </c>
      <c r="G12" s="153" t="str">
        <f ca="1"/>
        <v>LOCK</v>
      </c>
      <c r="H12" s="560">
        <f ca="1"/>
        <v>369154.80000000005</v>
      </c>
      <c r="I12" t="str">
        <f ca="1"/>
        <v>OXY</v>
      </c>
      <c r="J12" s="561">
        <f ca="1"/>
        <v>2.2067E-2</v>
      </c>
      <c r="K12" s="153" t="str">
        <f ca="1"/>
        <v>AET</v>
      </c>
      <c r="L12" s="561">
        <f ca="1"/>
        <v>1.7698999999999999E-2</v>
      </c>
      <c r="M12" s="1" t="str">
        <f ca="1"/>
        <v>SAFASML</v>
      </c>
      <c r="N12" s="560">
        <f ca="1"/>
        <v>54256.761999999981</v>
      </c>
      <c r="O12" t="str">
        <f ca="1"/>
        <v>JBASML</v>
      </c>
      <c r="P12" s="560">
        <f ca="1"/>
        <v>12926.30399999998</v>
      </c>
      <c r="Q12" t="str">
        <f ca="1"/>
        <v>MVEALDNE</v>
      </c>
      <c r="R12" s="650">
        <f ca="1"/>
        <v>3.4727142857142864E-3</v>
      </c>
      <c r="S12" t="str">
        <f ca="1"/>
        <v>KR</v>
      </c>
      <c r="T12" s="87">
        <f ca="1"/>
        <v>4619.9999999999418</v>
      </c>
      <c r="U12" t="str">
        <f ca="1"/>
        <v>DDD</v>
      </c>
      <c r="V12" s="87">
        <f ca="1"/>
        <v>11050</v>
      </c>
      <c r="W12" t="str">
        <f ca="1"/>
        <v>MVEORA</v>
      </c>
      <c r="X12">
        <f ca="1"/>
        <v>2</v>
      </c>
      <c r="Y12" t="str">
        <f ca="1"/>
        <v>LAZR</v>
      </c>
      <c r="Z12">
        <f ca="1"/>
        <v>2</v>
      </c>
      <c r="AA12" t="str">
        <f ca="1"/>
        <v>MVEORA</v>
      </c>
      <c r="AB12">
        <f ca="1"/>
        <v>66</v>
      </c>
      <c r="AC12" t="str">
        <f ca="1"/>
        <v>RIG</v>
      </c>
      <c r="AD12">
        <f ca="1"/>
        <v>81</v>
      </c>
      <c r="AE12" t="str">
        <f ca="1"/>
        <v>HPE</v>
      </c>
      <c r="AF12" s="87">
        <f ca="1"/>
        <v>0</v>
      </c>
      <c r="AG12" t="str">
        <f ca="1"/>
        <v>BLNK</v>
      </c>
      <c r="AH12" s="87">
        <f ca="1"/>
        <v>15919.999999999996</v>
      </c>
      <c r="AI12" t="str">
        <f ca="1"/>
        <v>POET</v>
      </c>
      <c r="AJ12" s="87">
        <f ca="1"/>
        <v>11675</v>
      </c>
      <c r="AK12" s="90" t="str">
        <f ca="1"/>
        <v>MVEALDNE</v>
      </c>
      <c r="AL12" s="310">
        <f ca="1"/>
        <v>3.4727142857142864E-3</v>
      </c>
      <c r="AM12" t="str">
        <f ca="1"/>
        <v>SAFGM</v>
      </c>
      <c r="AN12" s="310" t="str">
        <f ca="1"/>
        <v/>
      </c>
      <c r="AO12" t="str">
        <f ca="1"/>
        <v>IAG</v>
      </c>
      <c r="AP12" s="310">
        <f ca="1"/>
        <v>-0.30826069511700577</v>
      </c>
      <c r="AQ12" s="87" t="str">
        <f ca="1"/>
        <v>AAPL</v>
      </c>
      <c r="AR12" s="90">
        <f ca="1"/>
        <v>0.98875629440573976</v>
      </c>
      <c r="AS12" s="94" t="str">
        <f ca="1"/>
        <v>AAPL</v>
      </c>
      <c r="AT12" s="90">
        <f ca="1"/>
        <v>0</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MVEENI</v>
      </c>
      <c r="F13" s="559">
        <f ca="1"/>
        <v>0.20727782625951161</v>
      </c>
      <c r="G13" s="153" t="str">
        <f ca="1"/>
        <v>JBEOAN</v>
      </c>
      <c r="H13" s="560">
        <f ca="1"/>
        <v>302573.02100000001</v>
      </c>
      <c r="I13" t="str">
        <f ca="1"/>
        <v>NEE</v>
      </c>
      <c r="J13" s="561">
        <f ca="1"/>
        <v>2.0853999999999998E-2</v>
      </c>
      <c r="K13" s="153" t="str">
        <f ca="1"/>
        <v>KR</v>
      </c>
      <c r="L13" s="561">
        <f ca="1"/>
        <v>1.6611000000000001E-2</v>
      </c>
      <c r="M13" s="1" t="str">
        <f ca="1"/>
        <v>THC</v>
      </c>
      <c r="N13" s="560">
        <f ca="1"/>
        <v>48583.115000000005</v>
      </c>
      <c r="O13" t="str">
        <f ca="1"/>
        <v>NEM</v>
      </c>
      <c r="P13" s="560">
        <f ca="1"/>
        <v>12627.083999999995</v>
      </c>
      <c r="Q13" t="str">
        <f ca="1"/>
        <v>IAG</v>
      </c>
      <c r="R13" s="650">
        <f ca="1"/>
        <v>3.3981309523809528E-3</v>
      </c>
      <c r="S13" t="str">
        <f ca="1"/>
        <v>AVGO</v>
      </c>
      <c r="T13" s="87">
        <f ca="1"/>
        <v>4396</v>
      </c>
      <c r="U13" t="str">
        <f ca="1"/>
        <v>SAFMRNA</v>
      </c>
      <c r="V13" s="87">
        <f ca="1"/>
        <v>8275</v>
      </c>
      <c r="W13" t="str">
        <f ca="1"/>
        <v>ORA</v>
      </c>
      <c r="X13">
        <f ca="1"/>
        <v>2</v>
      </c>
      <c r="Y13" t="str">
        <f ca="1"/>
        <v>OXY</v>
      </c>
      <c r="Z13">
        <f ca="1"/>
        <v>2</v>
      </c>
      <c r="AA13" t="str">
        <f ca="1"/>
        <v>ORA</v>
      </c>
      <c r="AB13">
        <f ca="1"/>
        <v>66</v>
      </c>
      <c r="AC13" t="str">
        <f ca="1"/>
        <v>XOM</v>
      </c>
      <c r="AD13">
        <f ca="1"/>
        <v>77</v>
      </c>
      <c r="AE13" t="str">
        <f ca="1"/>
        <v>IAG</v>
      </c>
      <c r="AF13" s="87">
        <f ca="1"/>
        <v>0</v>
      </c>
      <c r="AG13" t="str">
        <f ca="1"/>
        <v>RIGL</v>
      </c>
      <c r="AH13" s="87">
        <f ca="1"/>
        <v>13610</v>
      </c>
      <c r="AI13" t="str">
        <f ca="1"/>
        <v>THC</v>
      </c>
      <c r="AJ13" s="87">
        <f ca="1"/>
        <v>11669.999999999987</v>
      </c>
      <c r="AK13" s="90" t="str">
        <f ca="1"/>
        <v>IAG</v>
      </c>
      <c r="AL13" s="310">
        <f ca="1"/>
        <v>3.3981309523809528E-3</v>
      </c>
      <c r="AM13" t="str">
        <f ca="1"/>
        <v>SAFIAG</v>
      </c>
      <c r="AN13" s="310" t="str">
        <f ca="1"/>
        <v/>
      </c>
      <c r="AO13" t="str">
        <f ca="1"/>
        <v>BLDP</v>
      </c>
      <c r="AP13" s="310">
        <f ca="1"/>
        <v>-0.29500924092409231</v>
      </c>
      <c r="AQ13" s="87" t="str">
        <f ca="1"/>
        <v>BLNK</v>
      </c>
      <c r="AR13" s="90">
        <f ca="1"/>
        <v>0.98320158102766775</v>
      </c>
      <c r="AS13" s="94" t="str">
        <f ca="1"/>
        <v>ADEA</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ENI</v>
      </c>
      <c r="F14" s="559">
        <f ca="1"/>
        <v>0.20727782625951161</v>
      </c>
      <c r="G14" s="153" t="str">
        <f ca="1"/>
        <v>THC</v>
      </c>
      <c r="H14" s="560">
        <f ca="1"/>
        <v>282470.848</v>
      </c>
      <c r="I14" t="str">
        <f ca="1"/>
        <v>UN0</v>
      </c>
      <c r="J14" s="561">
        <f ca="1"/>
        <v>1.9678000000000001E-2</v>
      </c>
      <c r="K14" s="153" t="str">
        <f ca="1"/>
        <v>MSFT</v>
      </c>
      <c r="L14" s="561">
        <f ca="1"/>
        <v>1.3690000000000001E-2</v>
      </c>
      <c r="M14" s="1" t="str">
        <f ca="1"/>
        <v>SAFAMZN</v>
      </c>
      <c r="N14" s="560">
        <f ca="1"/>
        <v>44985.000000000015</v>
      </c>
      <c r="O14" t="str">
        <f ca="1"/>
        <v>RRC</v>
      </c>
      <c r="P14" s="560">
        <f ca="1"/>
        <v>11824.176999999976</v>
      </c>
      <c r="Q14" t="str">
        <f ca="1"/>
        <v>AVGO</v>
      </c>
      <c r="R14" s="650">
        <f ca="1"/>
        <v>3.3437059523809521E-3</v>
      </c>
      <c r="S14" t="str">
        <f ca="1"/>
        <v>MVEALDNE</v>
      </c>
      <c r="T14" s="87">
        <f ca="1"/>
        <v>4040</v>
      </c>
      <c r="U14" t="str">
        <f ca="1"/>
        <v>OXY</v>
      </c>
      <c r="V14" s="87">
        <f ca="1"/>
        <v>7580</v>
      </c>
      <c r="W14" t="str">
        <f ca="1"/>
        <v>AMZN</v>
      </c>
      <c r="X14">
        <f ca="1"/>
        <v>3</v>
      </c>
      <c r="Y14" t="str">
        <f ca="1"/>
        <v>AVGO</v>
      </c>
      <c r="Z14">
        <f ca="1"/>
        <v>3</v>
      </c>
      <c r="AA14" t="str">
        <f ca="1"/>
        <v>XOM</v>
      </c>
      <c r="AB14">
        <f ca="1"/>
        <v>65</v>
      </c>
      <c r="AC14" t="str">
        <f ca="1"/>
        <v>AAPL</v>
      </c>
      <c r="AD14">
        <f ca="1"/>
        <v>73</v>
      </c>
      <c r="AE14" t="str">
        <f ca="1"/>
        <v>LNSR</v>
      </c>
      <c r="AF14" s="87">
        <f ca="1"/>
        <v>0</v>
      </c>
      <c r="AG14" t="str">
        <f ca="1"/>
        <v>ASML</v>
      </c>
      <c r="AH14" s="87">
        <f ca="1"/>
        <v>11500</v>
      </c>
      <c r="AI14" t="str">
        <f ca="1"/>
        <v>SSYS</v>
      </c>
      <c r="AJ14" s="87">
        <f ca="1"/>
        <v>11452.599900000003</v>
      </c>
      <c r="AK14" s="90" t="str">
        <f ca="1"/>
        <v>AVGO</v>
      </c>
      <c r="AL14" s="310">
        <f ca="1"/>
        <v>3.3437059523809521E-3</v>
      </c>
      <c r="AM14" t="str">
        <f ca="1"/>
        <v>F</v>
      </c>
      <c r="AN14" s="310" t="str">
        <f ca="1"/>
        <v/>
      </c>
      <c r="AO14" t="str">
        <f ca="1"/>
        <v>NEM</v>
      </c>
      <c r="AP14" s="310">
        <f ca="1"/>
        <v>-0.29203502847380414</v>
      </c>
      <c r="AQ14" s="87" t="str">
        <f ca="1"/>
        <v>NEE</v>
      </c>
      <c r="AR14" s="90">
        <f ca="1"/>
        <v>0.95812171862911033</v>
      </c>
      <c r="AS14" s="94" t="str">
        <f ca="1"/>
        <v>AET</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AET</v>
      </c>
      <c r="F15" s="559">
        <f ca="1"/>
        <v>0.17172375690607736</v>
      </c>
      <c r="G15" s="153" t="str">
        <f ca="1"/>
        <v>SAFAMZN</v>
      </c>
      <c r="H15" s="560">
        <f ca="1"/>
        <v>180383.84100000001</v>
      </c>
      <c r="I15" t="str">
        <f ca="1"/>
        <v>MVEUN0</v>
      </c>
      <c r="J15" s="561">
        <f ca="1"/>
        <v>1.9678000000000001E-2</v>
      </c>
      <c r="K15" s="153" t="str">
        <f ca="1"/>
        <v>XOM</v>
      </c>
      <c r="L15" s="561">
        <f ca="1"/>
        <v>1.2992999999999999E-2</v>
      </c>
      <c r="M15" s="1" t="str">
        <f ca="1"/>
        <v>PAAS</v>
      </c>
      <c r="N15" s="560">
        <f ca="1"/>
        <v>37029.999999999985</v>
      </c>
      <c r="O15" t="str">
        <f ca="1"/>
        <v>SAFASML</v>
      </c>
      <c r="P15" s="560">
        <f ca="1"/>
        <v>11375.147519999995</v>
      </c>
      <c r="Q15" t="str">
        <f ca="1"/>
        <v>RIGL</v>
      </c>
      <c r="R15" s="650">
        <f ca="1"/>
        <v>2.88618630952381E-3</v>
      </c>
      <c r="S15" t="str">
        <f ca="1"/>
        <v>MRNA</v>
      </c>
      <c r="T15" s="87">
        <f ca="1"/>
        <v>4020</v>
      </c>
      <c r="U15" t="str">
        <f ca="1"/>
        <v>SSYS</v>
      </c>
      <c r="V15" s="87">
        <f ca="1"/>
        <v>5120</v>
      </c>
      <c r="W15" t="str">
        <f ca="1"/>
        <v>PW</v>
      </c>
      <c r="X15">
        <f ca="1"/>
        <v>3</v>
      </c>
      <c r="Y15" t="str">
        <f ca="1"/>
        <v>DSY</v>
      </c>
      <c r="Z15">
        <f ca="1"/>
        <v>3</v>
      </c>
      <c r="AA15" t="str">
        <f ca="1"/>
        <v>F</v>
      </c>
      <c r="AB15">
        <f ca="1"/>
        <v>63</v>
      </c>
      <c r="AC15" t="str">
        <f ca="1"/>
        <v>UN0</v>
      </c>
      <c r="AD15">
        <f ca="1"/>
        <v>73</v>
      </c>
      <c r="AE15" t="str">
        <f ca="1"/>
        <v>LUMN</v>
      </c>
      <c r="AF15" s="87">
        <f ca="1"/>
        <v>0</v>
      </c>
      <c r="AG15" t="str">
        <f ca="1"/>
        <v>CSCO</v>
      </c>
      <c r="AH15" s="87">
        <f ca="1"/>
        <v>10799.999999999996</v>
      </c>
      <c r="AI15" t="str">
        <f ca="1"/>
        <v>SAFDDD</v>
      </c>
      <c r="AJ15" s="87">
        <f ca="1"/>
        <v>10890.000000000002</v>
      </c>
      <c r="AK15" s="90" t="str">
        <f ca="1"/>
        <v>RIGL</v>
      </c>
      <c r="AL15" s="310">
        <f ca="1"/>
        <v>2.88618630952381E-3</v>
      </c>
      <c r="AM15" t="str">
        <f ca="1"/>
        <v>GLE</v>
      </c>
      <c r="AN15" s="310" t="str">
        <f ca="1"/>
        <v/>
      </c>
      <c r="AO15" t="str">
        <f ca="1"/>
        <v>TSM</v>
      </c>
      <c r="AP15" s="310">
        <f ca="1"/>
        <v>-0.28664950357473007</v>
      </c>
      <c r="AQ15" s="87" t="str">
        <f ca="1"/>
        <v>MVEGLE</v>
      </c>
      <c r="AR15" s="90">
        <f ca="1"/>
        <v>0.91149036796407423</v>
      </c>
      <c r="AS15" s="94" t="str">
        <f ca="1"/>
        <v>AMZN</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SAP</v>
      </c>
      <c r="F16" s="559">
        <f ca="1"/>
        <v>0.15718001402410189</v>
      </c>
      <c r="G16" s="153" t="str">
        <f ca="1"/>
        <v>SAFIAG</v>
      </c>
      <c r="H16" s="560">
        <f ca="1"/>
        <v>177515</v>
      </c>
      <c r="I16" t="str">
        <f ca="1"/>
        <v>RRC</v>
      </c>
      <c r="J16" s="561">
        <f ca="1"/>
        <v>1.9057999999999999E-2</v>
      </c>
      <c r="K16" s="153" t="str">
        <f ca="1"/>
        <v>SHECY</v>
      </c>
      <c r="L16" s="561">
        <f ca="1"/>
        <v>1.2838E-2</v>
      </c>
      <c r="M16" s="1" t="str">
        <f ca="1"/>
        <v>MVEORA</v>
      </c>
      <c r="N16" s="560">
        <f ca="1"/>
        <v>35543.999999999993</v>
      </c>
      <c r="O16" t="str">
        <f ca="1"/>
        <v>NVS</v>
      </c>
      <c r="P16" s="560">
        <f ca="1"/>
        <v>11270.420519999998</v>
      </c>
      <c r="Q16" t="str">
        <f ca="1"/>
        <v>MVERWE</v>
      </c>
      <c r="R16" s="650">
        <f ca="1"/>
        <v>2.88618630952381E-3</v>
      </c>
      <c r="S16" t="str">
        <f ca="1"/>
        <v>PROF</v>
      </c>
      <c r="T16" s="87">
        <f ca="1"/>
        <v>3440</v>
      </c>
      <c r="U16" t="str">
        <f ca="1"/>
        <v>KR</v>
      </c>
      <c r="V16" s="87">
        <f ca="1"/>
        <v>4869.9999999999418</v>
      </c>
      <c r="W16" t="str">
        <f ca="1"/>
        <v>RIGL</v>
      </c>
      <c r="X16">
        <f ca="1"/>
        <v>3</v>
      </c>
      <c r="Y16" t="str">
        <f ca="1"/>
        <v>NOTE</v>
      </c>
      <c r="Z16">
        <f ca="1"/>
        <v>3</v>
      </c>
      <c r="AA16" t="str">
        <f ca="1"/>
        <v>AAPL</v>
      </c>
      <c r="AB16">
        <f ca="1"/>
        <v>61</v>
      </c>
      <c r="AC16" t="str">
        <f ca="1"/>
        <v>SAFAAPL</v>
      </c>
      <c r="AD16">
        <f ca="1"/>
        <v>73</v>
      </c>
      <c r="AE16" t="str">
        <f ca="1"/>
        <v>MSFT</v>
      </c>
      <c r="AF16" s="87">
        <f ca="1"/>
        <v>0</v>
      </c>
      <c r="AG16" t="str">
        <f ca="1"/>
        <v>SAFAMZN</v>
      </c>
      <c r="AH16" s="87">
        <f ca="1"/>
        <v>10719.999999999998</v>
      </c>
      <c r="AI16" t="str">
        <f ca="1"/>
        <v>DIS</v>
      </c>
      <c r="AJ16" s="87">
        <f ca="1"/>
        <v>10863.999999999998</v>
      </c>
      <c r="AK16" s="90" t="str">
        <f ca="1"/>
        <v>MVERWE</v>
      </c>
      <c r="AL16" s="310">
        <f ca="1"/>
        <v>2.88618630952381E-3</v>
      </c>
      <c r="AM16" t="str">
        <f ca="1"/>
        <v>GS</v>
      </c>
      <c r="AN16" s="310" t="str">
        <f ca="1"/>
        <v/>
      </c>
      <c r="AO16" t="str">
        <f ca="1"/>
        <v>CVS</v>
      </c>
      <c r="AP16" s="310">
        <f ca="1"/>
        <v>-0.28273111596250161</v>
      </c>
      <c r="AQ16" s="87" t="str">
        <f ca="1"/>
        <v>VTRS</v>
      </c>
      <c r="AR16" s="90">
        <f ca="1"/>
        <v>0.90470301966572242</v>
      </c>
      <c r="AS16" s="94" t="str">
        <f ca="1"/>
        <v>ALDNE</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MVESAP</v>
      </c>
      <c r="F17" s="559">
        <f ca="1"/>
        <v>0.15718001402410189</v>
      </c>
      <c r="G17" s="153" t="str">
        <f ca="1"/>
        <v>SAFASML</v>
      </c>
      <c r="H17" s="560">
        <f ca="1"/>
        <v>176405.55800000002</v>
      </c>
      <c r="I17" t="str">
        <f ca="1"/>
        <v>F</v>
      </c>
      <c r="J17" s="561">
        <f ca="1"/>
        <v>1.8119E-2</v>
      </c>
      <c r="K17" s="153" t="str">
        <f ca="1"/>
        <v>TSM</v>
      </c>
      <c r="L17" s="561">
        <f ca="1"/>
        <v>9.4610000000000007E-3</v>
      </c>
      <c r="M17" s="1" t="str">
        <f ca="1"/>
        <v>RIG</v>
      </c>
      <c r="N17" s="560">
        <f ca="1"/>
        <v>30759.999999999985</v>
      </c>
      <c r="O17" t="str">
        <f ca="1"/>
        <v>MVEGLE</v>
      </c>
      <c r="P17" s="560">
        <f ca="1"/>
        <v>10761.946</v>
      </c>
      <c r="Q17" t="str">
        <f ca="1"/>
        <v>NEE</v>
      </c>
      <c r="R17" s="650">
        <f ca="1"/>
        <v>2.4894940476190485E-3</v>
      </c>
      <c r="S17" t="str">
        <f ca="1"/>
        <v>HPE</v>
      </c>
      <c r="T17" s="87">
        <f ca="1"/>
        <v>3219.9999999999709</v>
      </c>
      <c r="U17" t="str">
        <f ca="1"/>
        <v>NOTE</v>
      </c>
      <c r="V17" s="87">
        <f ca="1"/>
        <v>4533.3899999999994</v>
      </c>
      <c r="W17" t="str">
        <f ca="1"/>
        <v>MVERWE</v>
      </c>
      <c r="X17">
        <f ca="1"/>
        <v>3</v>
      </c>
      <c r="Y17" t="str">
        <f ca="1"/>
        <v>TSM</v>
      </c>
      <c r="Z17">
        <f ca="1"/>
        <v>3</v>
      </c>
      <c r="AA17" t="str">
        <f ca="1"/>
        <v>SAFAAPL</v>
      </c>
      <c r="AB17">
        <f ca="1"/>
        <v>61</v>
      </c>
      <c r="AC17" t="str">
        <f ca="1"/>
        <v>MA</v>
      </c>
      <c r="AD17">
        <f ca="1"/>
        <v>72</v>
      </c>
      <c r="AE17" t="str">
        <f ca="1"/>
        <v>NEE</v>
      </c>
      <c r="AF17" s="87">
        <f ca="1"/>
        <v>0</v>
      </c>
      <c r="AG17" t="str">
        <f ca="1"/>
        <v>AZN</v>
      </c>
      <c r="AH17" s="87">
        <f ca="1"/>
        <v>9629.9999999999964</v>
      </c>
      <c r="AI17" t="str">
        <f ca="1"/>
        <v>DSY</v>
      </c>
      <c r="AJ17" s="87">
        <f ca="1"/>
        <v>10660.000000000004</v>
      </c>
      <c r="AK17" s="90" t="str">
        <f ca="1"/>
        <v>NEE</v>
      </c>
      <c r="AL17" s="310">
        <f ca="1"/>
        <v>2.4894940476190485E-3</v>
      </c>
      <c r="AM17" t="str">
        <f ca="1"/>
        <v>NVS</v>
      </c>
      <c r="AN17" s="310" t="str">
        <f ca="1"/>
        <v/>
      </c>
      <c r="AO17" t="str">
        <f ca="1"/>
        <v>MVEEOAN</v>
      </c>
      <c r="AP17" s="310">
        <f ca="1"/>
        <v>-0.27448940092165891</v>
      </c>
      <c r="AQ17" s="87" t="str">
        <f ca="1"/>
        <v>X</v>
      </c>
      <c r="AR17" s="90">
        <f ca="1"/>
        <v>0.87337097808564734</v>
      </c>
      <c r="AS17" s="94" t="str">
        <f ca="1"/>
        <v>ASML</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EZJ</v>
      </c>
      <c r="F18" s="559">
        <f ca="1"/>
        <v>0.15127421790290552</v>
      </c>
      <c r="G18" s="153" t="str">
        <f ca="1"/>
        <v>HPE</v>
      </c>
      <c r="H18" s="560">
        <f ca="1"/>
        <v>173745.99999999997</v>
      </c>
      <c r="I18" t="str">
        <f ca="1"/>
        <v>NOTE</v>
      </c>
      <c r="J18" s="561">
        <f ca="1"/>
        <v>1.6667000000000001E-2</v>
      </c>
      <c r="K18" s="153" t="str">
        <f ca="1"/>
        <v>CSCO</v>
      </c>
      <c r="L18" s="561">
        <f ca="1"/>
        <v>8.012E-3</v>
      </c>
      <c r="M18" s="1" t="str">
        <f ca="1"/>
        <v>JBASML</v>
      </c>
      <c r="N18" s="560">
        <f ca="1"/>
        <v>29531.999999999993</v>
      </c>
      <c r="O18" t="str">
        <f ca="1"/>
        <v>RIGL</v>
      </c>
      <c r="P18" s="560">
        <f ca="1"/>
        <v>9435.403999999995</v>
      </c>
      <c r="Q18" t="str">
        <f ca="1"/>
        <v>TSM</v>
      </c>
      <c r="R18" s="650">
        <f ca="1"/>
        <v>2.4828452380952389E-3</v>
      </c>
      <c r="S18" t="str">
        <f ca="1"/>
        <v>OXY</v>
      </c>
      <c r="T18" s="87">
        <f ca="1"/>
        <v>2980</v>
      </c>
      <c r="U18" t="str">
        <f ca="1"/>
        <v>UNIT</v>
      </c>
      <c r="V18" s="87">
        <f ca="1"/>
        <v>3762.1999999999971</v>
      </c>
      <c r="W18" t="str">
        <f ca="1"/>
        <v>SAFAMZN</v>
      </c>
      <c r="X18">
        <f ca="1"/>
        <v>3</v>
      </c>
      <c r="Y18" t="str">
        <f ca="1"/>
        <v>MVEUN0</v>
      </c>
      <c r="Z18">
        <f ca="1"/>
        <v>3</v>
      </c>
      <c r="AA18" t="str">
        <f ca="1"/>
        <v>DVA</v>
      </c>
      <c r="AB18">
        <f ca="1"/>
        <v>60</v>
      </c>
      <c r="AC18" t="str">
        <f ca="1"/>
        <v>PW</v>
      </c>
      <c r="AD18">
        <f ca="1"/>
        <v>70</v>
      </c>
      <c r="AE18" t="str">
        <f ca="1"/>
        <v>PAAS</v>
      </c>
      <c r="AF18" s="87">
        <f ca="1"/>
        <v>0</v>
      </c>
      <c r="AG18" t="str">
        <f ca="1"/>
        <v>RIG</v>
      </c>
      <c r="AH18" s="87">
        <f ca="1"/>
        <v>8189.9999999999982</v>
      </c>
      <c r="AI18" t="str">
        <f ca="1"/>
        <v>DDD</v>
      </c>
      <c r="AJ18" s="87">
        <f ca="1"/>
        <v>9800</v>
      </c>
      <c r="AK18" s="90" t="str">
        <f ca="1"/>
        <v>TSM</v>
      </c>
      <c r="AL18" s="310">
        <f ca="1"/>
        <v>2.4828452380952389E-3</v>
      </c>
      <c r="AM18" t="str">
        <f ca="1"/>
        <v>ORA</v>
      </c>
      <c r="AN18" s="310" t="str">
        <f ca="1"/>
        <v/>
      </c>
      <c r="AO18" t="str">
        <f ca="1"/>
        <v>MVERWE</v>
      </c>
      <c r="AP18" s="310">
        <f ca="1"/>
        <v>-0.2733139709122962</v>
      </c>
      <c r="AQ18" s="87" t="str">
        <f ca="1"/>
        <v>SAFAAPL</v>
      </c>
      <c r="AR18" s="90">
        <f ca="1"/>
        <v>0.8383508598762387</v>
      </c>
      <c r="AS18" s="94" t="str">
        <f ca="1"/>
        <v>AVGO</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ALDNE</v>
      </c>
      <c r="F19" s="559">
        <f ca="1"/>
        <v>0.15100864553314122</v>
      </c>
      <c r="G19" s="153" t="str">
        <f ca="1"/>
        <v>AZN</v>
      </c>
      <c r="H19" s="560">
        <f ca="1"/>
        <v>152884.39999999997</v>
      </c>
      <c r="I19" t="str">
        <f ca="1"/>
        <v>MVEORA</v>
      </c>
      <c r="J19" s="561">
        <f ca="1"/>
        <v>1.6141000000000003E-2</v>
      </c>
      <c r="K19" s="153" t="str">
        <f ca="1"/>
        <v>AVGO</v>
      </c>
      <c r="L19" s="561">
        <f ca="1"/>
        <v>7.2950000000000003E-3</v>
      </c>
      <c r="M19" s="1" t="str">
        <f ca="1"/>
        <v>AVGO</v>
      </c>
      <c r="N19" s="560">
        <f ca="1"/>
        <v>28690.791672999989</v>
      </c>
      <c r="O19" t="str">
        <f ca="1"/>
        <v>CSCO</v>
      </c>
      <c r="P19" s="560">
        <f ca="1"/>
        <v>8637.4839999999967</v>
      </c>
      <c r="Q19" t="str">
        <f ca="1"/>
        <v>MVEUN0</v>
      </c>
      <c r="R19" s="650">
        <f ca="1"/>
        <v>2.4828452380952389E-3</v>
      </c>
      <c r="S19" t="str">
        <f ca="1"/>
        <v>UNIT</v>
      </c>
      <c r="T19" s="87">
        <f ca="1"/>
        <v>2749.3000000000029</v>
      </c>
      <c r="U19" t="str">
        <f ca="1"/>
        <v>HPE</v>
      </c>
      <c r="V19" s="87">
        <f ca="1"/>
        <v>3035.9999999999709</v>
      </c>
      <c r="W19" t="str">
        <f ca="1"/>
        <v>F</v>
      </c>
      <c r="X19">
        <f ca="1"/>
        <v>3</v>
      </c>
      <c r="Y19" t="str">
        <f ca="1"/>
        <v>LUV</v>
      </c>
      <c r="Z19">
        <f ca="1"/>
        <v>3</v>
      </c>
      <c r="AA19" t="str">
        <f ca="1"/>
        <v>RIGL</v>
      </c>
      <c r="AB19">
        <f ca="1"/>
        <v>59</v>
      </c>
      <c r="AC19" t="str">
        <f ca="1"/>
        <v>F</v>
      </c>
      <c r="AD19">
        <f ca="1"/>
        <v>67</v>
      </c>
      <c r="AE19" t="str">
        <f ca="1"/>
        <v>PROF</v>
      </c>
      <c r="AF19" s="87">
        <f ca="1"/>
        <v>0</v>
      </c>
      <c r="AG19" t="str">
        <f ca="1"/>
        <v>NFLX</v>
      </c>
      <c r="AH19" s="87">
        <f ca="1"/>
        <v>7644.9999999999818</v>
      </c>
      <c r="AI19" t="str">
        <f ca="1"/>
        <v>PFE</v>
      </c>
      <c r="AJ19" s="87">
        <f ca="1"/>
        <v>9732.8220000000038</v>
      </c>
      <c r="AK19" s="90" t="str">
        <f ca="1"/>
        <v>MVEUN0</v>
      </c>
      <c r="AL19" s="310">
        <f ca="1"/>
        <v>2.4828452380952389E-3</v>
      </c>
      <c r="AM19" t="str">
        <f ca="1"/>
        <v>PFE</v>
      </c>
      <c r="AN19" s="310" t="str">
        <f ca="1"/>
        <v/>
      </c>
      <c r="AO19" t="str">
        <f ca="1"/>
        <v>SAFAAPL</v>
      </c>
      <c r="AP19" s="310">
        <f ca="1"/>
        <v>-0.26894789786403905</v>
      </c>
      <c r="AQ19" s="87" t="str">
        <f ca="1"/>
        <v>IAG</v>
      </c>
      <c r="AR19" s="90">
        <f ca="1"/>
        <v>0.8302669541331692</v>
      </c>
      <c r="AS19" s="94" t="str">
        <f ca="1"/>
        <v>AZN</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MVEALDNE</v>
      </c>
      <c r="F20" s="559">
        <f ca="1"/>
        <v>0.15100864553314122</v>
      </c>
      <c r="G20" s="153" t="str">
        <f ca="1"/>
        <v>RIGL</v>
      </c>
      <c r="H20" s="560">
        <f ca="1"/>
        <v>152016.22000000015</v>
      </c>
      <c r="I20" t="str">
        <f ca="1"/>
        <v>ORA</v>
      </c>
      <c r="J20" s="561">
        <f ca="1"/>
        <v>1.6141000000000003E-2</v>
      </c>
      <c r="K20" s="153" t="str">
        <f ca="1"/>
        <v>TSLA</v>
      </c>
      <c r="L20" s="561">
        <f ca="1"/>
        <v>5.8709999999999995E-3</v>
      </c>
      <c r="M20" s="1" t="str">
        <f ca="1"/>
        <v>ENI</v>
      </c>
      <c r="N20" s="560">
        <f ca="1"/>
        <v>27190.499999999967</v>
      </c>
      <c r="O20" t="str">
        <f ca="1"/>
        <v>MVEEOAN</v>
      </c>
      <c r="P20" s="560">
        <f ca="1"/>
        <v>7843.2543799999967</v>
      </c>
      <c r="Q20" t="str">
        <f ca="1"/>
        <v>NOTE</v>
      </c>
      <c r="R20" s="650">
        <f ca="1"/>
        <v>2.3193339285714305E-3</v>
      </c>
      <c r="S20" t="str">
        <f ca="1"/>
        <v>RIGL</v>
      </c>
      <c r="T20" s="87">
        <f ca="1"/>
        <v>2410</v>
      </c>
      <c r="U20" t="str">
        <f ca="1"/>
        <v>MVEALDNE</v>
      </c>
      <c r="V20" s="87">
        <f ca="1"/>
        <v>3030</v>
      </c>
      <c r="W20" t="str">
        <f ca="1"/>
        <v>LNSR</v>
      </c>
      <c r="X20">
        <f ca="1"/>
        <v>4</v>
      </c>
      <c r="Y20" t="str">
        <f ca="1"/>
        <v>NFLX</v>
      </c>
      <c r="Z20">
        <f ca="1"/>
        <v>4</v>
      </c>
      <c r="AA20" t="str">
        <f ca="1"/>
        <v>VTRS</v>
      </c>
      <c r="AB20">
        <f ca="1"/>
        <v>59</v>
      </c>
      <c r="AC20" t="str">
        <f ca="1"/>
        <v>THC</v>
      </c>
      <c r="AD20">
        <f ca="1"/>
        <v>65</v>
      </c>
      <c r="AE20" t="str">
        <f ca="1"/>
        <v>POET</v>
      </c>
      <c r="AF20" s="87">
        <f ca="1"/>
        <v>0</v>
      </c>
      <c r="AG20" t="str">
        <f ca="1"/>
        <v>PROF</v>
      </c>
      <c r="AH20" s="87">
        <f ca="1"/>
        <v>6639.9999999999973</v>
      </c>
      <c r="AI20" t="str">
        <f ca="1"/>
        <v>OXY</v>
      </c>
      <c r="AJ20" s="87">
        <f ca="1"/>
        <v>9089.9999999999964</v>
      </c>
      <c r="AK20" s="90" t="str">
        <f ca="1"/>
        <v>NOTE</v>
      </c>
      <c r="AL20" s="310">
        <f ca="1"/>
        <v>2.3193339285714305E-3</v>
      </c>
      <c r="AM20" t="str">
        <f ca="1"/>
        <v>RRC</v>
      </c>
      <c r="AN20" s="310" t="str">
        <f ca="1"/>
        <v/>
      </c>
      <c r="AO20" t="str">
        <f ca="1"/>
        <v>SAFASML</v>
      </c>
      <c r="AP20" s="310">
        <f ca="1"/>
        <v>-0.25165559788845526</v>
      </c>
      <c r="AQ20" s="87" t="str">
        <f ca="1"/>
        <v>SAFIAG</v>
      </c>
      <c r="AR20" s="90">
        <f ca="1"/>
        <v>0.82674033948143821</v>
      </c>
      <c r="AS20" s="94" t="str">
        <f ca="1"/>
        <v>BLDP</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ASML</v>
      </c>
      <c r="F21" s="559">
        <f ca="1"/>
        <v>0.1427007365316057</v>
      </c>
      <c r="G21" s="153" t="str">
        <f ca="1"/>
        <v>VONN</v>
      </c>
      <c r="H21" s="560">
        <f ca="1"/>
        <v>146504.30999999994</v>
      </c>
      <c r="I21" t="str">
        <f ca="1"/>
        <v>SHECY</v>
      </c>
      <c r="J21" s="561">
        <f ca="1"/>
        <v>1.5906E-2</v>
      </c>
      <c r="K21" s="153" t="str">
        <f ca="1"/>
        <v>AZN</v>
      </c>
      <c r="L21" s="561">
        <f ca="1"/>
        <v>5.5300000000000002E-3</v>
      </c>
      <c r="M21" s="1" t="str">
        <f ca="1"/>
        <v>SAFAAPL</v>
      </c>
      <c r="N21" s="560">
        <f ca="1"/>
        <v>25394.540800000013</v>
      </c>
      <c r="O21" t="str">
        <f ca="1"/>
        <v>SAFAMZN</v>
      </c>
      <c r="P21" s="560">
        <f ca="1"/>
        <v>6503.0479999999961</v>
      </c>
      <c r="Q21" t="str">
        <f ca="1"/>
        <v>DXC</v>
      </c>
      <c r="R21" s="650">
        <f ca="1"/>
        <v>2.068882142857143E-3</v>
      </c>
      <c r="S21" t="str">
        <f ca="1"/>
        <v>BLDP</v>
      </c>
      <c r="T21" s="87">
        <f ca="1"/>
        <v>1799.9999999999927</v>
      </c>
      <c r="U21" t="str">
        <f ca="1"/>
        <v>THC</v>
      </c>
      <c r="V21" s="87">
        <f ca="1"/>
        <v>3000</v>
      </c>
      <c r="W21" t="str">
        <f ca="1"/>
        <v>MVEENI</v>
      </c>
      <c r="X21">
        <f ca="1"/>
        <v>4</v>
      </c>
      <c r="Y21" t="str">
        <f ca="1"/>
        <v>MVEORA</v>
      </c>
      <c r="Z21">
        <f ca="1"/>
        <v>4</v>
      </c>
      <c r="AA21" t="str">
        <f ca="1"/>
        <v>MVERWE</v>
      </c>
      <c r="AB21">
        <f ca="1"/>
        <v>59</v>
      </c>
      <c r="AC21" t="str">
        <f ca="1"/>
        <v>BMRA</v>
      </c>
      <c r="AD21">
        <f ca="1"/>
        <v>60</v>
      </c>
      <c r="AE21" t="str">
        <f ca="1"/>
        <v>RIGL</v>
      </c>
      <c r="AF21" s="87">
        <f ca="1"/>
        <v>0</v>
      </c>
      <c r="AG21" t="str">
        <f ca="1"/>
        <v>VTRS</v>
      </c>
      <c r="AH21" s="87">
        <f ca="1"/>
        <v>6299.9999999999991</v>
      </c>
      <c r="AI21" t="str">
        <f ca="1"/>
        <v>GNRC</v>
      </c>
      <c r="AJ21" s="87">
        <f ca="1"/>
        <v>8179.9999999999955</v>
      </c>
      <c r="AK21" s="90" t="str">
        <f ca="1"/>
        <v>DXC</v>
      </c>
      <c r="AL21" s="310">
        <f ca="1"/>
        <v>2.068882142857143E-3</v>
      </c>
      <c r="AM21" t="str">
        <f ca="1"/>
        <v>LOCK</v>
      </c>
      <c r="AN21" s="310" t="str">
        <f ca="1"/>
        <v/>
      </c>
      <c r="AO21" t="str">
        <f ca="1"/>
        <v>ASML</v>
      </c>
      <c r="AP21" s="310">
        <f ca="1"/>
        <v>-0.24595551985310987</v>
      </c>
      <c r="AQ21" s="87" t="str">
        <f ca="1"/>
        <v>RWE</v>
      </c>
      <c r="AR21" s="90">
        <f ca="1"/>
        <v>0.7906510127165749</v>
      </c>
      <c r="AS21" s="94" t="str">
        <f ca="1"/>
        <v>C</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SAFASML</v>
      </c>
      <c r="F22" s="559">
        <f ca="1"/>
        <v>0.1427007365316057</v>
      </c>
      <c r="G22" s="153" t="str">
        <f ca="1"/>
        <v>CSCO</v>
      </c>
      <c r="H22" s="560">
        <f ca="1"/>
        <v>138638.84999999998</v>
      </c>
      <c r="I22" t="str">
        <f ca="1"/>
        <v>RIG</v>
      </c>
      <c r="J22" s="561">
        <f ca="1"/>
        <v>1.5384999999999999E-2</v>
      </c>
      <c r="K22" s="153" t="str">
        <f ca="1"/>
        <v>RRC</v>
      </c>
      <c r="L22" s="561">
        <f ca="1"/>
        <v>5.5230000000000001E-3</v>
      </c>
      <c r="M22" s="1" t="str">
        <f ca="1"/>
        <v>HPE</v>
      </c>
      <c r="N22" s="560">
        <f ca="1"/>
        <v>22484.167999999983</v>
      </c>
      <c r="O22" t="str">
        <f ca="1"/>
        <v>MVEENI</v>
      </c>
      <c r="P22" s="560">
        <f ca="1"/>
        <v>5465.7519999999968</v>
      </c>
      <c r="Q22" t="str">
        <f ca="1"/>
        <v>MVEEOAN</v>
      </c>
      <c r="R22" s="650">
        <f ca="1"/>
        <v>2.068882142857143E-3</v>
      </c>
      <c r="S22" t="str">
        <f ca="1"/>
        <v>SAFMRNA</v>
      </c>
      <c r="T22" s="87">
        <f ca="1"/>
        <v>1675</v>
      </c>
      <c r="U22" t="str">
        <f ca="1"/>
        <v>NVAX</v>
      </c>
      <c r="V22" s="87">
        <f ca="1"/>
        <v>1820</v>
      </c>
      <c r="W22" t="str">
        <f ca="1"/>
        <v>ENI</v>
      </c>
      <c r="X22">
        <f ca="1"/>
        <v>4</v>
      </c>
      <c r="Y22" t="str">
        <f ca="1"/>
        <v>BLNK</v>
      </c>
      <c r="Z22">
        <f ca="1"/>
        <v>4</v>
      </c>
      <c r="AA22" t="str">
        <f ca="1"/>
        <v>UN0</v>
      </c>
      <c r="AB22">
        <f ca="1"/>
        <v>58</v>
      </c>
      <c r="AC22" t="str">
        <f ca="1"/>
        <v>GS</v>
      </c>
      <c r="AD22">
        <f ca="1"/>
        <v>60</v>
      </c>
      <c r="AE22" t="str">
        <f ca="1"/>
        <v>RWE</v>
      </c>
      <c r="AF22" s="87">
        <f ca="1"/>
        <v>0</v>
      </c>
      <c r="AG22" t="str">
        <f ca="1"/>
        <v>KR</v>
      </c>
      <c r="AH22" s="87">
        <f ca="1"/>
        <v>6039.9999999999918</v>
      </c>
      <c r="AI22" t="str">
        <f ca="1"/>
        <v>MVEUN0</v>
      </c>
      <c r="AJ22" s="87">
        <f ca="1"/>
        <v>7871.44</v>
      </c>
      <c r="AK22" s="90" t="str">
        <f ca="1"/>
        <v>MVEEOAN</v>
      </c>
      <c r="AL22" s="310">
        <f ca="1"/>
        <v>2.068882142857143E-3</v>
      </c>
      <c r="AM22" t="str">
        <f ca="1"/>
        <v>X</v>
      </c>
      <c r="AN22" s="310">
        <f ca="1"/>
        <v>0.76947185529598539</v>
      </c>
      <c r="AO22" t="str">
        <f ca="1"/>
        <v>PROF</v>
      </c>
      <c r="AP22" s="310">
        <f ca="1"/>
        <v>-0.24493576642335757</v>
      </c>
      <c r="AQ22" s="87" t="str">
        <f ca="1"/>
        <v>VONN</v>
      </c>
      <c r="AR22" s="90">
        <f ca="1"/>
        <v>0.70829769033361745</v>
      </c>
      <c r="AS22" s="94" t="str">
        <f ca="1"/>
        <v>CSCO</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JBASML</v>
      </c>
      <c r="F23" s="559">
        <f ca="1"/>
        <v>0.1427007365316057</v>
      </c>
      <c r="G23" s="153" t="str">
        <f ca="1"/>
        <v>SAFAAPL</v>
      </c>
      <c r="H23" s="560">
        <f ca="1"/>
        <v>127898.33999999998</v>
      </c>
      <c r="I23" t="str">
        <f ca="1"/>
        <v>DVA</v>
      </c>
      <c r="J23" s="561">
        <f ca="1"/>
        <v>1.477E-2</v>
      </c>
      <c r="K23" s="153" t="str">
        <f ca="1"/>
        <v>MVEGLE</v>
      </c>
      <c r="L23" s="561">
        <f ca="1"/>
        <v>4.829E-3</v>
      </c>
      <c r="M23" s="1" t="str">
        <f ca="1"/>
        <v>MVEGLE</v>
      </c>
      <c r="N23" s="560">
        <f ca="1"/>
        <v>18194.999999999993</v>
      </c>
      <c r="O23" t="str">
        <f ca="1"/>
        <v>LNSR</v>
      </c>
      <c r="P23" s="560">
        <f ca="1"/>
        <v>4937.1299999999956</v>
      </c>
      <c r="Q23" t="str">
        <f ca="1"/>
        <v>JBEOAN</v>
      </c>
      <c r="R23" s="650">
        <f ca="1"/>
        <v>2.068882142857143E-3</v>
      </c>
      <c r="S23" t="str">
        <f ca="1"/>
        <v>CSCO</v>
      </c>
      <c r="T23" s="87">
        <f ca="1"/>
        <v>1420</v>
      </c>
      <c r="U23" t="str">
        <f ca="1"/>
        <v>MVEDSY</v>
      </c>
      <c r="V23" s="87">
        <f ca="1"/>
        <v>1800</v>
      </c>
      <c r="W23" t="str">
        <f ca="1"/>
        <v>MVEGLE</v>
      </c>
      <c r="X23">
        <f ca="1"/>
        <v>5</v>
      </c>
      <c r="Y23" t="str">
        <f ca="1"/>
        <v>F</v>
      </c>
      <c r="Z23">
        <f ca="1"/>
        <v>4</v>
      </c>
      <c r="AA23" t="str">
        <f ca="1"/>
        <v>THC</v>
      </c>
      <c r="AB23">
        <f ca="1"/>
        <v>58</v>
      </c>
      <c r="AC23" t="str">
        <f ca="1"/>
        <v>AVGO</v>
      </c>
      <c r="AD23">
        <f ca="1"/>
        <v>59</v>
      </c>
      <c r="AE23" t="str">
        <f ca="1"/>
        <v>SSYS</v>
      </c>
      <c r="AF23" s="87">
        <f ca="1"/>
        <v>0</v>
      </c>
      <c r="AG23" t="str">
        <f ca="1"/>
        <v>WBA</v>
      </c>
      <c r="AH23" s="87">
        <f ca="1"/>
        <v>5760.2999999999993</v>
      </c>
      <c r="AI23" t="str">
        <f ca="1"/>
        <v>MVEDDD</v>
      </c>
      <c r="AJ23" s="87">
        <f ca="1"/>
        <v>6750</v>
      </c>
      <c r="AK23" s="90" t="str">
        <f ca="1"/>
        <v>JBEOAN</v>
      </c>
      <c r="AL23" s="310">
        <f ca="1"/>
        <v>2.068882142857143E-3</v>
      </c>
      <c r="AM23" t="str">
        <f ca="1"/>
        <v>RWE</v>
      </c>
      <c r="AN23" s="310">
        <f ca="1"/>
        <v>0.59801811772999647</v>
      </c>
      <c r="AO23" t="str">
        <f ca="1"/>
        <v>PAAS</v>
      </c>
      <c r="AP23" s="310">
        <f ca="1"/>
        <v>-0.24299210594650733</v>
      </c>
      <c r="AQ23" s="87" t="str">
        <f ca="1"/>
        <v>LUMN</v>
      </c>
      <c r="AR23" s="90">
        <f ca="1"/>
        <v>0.70587609982335198</v>
      </c>
      <c r="AS23" s="94" t="str">
        <f ca="1"/>
        <v>CVS</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MVEGLE</v>
      </c>
      <c r="F24" s="559">
        <f ca="1"/>
        <v>0.14082448702358652</v>
      </c>
      <c r="G24" s="153" t="str">
        <f ca="1"/>
        <v>KR</v>
      </c>
      <c r="H24" s="560">
        <f ca="1"/>
        <v>111547.98999999993</v>
      </c>
      <c r="I24" t="str">
        <f ca="1"/>
        <v>PROF</v>
      </c>
      <c r="J24" s="561">
        <f ca="1"/>
        <v>1.2821000000000001E-2</v>
      </c>
      <c r="K24" s="153" t="str">
        <f ca="1"/>
        <v>GLE</v>
      </c>
      <c r="L24" s="561">
        <f ca="1"/>
        <v>4.829E-3</v>
      </c>
      <c r="M24" s="1" t="str">
        <f ca="1"/>
        <v>BLDP</v>
      </c>
      <c r="N24" s="560">
        <f ca="1"/>
        <v>17719.999999999993</v>
      </c>
      <c r="O24" t="str">
        <f ca="1"/>
        <v>ORA</v>
      </c>
      <c r="P24" s="560">
        <f ca="1"/>
        <v>3750.2240000000011</v>
      </c>
      <c r="Q24" t="str">
        <f ca="1"/>
        <v>LUV</v>
      </c>
      <c r="R24" s="650">
        <f ca="1"/>
        <v>1.94452380952381E-3</v>
      </c>
      <c r="S24" t="str">
        <f ca="1"/>
        <v>SHECY</v>
      </c>
      <c r="T24" s="87">
        <f ca="1"/>
        <v>1250</v>
      </c>
      <c r="U24" t="str">
        <f ca="1"/>
        <v>BLDP</v>
      </c>
      <c r="V24" s="87">
        <f ca="1"/>
        <v>1699.9999999999927</v>
      </c>
      <c r="W24" t="str">
        <f ca="1"/>
        <v>GLE</v>
      </c>
      <c r="X24">
        <f ca="1"/>
        <v>5</v>
      </c>
      <c r="Y24" t="str">
        <f ca="1"/>
        <v>ORA</v>
      </c>
      <c r="Z24">
        <f ca="1"/>
        <v>4</v>
      </c>
      <c r="AA24" t="str">
        <f ca="1"/>
        <v>C</v>
      </c>
      <c r="AB24">
        <f ca="1"/>
        <v>57</v>
      </c>
      <c r="AC24" t="str">
        <f ca="1"/>
        <v>C</v>
      </c>
      <c r="AD24">
        <f ca="1"/>
        <v>59</v>
      </c>
      <c r="AE24" t="str">
        <f ca="1"/>
        <v>TSLA</v>
      </c>
      <c r="AF24" s="87">
        <f ca="1"/>
        <v>0</v>
      </c>
      <c r="AG24" t="str">
        <f ca="1"/>
        <v>DDD</v>
      </c>
      <c r="AH24" s="87">
        <f ca="1"/>
        <v>5200</v>
      </c>
      <c r="AI24" t="str">
        <f ca="1"/>
        <v>BLNK</v>
      </c>
      <c r="AJ24" s="87">
        <f ca="1"/>
        <v>6000</v>
      </c>
      <c r="AK24" s="90" t="str">
        <f ca="1"/>
        <v>LUV</v>
      </c>
      <c r="AL24" s="310">
        <f ca="1"/>
        <v>1.94452380952381E-3</v>
      </c>
      <c r="AM24" t="str">
        <f ca="1"/>
        <v>LUMN</v>
      </c>
      <c r="AN24" s="310">
        <f ca="1"/>
        <v>0.57496667127044576</v>
      </c>
      <c r="AO24" t="str">
        <f ca="1"/>
        <v>AAPL</v>
      </c>
      <c r="AP24" s="310">
        <f ca="1"/>
        <v>-0.22429268459500881</v>
      </c>
      <c r="AQ24" s="87" t="str">
        <f ca="1"/>
        <v>MVERWE</v>
      </c>
      <c r="AR24" s="90">
        <f ca="1"/>
        <v>0.67152502199773634</v>
      </c>
      <c r="AS24" s="94" t="str">
        <f ca="1"/>
        <v>DDD</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GLE</v>
      </c>
      <c r="F25" s="559">
        <f ca="1"/>
        <v>0.14082448702358652</v>
      </c>
      <c r="G25" s="153" t="str">
        <f ca="1"/>
        <v>MVEGLE</v>
      </c>
      <c r="H25" s="560">
        <f ca="1"/>
        <v>111229.04999999999</v>
      </c>
      <c r="I25" t="str">
        <f ca="1"/>
        <v>NEM</v>
      </c>
      <c r="J25" s="561">
        <f ca="1"/>
        <v>9.9360000000000004E-3</v>
      </c>
      <c r="K25" s="153" t="str">
        <f ca="1"/>
        <v>DDD</v>
      </c>
      <c r="L25" s="561">
        <f ca="1"/>
        <v>4.6300000000000004E-3</v>
      </c>
      <c r="M25" s="1" t="str">
        <f ca="1"/>
        <v>JBEOAN</v>
      </c>
      <c r="N25" s="560">
        <f ca="1"/>
        <v>15352.461000000012</v>
      </c>
      <c r="O25" t="str">
        <f ca="1"/>
        <v>F</v>
      </c>
      <c r="P25" s="560">
        <f ca="1"/>
        <v>3500.8739999999998</v>
      </c>
      <c r="Q25" t="str">
        <f ca="1"/>
        <v>EOAN</v>
      </c>
      <c r="R25" s="650">
        <f ca="1"/>
        <v>1.7654285714285712E-3</v>
      </c>
      <c r="S25" t="str">
        <f ca="1"/>
        <v>BLNK</v>
      </c>
      <c r="T25" s="87">
        <f ca="1"/>
        <v>1200</v>
      </c>
      <c r="U25" t="str">
        <f ca="1"/>
        <v>RIGL</v>
      </c>
      <c r="V25" s="87">
        <f ca="1"/>
        <v>1690</v>
      </c>
      <c r="W25" t="str">
        <f ca="1"/>
        <v>RRC</v>
      </c>
      <c r="X25">
        <f ca="1"/>
        <v>5</v>
      </c>
      <c r="Y25" t="str">
        <f ca="1"/>
        <v>RRC</v>
      </c>
      <c r="Z25">
        <f ca="1"/>
        <v>4</v>
      </c>
      <c r="AA25" t="str">
        <f ca="1"/>
        <v>BMRA</v>
      </c>
      <c r="AB25">
        <f ca="1"/>
        <v>56</v>
      </c>
      <c r="AC25" t="str">
        <f ca="1"/>
        <v>PFE</v>
      </c>
      <c r="AD25">
        <f ca="1"/>
        <v>59</v>
      </c>
      <c r="AE25" t="str">
        <f ca="1"/>
        <v>VLVLY</v>
      </c>
      <c r="AF25" s="87">
        <f ca="1"/>
        <v>0</v>
      </c>
      <c r="AG25" t="str">
        <f ca="1"/>
        <v>SAFDDD</v>
      </c>
      <c r="AH25" s="87">
        <f ca="1"/>
        <v>5060.9999999999973</v>
      </c>
      <c r="AI25" t="str">
        <f ca="1"/>
        <v>SAFDIS</v>
      </c>
      <c r="AJ25" s="87">
        <f ca="1"/>
        <v>5666.1</v>
      </c>
      <c r="AK25" s="90" t="str">
        <f ca="1"/>
        <v>EOAN</v>
      </c>
      <c r="AL25" s="310">
        <f ca="1"/>
        <v>1.7654285714285712E-3</v>
      </c>
      <c r="AM25" t="str">
        <f ca="1"/>
        <v>MSFT</v>
      </c>
      <c r="AN25" s="310">
        <f ca="1"/>
        <v>0.52620033383301557</v>
      </c>
      <c r="AO25" t="str">
        <f ca="1"/>
        <v>AZN</v>
      </c>
      <c r="AP25" s="310">
        <f ca="1"/>
        <v>-0.21876161616161607</v>
      </c>
      <c r="AQ25" s="87" t="str">
        <f ca="1"/>
        <v>ASML</v>
      </c>
      <c r="AR25" s="90">
        <f ca="1"/>
        <v>0.66929210235319225</v>
      </c>
      <c r="AS25" s="94" t="str">
        <f ca="1"/>
        <v>DIS</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SHECY</v>
      </c>
      <c r="F26" s="559">
        <f ca="1"/>
        <v>0.12795064721805283</v>
      </c>
      <c r="G26" s="153" t="str">
        <f ca="1"/>
        <v>MVEORA</v>
      </c>
      <c r="H26" s="560">
        <f ca="1"/>
        <v>97045.049999999988</v>
      </c>
      <c r="I26" t="str">
        <f ca="1"/>
        <v>POET</v>
      </c>
      <c r="J26" s="561">
        <f ca="1"/>
        <v>9.3799999999999994E-3</v>
      </c>
      <c r="K26" s="153" t="str">
        <f ca="1"/>
        <v>MVEDDD</v>
      </c>
      <c r="L26" s="561">
        <f ca="1"/>
        <v>4.6300000000000004E-3</v>
      </c>
      <c r="M26" s="1" t="str">
        <f ca="1"/>
        <v>RIGL</v>
      </c>
      <c r="N26" s="560">
        <f ca="1"/>
        <v>13466.503333333329</v>
      </c>
      <c r="O26" t="str">
        <f ca="1"/>
        <v>VTRS</v>
      </c>
      <c r="P26" s="560">
        <f ca="1"/>
        <v>3241.5500000000015</v>
      </c>
      <c r="Q26" t="str">
        <f ca="1"/>
        <v>MVEEPIX</v>
      </c>
      <c r="R26" s="650">
        <f ca="1"/>
        <v>1.7654285714285712E-3</v>
      </c>
      <c r="S26" t="str">
        <f ca="1"/>
        <v>PW</v>
      </c>
      <c r="T26" s="87">
        <f ca="1"/>
        <v>1100</v>
      </c>
      <c r="U26" t="str">
        <f ca="1"/>
        <v>PAAS</v>
      </c>
      <c r="V26" s="87">
        <f ca="1"/>
        <v>1680</v>
      </c>
      <c r="W26" t="str">
        <f ca="1"/>
        <v>AVGO</v>
      </c>
      <c r="X26">
        <f ca="1"/>
        <v>6</v>
      </c>
      <c r="Y26" t="str">
        <f ca="1"/>
        <v>EPIX</v>
      </c>
      <c r="Z26">
        <f ca="1"/>
        <v>5</v>
      </c>
      <c r="AA26" t="str">
        <f ca="1"/>
        <v>XPER</v>
      </c>
      <c r="AB26">
        <f ca="1"/>
        <v>56</v>
      </c>
      <c r="AC26" t="str">
        <f ca="1"/>
        <v>GM</v>
      </c>
      <c r="AD26">
        <f ca="1"/>
        <v>57</v>
      </c>
      <c r="AE26" t="str">
        <f ca="1"/>
        <v>VONN</v>
      </c>
      <c r="AF26" s="87">
        <f ca="1"/>
        <v>0</v>
      </c>
      <c r="AG26" t="str">
        <f ca="1"/>
        <v>AAPL</v>
      </c>
      <c r="AH26" s="87">
        <f ca="1"/>
        <v>4778.0000000000027</v>
      </c>
      <c r="AI26" t="str">
        <f ca="1"/>
        <v>SAP</v>
      </c>
      <c r="AJ26" s="87">
        <f ca="1"/>
        <v>5520.0000000000045</v>
      </c>
      <c r="AK26" s="90" t="str">
        <f ca="1"/>
        <v>MVEEPIX</v>
      </c>
      <c r="AL26" s="310">
        <f ca="1"/>
        <v>1.7654285714285712E-3</v>
      </c>
      <c r="AM26" t="str">
        <f ca="1"/>
        <v>GM</v>
      </c>
      <c r="AN26" s="310">
        <f ca="1"/>
        <v>0.51036724655068988</v>
      </c>
      <c r="AO26" t="str">
        <f ca="1"/>
        <v>NVS</v>
      </c>
      <c r="AP26" s="310">
        <f ca="1"/>
        <v>-0.217817888160902</v>
      </c>
      <c r="AQ26" s="87" t="str">
        <f ca="1"/>
        <v>ENI</v>
      </c>
      <c r="AR26" s="90">
        <f ca="1"/>
        <v>0.66474416696112038</v>
      </c>
      <c r="AS26" s="94" t="str">
        <f ca="1"/>
        <v>DSY</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MVEORA</v>
      </c>
      <c r="F27" s="559">
        <f ca="1"/>
        <v>0.10826173304693219</v>
      </c>
      <c r="G27" s="153" t="str">
        <f ca="1"/>
        <v>VLVLY</v>
      </c>
      <c r="H27" s="560">
        <f ca="1"/>
        <v>96016.37</v>
      </c>
      <c r="I27" t="str">
        <f ca="1"/>
        <v>AZN</v>
      </c>
      <c r="J27" s="561">
        <f ca="1"/>
        <v>9.3710000000000009E-3</v>
      </c>
      <c r="K27" s="153" t="str">
        <f ca="1"/>
        <v>SAFDDD</v>
      </c>
      <c r="L27" s="561">
        <f ca="1"/>
        <v>4.6300000000000004E-3</v>
      </c>
      <c r="M27" s="1" t="str">
        <f ca="1"/>
        <v>CSCO</v>
      </c>
      <c r="N27" s="560">
        <f ca="1"/>
        <v>10799.999999999996</v>
      </c>
      <c r="O27" t="str">
        <f ca="1"/>
        <v>ENI</v>
      </c>
      <c r="P27" s="560">
        <f ca="1"/>
        <v>3141.8099999999949</v>
      </c>
      <c r="Q27" t="str">
        <f ca="1"/>
        <v>VLVLY</v>
      </c>
      <c r="R27" s="650">
        <f ca="1"/>
        <v>1.7037678571428581E-3</v>
      </c>
      <c r="S27" t="str">
        <f ca="1"/>
        <v>MVEDDD</v>
      </c>
      <c r="T27" s="87">
        <f ca="1"/>
        <v>850</v>
      </c>
      <c r="U27" t="str">
        <f ca="1"/>
        <v>PW</v>
      </c>
      <c r="V27" s="87">
        <f ca="1"/>
        <v>1623</v>
      </c>
      <c r="W27" t="str">
        <f ca="1"/>
        <v>BMRA</v>
      </c>
      <c r="X27">
        <f ca="1"/>
        <v>6</v>
      </c>
      <c r="Y27" t="str">
        <f ca="1"/>
        <v>SAFGM</v>
      </c>
      <c r="Z27">
        <f ca="1"/>
        <v>5</v>
      </c>
      <c r="AA27" t="str">
        <f ca="1"/>
        <v>GS</v>
      </c>
      <c r="AB27">
        <f ca="1"/>
        <v>56</v>
      </c>
      <c r="AC27" t="str">
        <f ca="1"/>
        <v>LNSR</v>
      </c>
      <c r="AD27">
        <f ca="1"/>
        <v>57</v>
      </c>
      <c r="AE27" t="str">
        <f ca="1"/>
        <v>VTRS</v>
      </c>
      <c r="AF27" s="87">
        <f ca="1"/>
        <v>0</v>
      </c>
      <c r="AG27" t="str">
        <f ca="1"/>
        <v>MVEGLE</v>
      </c>
      <c r="AH27" s="87">
        <f ca="1"/>
        <v>4239.9999999999945</v>
      </c>
      <c r="AI27" t="str">
        <f ca="1"/>
        <v>UN0</v>
      </c>
      <c r="AJ27" s="87">
        <f ca="1"/>
        <v>5074.5694999999987</v>
      </c>
      <c r="AK27" s="90" t="str">
        <f ca="1"/>
        <v>VLVLY</v>
      </c>
      <c r="AL27" s="310">
        <f ca="1"/>
        <v>1.7037678571428581E-3</v>
      </c>
      <c r="AM27" t="str">
        <f ca="1"/>
        <v>RIGL</v>
      </c>
      <c r="AN27" s="310">
        <f ca="1"/>
        <v>0.47171903689618244</v>
      </c>
      <c r="AO27" t="str">
        <f ca="1"/>
        <v>AVGO</v>
      </c>
      <c r="AP27" s="310">
        <f ca="1"/>
        <v>-0.21204629791070484</v>
      </c>
      <c r="AQ27" s="87" t="str">
        <f ca="1"/>
        <v>AZN</v>
      </c>
      <c r="AR27" s="90">
        <f ca="1"/>
        <v>0.66185567010309243</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ORA</v>
      </c>
      <c r="F28" s="559">
        <f ca="1"/>
        <v>0.10826173304693219</v>
      </c>
      <c r="G28" s="153" t="str">
        <f ca="1"/>
        <v>MVEENI</v>
      </c>
      <c r="H28" s="560">
        <f ca="1"/>
        <v>94770.777999999933</v>
      </c>
      <c r="I28" t="str">
        <f ca="1"/>
        <v>MRNA</v>
      </c>
      <c r="J28" s="561">
        <f ca="1"/>
        <v>8.0149999999999996E-3</v>
      </c>
      <c r="K28" s="153" t="str">
        <f ca="1"/>
        <v>LOCK</v>
      </c>
      <c r="L28" s="561">
        <f ca="1"/>
        <v>4.1640000000000002E-3</v>
      </c>
      <c r="M28" s="1" t="str">
        <f ca="1"/>
        <v>AZN</v>
      </c>
      <c r="N28" s="560">
        <f ca="1"/>
        <v>9629.9999999999964</v>
      </c>
      <c r="O28" t="str">
        <f ca="1"/>
        <v>WBA</v>
      </c>
      <c r="P28" s="560">
        <f ca="1"/>
        <v>2908.0194400000046</v>
      </c>
      <c r="Q28" t="str">
        <f ca="1"/>
        <v>BMRA</v>
      </c>
      <c r="R28" s="650">
        <f ca="1"/>
        <v>1.392446428571428E-3</v>
      </c>
      <c r="S28" t="str">
        <f ca="1"/>
        <v>MVEENI</v>
      </c>
      <c r="T28" s="87">
        <f ca="1"/>
        <v>720</v>
      </c>
      <c r="U28" t="str">
        <f ca="1"/>
        <v>LUV</v>
      </c>
      <c r="V28" s="87">
        <f ca="1"/>
        <v>1614</v>
      </c>
      <c r="W28" t="str">
        <f ca="1"/>
        <v>PAAS</v>
      </c>
      <c r="X28">
        <f ca="1"/>
        <v>6</v>
      </c>
      <c r="Y28" t="str">
        <f ca="1"/>
        <v>PAAS</v>
      </c>
      <c r="Z28">
        <f ca="1"/>
        <v>6</v>
      </c>
      <c r="AA28" t="str">
        <f ca="1"/>
        <v>ASML</v>
      </c>
      <c r="AB28">
        <f ca="1"/>
        <v>55</v>
      </c>
      <c r="AC28" t="str">
        <f ca="1"/>
        <v>RRC</v>
      </c>
      <c r="AD28">
        <f ca="1"/>
        <v>57</v>
      </c>
      <c r="AE28" t="str">
        <f ca="1"/>
        <v>MVEDDD</v>
      </c>
      <c r="AF28" s="87">
        <f ca="1"/>
        <v>0</v>
      </c>
      <c r="AG28" t="str">
        <f ca="1"/>
        <v>PAAS</v>
      </c>
      <c r="AH28" s="87">
        <f ca="1"/>
        <v>4184.9999999999991</v>
      </c>
      <c r="AI28" t="str">
        <f ca="1"/>
        <v>MA</v>
      </c>
      <c r="AJ28" s="87">
        <f ca="1"/>
        <v>4694.9999999999927</v>
      </c>
      <c r="AK28" s="90" t="str">
        <f ca="1"/>
        <v>BMRA</v>
      </c>
      <c r="AL28" s="310">
        <f ca="1"/>
        <v>1.392446428571428E-3</v>
      </c>
      <c r="AM28" t="str">
        <f ca="1"/>
        <v>IAG</v>
      </c>
      <c r="AN28" s="310">
        <f ca="1"/>
        <v>0.43907348347660613</v>
      </c>
      <c r="AO28" t="str">
        <f ca="1"/>
        <v>SAFIAG</v>
      </c>
      <c r="AP28" s="310">
        <f ca="1"/>
        <v>-0.21036699029126213</v>
      </c>
      <c r="AQ28" s="87" t="str">
        <f ca="1"/>
        <v>DVA</v>
      </c>
      <c r="AR28" s="90">
        <f ca="1"/>
        <v>0.60358153582724772</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IAG</v>
      </c>
      <c r="F29" s="559">
        <f ca="1"/>
        <v>0.10512331511079581</v>
      </c>
      <c r="G29" s="153" t="str">
        <f ca="1"/>
        <v>TSLA</v>
      </c>
      <c r="H29" s="560">
        <f ca="1"/>
        <v>87630.11</v>
      </c>
      <c r="I29" t="str">
        <f ca="1"/>
        <v>SAFMRNA</v>
      </c>
      <c r="J29" s="561">
        <f ca="1"/>
        <v>8.0149999999999996E-3</v>
      </c>
      <c r="K29" s="153" t="str">
        <f ca="1"/>
        <v>NOTE</v>
      </c>
      <c r="L29" s="561">
        <f ca="1"/>
        <v>3.9529999999999999E-3</v>
      </c>
      <c r="M29" s="1" t="str">
        <f ca="1"/>
        <v>PROF</v>
      </c>
      <c r="N29" s="560">
        <f ca="1"/>
        <v>6639.9999999999973</v>
      </c>
      <c r="O29" t="str">
        <f ca="1"/>
        <v>AMZN</v>
      </c>
      <c r="P29" s="560">
        <f ca="1"/>
        <v>2628.1490000000022</v>
      </c>
      <c r="Q29" t="str">
        <f ca="1"/>
        <v>MSFT</v>
      </c>
      <c r="R29" s="650">
        <f ca="1"/>
        <v>1.3286249999999995E-3</v>
      </c>
      <c r="S29" t="str">
        <f ca="1"/>
        <v>VLVLY</v>
      </c>
      <c r="T29" s="87">
        <f ca="1"/>
        <v>660</v>
      </c>
      <c r="U29" t="str">
        <f ca="1"/>
        <v>NEE</v>
      </c>
      <c r="V29" s="87">
        <f ca="1"/>
        <v>1588.34</v>
      </c>
      <c r="W29" t="str">
        <f ca="1"/>
        <v>AAPL</v>
      </c>
      <c r="X29">
        <f ca="1"/>
        <v>7</v>
      </c>
      <c r="Y29" t="str">
        <f ca="1"/>
        <v>PROF</v>
      </c>
      <c r="Z29">
        <f ca="1"/>
        <v>6</v>
      </c>
      <c r="AA29" t="str">
        <f ca="1"/>
        <v>HPE</v>
      </c>
      <c r="AB29">
        <f ca="1"/>
        <v>55</v>
      </c>
      <c r="AC29" t="str">
        <f ca="1"/>
        <v>ALDNE</v>
      </c>
      <c r="AD29">
        <f ca="1"/>
        <v>56</v>
      </c>
      <c r="AE29" t="str">
        <f ca="1"/>
        <v>MVEEOAN</v>
      </c>
      <c r="AF29" s="87">
        <f ca="1"/>
        <v>0</v>
      </c>
      <c r="AG29" t="str">
        <f ca="1"/>
        <v>LUV</v>
      </c>
      <c r="AH29" s="87">
        <f ca="1"/>
        <v>2565.1200000000031</v>
      </c>
      <c r="AI29" t="str">
        <f ca="1"/>
        <v>HPQ</v>
      </c>
      <c r="AJ29" s="87">
        <f ca="1"/>
        <v>4427</v>
      </c>
      <c r="AK29" s="90" t="str">
        <f ca="1"/>
        <v>MSFT</v>
      </c>
      <c r="AL29" s="310">
        <f ca="1"/>
        <v>1.3286249999999995E-3</v>
      </c>
      <c r="AM29" t="str">
        <f ca="1"/>
        <v>BLDP</v>
      </c>
      <c r="AN29" s="310">
        <f ca="1"/>
        <v>0.41217182835820876</v>
      </c>
      <c r="AO29" t="str">
        <f ca="1"/>
        <v>GS</v>
      </c>
      <c r="AP29" s="310">
        <f ca="1"/>
        <v>-0.20321228620584963</v>
      </c>
      <c r="AQ29" s="87" t="str">
        <f ca="1"/>
        <v>MVEENI</v>
      </c>
      <c r="AR29" s="90">
        <f ca="1"/>
        <v>0.57342430149447654</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SAFIAG</v>
      </c>
      <c r="F30" s="559">
        <f ca="1"/>
        <v>0.10512331511079581</v>
      </c>
      <c r="G30" s="153" t="str">
        <f ca="1"/>
        <v>PAAS</v>
      </c>
      <c r="H30" s="560">
        <f ca="1"/>
        <v>86797.549999999988</v>
      </c>
      <c r="I30" t="str">
        <f ca="1"/>
        <v>AET</v>
      </c>
      <c r="J30" s="561">
        <f ca="1"/>
        <v>6.757E-3</v>
      </c>
      <c r="K30" s="153" t="str">
        <f ca="1"/>
        <v>RWE</v>
      </c>
      <c r="L30" s="561">
        <f ca="1"/>
        <v>1.103E-3</v>
      </c>
      <c r="M30" s="1" t="str">
        <f ca="1"/>
        <v>VTRS</v>
      </c>
      <c r="N30" s="560">
        <f ca="1"/>
        <v>6299.9999999999991</v>
      </c>
      <c r="O30" t="str">
        <f ca="1"/>
        <v>PROF</v>
      </c>
      <c r="P30" s="560">
        <f ca="1"/>
        <v>2473.5519999999983</v>
      </c>
      <c r="Q30" t="str">
        <f ca="1"/>
        <v>AAPL</v>
      </c>
      <c r="R30" s="650">
        <f ca="1"/>
        <v>9.6159345238095231E-4</v>
      </c>
      <c r="S30" t="str">
        <f ca="1"/>
        <v>SSYS</v>
      </c>
      <c r="T30" s="87">
        <f ca="1"/>
        <v>640</v>
      </c>
      <c r="U30" t="str">
        <f ca="1"/>
        <v>VONN</v>
      </c>
      <c r="V30" s="87">
        <f ca="1"/>
        <v>1587.4000000000233</v>
      </c>
      <c r="W30" t="str">
        <f ca="1"/>
        <v>C</v>
      </c>
      <c r="X30">
        <f ca="1"/>
        <v>7</v>
      </c>
      <c r="Y30" t="str">
        <f ca="1"/>
        <v>SHECY</v>
      </c>
      <c r="Z30">
        <f ca="1"/>
        <v>6</v>
      </c>
      <c r="AA30" t="str">
        <f ca="1"/>
        <v>LNSR</v>
      </c>
      <c r="AB30">
        <f ca="1"/>
        <v>55</v>
      </c>
      <c r="AC30" t="str">
        <f ca="1"/>
        <v>DVA</v>
      </c>
      <c r="AD30">
        <f ca="1"/>
        <v>56</v>
      </c>
      <c r="AE30" t="str">
        <f ca="1"/>
        <v>MVERWE</v>
      </c>
      <c r="AF30" s="87">
        <f ca="1"/>
        <v>0</v>
      </c>
      <c r="AG30" t="str">
        <f ca="1"/>
        <v>VONN</v>
      </c>
      <c r="AH30" s="87">
        <f ca="1"/>
        <v>2299.9999999999973</v>
      </c>
      <c r="AI30" t="str">
        <f ca="1"/>
        <v>ADEA</v>
      </c>
      <c r="AJ30" s="87">
        <f ca="1"/>
        <v>4000</v>
      </c>
      <c r="AK30" s="90" t="str">
        <f ca="1"/>
        <v>AAPL</v>
      </c>
      <c r="AL30" s="310">
        <f ca="1"/>
        <v>9.6159345238095231E-4</v>
      </c>
      <c r="AM30" t="str">
        <f ca="1"/>
        <v>NEM</v>
      </c>
      <c r="AN30" s="310">
        <f ca="1"/>
        <v>0.40627178226886407</v>
      </c>
      <c r="AO30" t="str">
        <f ca="1"/>
        <v>MVEENI</v>
      </c>
      <c r="AP30" s="310">
        <f ca="1"/>
        <v>-0.18825662691193309</v>
      </c>
      <c r="AQ30" s="87" t="str">
        <f ca="1"/>
        <v>F</v>
      </c>
      <c r="AR30" s="90">
        <f ca="1"/>
        <v>0.56681741456734291</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DSY</v>
      </c>
      <c r="F31" s="559">
        <f ca="1"/>
        <v>0.10492537313432836</v>
      </c>
      <c r="G31" s="153" t="str">
        <f ca="1"/>
        <v>AVGO</v>
      </c>
      <c r="H31" s="560">
        <f ca="1"/>
        <v>69543.375207999969</v>
      </c>
      <c r="I31" t="str">
        <f ca="1"/>
        <v>AMZN</v>
      </c>
      <c r="J31" s="561">
        <f ca="1"/>
        <v>6.2539999999999991E-3</v>
      </c>
      <c r="K31" s="153" t="str">
        <f ca="1"/>
        <v>MVERWE</v>
      </c>
      <c r="L31" s="561">
        <f ca="1"/>
        <v>1.103E-3</v>
      </c>
      <c r="M31" s="1" t="str">
        <f ca="1"/>
        <v>DVA</v>
      </c>
      <c r="N31" s="560">
        <f ca="1"/>
        <v>6273.9999999999727</v>
      </c>
      <c r="O31" t="str">
        <f ca="1"/>
        <v>SAFAAPL</v>
      </c>
      <c r="P31" s="560">
        <f ca="1"/>
        <v>1856.6601000000035</v>
      </c>
      <c r="Q31" t="str">
        <f ca="1"/>
        <v>SAFAAPL</v>
      </c>
      <c r="R31" s="650">
        <f ca="1"/>
        <v>9.6159345238095231E-4</v>
      </c>
      <c r="S31" t="str">
        <f ca="1"/>
        <v>NOTE</v>
      </c>
      <c r="T31" s="87">
        <f ca="1"/>
        <v>533.34000000001106</v>
      </c>
      <c r="U31" t="str">
        <f ca="1"/>
        <v>LAZR</v>
      </c>
      <c r="V31" s="87">
        <f ca="1"/>
        <v>1474.2099999999991</v>
      </c>
      <c r="W31" t="str">
        <f ca="1"/>
        <v>SAFAAPL</v>
      </c>
      <c r="X31">
        <f ca="1"/>
        <v>7</v>
      </c>
      <c r="Y31" t="str">
        <f ca="1"/>
        <v>LUMN</v>
      </c>
      <c r="Z31">
        <f ca="1"/>
        <v>7</v>
      </c>
      <c r="AA31" t="str">
        <f ca="1"/>
        <v>SAFASML</v>
      </c>
      <c r="AB31">
        <f ca="1"/>
        <v>55</v>
      </c>
      <c r="AC31" t="str">
        <f ca="1"/>
        <v>VONN</v>
      </c>
      <c r="AD31">
        <f ca="1"/>
        <v>56</v>
      </c>
      <c r="AE31" t="str">
        <f ca="1"/>
        <v>MVESAP</v>
      </c>
      <c r="AF31" s="87">
        <f ca="1"/>
        <v>0</v>
      </c>
      <c r="AG31" t="str">
        <f ca="1"/>
        <v>AVGO</v>
      </c>
      <c r="AH31" s="87">
        <f ca="1"/>
        <v>2274.2999999999965</v>
      </c>
      <c r="AI31" t="str">
        <f ca="1"/>
        <v>ASML</v>
      </c>
      <c r="AJ31" s="87">
        <f ca="1"/>
        <v>3885.0000000000023</v>
      </c>
      <c r="AK31" s="90" t="str">
        <f ca="1"/>
        <v>SAFAAPL</v>
      </c>
      <c r="AL31" s="310">
        <f ca="1"/>
        <v>9.6159345238095231E-4</v>
      </c>
      <c r="AM31" t="str">
        <f ca="1"/>
        <v>TSM</v>
      </c>
      <c r="AN31" s="310">
        <f ca="1"/>
        <v>0.39571307832036318</v>
      </c>
      <c r="AO31" t="str">
        <f ca="1"/>
        <v>RIG</v>
      </c>
      <c r="AP31" s="310">
        <f ca="1"/>
        <v>-0.18099123122426483</v>
      </c>
      <c r="AQ31" s="87" t="str">
        <f ca="1"/>
        <v>CVS</v>
      </c>
      <c r="AR31" s="90">
        <f ca="1"/>
        <v>0.47650023583661405</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MVEDSY</v>
      </c>
      <c r="F32" s="559">
        <f ca="1"/>
        <v>0.10492537313432836</v>
      </c>
      <c r="G32" s="153" t="str">
        <f ca="1"/>
        <v>SHECY</v>
      </c>
      <c r="H32" s="560">
        <f ca="1"/>
        <v>68394.219999999972</v>
      </c>
      <c r="I32" t="str">
        <f ca="1"/>
        <v>SAFAMZN</v>
      </c>
      <c r="J32" s="561">
        <f ca="1"/>
        <v>6.2539999999999991E-3</v>
      </c>
      <c r="K32" s="153" t="str">
        <f ca="1"/>
        <v>MVEENI</v>
      </c>
      <c r="L32" s="561">
        <f ca="1"/>
        <v>9.7119999999999997E-4</v>
      </c>
      <c r="M32" s="1" t="str">
        <f ca="1"/>
        <v>VLVLY</v>
      </c>
      <c r="N32" s="560">
        <f ca="1"/>
        <v>5895</v>
      </c>
      <c r="O32" t="str">
        <f ca="1"/>
        <v>KR</v>
      </c>
      <c r="P32" s="560">
        <f ca="1"/>
        <v>1805.293999999988</v>
      </c>
      <c r="Q32" t="str">
        <f ca="1"/>
        <v>RRC</v>
      </c>
      <c r="R32" s="650">
        <f ca="1"/>
        <v>7.2526785714285727E-4</v>
      </c>
      <c r="S32" t="str">
        <f ca="1"/>
        <v>SAFAAPL</v>
      </c>
      <c r="T32" s="87">
        <f ca="1"/>
        <v>476.00000000001455</v>
      </c>
      <c r="U32" t="str">
        <f ca="1"/>
        <v>MVEDDD</v>
      </c>
      <c r="V32" s="87">
        <f ca="1"/>
        <v>1300.0000000000036</v>
      </c>
      <c r="W32" t="str">
        <f ca="1"/>
        <v>AET</v>
      </c>
      <c r="X32">
        <f ca="1"/>
        <v>8</v>
      </c>
      <c r="Y32" t="str">
        <f ca="1"/>
        <v>SAFMRNA</v>
      </c>
      <c r="Z32">
        <f ca="1"/>
        <v>7</v>
      </c>
      <c r="AA32" t="str">
        <f ca="1"/>
        <v>JBASML</v>
      </c>
      <c r="AB32">
        <f ca="1"/>
        <v>55</v>
      </c>
      <c r="AC32" t="str">
        <f ca="1"/>
        <v>MVEALDNE</v>
      </c>
      <c r="AD32">
        <f ca="1"/>
        <v>56</v>
      </c>
      <c r="AE32" t="str">
        <f ca="1"/>
        <v>SAFAAPL</v>
      </c>
      <c r="AF32" s="87">
        <f ca="1"/>
        <v>0</v>
      </c>
      <c r="AG32" t="str">
        <f ca="1"/>
        <v>DVA</v>
      </c>
      <c r="AH32" s="87">
        <f ca="1"/>
        <v>2255.9999999999945</v>
      </c>
      <c r="AI32" t="str">
        <f ca="1"/>
        <v>EZJ</v>
      </c>
      <c r="AJ32" s="87">
        <f ca="1"/>
        <v>3420.0000000000045</v>
      </c>
      <c r="AK32" s="90" t="str">
        <f ca="1"/>
        <v>RRC</v>
      </c>
      <c r="AL32" s="310">
        <f ca="1"/>
        <v>7.2526785714285727E-4</v>
      </c>
      <c r="AM32" t="str">
        <f ca="1"/>
        <v>CVS</v>
      </c>
      <c r="AN32" s="310">
        <f ca="1"/>
        <v>0.38813009043247504</v>
      </c>
      <c r="AO32" t="str">
        <f ca="1"/>
        <v>JBASML</v>
      </c>
      <c r="AP32" s="310">
        <f ca="1"/>
        <v>-0.17205145742483355</v>
      </c>
      <c r="AQ32" s="87" t="str">
        <f ca="1"/>
        <v>MVEEOAN</v>
      </c>
      <c r="AR32" s="90">
        <f ca="1"/>
        <v>0.4481012658227847</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NFLX</v>
      </c>
      <c r="F33" s="559">
        <f ca="1"/>
        <v>3.4597705182637987E-2</v>
      </c>
      <c r="G33" s="153" t="str">
        <f ca="1"/>
        <v>NEE</v>
      </c>
      <c r="H33" s="560">
        <f ca="1"/>
        <v>66718.001999999979</v>
      </c>
      <c r="I33" t="str">
        <f ca="1"/>
        <v>GNRC</v>
      </c>
      <c r="J33" s="561">
        <f ca="1"/>
        <v>5.3969999999999999E-3</v>
      </c>
      <c r="K33" s="153" t="str">
        <f ca="1"/>
        <v>ENI</v>
      </c>
      <c r="L33" s="561">
        <f ca="1"/>
        <v>9.7119999999999997E-4</v>
      </c>
      <c r="M33" s="1" t="str">
        <f ca="1"/>
        <v>WBA</v>
      </c>
      <c r="N33" s="560">
        <f ca="1"/>
        <v>5760.2999999999993</v>
      </c>
      <c r="O33" t="str">
        <f ca="1"/>
        <v>AZN</v>
      </c>
      <c r="P33" s="560">
        <f ca="1"/>
        <v>1436.2559999999976</v>
      </c>
      <c r="Q33" t="str">
        <f ca="1"/>
        <v>XOM</v>
      </c>
      <c r="R33" s="650">
        <f ca="1"/>
        <v>3.4581190476190441E-4</v>
      </c>
      <c r="S33" t="str">
        <f ca="1"/>
        <v>UN0</v>
      </c>
      <c r="T33" s="87">
        <f ca="1"/>
        <v>450</v>
      </c>
      <c r="U33" t="str">
        <f ca="1"/>
        <v>GNRC</v>
      </c>
      <c r="V33" s="87">
        <f ca="1"/>
        <v>1278</v>
      </c>
      <c r="W33" t="str">
        <f ca="1"/>
        <v>GS</v>
      </c>
      <c r="X33">
        <f ca="1"/>
        <v>8</v>
      </c>
      <c r="Y33" t="str">
        <f ca="1"/>
        <v>RIG</v>
      </c>
      <c r="Z33">
        <f ca="1"/>
        <v>7</v>
      </c>
      <c r="AA33" t="str">
        <f ca="1"/>
        <v>ADEA</v>
      </c>
      <c r="AB33">
        <f ca="1"/>
        <v>54</v>
      </c>
      <c r="AC33" t="str">
        <f ca="1"/>
        <v>MVEORA</v>
      </c>
      <c r="AD33">
        <f ca="1"/>
        <v>56</v>
      </c>
      <c r="AE33" t="str">
        <f ca="1"/>
        <v>SAFAMZN</v>
      </c>
      <c r="AF33" s="87">
        <f ca="1"/>
        <v>0</v>
      </c>
      <c r="AG33" t="str">
        <f ca="1"/>
        <v>EZJ</v>
      </c>
      <c r="AH33" s="87">
        <f ca="1"/>
        <v>2077.9999999999973</v>
      </c>
      <c r="AI33" t="str">
        <f ca="1"/>
        <v>DVA</v>
      </c>
      <c r="AJ33" s="87">
        <f ca="1"/>
        <v>3024.0000000000009</v>
      </c>
      <c r="AK33" s="90" t="str">
        <f ca="1"/>
        <v>XOM</v>
      </c>
      <c r="AL33" s="310">
        <f ca="1"/>
        <v>3.4581190476190441E-4</v>
      </c>
      <c r="AM33" t="str">
        <f ca="1"/>
        <v>MVEEOAN</v>
      </c>
      <c r="AN33" s="310">
        <f ca="1"/>
        <v>0.37244683544303786</v>
      </c>
      <c r="AO33" t="str">
        <f ca="1"/>
        <v>THC</v>
      </c>
      <c r="AP33" s="310">
        <f ca="1"/>
        <v>-0.17053043673631635</v>
      </c>
      <c r="AQ33" s="87" t="str">
        <f ca="1"/>
        <v>SAFGM</v>
      </c>
      <c r="AR33" s="90">
        <f ca="1"/>
        <v>0.44060487390596625</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VLVLY</v>
      </c>
      <c r="F34" s="559">
        <f ca="1"/>
        <v>3.0948271353104243E-2</v>
      </c>
      <c r="G34" s="153" t="str">
        <f ca="1"/>
        <v>SAFGM</v>
      </c>
      <c r="H34" s="560">
        <f ca="1"/>
        <v>62342.085000000006</v>
      </c>
      <c r="I34" t="str">
        <f ca="1"/>
        <v>VLVLY</v>
      </c>
      <c r="J34" s="561">
        <f ca="1"/>
        <v>5.372E-3</v>
      </c>
      <c r="K34" s="153" t="str">
        <f ca="1"/>
        <v>EPIX</v>
      </c>
      <c r="L34" s="561">
        <f ca="1"/>
        <v>0</v>
      </c>
      <c r="M34" s="1" t="str">
        <f ca="1"/>
        <v>VONN</v>
      </c>
      <c r="N34" s="560">
        <f ca="1"/>
        <v>3810.0000000000023</v>
      </c>
      <c r="O34" t="str">
        <f ca="1"/>
        <v>AAPL</v>
      </c>
      <c r="P34" s="560">
        <f ca="1"/>
        <v>1181.9190000000021</v>
      </c>
      <c r="Q34" t="str">
        <f ca="1"/>
        <v>MVEORA</v>
      </c>
      <c r="R34" s="650">
        <f ca="1"/>
        <v>7.1559523809524087E-5</v>
      </c>
      <c r="S34" t="str">
        <f ca="1"/>
        <v>XOM</v>
      </c>
      <c r="T34" s="87">
        <f ca="1"/>
        <v>420</v>
      </c>
      <c r="U34" t="str">
        <f ca="1"/>
        <v>RIG</v>
      </c>
      <c r="V34" s="87">
        <f ca="1"/>
        <v>1200</v>
      </c>
      <c r="W34" t="str">
        <f ca="1"/>
        <v>LUV</v>
      </c>
      <c r="X34">
        <f ca="1"/>
        <v>9</v>
      </c>
      <c r="Y34" t="str">
        <f ca="1"/>
        <v>DIS</v>
      </c>
      <c r="Z34">
        <f ca="1"/>
        <v>8</v>
      </c>
      <c r="AA34" t="str">
        <f ca="1"/>
        <v>EZJ</v>
      </c>
      <c r="AB34">
        <f ca="1"/>
        <v>54</v>
      </c>
      <c r="AC34" t="str">
        <f ca="1"/>
        <v>ORA</v>
      </c>
      <c r="AD34">
        <f ca="1"/>
        <v>56</v>
      </c>
      <c r="AE34" t="str">
        <f ca="1"/>
        <v>SAFASML</v>
      </c>
      <c r="AF34" s="87">
        <f ca="1"/>
        <v>0</v>
      </c>
      <c r="AG34" t="str">
        <f ca="1"/>
        <v>JBEOAN</v>
      </c>
      <c r="AH34" s="87">
        <f ca="1"/>
        <v>1849.9999999999961</v>
      </c>
      <c r="AI34" t="str">
        <f ca="1"/>
        <v>EOAN</v>
      </c>
      <c r="AJ34" s="87">
        <f ca="1"/>
        <v>2976.0000000000045</v>
      </c>
      <c r="AK34" s="90" t="str">
        <f ca="1"/>
        <v>MVEORA</v>
      </c>
      <c r="AL34" s="310">
        <f ca="1"/>
        <v>7.1559523809524087E-5</v>
      </c>
      <c r="AM34" t="str">
        <f ca="1"/>
        <v>MVERWE</v>
      </c>
      <c r="AN34" s="310">
        <f ca="1"/>
        <v>0.37023897869768863</v>
      </c>
      <c r="AO34" t="str">
        <f ca="1"/>
        <v>TSLA</v>
      </c>
      <c r="AP34" s="310">
        <f ca="1"/>
        <v>-0.17037544206751581</v>
      </c>
      <c r="AQ34" s="87" t="str">
        <f ca="1"/>
        <v>GM</v>
      </c>
      <c r="AR34" s="90">
        <f ca="1"/>
        <v>0.39445644061765806</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UN0</v>
      </c>
      <c r="F35" s="559">
        <f ca="1"/>
        <v>2.5362318840579712E-2</v>
      </c>
      <c r="G35" s="153" t="str">
        <f ca="1"/>
        <v>JBASML</v>
      </c>
      <c r="H35" s="560">
        <f ca="1"/>
        <v>60870</v>
      </c>
      <c r="I35" t="str">
        <f ca="1"/>
        <v>DSY</v>
      </c>
      <c r="J35" s="561">
        <f ca="1"/>
        <v>3.4389999999999998E-3</v>
      </c>
      <c r="K35" s="153" t="str">
        <f ca="1"/>
        <v>WBA</v>
      </c>
      <c r="L35" s="561">
        <f ca="1"/>
        <v>0</v>
      </c>
      <c r="M35" s="1" t="str">
        <f ca="1"/>
        <v>XOM</v>
      </c>
      <c r="N35" s="560">
        <f ca="1"/>
        <v>3179.9999999999995</v>
      </c>
      <c r="O35" t="str">
        <f ca="1"/>
        <v>LUMN</v>
      </c>
      <c r="P35" s="560">
        <f ca="1"/>
        <v>1175.0369400000004</v>
      </c>
      <c r="Q35" t="str">
        <f ca="1"/>
        <v>ORA</v>
      </c>
      <c r="R35" s="650">
        <f ca="1"/>
        <v>7.1559523809524087E-5</v>
      </c>
      <c r="S35" t="str">
        <f ca="1"/>
        <v>LUV</v>
      </c>
      <c r="T35" s="87">
        <f ca="1"/>
        <v>342</v>
      </c>
      <c r="U35" t="str">
        <f ca="1"/>
        <v>AZN</v>
      </c>
      <c r="V35" s="87">
        <f ca="1"/>
        <v>1007.5</v>
      </c>
      <c r="W35" t="str">
        <f ca="1"/>
        <v>MSFT</v>
      </c>
      <c r="X35">
        <f ca="1"/>
        <v>10</v>
      </c>
      <c r="Y35" t="str">
        <f ca="1"/>
        <v>NEM</v>
      </c>
      <c r="Z35">
        <f ca="1"/>
        <v>8</v>
      </c>
      <c r="AA35" t="str">
        <f ca="1"/>
        <v>ALDNE</v>
      </c>
      <c r="AB35">
        <f ca="1"/>
        <v>52</v>
      </c>
      <c r="AC35" t="str">
        <f ca="1"/>
        <v>OXY</v>
      </c>
      <c r="AD35">
        <f ca="1"/>
        <v>56</v>
      </c>
      <c r="AE35" t="str">
        <f ca="1"/>
        <v>SAFDIS</v>
      </c>
      <c r="AF35" s="87">
        <f ca="1"/>
        <v>0</v>
      </c>
      <c r="AG35" t="str">
        <f ca="1"/>
        <v>BLDP</v>
      </c>
      <c r="AH35" s="87">
        <f ca="1"/>
        <v>1079.9999999999982</v>
      </c>
      <c r="AI35" t="str">
        <f ca="1"/>
        <v>JBEOAN</v>
      </c>
      <c r="AJ35" s="87">
        <f ca="1"/>
        <v>2790.0000000000045</v>
      </c>
      <c r="AK35" s="90" t="str">
        <f ca="1"/>
        <v>ORA</v>
      </c>
      <c r="AL35" s="310">
        <f ca="1"/>
        <v>7.1559523809524087E-5</v>
      </c>
      <c r="AM35" t="str">
        <f ca="1"/>
        <v>SAFAAPL</v>
      </c>
      <c r="AN35" s="310">
        <f ca="1"/>
        <v>0.3620999552187763</v>
      </c>
      <c r="AO35" t="str">
        <f ca="1"/>
        <v>LNSR</v>
      </c>
      <c r="AP35" s="310">
        <f ca="1"/>
        <v>-0.16580474777448057</v>
      </c>
      <c r="AQ35" s="87" t="str">
        <f ca="1"/>
        <v>LNSR</v>
      </c>
      <c r="AR35" s="90">
        <f ca="1"/>
        <v>0.38958844591060859</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MVEUN0</v>
      </c>
      <c r="F36" s="559">
        <f ca="1"/>
        <v>2.5362318840579712E-2</v>
      </c>
      <c r="G36" s="153" t="str">
        <f ca="1"/>
        <v>X</v>
      </c>
      <c r="H36" s="560">
        <f ca="1"/>
        <v>60208.109199999919</v>
      </c>
      <c r="I36" t="str">
        <f ca="1"/>
        <v>MVEDSY</v>
      </c>
      <c r="J36" s="561">
        <f ca="1"/>
        <v>3.4389999999999998E-3</v>
      </c>
      <c r="K36" s="153" t="str">
        <f ca="1"/>
        <v>MVEEPIX</v>
      </c>
      <c r="L36" s="561">
        <f ca="1"/>
        <v>0</v>
      </c>
      <c r="M36" s="1" t="str">
        <f ca="1"/>
        <v>LUV</v>
      </c>
      <c r="N36" s="560">
        <f ca="1"/>
        <v>2565.1200000000031</v>
      </c>
      <c r="O36" t="str">
        <f ca="1"/>
        <v>CVS</v>
      </c>
      <c r="P36" s="560">
        <f ca="1"/>
        <v>791.00303100000042</v>
      </c>
      <c r="Q36" t="str">
        <f ca="1"/>
        <v>WBA</v>
      </c>
      <c r="R36" s="650">
        <f ca="1"/>
        <v>0</v>
      </c>
      <c r="S36" t="str">
        <f ca="1"/>
        <v>ENI</v>
      </c>
      <c r="T36" s="87">
        <f ca="1"/>
        <v>340</v>
      </c>
      <c r="U36" t="str">
        <f ca="1"/>
        <v>XOM</v>
      </c>
      <c r="V36" s="87">
        <f ca="1"/>
        <v>645</v>
      </c>
      <c r="W36" t="str">
        <f ca="1"/>
        <v>THC</v>
      </c>
      <c r="X36">
        <f ca="1"/>
        <v>10</v>
      </c>
      <c r="Y36" t="str">
        <f ca="1"/>
        <v>VONN</v>
      </c>
      <c r="Z36">
        <f ca="1"/>
        <v>8</v>
      </c>
      <c r="AA36" t="str">
        <f ca="1"/>
        <v>AVGO</v>
      </c>
      <c r="AB36">
        <f ca="1"/>
        <v>52</v>
      </c>
      <c r="AC36" t="str">
        <f ca="1"/>
        <v>DSY</v>
      </c>
      <c r="AD36">
        <f ca="1"/>
        <v>54</v>
      </c>
      <c r="AE36" t="str">
        <f ca="1"/>
        <v>SAFGM</v>
      </c>
      <c r="AF36" s="87">
        <f ca="1"/>
        <v>0</v>
      </c>
      <c r="AG36" t="str">
        <f ca="1"/>
        <v>RWE</v>
      </c>
      <c r="AH36" s="87">
        <f ca="1"/>
        <v>850.50000000000011</v>
      </c>
      <c r="AI36" t="str">
        <f ca="1"/>
        <v>PW</v>
      </c>
      <c r="AJ36" s="87">
        <f ca="1"/>
        <v>2494.98</v>
      </c>
      <c r="AK36" s="90" t="str">
        <f ca="1"/>
        <v>WBA</v>
      </c>
      <c r="AL36" s="310">
        <f ca="1"/>
        <v>0</v>
      </c>
      <c r="AM36" t="str">
        <f ca="1"/>
        <v>SAFASML</v>
      </c>
      <c r="AN36" s="310">
        <f ca="1"/>
        <v>0.33079420078964372</v>
      </c>
      <c r="AO36" t="str">
        <f ca="1"/>
        <v>WBA</v>
      </c>
      <c r="AP36" s="310">
        <f ca="1"/>
        <v>-0.16287545909849746</v>
      </c>
      <c r="AQ36" s="87" t="str">
        <f ca="1"/>
        <v>NVS</v>
      </c>
      <c r="AR36" s="90">
        <f ca="1"/>
        <v>0.38730961804118591</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PW</v>
      </c>
      <c r="F37" s="559">
        <f ca="1"/>
        <v>9.3454688987438753E-3</v>
      </c>
      <c r="G37" s="153" t="str">
        <f ca="1"/>
        <v>MVESAP</v>
      </c>
      <c r="H37" s="560">
        <f ca="1"/>
        <v>48083.336999999919</v>
      </c>
      <c r="I37" t="str">
        <f ca="1"/>
        <v>ADEA</v>
      </c>
      <c r="J37" s="561">
        <f ca="1"/>
        <v>3.2140000000000003E-3</v>
      </c>
      <c r="K37" s="153" t="str">
        <f ca="1"/>
        <v>RIG</v>
      </c>
      <c r="L37" s="561">
        <f ca="1"/>
        <v>0</v>
      </c>
      <c r="M37" s="1" t="str">
        <f ca="1"/>
        <v>RWE</v>
      </c>
      <c r="N37" s="560">
        <f ca="1"/>
        <v>850.50000000000011</v>
      </c>
      <c r="O37" t="str">
        <f ca="1"/>
        <v>NEE</v>
      </c>
      <c r="P37" s="560">
        <f ca="1"/>
        <v>787.96594799999582</v>
      </c>
      <c r="Q37" t="str">
        <f ca="1"/>
        <v>X</v>
      </c>
      <c r="R37" s="650">
        <f ca="1"/>
        <v>0</v>
      </c>
      <c r="S37" t="str">
        <f ca="1"/>
        <v>NVAX</v>
      </c>
      <c r="T37" s="87">
        <f ca="1"/>
        <v>325</v>
      </c>
      <c r="U37" t="str">
        <f ca="1"/>
        <v>VLVLY</v>
      </c>
      <c r="V37" s="87">
        <f ca="1"/>
        <v>615</v>
      </c>
      <c r="W37" t="str">
        <f ca="1"/>
        <v>AZN</v>
      </c>
      <c r="X37">
        <f ca="1"/>
        <v>11</v>
      </c>
      <c r="Y37" t="str">
        <f ca="1"/>
        <v>MVEDSY</v>
      </c>
      <c r="Z37">
        <f ca="1"/>
        <v>8</v>
      </c>
      <c r="AA37" t="str">
        <f ca="1"/>
        <v>CSCO</v>
      </c>
      <c r="AB37">
        <f ca="1"/>
        <v>52</v>
      </c>
      <c r="AC37" t="str">
        <f ca="1"/>
        <v>IAG</v>
      </c>
      <c r="AD37">
        <f ca="1"/>
        <v>53</v>
      </c>
      <c r="AE37" t="str">
        <f ca="1"/>
        <v>SAFIAG</v>
      </c>
      <c r="AF37" s="87">
        <f ca="1"/>
        <v>0</v>
      </c>
      <c r="AG37" t="str">
        <f ca="1"/>
        <v>XOM</v>
      </c>
      <c r="AH37" s="87">
        <f ca="1"/>
        <v>540.00000000000341</v>
      </c>
      <c r="AI37" t="str">
        <f ca="1"/>
        <v>HPE</v>
      </c>
      <c r="AJ37" s="87">
        <f ca="1"/>
        <v>2322.000000000005</v>
      </c>
      <c r="AK37" s="90" t="str">
        <f ca="1"/>
        <v>X</v>
      </c>
      <c r="AL37" s="310">
        <f ca="1"/>
        <v>0</v>
      </c>
      <c r="AM37" t="str">
        <f ca="1"/>
        <v>ASML</v>
      </c>
      <c r="AN37" s="310">
        <f ca="1"/>
        <v>0.3207884308550974</v>
      </c>
      <c r="AO37" t="str">
        <f ca="1"/>
        <v>NEE</v>
      </c>
      <c r="AP37" s="310">
        <f ca="1"/>
        <v>-0.15584456768038152</v>
      </c>
      <c r="AQ37" s="87" t="str">
        <f ca="1"/>
        <v>GS</v>
      </c>
      <c r="AR37" s="90">
        <f ca="1"/>
        <v>0.35610824103941519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HPQ</v>
      </c>
      <c r="F38" s="559">
        <f ca="1"/>
        <v>4.3166557896760572E-3</v>
      </c>
      <c r="G38" s="153" t="str">
        <f ca="1"/>
        <v>MA</v>
      </c>
      <c r="H38" s="560">
        <f ca="1"/>
        <v>46495.758999999991</v>
      </c>
      <c r="I38" t="str">
        <f ca="1"/>
        <v>THC</v>
      </c>
      <c r="J38" s="561">
        <f ca="1"/>
        <v>3.2079999999999999E-3</v>
      </c>
      <c r="K38" s="153" t="str">
        <f ca="1"/>
        <v>X</v>
      </c>
      <c r="L38" s="561">
        <f ca="1"/>
        <v>0</v>
      </c>
      <c r="M38" s="1" t="str">
        <f ca="1"/>
        <v>GM</v>
      </c>
      <c r="N38" s="560">
        <f ca="1"/>
        <v>238.84</v>
      </c>
      <c r="O38" t="str">
        <f ca="1"/>
        <v>C</v>
      </c>
      <c r="P38" s="560">
        <f ca="1"/>
        <v>277.15252499999968</v>
      </c>
      <c r="Q38" t="str">
        <f ca="1"/>
        <v>PFE</v>
      </c>
      <c r="R38" s="650">
        <f ca="1"/>
        <v>-2.4988452380952323E-4</v>
      </c>
      <c r="S38" t="str">
        <f ca="1"/>
        <v>AZN</v>
      </c>
      <c r="T38" s="87">
        <f ca="1"/>
        <v>292.5</v>
      </c>
      <c r="U38" t="str">
        <f ca="1"/>
        <v>DSY</v>
      </c>
      <c r="V38" s="87">
        <f ca="1"/>
        <v>600</v>
      </c>
      <c r="W38" t="str">
        <f ca="1"/>
        <v>OXY</v>
      </c>
      <c r="X38">
        <f ca="1"/>
        <v>11</v>
      </c>
      <c r="Y38" t="str">
        <f ca="1"/>
        <v>GNRC</v>
      </c>
      <c r="Z38">
        <f ca="1"/>
        <v>8</v>
      </c>
      <c r="AA38" t="str">
        <f ca="1"/>
        <v>IAG</v>
      </c>
      <c r="AB38">
        <f ca="1"/>
        <v>52</v>
      </c>
      <c r="AC38" t="str">
        <f ca="1"/>
        <v>PAAS</v>
      </c>
      <c r="AD38">
        <f ca="1"/>
        <v>53</v>
      </c>
      <c r="AE38" t="str">
        <f ca="1"/>
        <v>F</v>
      </c>
      <c r="AF38" s="87">
        <f ca="1"/>
        <v>0</v>
      </c>
      <c r="AG38" t="str">
        <f ca="1"/>
        <v>HPE</v>
      </c>
      <c r="AH38" s="87">
        <f ca="1"/>
        <v>359.99999999999875</v>
      </c>
      <c r="AI38" t="str">
        <f ca="1"/>
        <v>MSFT</v>
      </c>
      <c r="AJ38" s="87">
        <f ca="1"/>
        <v>2060.9999999999927</v>
      </c>
      <c r="AK38" s="90" t="str">
        <f ca="1"/>
        <v>PFE</v>
      </c>
      <c r="AL38" s="310">
        <f ca="1"/>
        <v>-2.4988452380952323E-4</v>
      </c>
      <c r="AM38" t="str">
        <f ca="1"/>
        <v>PROF</v>
      </c>
      <c r="AN38" s="310">
        <f ca="1"/>
        <v>0.31901425818882451</v>
      </c>
      <c r="AO38" t="str">
        <f ca="1"/>
        <v>CSCO</v>
      </c>
      <c r="AP38" s="310">
        <f ca="1"/>
        <v>-0.1410615384615384</v>
      </c>
      <c r="AQ38" s="87" t="str">
        <f ca="1"/>
        <v>AVGO</v>
      </c>
      <c r="AR38" s="90">
        <f ca="1"/>
        <v>0.30938093658595378</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TSLA</v>
      </c>
      <c r="F39" s="559">
        <f ca="1"/>
        <v>3.9707188888134714E-3</v>
      </c>
      <c r="G39" s="153" t="str">
        <f ca="1"/>
        <v>GS</v>
      </c>
      <c r="H39" s="560">
        <f ca="1"/>
        <v>45917.739000000023</v>
      </c>
      <c r="I39" t="str">
        <f ca="1"/>
        <v>CVS</v>
      </c>
      <c r="J39" s="561">
        <f ca="1"/>
        <v>2.2880000000000001E-3</v>
      </c>
      <c r="K39" s="153" t="str">
        <f ca="1"/>
        <v>NEE</v>
      </c>
      <c r="L39" s="561">
        <f ca="1"/>
        <v>-1.6669999999999999E-3</v>
      </c>
      <c r="M39" s="1" t="str">
        <f ca="1"/>
        <v>X</v>
      </c>
      <c r="N39" s="560">
        <f ca="1"/>
        <v>238.82794000000007</v>
      </c>
      <c r="O39" t="str">
        <f ca="1"/>
        <v>RIG</v>
      </c>
      <c r="P39" s="560">
        <f ca="1"/>
        <v>274.28499999999855</v>
      </c>
      <c r="Q39" t="str">
        <f ca="1"/>
        <v>C</v>
      </c>
      <c r="R39" s="650">
        <f ca="1"/>
        <v>-2.6359523809523768E-4</v>
      </c>
      <c r="S39" t="str">
        <f ca="1"/>
        <v>WBA</v>
      </c>
      <c r="T39" s="87">
        <f ca="1"/>
        <v>195</v>
      </c>
      <c r="U39" t="str">
        <f ca="1"/>
        <v>PROF</v>
      </c>
      <c r="V39" s="87">
        <f ca="1"/>
        <v>600</v>
      </c>
      <c r="W39" t="str">
        <f ca="1"/>
        <v>DXC</v>
      </c>
      <c r="X39">
        <f ca="1"/>
        <v>12</v>
      </c>
      <c r="Y39" t="str">
        <f ca="1"/>
        <v>DDD</v>
      </c>
      <c r="Z39">
        <f ca="1"/>
        <v>9</v>
      </c>
      <c r="AA39" t="str">
        <f ca="1"/>
        <v>MVEALDNE</v>
      </c>
      <c r="AB39">
        <f ca="1"/>
        <v>52</v>
      </c>
      <c r="AC39" t="str">
        <f ca="1"/>
        <v>AET</v>
      </c>
      <c r="AD39">
        <f ca="1"/>
        <v>52</v>
      </c>
      <c r="AE39" t="str">
        <f ca="1"/>
        <v>GLE</v>
      </c>
      <c r="AF39" s="87">
        <f ca="1"/>
        <v>0</v>
      </c>
      <c r="AG39" t="str">
        <f ca="1"/>
        <v>GM</v>
      </c>
      <c r="AH39" s="87">
        <f ca="1"/>
        <v>238.84</v>
      </c>
      <c r="AI39" t="str">
        <f ca="1"/>
        <v>BLDP</v>
      </c>
      <c r="AJ39" s="87">
        <f ca="1"/>
        <v>1920.6000000000004</v>
      </c>
      <c r="AK39" s="90" t="str">
        <f ca="1"/>
        <v>C</v>
      </c>
      <c r="AL39" s="310">
        <f ca="1"/>
        <v>-2.6359523809523768E-4</v>
      </c>
      <c r="AM39" t="str">
        <f ca="1"/>
        <v>AAPL</v>
      </c>
      <c r="AN39" s="310">
        <f ca="1"/>
        <v>0.28409894040377121</v>
      </c>
      <c r="AO39" t="str">
        <f ca="1"/>
        <v>AMZN</v>
      </c>
      <c r="AP39" s="310">
        <f ca="1"/>
        <v>-0.13695355149345939</v>
      </c>
      <c r="AQ39" s="87" t="str">
        <f ca="1"/>
        <v>AMZN</v>
      </c>
      <c r="AR39" s="90">
        <f ca="1"/>
        <v>0.30493287446129019</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TSM</v>
      </c>
      <c r="F40" s="559">
        <f ca="1"/>
        <v>3.579393845927167E-3</v>
      </c>
      <c r="G40" s="153" t="str">
        <f ca="1"/>
        <v>ENI</v>
      </c>
      <c r="H40" s="560">
        <f ca="1"/>
        <v>43527.53600000008</v>
      </c>
      <c r="I40" t="str">
        <f ca="1"/>
        <v>DIS</v>
      </c>
      <c r="J40" s="561">
        <f ca="1"/>
        <v>2.1719999999999999E-3</v>
      </c>
      <c r="K40" s="153" t="str">
        <f ca="1"/>
        <v>AAPL</v>
      </c>
      <c r="L40" s="561">
        <f ca="1"/>
        <v>-1.9780000000000002E-3</v>
      </c>
      <c r="M40" s="1" t="str">
        <f ca="1"/>
        <v>ORA</v>
      </c>
      <c r="N40" s="560">
        <f ca="1"/>
        <v>198.00000000000111</v>
      </c>
      <c r="O40" t="str">
        <f ca="1"/>
        <v>IAG</v>
      </c>
      <c r="P40" s="560">
        <f ca="1"/>
        <v>217.43320000000634</v>
      </c>
      <c r="Q40" t="str">
        <f ca="1"/>
        <v>GM</v>
      </c>
      <c r="R40" s="650">
        <f ca="1"/>
        <v>-3.3423214285714284E-4</v>
      </c>
      <c r="S40" t="str">
        <f ca="1"/>
        <v>GNRC</v>
      </c>
      <c r="T40" s="87">
        <f ca="1"/>
        <v>180</v>
      </c>
      <c r="U40" t="str">
        <f ca="1"/>
        <v>SAFAAPL</v>
      </c>
      <c r="V40" s="87">
        <f ca="1"/>
        <v>470.75000000001455</v>
      </c>
      <c r="W40" t="str">
        <f ca="1"/>
        <v>VLVLY</v>
      </c>
      <c r="X40">
        <f ca="1"/>
        <v>12</v>
      </c>
      <c r="Y40" t="str">
        <f ca="1"/>
        <v>SAFDIS</v>
      </c>
      <c r="Z40">
        <f ca="1"/>
        <v>9</v>
      </c>
      <c r="AA40" t="str">
        <f ca="1"/>
        <v>DSY</v>
      </c>
      <c r="AB40">
        <f ca="1"/>
        <v>51</v>
      </c>
      <c r="AC40" t="str">
        <f ca="1"/>
        <v>RIGL</v>
      </c>
      <c r="AD40">
        <f ca="1"/>
        <v>52</v>
      </c>
      <c r="AE40" t="str">
        <f ca="1"/>
        <v>GS</v>
      </c>
      <c r="AF40" s="87">
        <f ca="1"/>
        <v>0</v>
      </c>
      <c r="AG40" t="str">
        <f ca="1"/>
        <v>X</v>
      </c>
      <c r="AH40" s="87">
        <f ca="1"/>
        <v>238.82794000000004</v>
      </c>
      <c r="AI40" t="str">
        <f ca="1"/>
        <v>XYZ</v>
      </c>
      <c r="AJ40" s="87">
        <f ca="1"/>
        <v>1560.0000000000023</v>
      </c>
      <c r="AK40" s="90" t="str">
        <f ca="1"/>
        <v>GM</v>
      </c>
      <c r="AL40" s="310">
        <f ca="1"/>
        <v>-3.3423214285714284E-4</v>
      </c>
      <c r="AM40" t="str">
        <f ca="1"/>
        <v>AZN</v>
      </c>
      <c r="AN40" s="310">
        <f ca="1"/>
        <v>0.27505618556701017</v>
      </c>
      <c r="AO40" t="str">
        <f ca="1"/>
        <v>MVEORA</v>
      </c>
      <c r="AP40" s="310">
        <f ca="1"/>
        <v>-0.13165474587717577</v>
      </c>
      <c r="AQ40" s="87" t="str">
        <f ca="1"/>
        <v>TSLA</v>
      </c>
      <c r="AR40" s="90">
        <f ca="1"/>
        <v>0.26106314734251657</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POET</v>
      </c>
      <c r="F41" s="559">
        <f ca="1"/>
        <v>2.8162469848329948E-3</v>
      </c>
      <c r="G41" s="153" t="str">
        <f ca="1"/>
        <v>GLE</v>
      </c>
      <c r="H41" s="560">
        <f ca="1"/>
        <v>43473.079999999994</v>
      </c>
      <c r="I41" t="str">
        <f ca="1"/>
        <v>SAFDIS</v>
      </c>
      <c r="J41" s="561">
        <f ca="1"/>
        <v>2.1719999999999999E-3</v>
      </c>
      <c r="K41" s="153" t="str">
        <f ca="1"/>
        <v>SAFAAPL</v>
      </c>
      <c r="L41" s="561">
        <f ca="1"/>
        <v>-1.9780000000000002E-3</v>
      </c>
      <c r="M41" s="1" t="str">
        <f ca="1"/>
        <v>PFE</v>
      </c>
      <c r="N41" s="560">
        <f ca="1"/>
        <v>191.99999999999591</v>
      </c>
      <c r="O41" t="str">
        <f ca="1"/>
        <v>MVEORA</v>
      </c>
      <c r="P41" s="560">
        <f ca="1"/>
        <v>197.4852000000011</v>
      </c>
      <c r="Q41" t="str">
        <f ca="1"/>
        <v>GS</v>
      </c>
      <c r="R41" s="650">
        <f ca="1"/>
        <v>-6.107023809523817E-4</v>
      </c>
      <c r="S41" t="str">
        <f ca="1"/>
        <v>MVEUN0</v>
      </c>
      <c r="T41" s="87">
        <f ca="1"/>
        <v>84</v>
      </c>
      <c r="U41" t="str">
        <f ca="1"/>
        <v>UN0</v>
      </c>
      <c r="V41" s="87">
        <f ca="1"/>
        <v>450</v>
      </c>
      <c r="W41" t="str">
        <f ca="1"/>
        <v>MVEEOAN</v>
      </c>
      <c r="X41">
        <f ca="1"/>
        <v>12</v>
      </c>
      <c r="Y41" t="str">
        <f ca="1"/>
        <v>ADEA</v>
      </c>
      <c r="Z41">
        <f ca="1"/>
        <v>10</v>
      </c>
      <c r="AA41" t="str">
        <f ca="1"/>
        <v>DXC</v>
      </c>
      <c r="AB41">
        <f ca="1"/>
        <v>51</v>
      </c>
      <c r="AC41" t="str">
        <f ca="1"/>
        <v>MVERWE</v>
      </c>
      <c r="AD41">
        <f ca="1"/>
        <v>52</v>
      </c>
      <c r="AE41" t="str">
        <f ca="1"/>
        <v>LUV</v>
      </c>
      <c r="AF41" s="87">
        <f ca="1"/>
        <v>0</v>
      </c>
      <c r="AG41" t="str">
        <f ca="1"/>
        <v>ORA</v>
      </c>
      <c r="AH41" s="87">
        <f ca="1"/>
        <v>198.00000000000111</v>
      </c>
      <c r="AI41" t="str">
        <f ca="1"/>
        <v>AET</v>
      </c>
      <c r="AJ41" s="87">
        <f ca="1"/>
        <v>1201.9999999999995</v>
      </c>
      <c r="AK41" s="90" t="str">
        <f ca="1"/>
        <v>GS</v>
      </c>
      <c r="AL41" s="310">
        <f ca="1"/>
        <v>-6.107023809523817E-4</v>
      </c>
      <c r="AM41" t="str">
        <f ca="1"/>
        <v>AVGO</v>
      </c>
      <c r="AN41" s="310">
        <f ca="1"/>
        <v>0.26424737115776731</v>
      </c>
      <c r="AO41" t="str">
        <f ca="1"/>
        <v>SAFAMZN</v>
      </c>
      <c r="AP41" s="310">
        <f ca="1"/>
        <v>-0.13038558950104395</v>
      </c>
      <c r="AQ41" s="87" t="str">
        <f ca="1"/>
        <v>DDD</v>
      </c>
      <c r="AR41" s="90">
        <f ca="1"/>
        <v>0.26066614681965022</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AMZN</v>
      </c>
      <c r="F42" s="559">
        <f ca="1"/>
        <v>2.7120209366645639E-3</v>
      </c>
      <c r="G42" s="153" t="str">
        <f ca="1"/>
        <v>C</v>
      </c>
      <c r="H42" s="560">
        <f ca="1"/>
        <v>40437.865000000005</v>
      </c>
      <c r="I42" t="str">
        <f ca="1"/>
        <v>NFLX</v>
      </c>
      <c r="J42" s="561">
        <f ca="1"/>
        <v>2.0330000000000001E-3</v>
      </c>
      <c r="K42" s="153" t="str">
        <f ca="1"/>
        <v>ASML</v>
      </c>
      <c r="L42" s="561">
        <f ca="1"/>
        <v>-3.0890000000000002E-3</v>
      </c>
      <c r="M42" s="1" t="str">
        <f ca="1"/>
        <v>EZJ</v>
      </c>
      <c r="N42" s="560">
        <f ca="1"/>
        <v>127.9999999999859</v>
      </c>
      <c r="O42" t="str">
        <f ca="1"/>
        <v>ALDNE</v>
      </c>
      <c r="P42" s="560">
        <f ca="1"/>
        <v>0</v>
      </c>
      <c r="Q42" t="str">
        <f ca="1"/>
        <v>SAP</v>
      </c>
      <c r="R42" s="650">
        <f ca="1"/>
        <v>-6.2882142857142867E-4</v>
      </c>
      <c r="S42" t="str">
        <f ca="1"/>
        <v>C</v>
      </c>
      <c r="T42" s="87">
        <f ca="1"/>
        <v>49.350000000000364</v>
      </c>
      <c r="U42" t="str">
        <f ca="1"/>
        <v>AVGO</v>
      </c>
      <c r="V42" s="87">
        <f ca="1"/>
        <v>256</v>
      </c>
      <c r="W42" t="str">
        <f ca="1"/>
        <v>JBEOAN</v>
      </c>
      <c r="X42">
        <f ca="1"/>
        <v>12</v>
      </c>
      <c r="Y42" t="str">
        <f ca="1"/>
        <v>AMZN</v>
      </c>
      <c r="Z42">
        <f ca="1"/>
        <v>10</v>
      </c>
      <c r="AA42" t="str">
        <f ca="1"/>
        <v>MSFT</v>
      </c>
      <c r="AB42">
        <f ca="1"/>
        <v>51</v>
      </c>
      <c r="AC42" t="str">
        <f ca="1"/>
        <v>ADEA</v>
      </c>
      <c r="AD42">
        <f ca="1"/>
        <v>51</v>
      </c>
      <c r="AE42" t="str">
        <f ca="1"/>
        <v>MA</v>
      </c>
      <c r="AF42" s="87">
        <f ca="1"/>
        <v>0</v>
      </c>
      <c r="AG42" t="str">
        <f ca="1"/>
        <v>PFE</v>
      </c>
      <c r="AH42" s="87">
        <f ca="1"/>
        <v>191.99999999999591</v>
      </c>
      <c r="AI42" t="str">
        <f ca="1"/>
        <v>TSM</v>
      </c>
      <c r="AJ42" s="87">
        <f ca="1"/>
        <v>1194.0000000000055</v>
      </c>
      <c r="AK42" s="90" t="str">
        <f ca="1"/>
        <v>SAP</v>
      </c>
      <c r="AL42" s="310">
        <f ca="1"/>
        <v>-6.2882142857142867E-4</v>
      </c>
      <c r="AM42" t="str">
        <f ca="1"/>
        <v>MVEENI</v>
      </c>
      <c r="AN42" s="310">
        <f ca="1"/>
        <v>0.2273904667262964</v>
      </c>
      <c r="AO42" t="str">
        <f ca="1"/>
        <v>VTRS</v>
      </c>
      <c r="AP42" s="310">
        <f ca="1"/>
        <v>-0.1201373134328358</v>
      </c>
      <c r="AQ42" s="87" t="str">
        <f ca="1"/>
        <v>LOCK</v>
      </c>
      <c r="AR42" s="90">
        <f ca="1"/>
        <v>0.25376298494806027</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SAFAMZN</v>
      </c>
      <c r="F43" s="559">
        <f ca="1"/>
        <v>2.7120209366645639E-3</v>
      </c>
      <c r="G43" s="153" t="str">
        <f ca="1"/>
        <v>HPQ</v>
      </c>
      <c r="H43" s="560">
        <f ca="1"/>
        <v>38609.208000000057</v>
      </c>
      <c r="I43" t="str">
        <f ca="1"/>
        <v>HPQ</v>
      </c>
      <c r="J43" s="561">
        <f ca="1"/>
        <v>1.72E-3</v>
      </c>
      <c r="K43" s="153" t="str">
        <f ca="1"/>
        <v>SAFASML</v>
      </c>
      <c r="L43" s="561">
        <f ca="1"/>
        <v>-3.0890000000000002E-3</v>
      </c>
      <c r="M43" s="1" t="str">
        <f ca="1"/>
        <v>C</v>
      </c>
      <c r="N43" s="560">
        <f ca="1"/>
        <v>124.74999999999909</v>
      </c>
      <c r="O43" t="str">
        <f ca="1"/>
        <v>BMRA</v>
      </c>
      <c r="P43" s="560">
        <f ca="1"/>
        <v>0</v>
      </c>
      <c r="Q43" t="str">
        <f ca="1"/>
        <v>MA</v>
      </c>
      <c r="R43" s="650">
        <f ca="1"/>
        <v>-1.205658333333333E-3</v>
      </c>
      <c r="S43" t="str">
        <f ca="1"/>
        <v>EPIX</v>
      </c>
      <c r="T43" s="87">
        <f ca="1"/>
        <v>36</v>
      </c>
      <c r="U43" t="str">
        <f ca="1"/>
        <v>MVEUN0</v>
      </c>
      <c r="V43" s="87">
        <f ca="1"/>
        <v>84</v>
      </c>
      <c r="W43" t="str">
        <f ca="1"/>
        <v>CSCO</v>
      </c>
      <c r="X43">
        <f ca="1"/>
        <v>13</v>
      </c>
      <c r="Y43" t="str">
        <f ca="1"/>
        <v>CVS</v>
      </c>
      <c r="Z43">
        <f ca="1"/>
        <v>10</v>
      </c>
      <c r="AA43" t="str">
        <f ca="1"/>
        <v>MVEEOAN</v>
      </c>
      <c r="AB43">
        <f ca="1"/>
        <v>51</v>
      </c>
      <c r="AC43" t="str">
        <f ca="1"/>
        <v>DDD</v>
      </c>
      <c r="AD43">
        <f ca="1"/>
        <v>51</v>
      </c>
      <c r="AE43" t="str">
        <f ca="1"/>
        <v>NVAX</v>
      </c>
      <c r="AF43" s="87">
        <f ca="1"/>
        <v>0</v>
      </c>
      <c r="AG43" t="str">
        <f ca="1"/>
        <v>TSLA</v>
      </c>
      <c r="AH43" s="87">
        <f ca="1"/>
        <v>67.840000000000032</v>
      </c>
      <c r="AI43" t="str">
        <f ca="1"/>
        <v>VLVLY</v>
      </c>
      <c r="AJ43" s="87">
        <f ca="1"/>
        <v>1019.9999999999995</v>
      </c>
      <c r="AK43" s="90" t="str">
        <f ca="1"/>
        <v>MA</v>
      </c>
      <c r="AL43" s="310">
        <f ca="1"/>
        <v>-1.205658333333333E-3</v>
      </c>
      <c r="AM43" t="str">
        <f ca="1"/>
        <v>RIG</v>
      </c>
      <c r="AN43" s="310">
        <f ca="1"/>
        <v>0.21655977976988763</v>
      </c>
      <c r="AO43" t="str">
        <f ca="1"/>
        <v>HPE</v>
      </c>
      <c r="AP43" s="310">
        <f ca="1"/>
        <v>-0.10964911538974265</v>
      </c>
      <c r="AQ43" s="87" t="str">
        <f ca="1"/>
        <v>WBA</v>
      </c>
      <c r="AR43" s="90">
        <f ca="1"/>
        <v>0.2419437148942622</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XYZ</v>
      </c>
      <c r="F44" s="559">
        <f ca="1"/>
        <v>2.7026738112069636E-3</v>
      </c>
      <c r="G44" s="153" t="str">
        <f ca="1"/>
        <v>MVERWE</v>
      </c>
      <c r="H44" s="560">
        <f ca="1"/>
        <v>37560.519999999982</v>
      </c>
      <c r="I44" t="str">
        <f ca="1"/>
        <v>VONN</v>
      </c>
      <c r="J44" s="561">
        <f ca="1"/>
        <v>1.7180000000000001E-3</v>
      </c>
      <c r="K44" s="153" t="str">
        <f ca="1"/>
        <v>JBASML</v>
      </c>
      <c r="L44" s="561">
        <f ca="1"/>
        <v>-3.0890000000000002E-3</v>
      </c>
      <c r="M44" s="1" t="str">
        <f ca="1"/>
        <v>TSLA</v>
      </c>
      <c r="N44" s="560">
        <f ca="1"/>
        <v>67.840000000000032</v>
      </c>
      <c r="O44" t="str">
        <f ca="1"/>
        <v>NOTE</v>
      </c>
      <c r="P44" s="560">
        <f ca="1"/>
        <v>0</v>
      </c>
      <c r="Q44" t="str">
        <f ca="1"/>
        <v>MVEGLE</v>
      </c>
      <c r="R44" s="650">
        <f ca="1"/>
        <v>-1.2469107142857143E-3</v>
      </c>
      <c r="S44" t="str">
        <f ca="1"/>
        <v>TSLA</v>
      </c>
      <c r="T44" s="87">
        <f ca="1"/>
        <v>18.050000000000011</v>
      </c>
      <c r="U44" t="str">
        <f ca="1"/>
        <v>C</v>
      </c>
      <c r="V44" s="87">
        <f ca="1"/>
        <v>47.400000000000375</v>
      </c>
      <c r="W44" t="str">
        <f ca="1"/>
        <v>GM</v>
      </c>
      <c r="X44">
        <f ca="1"/>
        <v>13</v>
      </c>
      <c r="Y44" t="str">
        <f ca="1"/>
        <v>DXC</v>
      </c>
      <c r="Z44">
        <f ca="1"/>
        <v>10</v>
      </c>
      <c r="AA44" t="str">
        <f ca="1"/>
        <v>JBEOAN</v>
      </c>
      <c r="AB44">
        <f ca="1"/>
        <v>51</v>
      </c>
      <c r="AC44" t="str">
        <f ca="1"/>
        <v>LUMN</v>
      </c>
      <c r="AD44">
        <f ca="1"/>
        <v>51</v>
      </c>
      <c r="AE44" t="str">
        <f ca="1"/>
        <v>NVS</v>
      </c>
      <c r="AF44" s="87">
        <f ca="1"/>
        <v>0</v>
      </c>
      <c r="AG44" t="str">
        <f ca="1"/>
        <v>VLVLY</v>
      </c>
      <c r="AH44" s="87">
        <f ca="1"/>
        <v>59.999999999998721</v>
      </c>
      <c r="AI44" t="str">
        <f ca="1"/>
        <v>SHECY</v>
      </c>
      <c r="AJ44" s="87">
        <f ca="1"/>
        <v>979.59999999999934</v>
      </c>
      <c r="AK44" s="90" t="str">
        <f ca="1"/>
        <v>MVEGLE</v>
      </c>
      <c r="AL44" s="310">
        <f ca="1"/>
        <v>-1.2469107142857143E-3</v>
      </c>
      <c r="AM44" t="str">
        <f ca="1"/>
        <v>JBASML</v>
      </c>
      <c r="AN44" s="310">
        <f ca="1"/>
        <v>0.20349308315140793</v>
      </c>
      <c r="AO44" t="str">
        <f ca="1"/>
        <v>ENI</v>
      </c>
      <c r="AP44" s="310">
        <f ca="1"/>
        <v>-9.9594613491242365E-2</v>
      </c>
      <c r="AQ44" s="87" t="str">
        <f ca="1"/>
        <v>JBASML</v>
      </c>
      <c r="AR44" s="90">
        <f ca="1"/>
        <v>0.23924585007177246</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LAZR</v>
      </c>
      <c r="F45" s="559">
        <f ca="1"/>
        <v>2.335548082497526E-3</v>
      </c>
      <c r="G45" s="153" t="str">
        <f ca="1"/>
        <v>RWE</v>
      </c>
      <c r="H45" s="560">
        <f ca="1"/>
        <v>36402.352499999921</v>
      </c>
      <c r="I45" t="str">
        <f ca="1"/>
        <v>EOAN</v>
      </c>
      <c r="J45" s="561">
        <f ca="1"/>
        <v>1.555E-3</v>
      </c>
      <c r="K45" s="153" t="str">
        <f ca="1"/>
        <v>EOAN</v>
      </c>
      <c r="L45" s="561">
        <f ca="1"/>
        <v>-3.6080000000000001E-3</v>
      </c>
      <c r="M45" s="1" t="str">
        <f ca="1"/>
        <v>MVEEOAN</v>
      </c>
      <c r="N45" s="560">
        <f ca="1"/>
        <v>41.29999999999999</v>
      </c>
      <c r="O45" t="str">
        <f ca="1"/>
        <v>UNIT</v>
      </c>
      <c r="P45" s="560">
        <f ca="1"/>
        <v>0</v>
      </c>
      <c r="Q45" t="str">
        <f ca="1"/>
        <v>GLE</v>
      </c>
      <c r="R45" s="650">
        <f ca="1"/>
        <v>-1.2469107142857143E-3</v>
      </c>
      <c r="S45" t="str">
        <f ca="1"/>
        <v>MVEEPIX</v>
      </c>
      <c r="T45" s="87">
        <f ca="1"/>
        <v>14.400000000000091</v>
      </c>
      <c r="U45" t="str">
        <f ca="1"/>
        <v>TSLA</v>
      </c>
      <c r="V45" s="87">
        <f ca="1"/>
        <v>12.274999999999977</v>
      </c>
      <c r="W45" t="str">
        <f ca="1"/>
        <v>NEE</v>
      </c>
      <c r="X45">
        <f ca="1"/>
        <v>13</v>
      </c>
      <c r="Y45" t="str">
        <f ca="1"/>
        <v>MRNA</v>
      </c>
      <c r="Z45">
        <f ca="1"/>
        <v>10</v>
      </c>
      <c r="AA45" t="str">
        <f ca="1"/>
        <v>AZN</v>
      </c>
      <c r="AB45">
        <f ca="1"/>
        <v>49</v>
      </c>
      <c r="AC45" t="str">
        <f ca="1"/>
        <v>SAFDIS</v>
      </c>
      <c r="AD45">
        <f ca="1"/>
        <v>51</v>
      </c>
      <c r="AE45" t="str">
        <f ca="1"/>
        <v>ORA</v>
      </c>
      <c r="AF45" s="87">
        <f ca="1"/>
        <v>0</v>
      </c>
      <c r="AG45" t="str">
        <f ca="1"/>
        <v>MVEEOAN</v>
      </c>
      <c r="AH45" s="87">
        <f ca="1"/>
        <v>41.29999999999999</v>
      </c>
      <c r="AI45" t="str">
        <f ca="1"/>
        <v>LUV</v>
      </c>
      <c r="AJ45" s="87">
        <f ca="1"/>
        <v>973.82999999999527</v>
      </c>
      <c r="AK45" s="90" t="str">
        <f ca="1"/>
        <v>GLE</v>
      </c>
      <c r="AL45" s="310">
        <f ca="1"/>
        <v>-1.2469107142857143E-3</v>
      </c>
      <c r="AM45" t="str">
        <f ca="1"/>
        <v>THC</v>
      </c>
      <c r="AN45" s="310">
        <f ca="1"/>
        <v>0.20129785416477611</v>
      </c>
      <c r="AO45" t="str">
        <f ca="1"/>
        <v>F</v>
      </c>
      <c r="AP45" s="310">
        <f ca="1"/>
        <v>-9.1303563305534505E-2</v>
      </c>
      <c r="AQ45" s="87" t="str">
        <f ca="1"/>
        <v>SAFDDD</v>
      </c>
      <c r="AR45" s="90">
        <f ca="1"/>
        <v>0.23923761622712669</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AVGO</v>
      </c>
      <c r="F46" s="559">
        <f ca="1"/>
        <v>1.9670701818742457E-3</v>
      </c>
      <c r="G46" s="153" t="str">
        <f ca="1"/>
        <v>DVA</v>
      </c>
      <c r="H46" s="560">
        <f ca="1"/>
        <v>36327.189999999944</v>
      </c>
      <c r="I46" t="str">
        <f ca="1"/>
        <v>MVEEOAN</v>
      </c>
      <c r="J46" s="561">
        <f ca="1"/>
        <v>1.555E-3</v>
      </c>
      <c r="K46" s="153" t="str">
        <f ca="1"/>
        <v>MVEEOAN</v>
      </c>
      <c r="L46" s="561">
        <f ca="1"/>
        <v>-3.6080000000000001E-3</v>
      </c>
      <c r="M46" s="1" t="str">
        <f ca="1"/>
        <v>LUMN</v>
      </c>
      <c r="N46" s="560">
        <f ca="1"/>
        <v>29.217000000000006</v>
      </c>
      <c r="O46" t="str">
        <f ca="1"/>
        <v>MVEALDNE</v>
      </c>
      <c r="P46" s="560">
        <f ca="1"/>
        <v>0</v>
      </c>
      <c r="Q46" t="str">
        <f ca="1"/>
        <v>OXY</v>
      </c>
      <c r="R46" s="650">
        <f ca="1"/>
        <v>-1.3462916666666682E-3</v>
      </c>
      <c r="S46" t="str">
        <f ca="1"/>
        <v>LUMN</v>
      </c>
      <c r="T46" s="87">
        <f ca="1"/>
        <v>2.4000000000000057</v>
      </c>
      <c r="U46" t="str">
        <f ca="1"/>
        <v>CVS</v>
      </c>
      <c r="V46" s="87">
        <f ca="1"/>
        <v>3.0000000000001137E-2</v>
      </c>
      <c r="W46" t="str">
        <f ca="1"/>
        <v>ASML</v>
      </c>
      <c r="X46">
        <f ca="1"/>
        <v>14</v>
      </c>
      <c r="Y46" t="str">
        <f ca="1"/>
        <v>NEE</v>
      </c>
      <c r="Z46">
        <f ca="1"/>
        <v>10</v>
      </c>
      <c r="AA46" t="str">
        <f ca="1"/>
        <v>LUMN</v>
      </c>
      <c r="AB46">
        <f ca="1"/>
        <v>49</v>
      </c>
      <c r="AC46" t="str">
        <f ca="1"/>
        <v>SAFMRNA</v>
      </c>
      <c r="AD46">
        <f ca="1"/>
        <v>51</v>
      </c>
      <c r="AE46" t="str">
        <f ca="1"/>
        <v>PFE</v>
      </c>
      <c r="AF46" s="87">
        <f ca="1"/>
        <v>0</v>
      </c>
      <c r="AG46" t="str">
        <f ca="1"/>
        <v>AET</v>
      </c>
      <c r="AH46" s="87">
        <f ca="1"/>
        <v>39.999999999999858</v>
      </c>
      <c r="AI46" t="str">
        <f ca="1"/>
        <v>AVGO</v>
      </c>
      <c r="AJ46" s="87">
        <f ca="1"/>
        <v>580.79999999999927</v>
      </c>
      <c r="AK46" s="90" t="str">
        <f ca="1"/>
        <v>OXY</v>
      </c>
      <c r="AL46" s="310">
        <f ca="1"/>
        <v>-1.3462916666666682E-3</v>
      </c>
      <c r="AM46" t="str">
        <f ca="1"/>
        <v>TSLA</v>
      </c>
      <c r="AN46" s="310">
        <f ca="1"/>
        <v>0.20107460699533455</v>
      </c>
      <c r="AO46" t="str">
        <f ca="1"/>
        <v>VLVLY</v>
      </c>
      <c r="AP46" s="310">
        <f ca="1"/>
        <v>-7.2678459343794577E-2</v>
      </c>
      <c r="AQ46" s="87" t="str">
        <f ca="1"/>
        <v>SAFAMZN</v>
      </c>
      <c r="AR46" s="90">
        <f ca="1"/>
        <v>0.2276360901590391</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AAPL</v>
      </c>
      <c r="F47" s="559">
        <f ca="1"/>
        <v>1.663350115283337E-3</v>
      </c>
      <c r="G47" s="153" t="str">
        <f ca="1"/>
        <v>ADEA</v>
      </c>
      <c r="H47" s="560">
        <f ca="1"/>
        <v>34716.09498200001</v>
      </c>
      <c r="I47" t="str">
        <f ca="1"/>
        <v>JBEOAN</v>
      </c>
      <c r="J47" s="561">
        <f ca="1"/>
        <v>1.555E-3</v>
      </c>
      <c r="K47" s="153" t="str">
        <f ca="1"/>
        <v>JBEOAN</v>
      </c>
      <c r="L47" s="561">
        <f ca="1"/>
        <v>-3.6080000000000001E-3</v>
      </c>
      <c r="M47" s="1" t="str">
        <f ca="1"/>
        <v>CVS</v>
      </c>
      <c r="N47" s="560">
        <f ca="1"/>
        <v>21.813810000000004</v>
      </c>
      <c r="O47" t="str">
        <f ca="1"/>
        <v>MVEEPIX</v>
      </c>
      <c r="P47" s="560">
        <f ca="1"/>
        <v>0</v>
      </c>
      <c r="Q47" t="str">
        <f ca="1"/>
        <v>DDD</v>
      </c>
      <c r="R47" s="650">
        <f ca="1"/>
        <v>-1.4928107142857135E-3</v>
      </c>
      <c r="S47" t="str">
        <f ca="1"/>
        <v>NEE</v>
      </c>
      <c r="T47" s="87">
        <f ca="1"/>
        <v>0.3399999999999892</v>
      </c>
      <c r="U47" t="str">
        <f ca="1"/>
        <v>CSCO</v>
      </c>
      <c r="V47" s="87">
        <f ca="1"/>
        <v>0</v>
      </c>
      <c r="W47" t="str">
        <f ca="1"/>
        <v>NEM</v>
      </c>
      <c r="X47">
        <f ca="1"/>
        <v>14</v>
      </c>
      <c r="Y47" t="str">
        <f ca="1"/>
        <v>UNIT</v>
      </c>
      <c r="Z47">
        <f ca="1"/>
        <v>10</v>
      </c>
      <c r="AA47" t="str">
        <f ca="1"/>
        <v>VONN</v>
      </c>
      <c r="AB47">
        <f ca="1"/>
        <v>49</v>
      </c>
      <c r="AC47" t="str">
        <f ca="1"/>
        <v>LAZR</v>
      </c>
      <c r="AD47">
        <f ca="1"/>
        <v>51</v>
      </c>
      <c r="AE47" t="str">
        <f ca="1"/>
        <v>RRC</v>
      </c>
      <c r="AF47" s="87">
        <f ca="1"/>
        <v>0</v>
      </c>
      <c r="AG47" t="str">
        <f ca="1"/>
        <v>LUMN</v>
      </c>
      <c r="AH47" s="87">
        <f ca="1"/>
        <v>29.217000000000006</v>
      </c>
      <c r="AI47" t="str">
        <f ca="1"/>
        <v>PAAS</v>
      </c>
      <c r="AJ47" s="87">
        <f ca="1"/>
        <v>395.2500000000008</v>
      </c>
      <c r="AK47" s="90" t="str">
        <f ca="1"/>
        <v>DDD</v>
      </c>
      <c r="AL47" s="310">
        <f ca="1"/>
        <v>-1.4928107142857135E-3</v>
      </c>
      <c r="AM47" t="str">
        <f ca="1"/>
        <v>WBA</v>
      </c>
      <c r="AN47" s="310">
        <f ca="1"/>
        <v>0.19037045497470151</v>
      </c>
      <c r="AO47" t="str">
        <f ca="1"/>
        <v>LUV</v>
      </c>
      <c r="AP47" s="310">
        <f ca="1"/>
        <v>-6.7701263895233829E-2</v>
      </c>
      <c r="AQ47" s="87" t="str">
        <f ca="1"/>
        <v>NFLX</v>
      </c>
      <c r="AR47" s="90">
        <f ca="1"/>
        <v>0.20909306396324065</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SAFAAPL</v>
      </c>
      <c r="F48" s="559">
        <f ca="1"/>
        <v>1.663350115283337E-3</v>
      </c>
      <c r="G48" s="153" t="str">
        <f ca="1"/>
        <v>AET</v>
      </c>
      <c r="H48" s="560">
        <f ca="1"/>
        <v>34438.964192999993</v>
      </c>
      <c r="I48" t="str">
        <f ca="1"/>
        <v>MSFT</v>
      </c>
      <c r="J48" s="561">
        <f ca="1"/>
        <v>1.0660000000000001E-3</v>
      </c>
      <c r="K48" s="153" t="str">
        <f ca="1"/>
        <v>C</v>
      </c>
      <c r="L48" s="561">
        <f ca="1"/>
        <v>-3.6749999999999999E-3</v>
      </c>
      <c r="M48" s="1" t="str">
        <f ca="1"/>
        <v>NEE</v>
      </c>
      <c r="N48" s="560">
        <f ca="1"/>
        <v>12.84955699999999</v>
      </c>
      <c r="O48" t="str">
        <f ca="1"/>
        <v>LAZR</v>
      </c>
      <c r="P48" s="560">
        <f ca="1"/>
        <v>0</v>
      </c>
      <c r="Q48" t="str">
        <f ca="1"/>
        <v>SAFDIS</v>
      </c>
      <c r="R48" s="650">
        <f ca="1"/>
        <v>-1.4928107142857135E-3</v>
      </c>
      <c r="S48" t="str">
        <f ca="1"/>
        <v>X</v>
      </c>
      <c r="T48" s="87">
        <f ca="1"/>
        <v>0.10000000000013642</v>
      </c>
      <c r="U48" t="str">
        <f ca="1"/>
        <v>EPIX</v>
      </c>
      <c r="V48" s="87">
        <f ca="1"/>
        <v>0</v>
      </c>
      <c r="W48" t="str">
        <f ca="1"/>
        <v>SAFASML</v>
      </c>
      <c r="X48">
        <f ca="1"/>
        <v>14</v>
      </c>
      <c r="Y48" t="str">
        <f ca="1"/>
        <v>VLVLY</v>
      </c>
      <c r="Z48">
        <f ca="1"/>
        <v>10</v>
      </c>
      <c r="AA48" t="str">
        <f ca="1"/>
        <v>SAFMRNA</v>
      </c>
      <c r="AB48">
        <f ca="1"/>
        <v>49</v>
      </c>
      <c r="AC48" t="str">
        <f ca="1"/>
        <v>VTRS</v>
      </c>
      <c r="AD48">
        <f ca="1"/>
        <v>49</v>
      </c>
      <c r="AE48" t="str">
        <f ca="1"/>
        <v>THC</v>
      </c>
      <c r="AF48" s="87">
        <f ca="1"/>
        <v>0</v>
      </c>
      <c r="AG48" t="str">
        <f ca="1"/>
        <v>CVS</v>
      </c>
      <c r="AH48" s="87">
        <f ca="1"/>
        <v>21.813810000000004</v>
      </c>
      <c r="AI48" t="str">
        <f ca="1"/>
        <v>TSLA</v>
      </c>
      <c r="AJ48" s="87">
        <f ca="1"/>
        <v>208.70999999999998</v>
      </c>
      <c r="AK48" s="90" t="str">
        <f ca="1"/>
        <v>SAFDIS</v>
      </c>
      <c r="AL48" s="310">
        <f ca="1"/>
        <v>-1.4928107142857135E-3</v>
      </c>
      <c r="AM48" t="str">
        <f ca="1"/>
        <v>NEE</v>
      </c>
      <c r="AN48" s="310">
        <f ca="1"/>
        <v>0.18050800263034963</v>
      </c>
      <c r="AO48" t="str">
        <f ca="1"/>
        <v>RRC</v>
      </c>
      <c r="AP48" s="310">
        <f ca="1"/>
        <v>-6.4619356526288141E-2</v>
      </c>
      <c r="AQ48" s="87" t="str">
        <f ca="1"/>
        <v>EZJ</v>
      </c>
      <c r="AR48" s="90">
        <f ca="1"/>
        <v>0.140565863660432</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BLDP</v>
      </c>
      <c r="F49" s="559">
        <f ca="1"/>
        <v>1.4723542829705686E-3</v>
      </c>
      <c r="G49" s="153" t="str">
        <f ca="1"/>
        <v>EZJ</v>
      </c>
      <c r="H49" s="560">
        <f ca="1"/>
        <v>30469.403000000006</v>
      </c>
      <c r="I49" t="str">
        <f ca="1"/>
        <v>EPIX</v>
      </c>
      <c r="J49" s="561">
        <f ca="1"/>
        <v>0</v>
      </c>
      <c r="K49" s="153" t="str">
        <f ca="1"/>
        <v>SAP</v>
      </c>
      <c r="L49" s="561">
        <f ca="1"/>
        <v>-4.2630000000000003E-3</v>
      </c>
      <c r="M49" s="1" t="str">
        <f ca="1"/>
        <v>MVERWE</v>
      </c>
      <c r="N49" s="560">
        <f ca="1"/>
        <v>12.285000000000004</v>
      </c>
      <c r="O49" t="str">
        <f ca="1"/>
        <v>LOCK</v>
      </c>
      <c r="P49" s="560">
        <f ca="1"/>
        <v>0</v>
      </c>
      <c r="Q49" t="str">
        <f ca="1"/>
        <v>NVS</v>
      </c>
      <c r="R49" s="650">
        <f ca="1"/>
        <v>-1.7962232142857142E-3</v>
      </c>
      <c r="S49" t="str">
        <f ca="1"/>
        <v>LNSR</v>
      </c>
      <c r="T49" s="87">
        <f ca="1"/>
        <v>0</v>
      </c>
      <c r="U49" t="str">
        <f ca="1"/>
        <v>LNSR</v>
      </c>
      <c r="V49" s="87">
        <f ca="1"/>
        <v>0</v>
      </c>
      <c r="W49" t="str">
        <f ca="1"/>
        <v>JBASML</v>
      </c>
      <c r="X49">
        <f ca="1"/>
        <v>14</v>
      </c>
      <c r="Y49" t="str">
        <f ca="1"/>
        <v>MVEDDD</v>
      </c>
      <c r="Z49">
        <f ca="1"/>
        <v>10</v>
      </c>
      <c r="AA49" t="str">
        <f ca="1"/>
        <v>DDD</v>
      </c>
      <c r="AB49">
        <f ca="1"/>
        <v>48</v>
      </c>
      <c r="AC49" t="str">
        <f ca="1"/>
        <v>MRNA</v>
      </c>
      <c r="AD49">
        <f ca="1"/>
        <v>48</v>
      </c>
      <c r="AE49" t="str">
        <f ca="1"/>
        <v>X</v>
      </c>
      <c r="AF49" s="87">
        <f ca="1"/>
        <v>0</v>
      </c>
      <c r="AG49" t="str">
        <f ca="1"/>
        <v>NEE</v>
      </c>
      <c r="AH49" s="87">
        <f ca="1"/>
        <v>12.84955699999999</v>
      </c>
      <c r="AI49" t="str">
        <f ca="1"/>
        <v>VONN</v>
      </c>
      <c r="AJ49" s="87">
        <f ca="1"/>
        <v>33.60000000000003</v>
      </c>
      <c r="AK49" s="90" t="str">
        <f ca="1"/>
        <v>NVS</v>
      </c>
      <c r="AL49" s="310">
        <f ca="1"/>
        <v>-1.7962232142857142E-3</v>
      </c>
      <c r="AM49" t="str">
        <f ca="1"/>
        <v>CSCO</v>
      </c>
      <c r="AN49" s="310">
        <f ca="1"/>
        <v>0.16029642857142853</v>
      </c>
      <c r="AO49" t="str">
        <f ca="1"/>
        <v>JBEOAN</v>
      </c>
      <c r="AP49" s="310">
        <f ca="1"/>
        <v>-5.8749736668861137E-2</v>
      </c>
      <c r="AQ49" s="87" t="str">
        <f ca="1"/>
        <v>JBEOAN</v>
      </c>
      <c r="AR49" s="90">
        <f ca="1"/>
        <v>0.1182612401448964</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AZN</v>
      </c>
      <c r="F50" s="559">
        <f ca="1"/>
        <v>1.4614245077424926E-3</v>
      </c>
      <c r="G50" s="153" t="str">
        <f ca="1"/>
        <v>RIG</v>
      </c>
      <c r="H50" s="560">
        <f ca="1"/>
        <v>30380.100000000006</v>
      </c>
      <c r="I50" t="str">
        <f ca="1"/>
        <v>HPE</v>
      </c>
      <c r="J50" s="561">
        <f ca="1"/>
        <v>0</v>
      </c>
      <c r="K50" s="153" t="str">
        <f ca="1"/>
        <v>MVESAP</v>
      </c>
      <c r="L50" s="561">
        <f ca="1"/>
        <v>-4.2630000000000003E-3</v>
      </c>
      <c r="M50" s="1" t="str">
        <f ca="1"/>
        <v>LNSR</v>
      </c>
      <c r="N50" s="560">
        <f ca="1"/>
        <v>0</v>
      </c>
      <c r="O50" t="str">
        <f ca="1"/>
        <v>VONN</v>
      </c>
      <c r="P50" s="560">
        <f ca="1"/>
        <v>-33.512640000000026</v>
      </c>
      <c r="Q50" t="str">
        <f ca="1"/>
        <v>NVAX</v>
      </c>
      <c r="R50" s="650">
        <f ca="1"/>
        <v>-1.9983214285714283E-3</v>
      </c>
      <c r="S50" t="str">
        <f ca="1"/>
        <v>SAFGM</v>
      </c>
      <c r="T50" s="87">
        <f ca="1"/>
        <v>0</v>
      </c>
      <c r="U50" t="str">
        <f ca="1"/>
        <v>WBA</v>
      </c>
      <c r="V50" s="87">
        <f ca="1"/>
        <v>0</v>
      </c>
      <c r="W50" t="str">
        <f ca="1"/>
        <v>DVA</v>
      </c>
      <c r="X50">
        <f ca="1"/>
        <v>15</v>
      </c>
      <c r="Y50" t="str">
        <f ca="1"/>
        <v>MVEEOAN</v>
      </c>
      <c r="Z50">
        <f ca="1"/>
        <v>10</v>
      </c>
      <c r="AA50" t="str">
        <f ca="1"/>
        <v>SAFDIS</v>
      </c>
      <c r="AB50">
        <f ca="1"/>
        <v>48</v>
      </c>
      <c r="AC50" t="str">
        <f ca="1"/>
        <v>MSFT</v>
      </c>
      <c r="AD50">
        <f ca="1"/>
        <v>47</v>
      </c>
      <c r="AE50" t="str">
        <f ca="1"/>
        <v>JBASML</v>
      </c>
      <c r="AF50" s="87">
        <f ca="1"/>
        <v>0</v>
      </c>
      <c r="AG50" t="str">
        <f ca="1"/>
        <v>MVERWE</v>
      </c>
      <c r="AH50" s="87">
        <f ca="1"/>
        <v>12.285000000000004</v>
      </c>
      <c r="AI50" t="str">
        <f ca="1"/>
        <v>ALDNE</v>
      </c>
      <c r="AJ50" s="87">
        <f ca="1"/>
        <v>0</v>
      </c>
      <c r="AK50" s="90" t="str">
        <f ca="1"/>
        <v>NVAX</v>
      </c>
      <c r="AL50" s="310">
        <f ca="1"/>
        <v>-1.9983214285714283E-3</v>
      </c>
      <c r="AM50" t="str">
        <f ca="1"/>
        <v>AMZN</v>
      </c>
      <c r="AN50" s="310">
        <f ca="1"/>
        <v>0.15480249759098261</v>
      </c>
      <c r="AO50" t="str">
        <f ca="1"/>
        <v>XOM</v>
      </c>
      <c r="AP50" s="310">
        <f ca="1"/>
        <v>-5.5915449744320556E-2</v>
      </c>
      <c r="AQ50" s="87" t="str">
        <f ca="1"/>
        <v>HPE</v>
      </c>
      <c r="AR50" s="90">
        <f ca="1"/>
        <v>0.11362919007638367</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MSFT</v>
      </c>
      <c r="F51" s="559">
        <f ca="1"/>
        <v>1.3927540245892689E-3</v>
      </c>
      <c r="G51" s="153" t="str">
        <f ca="1"/>
        <v>SAFDIS</v>
      </c>
      <c r="H51" s="560">
        <f ca="1"/>
        <v>30190.119999999981</v>
      </c>
      <c r="I51" t="str">
        <f ca="1"/>
        <v>SSYS</v>
      </c>
      <c r="J51" s="561">
        <f ca="1"/>
        <v>0</v>
      </c>
      <c r="K51" s="153" t="str">
        <f ca="1"/>
        <v>HPE</v>
      </c>
      <c r="L51" s="561">
        <f ca="1"/>
        <v>-4.3610000000000003E-3</v>
      </c>
      <c r="M51" s="1" t="str">
        <f ca="1"/>
        <v>SAFGM</v>
      </c>
      <c r="N51" s="560">
        <f ca="1"/>
        <v>0</v>
      </c>
      <c r="O51" t="str">
        <f ca="1"/>
        <v>TSLA</v>
      </c>
      <c r="P51" s="560">
        <f ca="1"/>
        <v>-208.16735399999996</v>
      </c>
      <c r="Q51" t="str">
        <f ca="1"/>
        <v>DIS</v>
      </c>
      <c r="R51" s="650">
        <f ca="1"/>
        <v>-2.2473398809523806E-3</v>
      </c>
      <c r="S51" t="str">
        <f ca="1"/>
        <v>SAFIAG</v>
      </c>
      <c r="T51" s="87">
        <f ca="1"/>
        <v>0</v>
      </c>
      <c r="U51" t="str">
        <f ca="1"/>
        <v>MVEEPIX</v>
      </c>
      <c r="V51" s="87">
        <f ca="1"/>
        <v>0</v>
      </c>
      <c r="W51" t="str">
        <f ca="1"/>
        <v>VTRS</v>
      </c>
      <c r="X51">
        <f ca="1"/>
        <v>15</v>
      </c>
      <c r="Y51" t="str">
        <f ca="1"/>
        <v>SAFAMZN</v>
      </c>
      <c r="Z51">
        <f ca="1"/>
        <v>10</v>
      </c>
      <c r="AA51" t="str">
        <f ca="1"/>
        <v>AMZN</v>
      </c>
      <c r="AB51">
        <f ca="1"/>
        <v>47</v>
      </c>
      <c r="AC51" t="str">
        <f ca="1"/>
        <v>DXC</v>
      </c>
      <c r="AD51">
        <f ca="1"/>
        <v>46</v>
      </c>
      <c r="AE51" t="str">
        <f ca="1"/>
        <v>JBEOAN</v>
      </c>
      <c r="AF51" s="87">
        <f ca="1"/>
        <v>0</v>
      </c>
      <c r="AG51" t="str">
        <f ca="1"/>
        <v>LNSR</v>
      </c>
      <c r="AH51" s="87">
        <f ca="1"/>
        <v>0</v>
      </c>
      <c r="AI51" t="str">
        <f ca="1"/>
        <v>BMRA</v>
      </c>
      <c r="AJ51" s="87">
        <f ca="1"/>
        <v>0</v>
      </c>
      <c r="AK51" s="90" t="str">
        <f ca="1"/>
        <v>DIS</v>
      </c>
      <c r="AL51" s="310">
        <f ca="1"/>
        <v>-2.2473398809523806E-3</v>
      </c>
      <c r="AM51" t="str">
        <f ca="1"/>
        <v>MVEORA</v>
      </c>
      <c r="AN51" s="310">
        <f ca="1"/>
        <v>0.14779253107881635</v>
      </c>
      <c r="AO51" t="str">
        <f ca="1"/>
        <v>MVEGLE</v>
      </c>
      <c r="AP51" s="310">
        <f ca="1"/>
        <v>-4.7215271443283788E-2</v>
      </c>
      <c r="AQ51" s="87" t="str">
        <f ca="1"/>
        <v>XOM</v>
      </c>
      <c r="AR51" s="90">
        <f ca="1"/>
        <v>0.10606467326188221</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OXY</v>
      </c>
      <c r="F52" s="559">
        <f ca="1"/>
        <v>1.2908707883083764E-3</v>
      </c>
      <c r="G52" s="153" t="str">
        <f ca="1"/>
        <v>BLDP</v>
      </c>
      <c r="H52" s="560">
        <f ca="1"/>
        <v>28916.184999999983</v>
      </c>
      <c r="I52" t="str">
        <f ca="1"/>
        <v>WBA</v>
      </c>
      <c r="J52" s="561">
        <f ca="1"/>
        <v>0</v>
      </c>
      <c r="K52" s="153" t="str">
        <f ca="1"/>
        <v>NVS</v>
      </c>
      <c r="L52" s="561">
        <f ca="1"/>
        <v>-4.9280000000000001E-3</v>
      </c>
      <c r="M52" s="1" t="str">
        <f ca="1"/>
        <v>SAFIAG</v>
      </c>
      <c r="N52" s="560">
        <f ca="1"/>
        <v>0</v>
      </c>
      <c r="O52" t="str">
        <f ca="1"/>
        <v>PAAS</v>
      </c>
      <c r="P52" s="560">
        <f ca="1"/>
        <v>-394.2223500000008</v>
      </c>
      <c r="Q52" t="str">
        <f ca="1"/>
        <v>MVEDSY</v>
      </c>
      <c r="R52" s="650">
        <f ca="1"/>
        <v>-2.2473398809523806E-3</v>
      </c>
      <c r="S52" t="str">
        <f ca="1"/>
        <v>F</v>
      </c>
      <c r="T52" s="87">
        <f ca="1"/>
        <v>0</v>
      </c>
      <c r="U52" t="str">
        <f ca="1"/>
        <v>SAFGM</v>
      </c>
      <c r="V52" s="87">
        <f ca="1"/>
        <v>0</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SAFGM</v>
      </c>
      <c r="AH52" s="87">
        <f ca="1"/>
        <v>0</v>
      </c>
      <c r="AI52" t="str">
        <f ca="1"/>
        <v>NOTE</v>
      </c>
      <c r="AJ52" s="87">
        <f ca="1"/>
        <v>0</v>
      </c>
      <c r="AK52" s="90" t="str">
        <f ca="1"/>
        <v>MVEDSY</v>
      </c>
      <c r="AL52" s="310">
        <f ca="1"/>
        <v>-2.2473398809523806E-3</v>
      </c>
      <c r="AM52" t="str">
        <f ca="1"/>
        <v>SAFAMZN</v>
      </c>
      <c r="AN52" s="310">
        <f ca="1"/>
        <v>0.1461261651196874</v>
      </c>
      <c r="AO52" t="str">
        <f ca="1"/>
        <v>DVA</v>
      </c>
      <c r="AP52" s="310">
        <f ca="1"/>
        <v>-1.9805539558480661E-2</v>
      </c>
      <c r="AQ52" s="87" t="str">
        <f ca="1"/>
        <v>LUV</v>
      </c>
      <c r="AR52" s="90">
        <f ca="1"/>
        <v>8.644290440861789E-2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HPE</v>
      </c>
      <c r="F53" s="559">
        <f ca="1"/>
        <v>1.2243818965373132E-3</v>
      </c>
      <c r="G53" s="153" t="str">
        <f ca="1"/>
        <v>MVEEOAN</v>
      </c>
      <c r="H53" s="560">
        <f ca="1"/>
        <v>18111.785000000018</v>
      </c>
      <c r="I53" t="str">
        <f ca="1"/>
        <v>MVEEPIX</v>
      </c>
      <c r="J53" s="561">
        <f ca="1"/>
        <v>0</v>
      </c>
      <c r="K53" s="153" t="str">
        <f ca="1"/>
        <v>LUV</v>
      </c>
      <c r="L53" s="561">
        <f ca="1"/>
        <v>-6.2050000000000004E-3</v>
      </c>
      <c r="M53" s="1" t="str">
        <f ca="1"/>
        <v>F</v>
      </c>
      <c r="N53" s="560">
        <f ca="1"/>
        <v>0</v>
      </c>
      <c r="O53" t="str">
        <f ca="1"/>
        <v>AVGO</v>
      </c>
      <c r="P53" s="560">
        <f ca="1"/>
        <v>-579.28991999999926</v>
      </c>
      <c r="Q53" t="str">
        <f ca="1"/>
        <v>MRNA</v>
      </c>
      <c r="R53" s="650">
        <f ca="1"/>
        <v>-2.3488450000000004E-3</v>
      </c>
      <c r="S53" t="str">
        <f ca="1"/>
        <v>GLE</v>
      </c>
      <c r="T53" s="87">
        <f ca="1"/>
        <v>0</v>
      </c>
      <c r="U53" t="str">
        <f ca="1"/>
        <v>SAFIAG</v>
      </c>
      <c r="V53" s="87">
        <f ca="1"/>
        <v>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SAFIAG</v>
      </c>
      <c r="AH53" s="87">
        <f ca="1"/>
        <v>0</v>
      </c>
      <c r="AI53" t="str">
        <f ca="1"/>
        <v>UNIT</v>
      </c>
      <c r="AJ53" s="87">
        <f ca="1"/>
        <v>0</v>
      </c>
      <c r="AK53" s="90" t="str">
        <f ca="1"/>
        <v>MRNA</v>
      </c>
      <c r="AL53" s="310">
        <f ca="1"/>
        <v>-2.3488450000000004E-3</v>
      </c>
      <c r="AM53" t="str">
        <f ca="1"/>
        <v>VTRS</v>
      </c>
      <c r="AN53" s="310">
        <f ca="1"/>
        <v>0.13284608879492596</v>
      </c>
      <c r="AO53" t="str">
        <f ca="1"/>
        <v>ORA</v>
      </c>
      <c r="AP53" s="310">
        <f ca="1"/>
        <v>-1.4461969805895106E-2</v>
      </c>
      <c r="AQ53" s="87" t="str">
        <f ca="1"/>
        <v>AET</v>
      </c>
      <c r="AR53" s="90">
        <f ca="1"/>
        <v>8.5348506401137669E-2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MRNA</v>
      </c>
      <c r="F54" s="559">
        <f ca="1"/>
        <v>1.1079459906615486E-3</v>
      </c>
      <c r="G54" s="153" t="str">
        <f ca="1"/>
        <v>GNRC</v>
      </c>
      <c r="H54" s="560">
        <f ca="1"/>
        <v>14949.85000000002</v>
      </c>
      <c r="I54" t="str">
        <f ca="1"/>
        <v>X</v>
      </c>
      <c r="J54" s="561">
        <f ca="1"/>
        <v>0</v>
      </c>
      <c r="K54" s="153" t="str">
        <f ca="1"/>
        <v>VONN</v>
      </c>
      <c r="L54" s="561">
        <f ca="1"/>
        <v>-6.6669999999999993E-3</v>
      </c>
      <c r="M54" s="1" t="str">
        <f ca="1"/>
        <v>GLE</v>
      </c>
      <c r="N54" s="560">
        <f ca="1"/>
        <v>0</v>
      </c>
      <c r="O54" t="str">
        <f ca="1"/>
        <v>LUV</v>
      </c>
      <c r="P54" s="560">
        <f ca="1"/>
        <v>-971.29804199999523</v>
      </c>
      <c r="Q54" t="str">
        <f ca="1"/>
        <v>TSLA</v>
      </c>
      <c r="R54" s="650">
        <f ca="1"/>
        <v>-2.9245434523809529E-3</v>
      </c>
      <c r="S54" t="str">
        <f ca="1"/>
        <v>GS</v>
      </c>
      <c r="T54" s="87">
        <f ca="1"/>
        <v>0</v>
      </c>
      <c r="U54" t="str">
        <f ca="1"/>
        <v>F</v>
      </c>
      <c r="V54" s="87">
        <f ca="1"/>
        <v>0</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F</v>
      </c>
      <c r="AH54" s="87">
        <f ca="1"/>
        <v>0</v>
      </c>
      <c r="AI54" t="str">
        <f ca="1"/>
        <v>MVEALDNE</v>
      </c>
      <c r="AJ54" s="87">
        <f ca="1"/>
        <v>0</v>
      </c>
      <c r="AK54" s="90" t="str">
        <f ca="1"/>
        <v>TSLA</v>
      </c>
      <c r="AL54" s="310">
        <f ca="1"/>
        <v>-2.9245434523809529E-3</v>
      </c>
      <c r="AM54" t="str">
        <f ca="1"/>
        <v>HPE</v>
      </c>
      <c r="AN54" s="310">
        <f ca="1"/>
        <v>0.11957072839043227</v>
      </c>
      <c r="AO54" t="str">
        <f ca="1"/>
        <v>C</v>
      </c>
      <c r="AP54" s="310">
        <f ca="1"/>
        <v>-1.4445416132554631E-2</v>
      </c>
      <c r="AQ54" s="87" t="str">
        <f ca="1"/>
        <v>ORA</v>
      </c>
      <c r="AR54" s="90">
        <f ca="1"/>
        <v>7.324697424641359E-2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SAFMRNA</v>
      </c>
      <c r="F55" s="559">
        <f ca="1"/>
        <v>1.1079459906615486E-3</v>
      </c>
      <c r="G55" s="153" t="str">
        <f ca="1"/>
        <v>LUMN</v>
      </c>
      <c r="H55" s="560">
        <f ca="1"/>
        <v>14770.8</v>
      </c>
      <c r="I55" t="str">
        <f ca="1"/>
        <v>NVS</v>
      </c>
      <c r="J55" s="561">
        <f ca="1"/>
        <v>-9.4810000000000001E-4</v>
      </c>
      <c r="K55" s="153" t="str">
        <f ca="1"/>
        <v>F</v>
      </c>
      <c r="L55" s="561">
        <f ca="1"/>
        <v>-6.777E-3</v>
      </c>
      <c r="M55" s="1" t="str">
        <f ca="1"/>
        <v>GS</v>
      </c>
      <c r="N55" s="560">
        <f ca="1"/>
        <v>0</v>
      </c>
      <c r="O55" t="str">
        <f ca="1"/>
        <v>SHECY</v>
      </c>
      <c r="P55" s="560">
        <f ca="1"/>
        <v>-977.05303999999933</v>
      </c>
      <c r="Q55" t="str">
        <f ca="1"/>
        <v>LNSR</v>
      </c>
      <c r="R55" s="650">
        <f ca="1"/>
        <v>-2.9674642857142851E-3</v>
      </c>
      <c r="S55" t="str">
        <f ca="1"/>
        <v>NVS</v>
      </c>
      <c r="T55" s="87">
        <f ca="1"/>
        <v>0</v>
      </c>
      <c r="U55" t="str">
        <f ca="1"/>
        <v>GLE</v>
      </c>
      <c r="V55" s="87">
        <f ca="1"/>
        <v>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GLE</v>
      </c>
      <c r="AH55" s="87">
        <f ca="1"/>
        <v>0</v>
      </c>
      <c r="AI55" t="str">
        <f ca="1"/>
        <v>MVEEPIX</v>
      </c>
      <c r="AJ55" s="87">
        <f ca="1"/>
        <v>0</v>
      </c>
      <c r="AK55" s="90" t="str">
        <f ca="1"/>
        <v>LNSR</v>
      </c>
      <c r="AL55" s="310">
        <f ca="1"/>
        <v>-2.9674642857142851E-3</v>
      </c>
      <c r="AM55" t="str">
        <f ca="1"/>
        <v>ENI</v>
      </c>
      <c r="AN55" s="310">
        <f ca="1"/>
        <v>0.10713383213603553</v>
      </c>
      <c r="AO55" t="str">
        <f ca="1"/>
        <v>PFE</v>
      </c>
      <c r="AP55" s="310">
        <f ca="1"/>
        <v>-7.3885075818035696E-3</v>
      </c>
      <c r="AQ55" s="87" t="str">
        <f ca="1"/>
        <v>BLDP</v>
      </c>
      <c r="AR55" s="90">
        <f ca="1"/>
        <v>7.2410325175997214E-2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NVS</v>
      </c>
      <c r="F56" s="559">
        <f ca="1"/>
        <v>1.0841290013074536E-3</v>
      </c>
      <c r="G56" s="153" t="str">
        <f ca="1"/>
        <v>GM</v>
      </c>
      <c r="H56" s="560">
        <f ca="1"/>
        <v>14413.53</v>
      </c>
      <c r="I56" t="str">
        <f ca="1"/>
        <v>MVEENI</v>
      </c>
      <c r="J56" s="561">
        <f ca="1"/>
        <v>-1.003E-3</v>
      </c>
      <c r="K56" s="153" t="str">
        <f ca="1"/>
        <v>DSY</v>
      </c>
      <c r="L56" s="561">
        <f ca="1"/>
        <v>-7.5029999999999993E-3</v>
      </c>
      <c r="M56" s="1" t="str">
        <f ca="1"/>
        <v>NVS</v>
      </c>
      <c r="N56" s="560">
        <f ca="1"/>
        <v>0</v>
      </c>
      <c r="O56" t="str">
        <f ca="1"/>
        <v>VLVLY</v>
      </c>
      <c r="P56" s="560">
        <f ca="1"/>
        <v>-1017.3479999999995</v>
      </c>
      <c r="Q56" t="str">
        <f ca="1"/>
        <v>LOCK</v>
      </c>
      <c r="R56" s="650">
        <f ca="1"/>
        <v>-3.2036214285714282E-3</v>
      </c>
      <c r="S56" t="str">
        <f ca="1"/>
        <v>RIG</v>
      </c>
      <c r="T56" s="87">
        <f ca="1"/>
        <v>0</v>
      </c>
      <c r="U56" t="str">
        <f ca="1"/>
        <v>GS</v>
      </c>
      <c r="V56" s="87">
        <f ca="1"/>
        <v>0</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GS</v>
      </c>
      <c r="AH56" s="87">
        <f ca="1"/>
        <v>0</v>
      </c>
      <c r="AI56" t="str">
        <f ca="1"/>
        <v>LAZR</v>
      </c>
      <c r="AJ56" s="87">
        <f ca="1"/>
        <v>0</v>
      </c>
      <c r="AK56" s="90" t="str">
        <f ca="1"/>
        <v>LOCK</v>
      </c>
      <c r="AL56" s="310">
        <f ca="1"/>
        <v>-3.2036214285714282E-3</v>
      </c>
      <c r="AM56" t="str">
        <f ca="1"/>
        <v>LUV</v>
      </c>
      <c r="AN56" s="310">
        <f ca="1"/>
        <v>6.9453512023819691E-2</v>
      </c>
      <c r="AO56" t="str">
        <f ca="1"/>
        <v>VONN</v>
      </c>
      <c r="AP56" s="310">
        <f ca="1"/>
        <v>-5.7963087248322168E-3</v>
      </c>
      <c r="AQ56" s="87" t="str">
        <f ca="1"/>
        <v>RRC</v>
      </c>
      <c r="AR56" s="90">
        <f ca="1"/>
        <v>4.3788624874728684E-2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RWE</v>
      </c>
      <c r="F57" s="559">
        <f ca="1"/>
        <v>7.3873717920976329E-4</v>
      </c>
      <c r="G57" s="153" t="str">
        <f ca="1"/>
        <v>DIS</v>
      </c>
      <c r="H57" s="560">
        <f ca="1"/>
        <v>14102.487999999954</v>
      </c>
      <c r="I57" t="str">
        <f ca="1"/>
        <v>ENI</v>
      </c>
      <c r="J57" s="561">
        <f ca="1"/>
        <v>-1.003E-3</v>
      </c>
      <c r="K57" s="153" t="str">
        <f ca="1"/>
        <v>MVEDSY</v>
      </c>
      <c r="L57" s="561">
        <f ca="1"/>
        <v>-7.5029999999999993E-3</v>
      </c>
      <c r="M57" s="1" t="str">
        <f ca="1"/>
        <v>RRC</v>
      </c>
      <c r="N57" s="560">
        <f ca="1"/>
        <v>0</v>
      </c>
      <c r="O57" t="str">
        <f ca="1"/>
        <v>TSM</v>
      </c>
      <c r="P57" s="560">
        <f ca="1"/>
        <v>-1190.8956000000053</v>
      </c>
      <c r="Q57" t="str">
        <f ca="1"/>
        <v>MVEENI</v>
      </c>
      <c r="R57" s="650">
        <f ca="1"/>
        <v>-3.2134726190476194E-3</v>
      </c>
      <c r="S57" t="str">
        <f ca="1"/>
        <v>RRC</v>
      </c>
      <c r="T57" s="87">
        <f ca="1"/>
        <v>0</v>
      </c>
      <c r="U57" t="str">
        <f ca="1"/>
        <v>NVS</v>
      </c>
      <c r="V57" s="87">
        <f ca="1"/>
        <v>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NVS</v>
      </c>
      <c r="AH57" s="87">
        <f ca="1"/>
        <v>0</v>
      </c>
      <c r="AI57" t="str">
        <f ca="1"/>
        <v>LOCK</v>
      </c>
      <c r="AJ57" s="87">
        <f ca="1"/>
        <v>0</v>
      </c>
      <c r="AK57" s="90" t="str">
        <f ca="1"/>
        <v>MVEENI</v>
      </c>
      <c r="AL57" s="310">
        <f ca="1"/>
        <v>-3.2134726190476194E-3</v>
      </c>
      <c r="AM57" t="str">
        <f ca="1"/>
        <v>JBEOAN</v>
      </c>
      <c r="AN57" s="310">
        <f ca="1"/>
        <v>5.9335415297621034E-2</v>
      </c>
      <c r="AO57" t="str">
        <f ca="1"/>
        <v>EZJ</v>
      </c>
      <c r="AP57" s="310">
        <f ca="1"/>
        <v>-3.5247218610026435E-3</v>
      </c>
      <c r="AQ57" s="87" t="str">
        <f ca="1"/>
        <v>VLVLY</v>
      </c>
      <c r="AR57" s="90">
        <f ca="1"/>
        <v>2.7067669172931755E-2</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MVERWE</v>
      </c>
      <c r="F58" s="559">
        <f ca="1"/>
        <v>7.3873717920976329E-4</v>
      </c>
      <c r="G58" s="153" t="str">
        <f ca="1"/>
        <v>NVS</v>
      </c>
      <c r="H58" s="560">
        <f ca="1"/>
        <v>13562.79389999999</v>
      </c>
      <c r="I58" t="str">
        <f ca="1"/>
        <v>CSCO</v>
      </c>
      <c r="J58" s="561">
        <f ca="1"/>
        <v>-1.6189999999999998E-3</v>
      </c>
      <c r="K58" s="153" t="str">
        <f ca="1"/>
        <v>MRNA</v>
      </c>
      <c r="L58" s="561">
        <f ca="1"/>
        <v>-7.6119999999999998E-3</v>
      </c>
      <c r="M58" s="1" t="str">
        <f ca="1"/>
        <v>KR</v>
      </c>
      <c r="N58" s="560">
        <f ca="1"/>
        <v>-836.5714285714887</v>
      </c>
      <c r="O58" t="str">
        <f ca="1"/>
        <v>AET</v>
      </c>
      <c r="P58" s="560">
        <f ca="1"/>
        <v>-1198.8747999999996</v>
      </c>
      <c r="Q58" t="str">
        <f ca="1"/>
        <v>ENI</v>
      </c>
      <c r="R58" s="650">
        <f ca="1"/>
        <v>-3.2134726190476194E-3</v>
      </c>
      <c r="S58" t="str">
        <f ca="1"/>
        <v>MVEEOAN</v>
      </c>
      <c r="T58" s="87">
        <f ca="1"/>
        <v>-4.9999999999982947E-2</v>
      </c>
      <c r="U58" t="str">
        <f ca="1"/>
        <v>RRC</v>
      </c>
      <c r="V58" s="87">
        <f ca="1"/>
        <v>0</v>
      </c>
      <c r="W58" t="str">
        <f ca="1"/>
        <v>ADEA</v>
      </c>
      <c r="X58">
        <f ca="1"/>
        <v>17</v>
      </c>
      <c r="Y58" t="str">
        <f ca="1"/>
        <v>HPE</v>
      </c>
      <c r="Z58">
        <f ca="1"/>
        <v>11</v>
      </c>
      <c r="AA58" t="str">
        <f ca="1"/>
        <v>NEE</v>
      </c>
      <c r="AB58">
        <f ca="1"/>
        <v>44</v>
      </c>
      <c r="AC58" t="str">
        <f ca="1"/>
        <v>SAFAMZN</v>
      </c>
      <c r="AD58">
        <f ca="1"/>
        <v>44</v>
      </c>
      <c r="AE58" t="str">
        <f ca="1"/>
        <v>MVEEPIX</v>
      </c>
      <c r="AF58" s="87">
        <f ca="1"/>
        <v>-17163.964</v>
      </c>
      <c r="AG58" t="str">
        <f ca="1"/>
        <v>RRC</v>
      </c>
      <c r="AH58" s="87">
        <f ca="1"/>
        <v>0</v>
      </c>
      <c r="AI58" t="str">
        <f ca="1"/>
        <v>MVEORA</v>
      </c>
      <c r="AJ58" s="87">
        <f ca="1"/>
        <v>-198.00000000000111</v>
      </c>
      <c r="AK58" s="90" t="str">
        <f ca="1"/>
        <v>ENI</v>
      </c>
      <c r="AL58" s="310">
        <f ca="1"/>
        <v>-3.2134726190476194E-3</v>
      </c>
      <c r="AM58" t="str">
        <f ca="1"/>
        <v>C</v>
      </c>
      <c r="AN58" s="310">
        <f ca="1"/>
        <v>1.1956244744997149E-2</v>
      </c>
      <c r="AO58" t="str">
        <f ca="1"/>
        <v>KR</v>
      </c>
      <c r="AP58" s="310">
        <f ca="1"/>
        <v>-5.0992997408812061E-4</v>
      </c>
      <c r="AQ58" s="87" t="str">
        <f ca="1"/>
        <v>PFE</v>
      </c>
      <c r="AR58" s="90">
        <f ca="1"/>
        <v>4.7982193274939168E-3</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EOAN</v>
      </c>
      <c r="F59" s="559">
        <f ca="1"/>
        <v>7.1240551570914536E-4</v>
      </c>
      <c r="G59" s="153" t="str">
        <f ca="1"/>
        <v>XOM</v>
      </c>
      <c r="H59" s="560">
        <f ca="1"/>
        <v>11374.100000000006</v>
      </c>
      <c r="I59" t="str">
        <f ca="1"/>
        <v>PFE</v>
      </c>
      <c r="J59" s="561">
        <f ca="1"/>
        <v>-1.843E-3</v>
      </c>
      <c r="K59" s="153" t="str">
        <f ca="1"/>
        <v>SAFMRNA</v>
      </c>
      <c r="L59" s="561">
        <f ca="1"/>
        <v>-7.6119999999999998E-3</v>
      </c>
      <c r="M59" s="1" t="str">
        <f ca="1"/>
        <v>ADEA</v>
      </c>
      <c r="N59" s="560">
        <f ca="1"/>
        <v>-1073.8999999999965</v>
      </c>
      <c r="O59" t="str">
        <f ca="1"/>
        <v>XYZ</v>
      </c>
      <c r="P59" s="560">
        <f ca="1"/>
        <v>-1555.9440000000022</v>
      </c>
      <c r="Q59" t="str">
        <f ca="1"/>
        <v>XPER</v>
      </c>
      <c r="R59" s="650">
        <f ca="1"/>
        <v>-3.4385238095238089E-3</v>
      </c>
      <c r="S59" t="str">
        <f ca="1"/>
        <v>MVERWE</v>
      </c>
      <c r="T59" s="87">
        <f ca="1"/>
        <v>-0.32000000000000028</v>
      </c>
      <c r="U59" t="str">
        <f ca="1"/>
        <v>X</v>
      </c>
      <c r="V59" s="87">
        <f ca="1"/>
        <v>0</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C</v>
      </c>
      <c r="AH59" s="87">
        <f ca="1"/>
        <v>-63.000000000000966</v>
      </c>
      <c r="AI59" t="str">
        <f ca="1"/>
        <v>IAG</v>
      </c>
      <c r="AJ59" s="87">
        <f ca="1"/>
        <v>-218.00000000000637</v>
      </c>
      <c r="AK59" s="90" t="str">
        <f ca="1"/>
        <v>XPER</v>
      </c>
      <c r="AL59" s="310">
        <f ca="1"/>
        <v>-3.4385238095238089E-3</v>
      </c>
      <c r="AM59" t="str">
        <f ca="1"/>
        <v>EZJ</v>
      </c>
      <c r="AN59" s="310">
        <f ca="1"/>
        <v>9.2317126081035723E-4</v>
      </c>
      <c r="AO59" t="str">
        <f ca="1"/>
        <v>NFLX</v>
      </c>
      <c r="AP59" s="310">
        <f ca="1"/>
        <v>1.2474134349964368E-2</v>
      </c>
      <c r="AQ59" s="87" t="str">
        <f ca="1"/>
        <v>SSYS</v>
      </c>
      <c r="AR59" s="90">
        <f ca="1"/>
        <v>-3.7183680495782495E-2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MVEEOAN</v>
      </c>
      <c r="F60" s="559">
        <f ca="1"/>
        <v>7.1240551570914536E-4</v>
      </c>
      <c r="G60" s="153" t="str">
        <f ca="1"/>
        <v>RRC</v>
      </c>
      <c r="H60" s="560">
        <f ca="1"/>
        <v>9803.4699999999721</v>
      </c>
      <c r="I60" t="str">
        <f ca="1"/>
        <v>LOCK</v>
      </c>
      <c r="J60" s="561">
        <f ca="1"/>
        <v>-2.5490000000000001E-3</v>
      </c>
      <c r="K60" s="153" t="str">
        <f ca="1"/>
        <v>MVEORA</v>
      </c>
      <c r="L60" s="561">
        <f ca="1"/>
        <v>-7.8459999999999988E-3</v>
      </c>
      <c r="M60" s="1" t="str">
        <f ca="1"/>
        <v>MA</v>
      </c>
      <c r="N60" s="560">
        <f ca="1"/>
        <v>-2124.0000000000009</v>
      </c>
      <c r="O60" t="str">
        <f ca="1"/>
        <v>BLDP</v>
      </c>
      <c r="P60" s="560">
        <f ca="1"/>
        <v>-1915.6064400000002</v>
      </c>
      <c r="Q60" t="str">
        <f ca="1"/>
        <v>DSY</v>
      </c>
      <c r="R60" s="650">
        <f ca="1"/>
        <v>-3.8512720238095236E-3</v>
      </c>
      <c r="S60" t="str">
        <f ca="1"/>
        <v>CVS</v>
      </c>
      <c r="T60" s="87">
        <f ca="1"/>
        <v>-1.519999999999996</v>
      </c>
      <c r="U60" t="str">
        <f ca="1"/>
        <v>MVERWE</v>
      </c>
      <c r="V60" s="87">
        <f ca="1"/>
        <v>-0.98000000000000398</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ADEA</v>
      </c>
      <c r="AH60" s="87">
        <f ca="1"/>
        <v>-264.10000000000014</v>
      </c>
      <c r="AI60" t="str">
        <f ca="1"/>
        <v>RIG</v>
      </c>
      <c r="AJ60" s="87">
        <f ca="1"/>
        <v>-274.99999999999858</v>
      </c>
      <c r="AK60" s="90" t="str">
        <f ca="1"/>
        <v>DSY</v>
      </c>
      <c r="AL60" s="310">
        <f ca="1"/>
        <v>-3.8512720238095236E-3</v>
      </c>
      <c r="AM60" t="str">
        <f ca="1"/>
        <v>KR</v>
      </c>
      <c r="AN60" s="310">
        <f ca="1"/>
        <v>-2.0802878964668358E-3</v>
      </c>
      <c r="AO60" t="str">
        <f ca="1"/>
        <v>ADEA</v>
      </c>
      <c r="AP60" s="310">
        <f ca="1"/>
        <v>1.4101399688957955E-2</v>
      </c>
      <c r="AQ60" s="87" t="str">
        <f ca="1"/>
        <v>BMRA</v>
      </c>
      <c r="AR60" s="90">
        <f ca="1"/>
        <v>-5.3697149037783713E-2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JBEOAN</v>
      </c>
      <c r="F61" s="559">
        <f ca="1"/>
        <v>7.1240551570914536E-4</v>
      </c>
      <c r="G61" s="153" t="str">
        <f ca="1"/>
        <v>MVEDDD</v>
      </c>
      <c r="H61" s="560">
        <f ca="1"/>
        <v>8710.4149999999972</v>
      </c>
      <c r="I61" t="str">
        <f ca="1"/>
        <v>ALDNE</v>
      </c>
      <c r="J61" s="561">
        <f ca="1"/>
        <v>-2.5580000000000004E-3</v>
      </c>
      <c r="K61" s="153" t="str">
        <f ca="1"/>
        <v>ORA</v>
      </c>
      <c r="L61" s="561">
        <f ca="1"/>
        <v>-7.8459999999999988E-3</v>
      </c>
      <c r="M61" s="1" t="str">
        <f ca="1"/>
        <v>MVEDDD</v>
      </c>
      <c r="N61" s="560">
        <f ca="1"/>
        <v>-2800.0000000000023</v>
      </c>
      <c r="O61" t="str">
        <f ca="1"/>
        <v>MSFT</v>
      </c>
      <c r="P61" s="560">
        <f ca="1"/>
        <v>-2055.6413999999927</v>
      </c>
      <c r="Q61" t="str">
        <f ca="1"/>
        <v>RWE</v>
      </c>
      <c r="R61" s="650">
        <f ca="1"/>
        <v>-4.1609107142857151E-3</v>
      </c>
      <c r="S61" t="str">
        <f ca="1"/>
        <v>GM</v>
      </c>
      <c r="T61" s="87">
        <f ca="1"/>
        <v>-8</v>
      </c>
      <c r="U61" t="str">
        <f ca="1"/>
        <v>MVEEOAN</v>
      </c>
      <c r="V61" s="87">
        <f ca="1"/>
        <v>-2.1999999999999602</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MVEUN0</v>
      </c>
      <c r="AH61" s="87">
        <f ca="1"/>
        <v>-297.37499999999989</v>
      </c>
      <c r="AI61" t="str">
        <f ca="1"/>
        <v>C</v>
      </c>
      <c r="AJ61" s="87">
        <f ca="1"/>
        <v>-277.87499999999972</v>
      </c>
      <c r="AK61" s="90" t="str">
        <f ca="1"/>
        <v>RWE</v>
      </c>
      <c r="AL61" s="310">
        <f ca="1"/>
        <v>-4.1609107142857151E-3</v>
      </c>
      <c r="AM61" t="str">
        <f ca="1"/>
        <v>ADEA</v>
      </c>
      <c r="AN61" s="310">
        <f ca="1"/>
        <v>-1.6384334726855774E-2</v>
      </c>
      <c r="AO61" t="str">
        <f ca="1"/>
        <v>MA</v>
      </c>
      <c r="AP61" s="310">
        <f ca="1"/>
        <v>1.6860172612830529E-2</v>
      </c>
      <c r="AQ61" s="87" t="str">
        <f ca="1"/>
        <v>MSFT</v>
      </c>
      <c r="AR61" s="90">
        <f ca="1"/>
        <v>-7.3064743481029704E-2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SSYS</v>
      </c>
      <c r="F62" s="559">
        <f ca="1"/>
        <v>7.0318592659626732E-4</v>
      </c>
      <c r="G62" s="153" t="str">
        <f ca="1"/>
        <v>PROF</v>
      </c>
      <c r="H62" s="560">
        <f ca="1"/>
        <v>7927.3800000000265</v>
      </c>
      <c r="I62" t="str">
        <f ca="1"/>
        <v>MVEALDNE</v>
      </c>
      <c r="J62" s="561">
        <f ca="1"/>
        <v>-2.5580000000000004E-3</v>
      </c>
      <c r="K62" s="153" t="str">
        <f ca="1"/>
        <v>VLVLY</v>
      </c>
      <c r="L62" s="561">
        <f ca="1"/>
        <v>-1.1632E-2</v>
      </c>
      <c r="M62" s="1" t="str">
        <f ca="1"/>
        <v>PW</v>
      </c>
      <c r="N62" s="560">
        <f ca="1"/>
        <v>-3563.4001999999996</v>
      </c>
      <c r="O62" t="str">
        <f ca="1"/>
        <v>HPE</v>
      </c>
      <c r="P62" s="560">
        <f ca="1"/>
        <v>-2315.9628000000048</v>
      </c>
      <c r="Q62" t="str">
        <f ca="1"/>
        <v>MVESAP</v>
      </c>
      <c r="R62" s="650">
        <f ca="1"/>
        <v>-4.1609107142857151E-3</v>
      </c>
      <c r="S62" t="str">
        <f ca="1"/>
        <v>RWE</v>
      </c>
      <c r="T62" s="87">
        <f ca="1"/>
        <v>-16</v>
      </c>
      <c r="U62" t="str">
        <f ca="1"/>
        <v>LUMN</v>
      </c>
      <c r="V62" s="87">
        <f ca="1"/>
        <v>-4.4499999999999744</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MSFT</v>
      </c>
      <c r="AH62" s="87">
        <f ca="1"/>
        <v>-547.50000000000512</v>
      </c>
      <c r="AI62" t="str">
        <f ca="1"/>
        <v>NEE</v>
      </c>
      <c r="AJ62" s="87">
        <f ca="1"/>
        <v>-790.01999999999589</v>
      </c>
      <c r="AK62" s="90" t="str">
        <f ca="1"/>
        <v>MVESAP</v>
      </c>
      <c r="AL62" s="310">
        <f ca="1"/>
        <v>-4.1609107142857151E-3</v>
      </c>
      <c r="AM62" t="str">
        <f ca="1"/>
        <v>MA</v>
      </c>
      <c r="AN62" s="310">
        <f ca="1"/>
        <v>-1.9039072526287414E-2</v>
      </c>
      <c r="AO62" t="str">
        <f ca="1"/>
        <v>SAFDIS</v>
      </c>
      <c r="AP62" s="310">
        <f ca="1"/>
        <v>4.2202299936988145E-2</v>
      </c>
      <c r="AQ62" s="87" t="str">
        <f ca="1"/>
        <v>TSM</v>
      </c>
      <c r="AR62" s="90">
        <f ca="1"/>
        <v>-7.4088846184060406E-2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DIS</v>
      </c>
      <c r="F63" s="559">
        <f ca="1"/>
        <v>5.8750465755093165E-4</v>
      </c>
      <c r="G63" s="153" t="str">
        <f ca="1"/>
        <v>ORA</v>
      </c>
      <c r="H63" s="560">
        <f ca="1"/>
        <v>6163.2000000000116</v>
      </c>
      <c r="I63" t="str">
        <f ca="1"/>
        <v>GS</v>
      </c>
      <c r="J63" s="561">
        <f ca="1"/>
        <v>-2.8249999999999998E-3</v>
      </c>
      <c r="K63" s="153" t="str">
        <f ca="1"/>
        <v>AMZN</v>
      </c>
      <c r="L63" s="561">
        <f ca="1"/>
        <v>-1.2163999999999999E-2</v>
      </c>
      <c r="M63" s="1" t="str">
        <f ca="1"/>
        <v>SAFDIS</v>
      </c>
      <c r="N63" s="560">
        <f ca="1"/>
        <v>-5688.100000000014</v>
      </c>
      <c r="O63" t="str">
        <f ca="1"/>
        <v>PW</v>
      </c>
      <c r="P63" s="560">
        <f ca="1"/>
        <v>-2488.4930519999998</v>
      </c>
      <c r="Q63" t="str">
        <f ca="1"/>
        <v>THC</v>
      </c>
      <c r="R63" s="650">
        <f ca="1"/>
        <v>-4.2230047619047622E-3</v>
      </c>
      <c r="S63" t="str">
        <f ca="1"/>
        <v>EOAN</v>
      </c>
      <c r="T63" s="87">
        <f ca="1"/>
        <v>-75</v>
      </c>
      <c r="U63" t="str">
        <f ca="1"/>
        <v>GM</v>
      </c>
      <c r="V63" s="87">
        <f ca="1"/>
        <v>-12.100000000000136</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SHECY</v>
      </c>
      <c r="AH63" s="87">
        <f ca="1"/>
        <v>-552.71999999999753</v>
      </c>
      <c r="AI63" t="str">
        <f ca="1"/>
        <v>CVS</v>
      </c>
      <c r="AJ63" s="87">
        <f ca="1"/>
        <v>-793.06500000000051</v>
      </c>
      <c r="AK63" s="90" t="str">
        <f ca="1"/>
        <v>THC</v>
      </c>
      <c r="AL63" s="310">
        <f ca="1"/>
        <v>-4.2230047619047622E-3</v>
      </c>
      <c r="AM63" t="str">
        <f ca="1"/>
        <v>SAFDIS</v>
      </c>
      <c r="AN63" s="310">
        <f ca="1"/>
        <v>-4.2769635901305891E-2</v>
      </c>
      <c r="AO63" t="str">
        <f ca="1"/>
        <v>EOAN</v>
      </c>
      <c r="AP63" s="310">
        <f ca="1"/>
        <v>5.0316392363397022E-2</v>
      </c>
      <c r="AQ63" s="87" t="str">
        <f ca="1"/>
        <v>MVEDDD</v>
      </c>
      <c r="AR63" s="90">
        <f ca="1"/>
        <v>-9.5681063122923668E-2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SAFDIS</v>
      </c>
      <c r="F64" s="559">
        <f ca="1"/>
        <v>5.8750465755093165E-4</v>
      </c>
      <c r="G64" s="153" t="str">
        <f ca="1"/>
        <v>MVEUN0</v>
      </c>
      <c r="H64" s="560">
        <f ca="1"/>
        <v>-231.59150000000227</v>
      </c>
      <c r="I64" t="str">
        <f ca="1"/>
        <v>C</v>
      </c>
      <c r="J64" s="561">
        <f ca="1"/>
        <v>-3.2719999999999997E-3</v>
      </c>
      <c r="K64" s="153" t="str">
        <f ca="1"/>
        <v>SAFAMZN</v>
      </c>
      <c r="L64" s="561">
        <f ca="1"/>
        <v>-1.2163999999999999E-2</v>
      </c>
      <c r="M64" s="1" t="str">
        <f ca="1"/>
        <v>MVEUN0</v>
      </c>
      <c r="N64" s="560">
        <f ca="1"/>
        <v>-6798.7550000000001</v>
      </c>
      <c r="O64" t="str">
        <f ca="1"/>
        <v>JBEOAN</v>
      </c>
      <c r="P64" s="560">
        <f ca="1"/>
        <v>-2782.7460000000042</v>
      </c>
      <c r="Q64" t="str">
        <f ca="1"/>
        <v>VONN</v>
      </c>
      <c r="R64" s="650">
        <f ca="1"/>
        <v>-4.6558452380952376E-3</v>
      </c>
      <c r="S64" t="str">
        <f ca="1"/>
        <v>JBEOAN</v>
      </c>
      <c r="T64" s="87">
        <f ca="1"/>
        <v>-90</v>
      </c>
      <c r="U64" t="str">
        <f ca="1"/>
        <v>RWE</v>
      </c>
      <c r="V64" s="87">
        <f ca="1"/>
        <v>-49</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SSYS</v>
      </c>
      <c r="AH64" s="87">
        <f ca="1"/>
        <v>-900.00000000000216</v>
      </c>
      <c r="AI64" t="str">
        <f ca="1"/>
        <v>LUMN</v>
      </c>
      <c r="AJ64" s="87">
        <f ca="1"/>
        <v>-1178.1000000000004</v>
      </c>
      <c r="AK64" s="90" t="str">
        <f ca="1"/>
        <v>VONN</v>
      </c>
      <c r="AL64" s="310">
        <f ca="1"/>
        <v>-4.6558452380952376E-3</v>
      </c>
      <c r="AM64" t="str">
        <f ca="1"/>
        <v>EOAN</v>
      </c>
      <c r="AN64" s="310">
        <f ca="1"/>
        <v>-5.0126306443746993E-2</v>
      </c>
      <c r="AO64" t="str">
        <f ca="1"/>
        <v>HPQ</v>
      </c>
      <c r="AP64" s="310">
        <f ca="1"/>
        <v>6.2059568392281529E-2</v>
      </c>
      <c r="AQ64" s="87" t="str">
        <f ca="1"/>
        <v>MVEORA</v>
      </c>
      <c r="AR64" s="90">
        <f ca="1"/>
        <v>-0.11742901623545098</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PAAS</v>
      </c>
      <c r="F65" s="559">
        <f ca="1"/>
        <v>5.2451708599980218E-4</v>
      </c>
      <c r="G65" s="153" t="str">
        <f ca="1"/>
        <v>EPIX</v>
      </c>
      <c r="H65" s="560">
        <f ca="1"/>
        <v>-332.2355999999927</v>
      </c>
      <c r="I65" t="str">
        <f ca="1"/>
        <v>VTRS</v>
      </c>
      <c r="J65" s="561">
        <f ca="1"/>
        <v>-3.4620000000000002E-3</v>
      </c>
      <c r="K65" s="153" t="str">
        <f ca="1"/>
        <v>DVA</v>
      </c>
      <c r="L65" s="561">
        <f ca="1"/>
        <v>-1.2190000000000001E-2</v>
      </c>
      <c r="M65" s="1" t="str">
        <f ca="1"/>
        <v>HPQ</v>
      </c>
      <c r="N65" s="560">
        <f ca="1"/>
        <v>-7924.9999999999864</v>
      </c>
      <c r="O65" t="str">
        <f ca="1"/>
        <v>EOAN</v>
      </c>
      <c r="P65" s="560">
        <f ca="1"/>
        <v>-2968.2624000000046</v>
      </c>
      <c r="Q65" t="str">
        <f ca="1"/>
        <v>ADEA</v>
      </c>
      <c r="R65" s="650">
        <f ca="1"/>
        <v>-4.7901845238095212E-3</v>
      </c>
      <c r="S65" t="str">
        <f ca="1"/>
        <v>ORA</v>
      </c>
      <c r="T65" s="87">
        <f ca="1"/>
        <v>-138</v>
      </c>
      <c r="U65" t="str">
        <f ca="1"/>
        <v>VTRS</v>
      </c>
      <c r="V65" s="87">
        <f ca="1"/>
        <v>-99.999999999985448</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TSM</v>
      </c>
      <c r="AH65" s="87">
        <f ca="1"/>
        <v>-1225.9999999999764</v>
      </c>
      <c r="AI65" t="str">
        <f ca="1"/>
        <v>AAPL</v>
      </c>
      <c r="AJ65" s="87">
        <f ca="1"/>
        <v>-1185.0000000000023</v>
      </c>
      <c r="AK65" s="90" t="str">
        <f ca="1"/>
        <v>ADEA</v>
      </c>
      <c r="AL65" s="310">
        <f ca="1"/>
        <v>-4.7901845238095212E-3</v>
      </c>
      <c r="AM65" t="str">
        <f ca="1"/>
        <v>HPQ</v>
      </c>
      <c r="AN65" s="310">
        <f ca="1"/>
        <v>-6.0574718369223596E-2</v>
      </c>
      <c r="AO65" t="str">
        <f ca="1"/>
        <v>AET</v>
      </c>
      <c r="AP65" s="310">
        <f ca="1"/>
        <v>6.7770171810710531E-2</v>
      </c>
      <c r="AQ65" s="87" t="str">
        <f ca="1"/>
        <v>OXY</v>
      </c>
      <c r="AR65" s="90">
        <f ca="1"/>
        <v>-0.13903817242392297</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NEM</v>
      </c>
      <c r="F66" s="559">
        <f ca="1"/>
        <v>4.6623648690558679E-4</v>
      </c>
      <c r="G66" s="153" t="str">
        <f ca="1"/>
        <v>PW</v>
      </c>
      <c r="H66" s="560">
        <f ca="1"/>
        <v>-7410.1429999999964</v>
      </c>
      <c r="I66" t="str">
        <f ca="1"/>
        <v>MA</v>
      </c>
      <c r="J66" s="561">
        <f ca="1"/>
        <v>-3.5790000000000001E-3</v>
      </c>
      <c r="K66" s="153" t="str">
        <f ca="1"/>
        <v>NVAX</v>
      </c>
      <c r="L66" s="561">
        <f ca="1"/>
        <v>-1.2747999999999999E-2</v>
      </c>
      <c r="M66" s="1" t="str">
        <f ca="1"/>
        <v>DIS</v>
      </c>
      <c r="N66" s="560">
        <f ca="1"/>
        <v>-8774</v>
      </c>
      <c r="O66" t="str">
        <f ca="1"/>
        <v>DVA</v>
      </c>
      <c r="P66" s="560">
        <f ca="1"/>
        <v>-3016.1376000000009</v>
      </c>
      <c r="Q66" t="str">
        <f ca="1"/>
        <v>ASML</v>
      </c>
      <c r="R66" s="650">
        <f ca="1"/>
        <v>-5.2083964285714298E-3</v>
      </c>
      <c r="S66" t="str">
        <f ca="1"/>
        <v>XPER</v>
      </c>
      <c r="T66" s="87">
        <f ca="1"/>
        <v>-199.99999999999272</v>
      </c>
      <c r="U66" t="str">
        <f ca="1"/>
        <v>ORA</v>
      </c>
      <c r="V66" s="87">
        <f ca="1"/>
        <v>-126</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MVEORA</v>
      </c>
      <c r="AH66" s="87">
        <f ca="1"/>
        <v>-1319.9999999999984</v>
      </c>
      <c r="AI66" t="str">
        <f ca="1"/>
        <v>AZN</v>
      </c>
      <c r="AJ66" s="87">
        <f ca="1"/>
        <v>-1439.9999999999977</v>
      </c>
      <c r="AK66" s="90" t="str">
        <f ca="1"/>
        <v>ASML</v>
      </c>
      <c r="AL66" s="310">
        <f ca="1"/>
        <v>-5.2083964285714298E-3</v>
      </c>
      <c r="AM66" t="str">
        <f ca="1"/>
        <v>DIS</v>
      </c>
      <c r="AN66" s="310">
        <f ca="1"/>
        <v>-7.6380222389023686E-2</v>
      </c>
      <c r="AO66" t="str">
        <f ca="1"/>
        <v>DIS</v>
      </c>
      <c r="AP66" s="310">
        <f ca="1"/>
        <v>8.0330056710775047E-2</v>
      </c>
      <c r="AQ66" s="87" t="str">
        <f ca="1"/>
        <v>C</v>
      </c>
      <c r="AR66" s="90">
        <f ca="1"/>
        <v>-0.17285399629598844</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DDD</v>
      </c>
      <c r="F67" s="559">
        <f ca="1"/>
        <v>4.5786842046550367E-4</v>
      </c>
      <c r="G67" s="153" t="str">
        <f ca="1"/>
        <v>PFE</v>
      </c>
      <c r="H67" s="560">
        <f ca="1"/>
        <v>-7857.0780000000013</v>
      </c>
      <c r="I67" t="str">
        <f ca="1"/>
        <v>RWE</v>
      </c>
      <c r="J67" s="561">
        <f ca="1"/>
        <v>-4.1770000000000002E-3</v>
      </c>
      <c r="K67" s="153" t="str">
        <f ca="1"/>
        <v>LNSR</v>
      </c>
      <c r="L67" s="561">
        <f ca="1"/>
        <v>-1.3658999999999999E-2</v>
      </c>
      <c r="M67" s="1" t="str">
        <f ca="1"/>
        <v>NVAX</v>
      </c>
      <c r="N67" s="560">
        <f ca="1"/>
        <v>-9244.3999999999924</v>
      </c>
      <c r="O67" t="str">
        <f ca="1"/>
        <v>EZJ</v>
      </c>
      <c r="P67" s="560">
        <f ca="1"/>
        <v>-3411.1080000000047</v>
      </c>
      <c r="Q67" t="str">
        <f ca="1"/>
        <v>SAFASML</v>
      </c>
      <c r="R67" s="650">
        <f ca="1"/>
        <v>-5.2083964285714298E-3</v>
      </c>
      <c r="S67" t="str">
        <f ca="1"/>
        <v>XYZ</v>
      </c>
      <c r="T67" s="87">
        <f ca="1"/>
        <v>-330</v>
      </c>
      <c r="U67" t="str">
        <f ca="1"/>
        <v>EOAN</v>
      </c>
      <c r="V67" s="87">
        <f ca="1"/>
        <v>-193.25</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POET</v>
      </c>
      <c r="AH67" s="87">
        <f ca="1"/>
        <v>-1799.9999999999993</v>
      </c>
      <c r="AI67" t="str">
        <f ca="1"/>
        <v>KR</v>
      </c>
      <c r="AJ67" s="87">
        <f ca="1"/>
        <v>-1809.9999999999882</v>
      </c>
      <c r="AK67" s="90" t="str">
        <f ca="1"/>
        <v>SAFASML</v>
      </c>
      <c r="AL67" s="310">
        <f ca="1"/>
        <v>-5.2083964285714298E-3</v>
      </c>
      <c r="AM67" t="str">
        <f ca="1"/>
        <v>SHECY</v>
      </c>
      <c r="AN67" s="310">
        <f ca="1"/>
        <v>-0.10824838963154097</v>
      </c>
      <c r="AO67" t="str">
        <f ca="1"/>
        <v>SHECY</v>
      </c>
      <c r="AP67" s="310">
        <f ca="1"/>
        <v>0.11914345563709151</v>
      </c>
      <c r="AQ67" s="87" t="str">
        <f ca="1"/>
        <v>MA</v>
      </c>
      <c r="AR67" s="90">
        <f ca="1"/>
        <v>-0.23750198801887257</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MVEDDD</v>
      </c>
      <c r="F68" s="559">
        <f ca="1"/>
        <v>4.5786842046550367E-4</v>
      </c>
      <c r="G68" s="153" t="str">
        <f ca="1"/>
        <v>DSY</v>
      </c>
      <c r="H68" s="560">
        <f ca="1"/>
        <v>-10607.592000000062</v>
      </c>
      <c r="I68" t="str">
        <f ca="1"/>
        <v>MVERWE</v>
      </c>
      <c r="J68" s="561">
        <f ca="1"/>
        <v>-4.1770000000000002E-3</v>
      </c>
      <c r="K68" s="153" t="str">
        <f ca="1"/>
        <v>PAAS</v>
      </c>
      <c r="L68" s="561">
        <f ca="1"/>
        <v>-1.3828E-2</v>
      </c>
      <c r="M68" s="1" t="str">
        <f ca="1"/>
        <v>XYZ</v>
      </c>
      <c r="N68" s="560">
        <f ca="1"/>
        <v>-9876</v>
      </c>
      <c r="O68" t="str">
        <f ca="1"/>
        <v>ASML</v>
      </c>
      <c r="P68" s="560">
        <f ca="1"/>
        <v>-3874.8990000000022</v>
      </c>
      <c r="Q68" t="str">
        <f ca="1"/>
        <v>JBASML</v>
      </c>
      <c r="R68" s="650">
        <f ca="1"/>
        <v>-5.2083964285714298E-3</v>
      </c>
      <c r="S68" t="str">
        <f ca="1"/>
        <v>ADEA</v>
      </c>
      <c r="T68" s="87">
        <f ca="1"/>
        <v>-500.00000000000728</v>
      </c>
      <c r="U68" t="str">
        <f ca="1"/>
        <v>XYZ</v>
      </c>
      <c r="V68" s="87">
        <f ca="1"/>
        <v>-348</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MA</v>
      </c>
      <c r="AH68" s="87">
        <f ca="1"/>
        <v>-2015.9999999999968</v>
      </c>
      <c r="AI68" t="str">
        <f ca="1"/>
        <v>SAFAAPL</v>
      </c>
      <c r="AJ68" s="87">
        <f ca="1"/>
        <v>-1861.5000000000036</v>
      </c>
      <c r="AK68" s="90" t="str">
        <f ca="1"/>
        <v>JBASML</v>
      </c>
      <c r="AL68" s="310">
        <f ca="1"/>
        <v>-5.2083964285714298E-3</v>
      </c>
      <c r="AM68" t="str">
        <f ca="1"/>
        <v>MVEDDD</v>
      </c>
      <c r="AN68" s="310">
        <f ca="1"/>
        <v>-0.11398857142857152</v>
      </c>
      <c r="AO68" t="str">
        <f ca="1"/>
        <v>MVEDDD</v>
      </c>
      <c r="AP68" s="310">
        <f ca="1"/>
        <v>0.12643225806451625</v>
      </c>
      <c r="AQ68" s="87" t="str">
        <f ca="1"/>
        <v>SHECY</v>
      </c>
      <c r="AR68" s="90">
        <f ca="1"/>
        <v>-0.26177285318559446</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SAFDDD</v>
      </c>
      <c r="F69" s="559">
        <f ca="1"/>
        <v>4.5786842046550367E-4</v>
      </c>
      <c r="G69" s="153" t="str">
        <f ca="1"/>
        <v>F</v>
      </c>
      <c r="H69" s="560">
        <f ca="1"/>
        <v>-12620</v>
      </c>
      <c r="I69" t="str">
        <f ca="1"/>
        <v>AAPL</v>
      </c>
      <c r="J69" s="561">
        <f ca="1"/>
        <v>-6.5719999999999997E-3</v>
      </c>
      <c r="K69" s="153" t="str">
        <f ca="1"/>
        <v>LUMN</v>
      </c>
      <c r="L69" s="561">
        <f ca="1"/>
        <v>-1.601E-2</v>
      </c>
      <c r="M69" s="1" t="str">
        <f ca="1"/>
        <v>EOAN</v>
      </c>
      <c r="N69" s="560">
        <f ca="1"/>
        <v>-12057.000000000011</v>
      </c>
      <c r="O69" t="str">
        <f ca="1"/>
        <v>ADEA</v>
      </c>
      <c r="P69" s="560">
        <f ca="1"/>
        <v>-3989.6</v>
      </c>
      <c r="Q69" t="str">
        <f ca="1"/>
        <v>SSYS</v>
      </c>
      <c r="R69" s="650">
        <f ca="1"/>
        <v>-5.5906071428571446E-3</v>
      </c>
      <c r="S69" t="str">
        <f ca="1"/>
        <v>VTRS</v>
      </c>
      <c r="T69" s="87">
        <f ca="1"/>
        <v>-550</v>
      </c>
      <c r="U69" t="str">
        <f ca="1"/>
        <v>BMRA</v>
      </c>
      <c r="V69" s="87">
        <f ca="1"/>
        <v>-380.00000000000364</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XPER</v>
      </c>
      <c r="AH69" s="87">
        <f ca="1"/>
        <v>-2349.9999999999986</v>
      </c>
      <c r="AI69" t="str">
        <f ca="1"/>
        <v>PROF</v>
      </c>
      <c r="AJ69" s="87">
        <f ca="1"/>
        <v>-2479.9999999999986</v>
      </c>
      <c r="AK69" s="90" t="str">
        <f ca="1"/>
        <v>SSYS</v>
      </c>
      <c r="AL69" s="310">
        <f ca="1"/>
        <v>-5.5906071428571446E-3</v>
      </c>
      <c r="AM69" t="str">
        <f ca="1"/>
        <v>SAP</v>
      </c>
      <c r="AN69" s="310">
        <f ca="1"/>
        <v>-0.12577960474732947</v>
      </c>
      <c r="AO69" t="str">
        <f ca="1"/>
        <v>SAP</v>
      </c>
      <c r="AP69" s="310">
        <f ca="1"/>
        <v>0.1417054860033051</v>
      </c>
      <c r="AQ69" s="87" t="str">
        <f ca="1"/>
        <v>ADEA</v>
      </c>
      <c r="AR69" s="90">
        <f ca="1"/>
        <v>-0.28549422336328639</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CSCO</v>
      </c>
      <c r="F70" s="559">
        <f ca="1"/>
        <v>4.3965705683731403E-4</v>
      </c>
      <c r="G70" s="153" t="str">
        <f ca="1"/>
        <v>LNSR</v>
      </c>
      <c r="H70" s="560">
        <f ca="1"/>
        <v>-16028.984799999995</v>
      </c>
      <c r="I70" t="str">
        <f ca="1"/>
        <v>SAFAAPL</v>
      </c>
      <c r="J70" s="561">
        <f ca="1"/>
        <v>-6.5719999999999997E-3</v>
      </c>
      <c r="K70" s="153" t="str">
        <f ca="1"/>
        <v>IAG</v>
      </c>
      <c r="L70" s="561">
        <f ca="1"/>
        <v>-1.6515999999999999E-2</v>
      </c>
      <c r="M70" s="1" t="str">
        <f ca="1"/>
        <v>DXC</v>
      </c>
      <c r="N70" s="560">
        <f ca="1"/>
        <v>-17625</v>
      </c>
      <c r="O70" t="str">
        <f ca="1"/>
        <v>HPQ</v>
      </c>
      <c r="P70" s="560">
        <f ca="1"/>
        <v>-4415.4897999999994</v>
      </c>
      <c r="Q70" t="str">
        <f ca="1"/>
        <v>HPE</v>
      </c>
      <c r="R70" s="650">
        <f ca="1"/>
        <v>-5.9696249999999992E-3</v>
      </c>
      <c r="S70" t="str">
        <f ca="1"/>
        <v>SAFAMZN</v>
      </c>
      <c r="T70" s="87">
        <f ca="1"/>
        <v>-555</v>
      </c>
      <c r="U70" t="str">
        <f ca="1"/>
        <v>PFE</v>
      </c>
      <c r="V70" s="87">
        <f ca="1"/>
        <v>-568</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THC</v>
      </c>
      <c r="AH70" s="87">
        <f ca="1"/>
        <v>-2511.0000000000014</v>
      </c>
      <c r="AI70" t="str">
        <f ca="1"/>
        <v>AMZN</v>
      </c>
      <c r="AJ70" s="87">
        <f ca="1"/>
        <v>-2635.0000000000023</v>
      </c>
      <c r="AK70" s="90" t="str">
        <f ca="1"/>
        <v>HPE</v>
      </c>
      <c r="AL70" s="310">
        <f ca="1"/>
        <v>-5.9696249999999992E-3</v>
      </c>
      <c r="AM70" t="str">
        <f ca="1"/>
        <v>GNRC</v>
      </c>
      <c r="AN70" s="310">
        <f ca="1"/>
        <v>-0.16442241040505012</v>
      </c>
      <c r="AO70" t="str">
        <f ca="1"/>
        <v>GNRC</v>
      </c>
      <c r="AP70" s="310">
        <f ca="1"/>
        <v>0.19479115728792107</v>
      </c>
      <c r="AQ70" s="87" t="str">
        <f ca="1"/>
        <v>NVAX</v>
      </c>
      <c r="AR70" s="90">
        <f ca="1"/>
        <v>-0.32576024008815735</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XOM</v>
      </c>
      <c r="F71" s="559">
        <f ca="1"/>
        <v>3.4090178993023115E-4</v>
      </c>
      <c r="G71" s="153" t="str">
        <f ca="1"/>
        <v>LUV</v>
      </c>
      <c r="H71" s="560">
        <f ca="1"/>
        <v>-18398.450000000004</v>
      </c>
      <c r="I71" t="str">
        <f ca="1"/>
        <v>SAP</v>
      </c>
      <c r="J71" s="561">
        <f ca="1"/>
        <v>-1.0553E-2</v>
      </c>
      <c r="K71" s="153" t="str">
        <f ca="1"/>
        <v>SAFIAG</v>
      </c>
      <c r="L71" s="561">
        <f ca="1"/>
        <v>-1.6515999999999999E-2</v>
      </c>
      <c r="M71" s="1" t="str">
        <f ca="1"/>
        <v>MVESAP</v>
      </c>
      <c r="N71" s="560">
        <f ca="1"/>
        <v>-18072.680000000004</v>
      </c>
      <c r="O71" t="str">
        <f ca="1"/>
        <v>MA</v>
      </c>
      <c r="P71" s="560">
        <f ca="1"/>
        <v>-4682.7929999999924</v>
      </c>
      <c r="Q71" t="str">
        <f ca="1"/>
        <v>AMZN</v>
      </c>
      <c r="R71" s="650">
        <f ca="1"/>
        <v>-6.3597797619047627E-3</v>
      </c>
      <c r="S71" t="str">
        <f ca="1"/>
        <v>MVESAP</v>
      </c>
      <c r="T71" s="87">
        <f ca="1"/>
        <v>-561.39999999999418</v>
      </c>
      <c r="U71" t="str">
        <f ca="1"/>
        <v>MVESAP</v>
      </c>
      <c r="V71" s="87">
        <f ca="1"/>
        <v>-641.59999999997672</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UN0</v>
      </c>
      <c r="AH71" s="87">
        <f ca="1"/>
        <v>-2604.2449999999985</v>
      </c>
      <c r="AI71" t="str">
        <f ca="1"/>
        <v>WBA</v>
      </c>
      <c r="AJ71" s="87">
        <f ca="1"/>
        <v>-2915.6000000000049</v>
      </c>
      <c r="AK71" s="90" t="str">
        <f ca="1"/>
        <v>AMZN</v>
      </c>
      <c r="AL71" s="310">
        <f ca="1"/>
        <v>-6.3597797619047627E-3</v>
      </c>
      <c r="AM71" t="str">
        <f ca="1"/>
        <v>NVAX</v>
      </c>
      <c r="AN71" s="310">
        <f ca="1"/>
        <v>-0.1690277905898139</v>
      </c>
      <c r="AO71" t="str">
        <f ca="1"/>
        <v>NVAX</v>
      </c>
      <c r="AP71" s="310">
        <f ca="1"/>
        <v>0.20144811830923726</v>
      </c>
      <c r="AQ71" s="87" t="str">
        <f ca="1"/>
        <v>DXC</v>
      </c>
      <c r="AR71" s="90">
        <f ca="1"/>
        <v>-0.32905427364315915</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LUMN</v>
      </c>
      <c r="F72" s="559">
        <f ca="1"/>
        <v>2.8763183520520572E-4</v>
      </c>
      <c r="G72" s="153" t="str">
        <f ca="1"/>
        <v>WBA</v>
      </c>
      <c r="H72" s="560">
        <f ca="1"/>
        <v>-21661.755000000005</v>
      </c>
      <c r="I72" t="str">
        <f ca="1"/>
        <v>MVESAP</v>
      </c>
      <c r="J72" s="561">
        <f ca="1"/>
        <v>-1.0553E-2</v>
      </c>
      <c r="K72" s="153" t="str">
        <f ca="1"/>
        <v>EZJ</v>
      </c>
      <c r="L72" s="561">
        <f ca="1"/>
        <v>-1.6624E-2</v>
      </c>
      <c r="M72" s="1" t="str">
        <f ca="1"/>
        <v>XPER</v>
      </c>
      <c r="N72" s="560">
        <f ca="1"/>
        <v>-20767.999999999996</v>
      </c>
      <c r="O72" t="str">
        <f ca="1"/>
        <v>UN0</v>
      </c>
      <c r="P72" s="560">
        <f ca="1"/>
        <v>-5061.3756192999981</v>
      </c>
      <c r="Q72" t="str">
        <f ca="1"/>
        <v>SAFAMZN</v>
      </c>
      <c r="R72" s="650">
        <f ca="1"/>
        <v>-6.3597797619047627E-3</v>
      </c>
      <c r="S72" t="str">
        <f ca="1"/>
        <v>BMRA</v>
      </c>
      <c r="T72" s="87">
        <f ca="1"/>
        <v>-755.00000000000364</v>
      </c>
      <c r="U72" t="str">
        <f ca="1"/>
        <v>MA</v>
      </c>
      <c r="V72" s="87">
        <f ca="1"/>
        <v>-686</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MVEDDD</v>
      </c>
      <c r="AH72" s="87">
        <f ca="1"/>
        <v>-2800.0000000000023</v>
      </c>
      <c r="AI72" t="str">
        <f ca="1"/>
        <v>ENI</v>
      </c>
      <c r="AJ72" s="87">
        <f ca="1"/>
        <v>-3149.999999999995</v>
      </c>
      <c r="AK72" s="90" t="str">
        <f ca="1"/>
        <v>SAFAMZN</v>
      </c>
      <c r="AL72" s="310">
        <f ca="1"/>
        <v>-6.3597797619047627E-3</v>
      </c>
      <c r="AM72" t="str">
        <f ca="1"/>
        <v>MVESAP</v>
      </c>
      <c r="AN72" s="310">
        <f ca="1"/>
        <v>-0.17609597377486844</v>
      </c>
      <c r="AO72" t="str">
        <f ca="1"/>
        <v>MVESAP</v>
      </c>
      <c r="AP72" s="310">
        <f ca="1"/>
        <v>0.21181021613426007</v>
      </c>
      <c r="AQ72" s="87" t="str">
        <f ca="1"/>
        <v>POET</v>
      </c>
      <c r="AR72" s="90">
        <f ca="1"/>
        <v>-0.34913793103448265</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GS</v>
      </c>
      <c r="F73" s="559">
        <f ca="1"/>
        <v>2.8609005735359916E-4</v>
      </c>
      <c r="G73" s="153" t="str">
        <f ca="1"/>
        <v>UNIT</v>
      </c>
      <c r="H73" s="560">
        <f ca="1"/>
        <v>-21849.699999999997</v>
      </c>
      <c r="I73" t="str">
        <f ca="1"/>
        <v>DDD</v>
      </c>
      <c r="J73" s="561">
        <f ca="1"/>
        <v>-1.1110999999999999E-2</v>
      </c>
      <c r="K73" s="153" t="str">
        <f ca="1"/>
        <v>DIS</v>
      </c>
      <c r="L73" s="561">
        <f ca="1"/>
        <v>-1.6819999999999998E-2</v>
      </c>
      <c r="M73" s="1" t="str">
        <f ca="1"/>
        <v>UNIT</v>
      </c>
      <c r="N73" s="560">
        <f ca="1"/>
        <v>-21849.700000000004</v>
      </c>
      <c r="O73" t="str">
        <f ca="1"/>
        <v>SAP</v>
      </c>
      <c r="P73" s="560">
        <f ca="1"/>
        <v>-5505.6480000000047</v>
      </c>
      <c r="Q73" t="str">
        <f ca="1"/>
        <v>VTRS</v>
      </c>
      <c r="R73" s="650">
        <f ca="1"/>
        <v>-6.5896464285714277E-3</v>
      </c>
      <c r="S73" t="str">
        <f ca="1"/>
        <v>DSY</v>
      </c>
      <c r="T73" s="87">
        <f ca="1"/>
        <v>-760</v>
      </c>
      <c r="U73" t="str">
        <f ca="1"/>
        <v>ADEA</v>
      </c>
      <c r="V73" s="87">
        <f ca="1"/>
        <v>-1050.0000000000073</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PW</v>
      </c>
      <c r="AH73" s="87">
        <f ca="1"/>
        <v>-2915.9130000000005</v>
      </c>
      <c r="AI73" t="str">
        <f ca="1"/>
        <v>VTRS</v>
      </c>
      <c r="AJ73" s="87">
        <f ca="1"/>
        <v>-3250.0000000000018</v>
      </c>
      <c r="AK73" s="90" t="str">
        <f ca="1"/>
        <v>VTRS</v>
      </c>
      <c r="AL73" s="310">
        <f ca="1"/>
        <v>-6.5896464285714277E-3</v>
      </c>
      <c r="AM73" t="str">
        <f ca="1"/>
        <v>DXC</v>
      </c>
      <c r="AN73" s="310">
        <f ca="1"/>
        <v>-0.18493687864920308</v>
      </c>
      <c r="AO73" t="str">
        <f ca="1"/>
        <v>DXC</v>
      </c>
      <c r="AP73" s="310">
        <f ca="1"/>
        <v>0.22502495156915925</v>
      </c>
      <c r="AQ73" s="87" t="str">
        <f ca="1"/>
        <v>THC</v>
      </c>
      <c r="AR73" s="90">
        <f ca="1"/>
        <v>-0.3743291592128804</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PFE</v>
      </c>
      <c r="F74" s="559">
        <f ca="1"/>
        <v>2.3622780176557525E-4</v>
      </c>
      <c r="G74" s="153" t="str">
        <f ca="1"/>
        <v>MVEEPIX</v>
      </c>
      <c r="H74" s="560">
        <f ca="1"/>
        <v>-28645.599999999999</v>
      </c>
      <c r="I74" t="str">
        <f ca="1"/>
        <v>MVEDDD</v>
      </c>
      <c r="J74" s="561">
        <f ca="1"/>
        <v>-1.1110999999999999E-2</v>
      </c>
      <c r="K74" s="153" t="str">
        <f ca="1"/>
        <v>SAFDIS</v>
      </c>
      <c r="L74" s="561">
        <f ca="1"/>
        <v>-1.6819999999999998E-2</v>
      </c>
      <c r="M74" s="1" t="str">
        <f ca="1"/>
        <v>DSY</v>
      </c>
      <c r="N74" s="560">
        <f ca="1"/>
        <v>-25050.000000000011</v>
      </c>
      <c r="O74" t="str">
        <f ca="1"/>
        <v>SAFDIS</v>
      </c>
      <c r="P74" s="560">
        <f ca="1"/>
        <v>-5651.3681400000005</v>
      </c>
      <c r="Q74" t="str">
        <f ca="1"/>
        <v>CSCO</v>
      </c>
      <c r="R74" s="650">
        <f ca="1"/>
        <v>-6.6262357142857142E-3</v>
      </c>
      <c r="S74" t="str">
        <f ca="1"/>
        <v>HPQ</v>
      </c>
      <c r="T74" s="87">
        <f ca="1"/>
        <v>-934.99999999998545</v>
      </c>
      <c r="U74" t="str">
        <f ca="1"/>
        <v>EZJ</v>
      </c>
      <c r="V74" s="87">
        <f ca="1"/>
        <v>-1230</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HPQ</v>
      </c>
      <c r="AH74" s="87">
        <f ca="1"/>
        <v>-3016.9999999999995</v>
      </c>
      <c r="AI74" t="str">
        <f ca="1"/>
        <v>F</v>
      </c>
      <c r="AJ74" s="87">
        <f ca="1"/>
        <v>-3510</v>
      </c>
      <c r="AK74" s="90" t="str">
        <f ca="1"/>
        <v>CSCO</v>
      </c>
      <c r="AL74" s="310">
        <f ca="1"/>
        <v>-6.6262357142857142E-3</v>
      </c>
      <c r="AM74" t="str">
        <f ca="1"/>
        <v>DSY</v>
      </c>
      <c r="AN74" s="310">
        <f ca="1"/>
        <v>-0.20770529553578859</v>
      </c>
      <c r="AO74" t="str">
        <f ca="1"/>
        <v>DSY</v>
      </c>
      <c r="AP74" s="310">
        <f ca="1"/>
        <v>0.26041973960520803</v>
      </c>
      <c r="AQ74" s="87" t="str">
        <f ca="1"/>
        <v>ALDNE</v>
      </c>
      <c r="AR74" s="90">
        <f ca="1"/>
        <v>-0.3839238498149129</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MA</v>
      </c>
      <c r="F75" s="559">
        <f ca="1"/>
        <v>2.2444521480915932E-4</v>
      </c>
      <c r="G75" s="153" t="str">
        <f ca="1"/>
        <v>SAP</v>
      </c>
      <c r="H75" s="560">
        <f ca="1"/>
        <v>-29606.02500000014</v>
      </c>
      <c r="I75" t="str">
        <f ca="1"/>
        <v>SAFDDD</v>
      </c>
      <c r="J75" s="561">
        <f ca="1"/>
        <v>-1.1110999999999999E-2</v>
      </c>
      <c r="K75" s="153" t="str">
        <f ca="1"/>
        <v>CVS</v>
      </c>
      <c r="L75" s="561">
        <f ca="1"/>
        <v>-1.7289000000000002E-2</v>
      </c>
      <c r="M75" s="1" t="str">
        <f ca="1"/>
        <v>AET</v>
      </c>
      <c r="N75" s="560">
        <f ca="1"/>
        <v>-26543.628807000016</v>
      </c>
      <c r="O75" t="str">
        <f ca="1"/>
        <v>BLNK</v>
      </c>
      <c r="P75" s="560">
        <f ca="1"/>
        <v>-5984.4</v>
      </c>
      <c r="Q75" t="str">
        <f ca="1"/>
        <v>EZJ</v>
      </c>
      <c r="R75" s="650">
        <f ca="1"/>
        <v>-8.2039053571428579E-3</v>
      </c>
      <c r="S75" t="str">
        <f ca="1"/>
        <v>PFE</v>
      </c>
      <c r="T75" s="87">
        <f ca="1"/>
        <v>-976</v>
      </c>
      <c r="U75" t="str">
        <f ca="1"/>
        <v>DIS</v>
      </c>
      <c r="V75" s="87">
        <f ca="1"/>
        <v>-1475</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ALDNE</v>
      </c>
      <c r="AH75" s="87">
        <f ca="1"/>
        <v>-3630.0000000000014</v>
      </c>
      <c r="AI75" t="str">
        <f ca="1"/>
        <v>ORA</v>
      </c>
      <c r="AJ75" s="87">
        <f ca="1"/>
        <v>-3760.0000000000014</v>
      </c>
      <c r="AK75" s="90" t="str">
        <f ca="1"/>
        <v>EZJ</v>
      </c>
      <c r="AL75" s="310">
        <f ca="1"/>
        <v>-8.2039053571428579E-3</v>
      </c>
      <c r="AM75" t="str">
        <f ca="1"/>
        <v>OXY</v>
      </c>
      <c r="AN75" s="310">
        <f ca="1"/>
        <v>-0.21228524550941175</v>
      </c>
      <c r="AO75" t="str">
        <f ca="1"/>
        <v>OXY</v>
      </c>
      <c r="AP75" s="310">
        <f ca="1"/>
        <v>0.26778753799392085</v>
      </c>
      <c r="AQ75" s="87" t="str">
        <f ca="1"/>
        <v>DSY</v>
      </c>
      <c r="AR75" s="90">
        <f ca="1"/>
        <v>-0.40256045519203437</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BMRA</v>
      </c>
      <c r="F76" s="559">
        <f ca="1"/>
        <v>2.1129417683310277E-4</v>
      </c>
      <c r="G76" s="153" t="str">
        <f ca="1"/>
        <v>CVS</v>
      </c>
      <c r="H76" s="560">
        <f ca="1"/>
        <v>-44446.695</v>
      </c>
      <c r="I76" t="str">
        <f ca="1"/>
        <v>TSM</v>
      </c>
      <c r="J76" s="561">
        <f ca="1"/>
        <v>-1.172E-2</v>
      </c>
      <c r="K76" s="153" t="str">
        <f ca="1"/>
        <v>VTRS</v>
      </c>
      <c r="L76" s="561">
        <f ca="1"/>
        <v>-1.7415E-2</v>
      </c>
      <c r="M76" s="1" t="str">
        <f ca="1"/>
        <v>GNRC</v>
      </c>
      <c r="N76" s="560">
        <f ca="1"/>
        <v>-26844.999999999978</v>
      </c>
      <c r="O76" t="str">
        <f ca="1"/>
        <v>MVEDDD</v>
      </c>
      <c r="P76" s="560">
        <f ca="1"/>
        <v>-6732.45</v>
      </c>
      <c r="Q76" t="str">
        <f ca="1"/>
        <v>AZN</v>
      </c>
      <c r="R76" s="650">
        <f ca="1"/>
        <v>-8.5500892857142859E-3</v>
      </c>
      <c r="S76" t="str">
        <f ca="1"/>
        <v>JBASML</v>
      </c>
      <c r="T76" s="87">
        <f ca="1"/>
        <v>-1580</v>
      </c>
      <c r="U76" t="str">
        <f ca="1"/>
        <v>XPER</v>
      </c>
      <c r="V76" s="87">
        <f ca="1"/>
        <v>-1499.9999999999927</v>
      </c>
      <c r="W76" t="str">
        <f ca="1"/>
        <v>VONN</v>
      </c>
      <c r="X76">
        <f ca="1"/>
        <v>19</v>
      </c>
      <c r="Y76" t="str">
        <f ca="1"/>
        <v>MVESAP</v>
      </c>
      <c r="Z76">
        <f ca="1"/>
        <v>15</v>
      </c>
      <c r="AA76" t="str">
        <f ca="1"/>
        <v>HPQ</v>
      </c>
      <c r="AB76">
        <f ca="1"/>
        <v>38</v>
      </c>
      <c r="AC76" t="str">
        <f ca="1"/>
        <v>TSM</v>
      </c>
      <c r="AD76">
        <f ca="1"/>
        <v>33</v>
      </c>
      <c r="AE76" t="str">
        <f ca="1"/>
        <v>RIG</v>
      </c>
      <c r="AF76" s="87">
        <f ca="1"/>
        <v>-121907.666</v>
      </c>
      <c r="AG76" t="str">
        <f ca="1"/>
        <v>SAFDIS</v>
      </c>
      <c r="AH76" s="87">
        <f ca="1"/>
        <v>-3805.4000000000037</v>
      </c>
      <c r="AI76" t="str">
        <f ca="1"/>
        <v>LNSR</v>
      </c>
      <c r="AJ76" s="87">
        <f ca="1"/>
        <v>-4949.9999999999955</v>
      </c>
      <c r="AK76" s="90" t="str">
        <f ca="1"/>
        <v>AZN</v>
      </c>
      <c r="AL76" s="310">
        <f ca="1"/>
        <v>-8.5500892857142859E-3</v>
      </c>
      <c r="AM76" t="str">
        <f ca="1"/>
        <v>XYZ</v>
      </c>
      <c r="AN76" s="310">
        <f ca="1"/>
        <v>-0.21337670912399273</v>
      </c>
      <c r="AO76" t="str">
        <f ca="1"/>
        <v>XYZ</v>
      </c>
      <c r="AP76" s="310">
        <f ca="1"/>
        <v>0.26955608465608472</v>
      </c>
      <c r="AQ76" s="87" t="str">
        <f ca="1"/>
        <v>SAFMRNA</v>
      </c>
      <c r="AR76" s="90">
        <f ca="1"/>
        <v>-0.43561828532150815</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NEE</v>
      </c>
      <c r="F77" s="559">
        <f ca="1"/>
        <v>1.303453695704332E-4</v>
      </c>
      <c r="G77" s="153" t="str">
        <f ca="1"/>
        <v>DXC</v>
      </c>
      <c r="H77" s="560">
        <f ca="1"/>
        <v>-50154.646999999968</v>
      </c>
      <c r="I77" t="str">
        <f ca="1"/>
        <v>EZJ</v>
      </c>
      <c r="J77" s="561">
        <f ca="1"/>
        <v>-1.4838E-2</v>
      </c>
      <c r="K77" s="153" t="str">
        <f ca="1"/>
        <v>XPER</v>
      </c>
      <c r="L77" s="561">
        <f ca="1"/>
        <v>-1.746E-2</v>
      </c>
      <c r="M77" s="1" t="str">
        <f ca="1"/>
        <v>MVEEPIX</v>
      </c>
      <c r="N77" s="560">
        <f ca="1"/>
        <v>-28645.599999999999</v>
      </c>
      <c r="O77" t="str">
        <f ca="1"/>
        <v>MVEUN0</v>
      </c>
      <c r="P77" s="560">
        <f ca="1"/>
        <v>-7850.9742559999995</v>
      </c>
      <c r="Q77" t="str">
        <f ca="1"/>
        <v>BLNK</v>
      </c>
      <c r="R77" s="650">
        <f ca="1"/>
        <v>-8.6111488095238151E-3</v>
      </c>
      <c r="S77" t="str">
        <f ca="1"/>
        <v>DIS</v>
      </c>
      <c r="T77" s="87">
        <f ca="1"/>
        <v>-1720</v>
      </c>
      <c r="U77" t="str">
        <f ca="1"/>
        <v>ENI</v>
      </c>
      <c r="V77" s="87">
        <f ca="1"/>
        <v>-1552</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OXY</v>
      </c>
      <c r="AH77" s="87">
        <f ca="1"/>
        <v>-4469.9999999999991</v>
      </c>
      <c r="AI77" t="str">
        <f ca="1"/>
        <v>MVEENI</v>
      </c>
      <c r="AJ77" s="87">
        <f ca="1"/>
        <v>-5479.9999999999973</v>
      </c>
      <c r="AK77" s="90" t="str">
        <f ca="1"/>
        <v>BLNK</v>
      </c>
      <c r="AL77" s="310">
        <f ca="1"/>
        <v>-8.6111488095238151E-3</v>
      </c>
      <c r="AM77" t="str">
        <f ca="1"/>
        <v>POET</v>
      </c>
      <c r="AN77" s="310">
        <f ca="1"/>
        <v>-0.23086609962282142</v>
      </c>
      <c r="AO77" t="str">
        <f ca="1"/>
        <v>POET</v>
      </c>
      <c r="AP77" s="310">
        <f ca="1"/>
        <v>0.29858185185185171</v>
      </c>
      <c r="AQ77" s="87" t="str">
        <f ca="1"/>
        <v>DIS</v>
      </c>
      <c r="AR77" s="90">
        <f ca="1"/>
        <v>-0.46124681672319467</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C</v>
      </c>
      <c r="F78" s="559">
        <f ca="1"/>
        <v>1.2191787082273127E-4</v>
      </c>
      <c r="G78" s="153" t="str">
        <f ca="1"/>
        <v>POET</v>
      </c>
      <c r="H78" s="560">
        <f ca="1"/>
        <v>-57282.50999999998</v>
      </c>
      <c r="I78" t="str">
        <f ca="1"/>
        <v>BLDP</v>
      </c>
      <c r="J78" s="561">
        <f ca="1"/>
        <v>-1.831E-2</v>
      </c>
      <c r="K78" s="153" t="str">
        <f ca="1"/>
        <v>MA</v>
      </c>
      <c r="L78" s="561">
        <f ca="1"/>
        <v>-1.7712000000000002E-2</v>
      </c>
      <c r="M78" s="1" t="str">
        <f ca="1"/>
        <v>UN0</v>
      </c>
      <c r="N78" s="560">
        <f ca="1"/>
        <v>-35398.050000000003</v>
      </c>
      <c r="O78" t="str">
        <f ca="1"/>
        <v>GNRC</v>
      </c>
      <c r="P78" s="560">
        <f ca="1"/>
        <v>-8158.7319999999954</v>
      </c>
      <c r="Q78" t="str">
        <f ca="1"/>
        <v>DVA</v>
      </c>
      <c r="R78" s="650">
        <f ca="1"/>
        <v>-8.9015000000000014E-3</v>
      </c>
      <c r="S78" t="str">
        <f ca="1"/>
        <v>MVEGLE</v>
      </c>
      <c r="T78" s="87">
        <f ca="1"/>
        <v>-1960</v>
      </c>
      <c r="U78" t="str">
        <f ca="1"/>
        <v>SAFDIS</v>
      </c>
      <c r="V78" s="87">
        <f ca="1"/>
        <v>-1770</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MVEALDNE</v>
      </c>
      <c r="AH78" s="87">
        <f ca="1"/>
        <v>-5405.7300000000023</v>
      </c>
      <c r="AI78" t="str">
        <f ca="1"/>
        <v>SAFAMZN</v>
      </c>
      <c r="AJ78" s="87">
        <f ca="1"/>
        <v>-6519.9999999999964</v>
      </c>
      <c r="AK78" s="90" t="str">
        <f ca="1"/>
        <v>DVA</v>
      </c>
      <c r="AL78" s="310">
        <f ca="1"/>
        <v>-8.9015000000000014E-3</v>
      </c>
      <c r="AM78" t="str">
        <f ca="1"/>
        <v>XPER</v>
      </c>
      <c r="AN78" s="310">
        <f ca="1"/>
        <v>-0.25056857792616244</v>
      </c>
      <c r="AO78" t="str">
        <f ca="1"/>
        <v>XPER</v>
      </c>
      <c r="AP78" s="310">
        <f ca="1"/>
        <v>0.33290888529886908</v>
      </c>
      <c r="AQ78" s="87" t="str">
        <f ca="1"/>
        <v>PW</v>
      </c>
      <c r="AR78" s="90">
        <f ca="1"/>
        <v>-0.48895733582875583</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NOTE</v>
      </c>
      <c r="F79" s="559">
        <f ca="1"/>
        <v>1.1904908516935759E-4</v>
      </c>
      <c r="G79" s="153" t="str">
        <f ca="1"/>
        <v>XPER</v>
      </c>
      <c r="H79" s="560">
        <f ca="1"/>
        <v>-60590.629999999983</v>
      </c>
      <c r="I79" t="str">
        <f ca="1"/>
        <v>BMRA</v>
      </c>
      <c r="J79" s="561">
        <f ca="1"/>
        <v>-2.0588000000000002E-2</v>
      </c>
      <c r="K79" s="153" t="str">
        <f ca="1"/>
        <v>GM</v>
      </c>
      <c r="L79" s="561">
        <f ca="1"/>
        <v>-1.8500000000000003E-2</v>
      </c>
      <c r="M79" s="1" t="str">
        <f ca="1"/>
        <v>SHECY</v>
      </c>
      <c r="N79" s="560">
        <f ca="1"/>
        <v>-45623.360000000044</v>
      </c>
      <c r="O79" t="str">
        <f ca="1"/>
        <v>OXY</v>
      </c>
      <c r="P79" s="560">
        <f ca="1"/>
        <v>-9066.3659999999963</v>
      </c>
      <c r="Q79" t="str">
        <f ca="1"/>
        <v>AET</v>
      </c>
      <c r="R79" s="650">
        <f ca="1"/>
        <v>-9.8753511904761913E-3</v>
      </c>
      <c r="S79" t="str">
        <f ca="1"/>
        <v>SAFASML</v>
      </c>
      <c r="T79" s="87">
        <f ca="1"/>
        <v>-1975</v>
      </c>
      <c r="U79" t="str">
        <f ca="1"/>
        <v>MVEORA</v>
      </c>
      <c r="V79" s="87">
        <f ca="1"/>
        <v>-2079</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DSY</v>
      </c>
      <c r="AH79" s="87">
        <f ca="1"/>
        <v>-5660.0000000000036</v>
      </c>
      <c r="AI79" t="str">
        <f ca="1"/>
        <v>MVEEOAN</v>
      </c>
      <c r="AJ79" s="87">
        <f ca="1"/>
        <v>-7863.6999999999971</v>
      </c>
      <c r="AK79" s="90" t="str">
        <f ca="1"/>
        <v>AET</v>
      </c>
      <c r="AL79" s="310">
        <f ca="1"/>
        <v>-9.8753511904761913E-3</v>
      </c>
      <c r="AM79" t="str">
        <f ca="1"/>
        <v>DDD</v>
      </c>
      <c r="AN79" s="310">
        <f ca="1"/>
        <v>-0.27282170145726659</v>
      </c>
      <c r="AO79" t="str">
        <f ca="1"/>
        <v>DDD</v>
      </c>
      <c r="AP79" s="310">
        <f ca="1"/>
        <v>0.37392480346977497</v>
      </c>
      <c r="AQ79" s="87" t="str">
        <f ca="1"/>
        <v>MRNA</v>
      </c>
      <c r="AR79" s="90">
        <f ca="1"/>
        <v>-0.49434331052989022</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RIG</v>
      </c>
      <c r="F80" s="559">
        <f ca="1"/>
        <v>1.0834344622670705E-4</v>
      </c>
      <c r="G80" s="153" t="str">
        <f ca="1"/>
        <v>OXY</v>
      </c>
      <c r="H80" s="560">
        <f ca="1"/>
        <v>-63238.826000000001</v>
      </c>
      <c r="I80" t="str">
        <f ca="1"/>
        <v>MVEGLE</v>
      </c>
      <c r="J80" s="561">
        <f ca="1"/>
        <v>-2.0788999999999998E-2</v>
      </c>
      <c r="K80" s="153" t="str">
        <f ca="1"/>
        <v>SAFGM</v>
      </c>
      <c r="L80" s="561">
        <f ca="1"/>
        <v>-1.8500000000000003E-2</v>
      </c>
      <c r="M80" s="1" t="str">
        <f ca="1"/>
        <v>OXY</v>
      </c>
      <c r="N80" s="560">
        <f ca="1"/>
        <v>-46257.89999999998</v>
      </c>
      <c r="O80" t="str">
        <f ca="1"/>
        <v>PFE</v>
      </c>
      <c r="P80" s="560">
        <f ca="1"/>
        <v>-9707.5166628000025</v>
      </c>
      <c r="Q80" t="str">
        <f ca="1"/>
        <v>EPIX</v>
      </c>
      <c r="R80" s="650">
        <f ca="1"/>
        <v>-1.0069178571428571E-2</v>
      </c>
      <c r="S80" t="str">
        <f ca="1"/>
        <v>EZJ</v>
      </c>
      <c r="T80" s="87">
        <f ca="1"/>
        <v>-1980</v>
      </c>
      <c r="U80" t="str">
        <f ca="1"/>
        <v>SAFAMZN</v>
      </c>
      <c r="V80" s="87">
        <f ca="1"/>
        <v>-2107.5</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DXC</v>
      </c>
      <c r="AH80" s="87">
        <f ca="1"/>
        <v>-6300.0000000000045</v>
      </c>
      <c r="AI80" t="str">
        <f ca="1"/>
        <v>CSCO</v>
      </c>
      <c r="AJ80" s="87">
        <f ca="1"/>
        <v>-8659.9999999999964</v>
      </c>
      <c r="AK80" s="90" t="str">
        <f ca="1"/>
        <v>EPIX</v>
      </c>
      <c r="AL80" s="310">
        <f ca="1"/>
        <v>-1.0069178571428571E-2</v>
      </c>
      <c r="AM80" t="str">
        <f ca="1"/>
        <v>UN0</v>
      </c>
      <c r="AN80" s="310">
        <f ca="1"/>
        <v>-0.28290518217231758</v>
      </c>
      <c r="AO80" t="str">
        <f ca="1"/>
        <v>UN0</v>
      </c>
      <c r="AP80" s="310">
        <f ca="1"/>
        <v>0.39335134228187923</v>
      </c>
      <c r="AQ80" s="87" t="str">
        <f ca="1"/>
        <v>MVESAP</v>
      </c>
      <c r="AR80" s="90">
        <f ca="1"/>
        <v>-0.4991262225219979</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RIGL</v>
      </c>
      <c r="F81" s="559">
        <f ca="1"/>
        <v>9.3750837061045182E-5</v>
      </c>
      <c r="G81" s="153" t="str">
        <f ca="1"/>
        <v>VTRS</v>
      </c>
      <c r="H81" s="560">
        <f ca="1"/>
        <v>-79443.949999999953</v>
      </c>
      <c r="I81" t="str">
        <f ca="1"/>
        <v>GLE</v>
      </c>
      <c r="J81" s="561">
        <f ca="1"/>
        <v>-2.0788999999999998E-2</v>
      </c>
      <c r="K81" s="153" t="str">
        <f ca="1"/>
        <v>GS</v>
      </c>
      <c r="L81" s="561">
        <f ca="1"/>
        <v>-1.8647E-2</v>
      </c>
      <c r="M81" s="1" t="str">
        <f ca="1"/>
        <v>NFLX</v>
      </c>
      <c r="N81" s="560">
        <f ca="1"/>
        <v>-50294.999999999622</v>
      </c>
      <c r="O81" t="str">
        <f ca="1"/>
        <v>DDD</v>
      </c>
      <c r="P81" s="560">
        <f ca="1"/>
        <v>-9774.52</v>
      </c>
      <c r="Q81" t="str">
        <f ca="1"/>
        <v>SAFGM</v>
      </c>
      <c r="R81" s="650">
        <f ca="1"/>
        <v>-1.0069178571428571E-2</v>
      </c>
      <c r="S81" t="str">
        <f ca="1"/>
        <v>MA</v>
      </c>
      <c r="T81" s="87">
        <f ca="1"/>
        <v>-2062</v>
      </c>
      <c r="U81" t="str">
        <f ca="1"/>
        <v>JBASML</v>
      </c>
      <c r="V81" s="87">
        <f ca="1"/>
        <v>-2240</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NOTE</v>
      </c>
      <c r="AH81" s="87">
        <f ca="1"/>
        <v>-7150.0000000000009</v>
      </c>
      <c r="AI81" t="str">
        <f ca="1"/>
        <v>RIGL</v>
      </c>
      <c r="AJ81" s="87">
        <f ca="1"/>
        <v>-9459.9999999999945</v>
      </c>
      <c r="AK81" s="90" t="str">
        <f ca="1"/>
        <v>SAFGM</v>
      </c>
      <c r="AL81" s="310">
        <f ca="1"/>
        <v>-1.0069178571428571E-2</v>
      </c>
      <c r="AM81" t="str">
        <f ca="1"/>
        <v>MVEUN0</v>
      </c>
      <c r="AN81" s="310">
        <f ca="1"/>
        <v>-0.28871924780583774</v>
      </c>
      <c r="AO81" t="str">
        <f ca="1"/>
        <v>MVEUN0</v>
      </c>
      <c r="AP81" s="310">
        <f ca="1"/>
        <v>0.40480382310642377</v>
      </c>
      <c r="AQ81" s="87" t="str">
        <f ca="1"/>
        <v>MVEDSY</v>
      </c>
      <c r="AR81" s="90">
        <f ca="1"/>
        <v>-0.53027796161482466</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NVAX</v>
      </c>
      <c r="F82" s="559">
        <f ca="1"/>
        <v>9.0168926976243643E-5</v>
      </c>
      <c r="G82" s="153" t="str">
        <f ca="1"/>
        <v>NVAX</v>
      </c>
      <c r="H82" s="560">
        <f ca="1"/>
        <v>-88903.9</v>
      </c>
      <c r="I82" t="str">
        <f ca="1"/>
        <v>RIGL</v>
      </c>
      <c r="J82" s="561">
        <f ca="1"/>
        <v>-2.2425E-2</v>
      </c>
      <c r="K82" s="153" t="str">
        <f ca="1"/>
        <v>HPQ</v>
      </c>
      <c r="L82" s="561">
        <f ca="1"/>
        <v>-1.8695E-2</v>
      </c>
      <c r="M82" s="1" t="str">
        <f ca="1"/>
        <v>EPIX</v>
      </c>
      <c r="N82" s="560">
        <f ca="1"/>
        <v>-57770.399999999994</v>
      </c>
      <c r="O82" t="str">
        <f ca="1"/>
        <v>DSY</v>
      </c>
      <c r="P82" s="560">
        <f ca="1"/>
        <v>-10632.284000000003</v>
      </c>
      <c r="Q82" t="str">
        <f ca="1"/>
        <v>F</v>
      </c>
      <c r="R82" s="650">
        <f ca="1"/>
        <v>-1.0396345238095238E-2</v>
      </c>
      <c r="S82" t="str">
        <f ca="1"/>
        <v>SAFDIS</v>
      </c>
      <c r="T82" s="87">
        <f ca="1"/>
        <v>-2064</v>
      </c>
      <c r="U82" t="str">
        <f ca="1"/>
        <v>HPQ</v>
      </c>
      <c r="V82" s="87">
        <f ca="1"/>
        <v>-2259.9999999999854</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DIS</v>
      </c>
      <c r="AH82" s="87">
        <f ca="1"/>
        <v>-8077.9999999999973</v>
      </c>
      <c r="AI82" t="str">
        <f ca="1"/>
        <v>MVEGLE</v>
      </c>
      <c r="AJ82" s="87">
        <f ca="1"/>
        <v>-10790</v>
      </c>
      <c r="AK82" s="90" t="str">
        <f ca="1"/>
        <v>F</v>
      </c>
      <c r="AL82" s="310">
        <f ca="1"/>
        <v>-1.0396345238095238E-2</v>
      </c>
      <c r="AM82" t="str">
        <f ca="1"/>
        <v>MVEDSY</v>
      </c>
      <c r="AN82" s="310">
        <f ca="1"/>
        <v>-0.29139943515421785</v>
      </c>
      <c r="AO82" t="str">
        <f ca="1"/>
        <v>MVEDSY</v>
      </c>
      <c r="AP82" s="310">
        <f ca="1"/>
        <v>0.41014674506509891</v>
      </c>
      <c r="AQ82" s="87" t="str">
        <f ca="1"/>
        <v>SAFDIS</v>
      </c>
      <c r="AR82" s="90">
        <f ca="1"/>
        <v>-0.54472346559441676</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GM</v>
      </c>
      <c r="F83" s="559">
        <f ca="1"/>
        <v>8.6062636309864679E-5</v>
      </c>
      <c r="G83" s="153" t="str">
        <f ca="1"/>
        <v>MVEDSY</v>
      </c>
      <c r="H83" s="560">
        <f ca="1"/>
        <v>-113827.39600000001</v>
      </c>
      <c r="I83" t="str">
        <f ca="1"/>
        <v>AVGO</v>
      </c>
      <c r="J83" s="561">
        <f ca="1"/>
        <v>-2.3073999999999997E-2</v>
      </c>
      <c r="K83" s="153" t="str">
        <f ca="1"/>
        <v>THC</v>
      </c>
      <c r="L83" s="561">
        <f ca="1"/>
        <v>-1.9272000000000001E-2</v>
      </c>
      <c r="M83" s="1" t="str">
        <f ca="1"/>
        <v>POET</v>
      </c>
      <c r="N83" s="560">
        <f ca="1"/>
        <v>-59634.006666666646</v>
      </c>
      <c r="O83" t="str">
        <f ca="1"/>
        <v>DIS</v>
      </c>
      <c r="P83" s="560">
        <f ca="1"/>
        <v>-10835.753599999998</v>
      </c>
      <c r="Q83" t="str">
        <f ca="1"/>
        <v>KR</v>
      </c>
      <c r="R83" s="650">
        <f ca="1"/>
        <v>-1.0567434523809526E-2</v>
      </c>
      <c r="S83" t="str">
        <f ca="1"/>
        <v>DXC</v>
      </c>
      <c r="T83" s="87">
        <f ca="1"/>
        <v>-2070</v>
      </c>
      <c r="U83" t="str">
        <f ca="1"/>
        <v>DXC</v>
      </c>
      <c r="V83" s="87">
        <f ca="1"/>
        <v>-2370</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MVESAP</v>
      </c>
      <c r="AH83" s="87">
        <f ca="1"/>
        <v>-8140.0000000000036</v>
      </c>
      <c r="AI83" t="str">
        <f ca="1"/>
        <v>NVS</v>
      </c>
      <c r="AJ83" s="87">
        <f ca="1"/>
        <v>-11299.8</v>
      </c>
      <c r="AK83" s="90" t="str">
        <f ca="1"/>
        <v>KR</v>
      </c>
      <c r="AL83" s="310">
        <f ca="1"/>
        <v>-1.0567434523809526E-2</v>
      </c>
      <c r="AM83" t="str">
        <f ca="1"/>
        <v>UNIT</v>
      </c>
      <c r="AN83" s="310">
        <f ca="1"/>
        <v>-0.32388688172043012</v>
      </c>
      <c r="AO83" t="str">
        <f ca="1"/>
        <v>UNIT</v>
      </c>
      <c r="AP83" s="310">
        <f ca="1"/>
        <v>0.478291719745223</v>
      </c>
      <c r="AQ83" s="87" t="str">
        <f ca="1"/>
        <v>UN0</v>
      </c>
      <c r="AR83" s="90">
        <f ca="1"/>
        <v>-0.58957441547624567</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SAFGM</v>
      </c>
      <c r="F84" s="559">
        <f ca="1"/>
        <v>8.6062636309864679E-5</v>
      </c>
      <c r="G84" s="153" t="str">
        <f ca="1"/>
        <v>BMRA</v>
      </c>
      <c r="H84" s="560">
        <f ca="1"/>
        <v>-128870</v>
      </c>
      <c r="I84" t="str">
        <f ca="1"/>
        <v>NVAX</v>
      </c>
      <c r="J84" s="561">
        <f ca="1"/>
        <v>-2.3847E-2</v>
      </c>
      <c r="K84" s="153" t="str">
        <f ca="1"/>
        <v>ADEA</v>
      </c>
      <c r="L84" s="561">
        <f ca="1"/>
        <v>-2.1309000000000002E-2</v>
      </c>
      <c r="M84" s="1" t="str">
        <f ca="1"/>
        <v>DDD</v>
      </c>
      <c r="N84" s="560">
        <f ca="1"/>
        <v>-69449.999999999985</v>
      </c>
      <c r="O84" t="str">
        <f ca="1"/>
        <v>SAFDDD</v>
      </c>
      <c r="P84" s="560">
        <f ca="1"/>
        <v>-10861.686000000002</v>
      </c>
      <c r="Q84" t="str">
        <f ca="1"/>
        <v>RIG</v>
      </c>
      <c r="R84" s="650">
        <f ca="1"/>
        <v>-1.1487095238095237E-2</v>
      </c>
      <c r="S84" t="str">
        <f ca="1"/>
        <v>LAZR</v>
      </c>
      <c r="T84" s="87">
        <f ca="1"/>
        <v>-2172.5199999999968</v>
      </c>
      <c r="U84" t="str">
        <f ca="1"/>
        <v>MVEENI</v>
      </c>
      <c r="V84" s="87">
        <f ca="1"/>
        <v>-2376</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GNRC</v>
      </c>
      <c r="AH84" s="87">
        <f ca="1"/>
        <v>-9614.9999999999945</v>
      </c>
      <c r="AI84" t="str">
        <f ca="1"/>
        <v>SAFASML</v>
      </c>
      <c r="AJ84" s="87">
        <f ca="1"/>
        <v>-11404.799999999996</v>
      </c>
      <c r="AK84" s="90" t="str">
        <f ca="1"/>
        <v>RIG</v>
      </c>
      <c r="AL84" s="310">
        <f ca="1"/>
        <v>-1.1487095238095237E-2</v>
      </c>
      <c r="AM84" t="str">
        <f ca="1"/>
        <v>PW</v>
      </c>
      <c r="AN84" s="310">
        <f ca="1"/>
        <v>-0.33330225751819764</v>
      </c>
      <c r="AO84" t="str">
        <f ca="1"/>
        <v>PW</v>
      </c>
      <c r="AP84" s="310">
        <f ca="1"/>
        <v>0.49928735211267611</v>
      </c>
      <c r="AQ84" s="87" t="str">
        <f ca="1"/>
        <v>MVEUN0</v>
      </c>
      <c r="AR84" s="90">
        <f ca="1"/>
        <v>-0.60120240480961895</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DXC</v>
      </c>
      <c r="F85" s="559">
        <f ca="1"/>
        <v>7.7021527516940984E-5</v>
      </c>
      <c r="G85" s="153" t="str">
        <f ca="1"/>
        <v>SAFDDD</v>
      </c>
      <c r="H85" s="560">
        <f ca="1"/>
        <v>-143377.91999999998</v>
      </c>
      <c r="I85" t="str">
        <f ca="1"/>
        <v>ASML</v>
      </c>
      <c r="J85" s="561">
        <f ca="1"/>
        <v>-2.7365E-2</v>
      </c>
      <c r="K85" s="153" t="str">
        <f ca="1"/>
        <v>NEM</v>
      </c>
      <c r="L85" s="561">
        <f ca="1"/>
        <v>-2.1400000000000002E-2</v>
      </c>
      <c r="M85" s="1" t="str">
        <f ca="1"/>
        <v>BLNK</v>
      </c>
      <c r="N85" s="560">
        <f ca="1"/>
        <v>-94414</v>
      </c>
      <c r="O85" t="str">
        <f ca="1"/>
        <v>SSYS</v>
      </c>
      <c r="P85" s="560">
        <f ca="1"/>
        <v>-11422.823140260003</v>
      </c>
      <c r="Q85" t="str">
        <f ca="1"/>
        <v>LAZR</v>
      </c>
      <c r="R85" s="650">
        <f ca="1"/>
        <v>-1.1786535714285718E-2</v>
      </c>
      <c r="S85" t="str">
        <f ca="1"/>
        <v>MVEORA</v>
      </c>
      <c r="T85" s="87">
        <f ca="1"/>
        <v>-2277</v>
      </c>
      <c r="U85" t="str">
        <f ca="1"/>
        <v>SAFASML</v>
      </c>
      <c r="V85" s="87">
        <f ca="1"/>
        <v>-2800</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MVEDSY</v>
      </c>
      <c r="AH85" s="87">
        <f ca="1"/>
        <v>-9615</v>
      </c>
      <c r="AI85" t="str">
        <f ca="1"/>
        <v>RRC</v>
      </c>
      <c r="AJ85" s="87">
        <f ca="1"/>
        <v>-11854.999999999976</v>
      </c>
      <c r="AK85" s="90" t="str">
        <f ca="1"/>
        <v>LAZR</v>
      </c>
      <c r="AL85" s="310">
        <f ca="1"/>
        <v>-1.1786535714285718E-2</v>
      </c>
      <c r="AM85" t="str">
        <f ca="1"/>
        <v>SAFDDD</v>
      </c>
      <c r="AN85" s="310">
        <f ca="1"/>
        <v>-0.33817698694315274</v>
      </c>
      <c r="AO85" t="str">
        <f ca="1"/>
        <v>SAFDDD</v>
      </c>
      <c r="AP85" s="310">
        <f ca="1"/>
        <v>0.51039329702555514</v>
      </c>
      <c r="AQ85" s="87" t="str">
        <f ca="1"/>
        <v>XPER</v>
      </c>
      <c r="AR85" s="90">
        <f ca="1"/>
        <v>-0.65142065142065109</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X</v>
      </c>
      <c r="F86" s="559">
        <f ca="1"/>
        <v>7.2077806511077887E-5</v>
      </c>
      <c r="G86" s="153" t="str">
        <f ca="1"/>
        <v>XYZ</v>
      </c>
      <c r="H86" s="560">
        <f ca="1"/>
        <v>-171358.90000000002</v>
      </c>
      <c r="I86" t="str">
        <f ca="1"/>
        <v>SAFASML</v>
      </c>
      <c r="J86" s="561">
        <f ca="1"/>
        <v>-2.7365E-2</v>
      </c>
      <c r="K86" s="153" t="str">
        <f ca="1"/>
        <v>GNRC</v>
      </c>
      <c r="L86" s="561">
        <f ca="1"/>
        <v>-2.2764000000000003E-2</v>
      </c>
      <c r="M86" s="1" t="str">
        <f ca="1"/>
        <v>SAP</v>
      </c>
      <c r="N86" s="560">
        <f ca="1"/>
        <v>-115265.44999999995</v>
      </c>
      <c r="O86" t="str">
        <f ca="1"/>
        <v>THC</v>
      </c>
      <c r="P86" s="560">
        <f ca="1"/>
        <v>-11639.657999999987</v>
      </c>
      <c r="Q86" t="str">
        <f ca="1"/>
        <v>BLDP</v>
      </c>
      <c r="R86" s="650">
        <f ca="1"/>
        <v>-1.1899547619047617E-2</v>
      </c>
      <c r="S86" t="str">
        <f ca="1"/>
        <v>MVEDSY</v>
      </c>
      <c r="T86" s="87">
        <f ca="1"/>
        <v>-2280</v>
      </c>
      <c r="U86" t="str">
        <f ca="1"/>
        <v>JBEOAN</v>
      </c>
      <c r="V86" s="87">
        <f ca="1"/>
        <v>-3960</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XYZ</v>
      </c>
      <c r="AH86" s="87">
        <f ca="1"/>
        <v>-9876</v>
      </c>
      <c r="AI86" t="str">
        <f ca="1"/>
        <v>NEM</v>
      </c>
      <c r="AJ86" s="87">
        <f ca="1"/>
        <v>-12659.999999999996</v>
      </c>
      <c r="AK86" s="90" t="str">
        <f ca="1"/>
        <v>BLDP</v>
      </c>
      <c r="AL86" s="310">
        <f ca="1"/>
        <v>-1.1899547619047617E-2</v>
      </c>
      <c r="AM86" t="str">
        <f ca="1"/>
        <v>BLNK</v>
      </c>
      <c r="AN86" s="310">
        <f ca="1"/>
        <v>-0.35722125380290881</v>
      </c>
      <c r="AO86" t="str">
        <f ca="1"/>
        <v>BLNK</v>
      </c>
      <c r="AP86" s="310">
        <f ca="1"/>
        <v>0.55540236406619392</v>
      </c>
      <c r="AQ86" s="87" t="str">
        <f ca="1"/>
        <v>SAP</v>
      </c>
      <c r="AR86" s="90">
        <f ca="1"/>
        <v>-0.74606337889802699</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F</v>
      </c>
      <c r="F87" s="559">
        <f ca="1"/>
        <v>6.9210674470169585E-5</v>
      </c>
      <c r="G87" s="153" t="str">
        <f ca="1"/>
        <v>SAFMRNA</v>
      </c>
      <c r="H87" s="560">
        <f ca="1"/>
        <v>-174566.99599999998</v>
      </c>
      <c r="I87" t="str">
        <f ca="1"/>
        <v>JBASML</v>
      </c>
      <c r="J87" s="561">
        <f ca="1"/>
        <v>-2.7365E-2</v>
      </c>
      <c r="K87" s="153" t="str">
        <f ca="1"/>
        <v>PFE</v>
      </c>
      <c r="L87" s="561">
        <f ca="1"/>
        <v>-2.8306000000000001E-2</v>
      </c>
      <c r="M87" s="1" t="str">
        <f ca="1"/>
        <v>MVEDSY</v>
      </c>
      <c r="N87" s="560">
        <f ca="1"/>
        <v>-117930.00000000004</v>
      </c>
      <c r="O87" t="str">
        <f ca="1"/>
        <v>POET</v>
      </c>
      <c r="P87" s="560">
        <f ca="1"/>
        <v>-11644.644999999999</v>
      </c>
      <c r="Q87" t="str">
        <f ca="1"/>
        <v>NFLX</v>
      </c>
      <c r="R87" s="650">
        <f ca="1"/>
        <v>-1.2792559523809532E-2</v>
      </c>
      <c r="S87" t="str">
        <f ca="1"/>
        <v>AMZN</v>
      </c>
      <c r="T87" s="87">
        <f ca="1"/>
        <v>-4440</v>
      </c>
      <c r="U87" t="str">
        <f ca="1"/>
        <v>AET</v>
      </c>
      <c r="V87" s="87">
        <f ca="1"/>
        <v>-4920</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SAP</v>
      </c>
      <c r="AH87" s="87">
        <f ca="1"/>
        <v>-11075.000000000004</v>
      </c>
      <c r="AI87" t="str">
        <f ca="1"/>
        <v>JBASML</v>
      </c>
      <c r="AJ87" s="87">
        <f ca="1"/>
        <v>-12959.99999999998</v>
      </c>
      <c r="AK87" s="90" t="str">
        <f ca="1"/>
        <v>NFLX</v>
      </c>
      <c r="AL87" s="310">
        <f ca="1"/>
        <v>-1.2792559523809532E-2</v>
      </c>
      <c r="AM87" t="str">
        <f ca="1"/>
        <v>ALDNE</v>
      </c>
      <c r="AN87" s="310">
        <f ca="1"/>
        <v>-0.40936925786137346</v>
      </c>
      <c r="AO87" t="str">
        <f ca="1"/>
        <v>ALDNE</v>
      </c>
      <c r="AP87" s="310">
        <f ca="1"/>
        <v>0.6935698233199955</v>
      </c>
      <c r="AQ87" s="87" t="str">
        <f ca="1"/>
        <v>MVEALDNE</v>
      </c>
      <c r="AR87" s="90">
        <f ca="1"/>
        <v>-0.87533339185493408</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BLNK</v>
      </c>
      <c r="F88" s="559">
        <f ca="1"/>
        <v>6.7201642321426539E-5</v>
      </c>
      <c r="G88" s="153" t="str">
        <f ca="1"/>
        <v>NOTE</v>
      </c>
      <c r="H88" s="560">
        <f ca="1"/>
        <v>-183871.1875</v>
      </c>
      <c r="I88" t="str">
        <f ca="1"/>
        <v>PW</v>
      </c>
      <c r="J88" s="561">
        <f ca="1"/>
        <v>-3.2115999999999999E-2</v>
      </c>
      <c r="K88" s="153" t="str">
        <f ca="1"/>
        <v>XYZ</v>
      </c>
      <c r="L88" s="561">
        <f ca="1"/>
        <v>-2.9212999999999999E-2</v>
      </c>
      <c r="M88" s="1" t="str">
        <f ca="1"/>
        <v>SAFDDD</v>
      </c>
      <c r="N88" s="560">
        <f ca="1"/>
        <v>-122451.50000000003</v>
      </c>
      <c r="O88" t="str">
        <f ca="1"/>
        <v>NFLX</v>
      </c>
      <c r="P88" s="560">
        <f ca="1"/>
        <v>-12107.438599999987</v>
      </c>
      <c r="Q88" t="str">
        <f ca="1"/>
        <v>HPQ</v>
      </c>
      <c r="R88" s="650">
        <f ca="1"/>
        <v>-1.328668214285714E-2</v>
      </c>
      <c r="S88" t="str">
        <f ca="1"/>
        <v>THC</v>
      </c>
      <c r="T88" s="87">
        <f ca="1"/>
        <v>-4965</v>
      </c>
      <c r="U88" t="str">
        <f ca="1"/>
        <v>DVA</v>
      </c>
      <c r="V88" s="87">
        <f ca="1"/>
        <v>-5634</v>
      </c>
      <c r="W88" t="str">
        <f ca="1"/>
        <v>TSLA</v>
      </c>
      <c r="X88">
        <f ca="1"/>
        <v>20</v>
      </c>
      <c r="Y88" t="str">
        <f ca="1"/>
        <v>KR</v>
      </c>
      <c r="Z88">
        <f ca="1"/>
        <v>19</v>
      </c>
      <c r="AA88" t="str">
        <f ca="1"/>
        <v>SAP</v>
      </c>
      <c r="AB88">
        <f ca="1"/>
        <v>30</v>
      </c>
      <c r="AC88" t="str">
        <f ca="1"/>
        <v>KR</v>
      </c>
      <c r="AD88">
        <f ca="1"/>
        <v>27</v>
      </c>
      <c r="AE88" t="str">
        <f ca="1"/>
        <v>NFLX</v>
      </c>
      <c r="AF88" s="87">
        <f ca="1"/>
        <v>-258382.25</v>
      </c>
      <c r="AG88" t="str">
        <f ca="1"/>
        <v>EOAN</v>
      </c>
      <c r="AH88" s="87">
        <f ca="1"/>
        <v>-12282.499999999995</v>
      </c>
      <c r="AI88" t="str">
        <f ca="1"/>
        <v>GS</v>
      </c>
      <c r="AJ88" s="87">
        <f ca="1"/>
        <v>-15858.000000000004</v>
      </c>
      <c r="AK88" s="90" t="str">
        <f ca="1"/>
        <v>HPQ</v>
      </c>
      <c r="AL88" s="310">
        <f ca="1"/>
        <v>-1.328668214285714E-2</v>
      </c>
      <c r="AM88" t="str">
        <f ca="1"/>
        <v>MVEALDNE</v>
      </c>
      <c r="AN88" s="310">
        <f ca="1"/>
        <v>-0.45460050726689927</v>
      </c>
      <c r="AO88" t="str">
        <f ca="1"/>
        <v>MVEALDNE</v>
      </c>
      <c r="AP88" s="310">
        <f ca="1"/>
        <v>0.83491092871862782</v>
      </c>
      <c r="AQ88" s="87" t="str">
        <f ca="1"/>
        <v>LAZR</v>
      </c>
      <c r="AR88" s="90">
        <f ca="1"/>
        <v>-1.0151851928789548</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CVS</v>
      </c>
      <c r="F89" s="559">
        <f ca="1"/>
        <v>4.9106485735995575E-5</v>
      </c>
      <c r="G89" s="153" t="str">
        <f ca="1"/>
        <v>UN0</v>
      </c>
      <c r="H89" s="560">
        <f ca="1"/>
        <v>-199782.19500000001</v>
      </c>
      <c r="I89" t="str">
        <f ca="1"/>
        <v>DXC</v>
      </c>
      <c r="J89" s="561">
        <f ca="1"/>
        <v>-3.4091000000000003E-2</v>
      </c>
      <c r="K89" s="153" t="str">
        <f ca="1"/>
        <v>DXC</v>
      </c>
      <c r="L89" s="561">
        <f ca="1"/>
        <v>-3.1156000000000003E-2</v>
      </c>
      <c r="M89" s="1" t="str">
        <f ca="1"/>
        <v>BMRA</v>
      </c>
      <c r="N89" s="560">
        <f ca="1"/>
        <v>-128870</v>
      </c>
      <c r="O89" t="str">
        <f ca="1"/>
        <v>MVEDSY</v>
      </c>
      <c r="P89" s="560">
        <f ca="1"/>
        <v>-16157.88</v>
      </c>
      <c r="Q89" t="str">
        <f ca="1"/>
        <v>SAFIAG</v>
      </c>
      <c r="R89" s="650">
        <f ca="1"/>
        <v>-1.328668214285714E-2</v>
      </c>
      <c r="S89" t="str">
        <f ca="1"/>
        <v>SAP</v>
      </c>
      <c r="T89" s="87">
        <f ca="1"/>
        <v>-5320</v>
      </c>
      <c r="U89" t="str">
        <f ca="1"/>
        <v>LOCK</v>
      </c>
      <c r="V89" s="87">
        <f ca="1"/>
        <v>-6013.7999999999302</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NVAX</v>
      </c>
      <c r="AH89" s="87">
        <f ca="1"/>
        <v>-12504.599999999999</v>
      </c>
      <c r="AI89" t="str">
        <f ca="1"/>
        <v>XOM</v>
      </c>
      <c r="AJ89" s="87">
        <f ca="1"/>
        <v>-21456.000000000004</v>
      </c>
      <c r="AK89" s="90" t="str">
        <f ca="1"/>
        <v>SAFIAG</v>
      </c>
      <c r="AL89" s="310">
        <f ca="1"/>
        <v>-1.328668214285714E-2</v>
      </c>
      <c r="AM89" t="str">
        <f ca="1"/>
        <v>SAFMRNA</v>
      </c>
      <c r="AN89" s="310">
        <f ca="1"/>
        <v>-0.59720639618822369</v>
      </c>
      <c r="AO89" t="str">
        <f ca="1"/>
        <v>SAFMRNA</v>
      </c>
      <c r="AP89" s="310">
        <f ca="1"/>
        <v>1.4896937060960842</v>
      </c>
      <c r="AQ89" s="87" t="str">
        <f ca="1"/>
        <v>MVEEPIX</v>
      </c>
      <c r="AR89" s="90">
        <f ca="1"/>
        <v>-1.0667395036678633</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UNIT</v>
      </c>
      <c r="F90" s="559">
        <f ca="1"/>
        <v>3.1156902902410422E-5</v>
      </c>
      <c r="G90" s="153" t="str">
        <f ca="1"/>
        <v>BLNK</v>
      </c>
      <c r="H90" s="560">
        <f ca="1"/>
        <v>-274590.89</v>
      </c>
      <c r="I90" t="str">
        <f ca="1"/>
        <v>TSLA</v>
      </c>
      <c r="J90" s="561">
        <f ca="1"/>
        <v>-3.5612999999999999E-2</v>
      </c>
      <c r="K90" s="153" t="str">
        <f ca="1"/>
        <v>BLNK</v>
      </c>
      <c r="L90" s="561">
        <f ca="1"/>
        <v>-3.4247E-2</v>
      </c>
      <c r="M90" s="1" t="str">
        <f ca="1"/>
        <v>NOTE</v>
      </c>
      <c r="N90" s="560">
        <f ca="1"/>
        <v>-183871.1875</v>
      </c>
      <c r="O90" t="str">
        <f ca="1"/>
        <v>SAFMRNA</v>
      </c>
      <c r="P90" s="560">
        <f ca="1"/>
        <v>-19814.348399999999</v>
      </c>
      <c r="Q90" t="str">
        <f ca="1"/>
        <v>XYZ</v>
      </c>
      <c r="R90" s="650">
        <f ca="1"/>
        <v>-1.4822492261904761E-2</v>
      </c>
      <c r="S90" t="str">
        <f ca="1"/>
        <v>DVA</v>
      </c>
      <c r="T90" s="87">
        <f ca="1"/>
        <v>-5550</v>
      </c>
      <c r="U90" t="str">
        <f ca="1"/>
        <v>SAP</v>
      </c>
      <c r="V90" s="87">
        <f ca="1"/>
        <v>-6080</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-22697.73</v>
      </c>
      <c r="AK90" s="90" t="str">
        <f ca="1"/>
        <v>XYZ</v>
      </c>
      <c r="AL90" s="310">
        <f ca="1"/>
        <v>-1.4822492261904761E-2</v>
      </c>
      <c r="AM90" t="str">
        <f ca="1"/>
        <v>MRNA</v>
      </c>
      <c r="AN90" s="310">
        <f ca="1"/>
        <v>-0.65256809398294868</v>
      </c>
      <c r="AO90" t="str">
        <f ca="1"/>
        <v>MRNA</v>
      </c>
      <c r="AP90" s="310">
        <f ca="1"/>
        <v>1.8898237653074959</v>
      </c>
      <c r="AQ90" s="87" t="str">
        <f ca="1"/>
        <v>EPIX</v>
      </c>
      <c r="AR90" s="90">
        <f ca="1"/>
        <v>-1.0886588085377509</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THC</v>
      </c>
      <c r="F91" s="559">
        <f ca="1"/>
        <v>1.8178756496513504E-5</v>
      </c>
      <c r="G91" s="153" t="str">
        <f ca="1"/>
        <v>MVEALDNE</v>
      </c>
      <c r="H91" s="560">
        <f ca="1"/>
        <v>-290984.797074</v>
      </c>
      <c r="I91" t="str">
        <f ca="1"/>
        <v>XPER</v>
      </c>
      <c r="J91" s="561">
        <f ca="1"/>
        <v>-3.952E-2</v>
      </c>
      <c r="K91" s="153" t="str">
        <f ca="1"/>
        <v>BMRA</v>
      </c>
      <c r="L91" s="561">
        <f ca="1"/>
        <v>-3.6000000000000004E-2</v>
      </c>
      <c r="M91" s="1" t="str">
        <f ca="1"/>
        <v>SAFMRNA</v>
      </c>
      <c r="N91" s="560">
        <f ca="1"/>
        <v>-184820.57550000001</v>
      </c>
      <c r="O91" t="str">
        <f ca="1"/>
        <v>MVESAP</v>
      </c>
      <c r="P91" s="560">
        <f ca="1"/>
        <v>-28565.536000000015</v>
      </c>
      <c r="Q91" t="str">
        <f ca="1"/>
        <v>CVS</v>
      </c>
      <c r="R91" s="650">
        <f ca="1"/>
        <v>-1.7577154761904763E-2</v>
      </c>
      <c r="S91" t="str">
        <f ca="1"/>
        <v>LOCK</v>
      </c>
      <c r="T91" s="87">
        <f ca="1"/>
        <v>-6013.7999999999302</v>
      </c>
      <c r="U91" t="str">
        <f ca="1"/>
        <v>MVEGLE</v>
      </c>
      <c r="V91" s="87">
        <f ca="1"/>
        <v>-7420</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CVS</v>
      </c>
      <c r="AL91" s="310">
        <f ca="1"/>
        <v>-1.7577154761904763E-2</v>
      </c>
      <c r="AM91" t="str">
        <f ca="1"/>
        <v>SSYS</v>
      </c>
      <c r="AN91" s="310">
        <f ca="1"/>
        <v>-0.69165465779009638</v>
      </c>
      <c r="AO91" t="str">
        <f ca="1"/>
        <v>SSYS</v>
      </c>
      <c r="AP91" s="310">
        <f ca="1"/>
        <v>2.2595919692737434</v>
      </c>
      <c r="AQ91" s="87" t="str">
        <f ca="1"/>
        <v>UNIT</v>
      </c>
      <c r="AR91" s="90">
        <f ca="1"/>
        <v>-1.1240694789081886</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GNRC</v>
      </c>
      <c r="F92" s="559">
        <f ca="1"/>
        <v>1.5818336471835091E-5</v>
      </c>
      <c r="G92" s="153" t="str">
        <f ca="1"/>
        <v>LAZR</v>
      </c>
      <c r="H92" s="560">
        <f ca="1"/>
        <v>-320715.65999999997</v>
      </c>
      <c r="I92" t="str">
        <f ca="1"/>
        <v>LUMN</v>
      </c>
      <c r="J92" s="561">
        <f ca="1"/>
        <v>-4.1589999999999995E-2</v>
      </c>
      <c r="K92" s="153" t="str">
        <f ca="1"/>
        <v>NFLX</v>
      </c>
      <c r="L92" s="561">
        <f ca="1"/>
        <v>-3.644E-2</v>
      </c>
      <c r="M92" s="1" t="str">
        <f ca="1"/>
        <v>MVEALDNE</v>
      </c>
      <c r="N92" s="560">
        <f ca="1"/>
        <v>-290984.79707400006</v>
      </c>
      <c r="O92" t="str">
        <f ca="1"/>
        <v>DXC</v>
      </c>
      <c r="P92" s="560">
        <f ca="1"/>
        <v>-29582.884000000002</v>
      </c>
      <c r="Q92" t="str">
        <f ca="1"/>
        <v>MVEDDD</v>
      </c>
      <c r="R92" s="650">
        <f ca="1"/>
        <v>-1.7577154761904763E-2</v>
      </c>
      <c r="S92" t="str">
        <f ca="1"/>
        <v>VONN</v>
      </c>
      <c r="T92" s="87">
        <f ca="1"/>
        <v>-8000</v>
      </c>
      <c r="U92" t="str">
        <f ca="1"/>
        <v>IAG</v>
      </c>
      <c r="V92" s="87">
        <f ca="1"/>
        <v>-13650</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-21849.700000000004</v>
      </c>
      <c r="AI92" t="str">
        <f ca="1"/>
        <v>RWE</v>
      </c>
      <c r="AJ92" s="87">
        <f ca="1"/>
        <v>-38464.000000000007</v>
      </c>
      <c r="AK92" s="90" t="str">
        <f ca="1"/>
        <v>MVEDDD</v>
      </c>
      <c r="AL92" s="310">
        <f ca="1"/>
        <v>-1.7577154761904763E-2</v>
      </c>
      <c r="AM92" t="str">
        <f ca="1"/>
        <v>NOTE</v>
      </c>
      <c r="AN92" s="310">
        <f ca="1"/>
        <v>-0.72889193197557667</v>
      </c>
      <c r="AO92" t="str">
        <f ca="1"/>
        <v>NOTE</v>
      </c>
      <c r="AP92" s="310">
        <f ca="1"/>
        <v>2.7119997412237069</v>
      </c>
      <c r="AQ92" s="87" t="str">
        <f ca="1"/>
        <v>HPQ</v>
      </c>
      <c r="AR92" s="90">
        <f ca="1"/>
        <v>-1.2328823102070465</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KR</v>
      </c>
      <c r="F93" s="559">
        <f ca="1"/>
        <v>8.4933270760272677E-6</v>
      </c>
      <c r="G93" s="153" t="str">
        <f ca="1"/>
        <v>DDD</v>
      </c>
      <c r="H93" s="560">
        <f ca="1"/>
        <v>-328164.5</v>
      </c>
      <c r="I93" t="str">
        <f ca="1"/>
        <v>LNSR</v>
      </c>
      <c r="J93" s="561">
        <f ca="1"/>
        <v>-7.0804000000000006E-2</v>
      </c>
      <c r="K93" s="153" t="str">
        <f ca="1"/>
        <v>SSYS</v>
      </c>
      <c r="L93" s="561">
        <f ca="1"/>
        <v>-4.0728999999999994E-2</v>
      </c>
      <c r="M93" s="1" t="str">
        <f ca="1"/>
        <v>LAZR</v>
      </c>
      <c r="N93" s="560">
        <f ca="1"/>
        <v>-320715.65999999997</v>
      </c>
      <c r="O93" t="str">
        <f ca="1"/>
        <v>XPER</v>
      </c>
      <c r="P93" s="560">
        <f ca="1"/>
        <v>-31310.380800000003</v>
      </c>
      <c r="Q93" t="str">
        <f ca="1"/>
        <v>SAFDDD</v>
      </c>
      <c r="R93" s="650">
        <f ca="1"/>
        <v>-1.7577154761904763E-2</v>
      </c>
      <c r="S93" t="str">
        <f ca="1"/>
        <v>IAG</v>
      </c>
      <c r="T93" s="87">
        <f ca="1"/>
        <v>-8140</v>
      </c>
      <c r="U93" t="str">
        <f ca="1"/>
        <v>NEM</v>
      </c>
      <c r="V93" s="87">
        <f ca="1"/>
        <v>-14420</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-42127.80000000001</v>
      </c>
      <c r="AI93" t="str">
        <f ca="1"/>
        <v>SAFGM</v>
      </c>
      <c r="AJ93" s="87">
        <f ca="1"/>
        <v>-43853.200000000004</v>
      </c>
      <c r="AK93" s="90" t="str">
        <f ca="1"/>
        <v>SAFDDD</v>
      </c>
      <c r="AL93" s="310">
        <f ca="1"/>
        <v>-1.7577154761904763E-2</v>
      </c>
      <c r="AM93" t="str">
        <f ca="1"/>
        <v>BMRA</v>
      </c>
      <c r="AN93" s="310">
        <f ca="1"/>
        <v>-0.80842125853014246</v>
      </c>
      <c r="AO93" t="str">
        <f ca="1"/>
        <v>BMRA</v>
      </c>
      <c r="AP93" s="310">
        <f ca="1"/>
        <v>4.2752423236514518</v>
      </c>
      <c r="AQ93" s="87" t="str">
        <f ca="1"/>
        <v>XYZ</v>
      </c>
      <c r="AR93" s="90">
        <f ca="1"/>
        <v>-1.3053535001960588</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LUV</v>
      </c>
      <c r="F94" s="559">
        <f ca="1"/>
        <v>3.330641905530884E-6</v>
      </c>
      <c r="G94" s="153" t="str">
        <f ca="1"/>
        <v>MRNA</v>
      </c>
      <c r="H94" s="560">
        <f ca="1"/>
        <v>-515961.97</v>
      </c>
      <c r="I94" t="str">
        <f ca="1"/>
        <v>XYZ</v>
      </c>
      <c r="J94" s="561">
        <f ca="1"/>
        <v>-7.6272000000000006E-2</v>
      </c>
      <c r="K94" s="153" t="str">
        <f ca="1"/>
        <v>LAZR</v>
      </c>
      <c r="L94" s="561">
        <f ca="1"/>
        <v>-4.7169999999999997E-2</v>
      </c>
      <c r="M94" s="1" t="str">
        <f ca="1"/>
        <v>SSYS</v>
      </c>
      <c r="N94" s="560">
        <f ca="1"/>
        <v>-323945.89</v>
      </c>
      <c r="O94" t="str">
        <f ca="1"/>
        <v>NVAX</v>
      </c>
      <c r="P94" s="560">
        <f ca="1"/>
        <v>-31851.968999999994</v>
      </c>
      <c r="Q94" t="str">
        <f ca="1"/>
        <v>GNRC</v>
      </c>
      <c r="R94" s="650">
        <f ca="1"/>
        <v>-1.7607101190476187E-2</v>
      </c>
      <c r="S94" t="str">
        <f ca="1"/>
        <v>AET</v>
      </c>
      <c r="T94" s="87">
        <f ca="1"/>
        <v>-8200</v>
      </c>
      <c r="U94" t="str">
        <f ca="1"/>
        <v>AMZN</v>
      </c>
      <c r="V94" s="87">
        <f ca="1"/>
        <v>-16860</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-49740.000000000007</v>
      </c>
      <c r="AI94" t="str">
        <f ca="1"/>
        <v>MVERWE</v>
      </c>
      <c r="AJ94" s="87">
        <f ca="1"/>
        <v>-48067.98000000001</v>
      </c>
      <c r="AK94" s="90" t="str">
        <f ca="1"/>
        <v>GNRC</v>
      </c>
      <c r="AL94" s="310">
        <f ca="1"/>
        <v>-1.7607101190476187E-2</v>
      </c>
      <c r="AM94" t="str">
        <f ca="1"/>
        <v>EPIX</v>
      </c>
      <c r="AN94" s="310">
        <f ca="1"/>
        <v>-0.90304729556909646</v>
      </c>
      <c r="AO94" t="str">
        <f ca="1"/>
        <v>EPIX</v>
      </c>
      <c r="AP94" s="310">
        <f ca="1"/>
        <v>9.5683741550695824</v>
      </c>
      <c r="AQ94" s="87" t="str">
        <f ca="1"/>
        <v>EOAN</v>
      </c>
      <c r="AR94" s="90">
        <f ca="1"/>
        <v>-1.5897755610972564</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ADEA</v>
      </c>
      <c r="F95" s="559">
        <f ca="1"/>
        <v>1.1948287810356775E-6</v>
      </c>
      <c r="G95" s="153" t="str">
        <f ca="1"/>
        <v>SSYS</v>
      </c>
      <c r="H95" s="560">
        <f ca="1"/>
        <v>-713324.32010000001</v>
      </c>
      <c r="I95" t="str">
        <f ca="1"/>
        <v>IAG</v>
      </c>
      <c r="J95" s="561">
        <f ca="1"/>
        <v>-0.115673</v>
      </c>
      <c r="K95" s="153" t="str">
        <f ca="1"/>
        <v>BLDP</v>
      </c>
      <c r="L95" s="561">
        <f ca="1"/>
        <v>-5.0157E-2</v>
      </c>
      <c r="M95" s="1" t="str">
        <f ca="1"/>
        <v>MRNA</v>
      </c>
      <c r="N95" s="560">
        <f ca="1"/>
        <v>-562504.04</v>
      </c>
      <c r="O95" t="str">
        <f ca="1"/>
        <v>EPIX</v>
      </c>
      <c r="P95" s="560">
        <f ca="1"/>
        <v>-55543.211199999991</v>
      </c>
      <c r="Q95" t="str">
        <f ca="1"/>
        <v>SHECY</v>
      </c>
      <c r="R95" s="650">
        <f ca="1"/>
        <v>-1.8918589285714285E-2</v>
      </c>
      <c r="S95" t="str">
        <f ca="1"/>
        <v>ASML</v>
      </c>
      <c r="T95" s="87">
        <f ca="1"/>
        <v>-24490</v>
      </c>
      <c r="U95" t="str">
        <f ca="1"/>
        <v>ASML</v>
      </c>
      <c r="V95" s="87">
        <f ca="1"/>
        <v>-36370</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-52383.210000000006</v>
      </c>
      <c r="AI95" t="str">
        <f ca="1"/>
        <v>GLE</v>
      </c>
      <c r="AJ95" s="87">
        <f ca="1"/>
        <v>-54319.999999999993</v>
      </c>
      <c r="AK95" s="90" t="str">
        <f ca="1"/>
        <v>SHECY</v>
      </c>
      <c r="AL95" s="310">
        <f ca="1"/>
        <v>-1.8918589285714285E-2</v>
      </c>
      <c r="AM95" t="str">
        <f ca="1"/>
        <v>MVEEPIX</v>
      </c>
      <c r="AN95" s="310">
        <f ca="1"/>
        <v>-0.91986868770122332</v>
      </c>
      <c r="AO95" t="str">
        <f ca="1"/>
        <v>MVEEPIX</v>
      </c>
      <c r="AP95" s="310">
        <f ca="1"/>
        <v>11.861879787939033</v>
      </c>
      <c r="AQ95" s="87" t="str">
        <f ca="1"/>
        <v>GNRC</v>
      </c>
      <c r="AR95" s="90">
        <f ca="1"/>
        <v>-2.4228501352327503</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VTRS</v>
      </c>
      <c r="F96" s="559">
        <f ca="1"/>
        <v>5.6187673121244343E-7</v>
      </c>
      <c r="G96" t="str">
        <f ca="1"/>
        <v>ALDNE</v>
      </c>
      <c r="H96" s="560">
        <f ca="1"/>
        <v>-1211781.041263717</v>
      </c>
      <c r="I96" s="561" t="str">
        <f ca="1"/>
        <v>SAFIAG</v>
      </c>
      <c r="J96" s="561">
        <f ca="1"/>
        <v>-0.115673</v>
      </c>
      <c r="K96" t="str">
        <f ca="1"/>
        <v>POET</v>
      </c>
      <c r="L96" s="561">
        <f ca="1"/>
        <v>-6.3829999999999998E-2</v>
      </c>
      <c r="M96" s="1" t="str">
        <f ca="1"/>
        <v>ALDNE</v>
      </c>
      <c r="N96" s="560">
        <f ca="1"/>
        <v>-1211781.041263717</v>
      </c>
      <c r="O96" t="str">
        <f ca="1"/>
        <v>MRNA</v>
      </c>
      <c r="P96" s="560">
        <f ca="1"/>
        <v>-94957.46699999999</v>
      </c>
      <c r="Q96" t="str">
        <f ca="1"/>
        <v>PROF</v>
      </c>
      <c r="R96" s="650">
        <f ca="1"/>
        <v>-3.4379440476190473E-2</v>
      </c>
      <c r="S96" t="str">
        <f ca="1"/>
        <v>NFLX</v>
      </c>
      <c r="T96" s="87">
        <f ca="1"/>
        <v>-91680</v>
      </c>
      <c r="U96" t="str">
        <f ca="1"/>
        <v>NFLX</v>
      </c>
      <c r="V96" s="87">
        <f ca="1"/>
        <v>-117180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-128870</v>
      </c>
      <c r="AI96" s="87" t="str">
        <f ca="1"/>
        <v>SAFIAG</v>
      </c>
      <c r="AJ96" s="87">
        <f ca="1"/>
        <v>-79180.000000000015</v>
      </c>
      <c r="AK96" s="90" t="str">
        <f ca="1"/>
        <v>PROF</v>
      </c>
      <c r="AL96" s="310">
        <f ca="1"/>
        <v>-3.4379440476190473E-2</v>
      </c>
      <c r="AM96" t="str">
        <f ca="1"/>
        <v>LAZR</v>
      </c>
      <c r="AN96" s="310">
        <f ca="1"/>
        <v>-0.95092869098748933</v>
      </c>
      <c r="AO96" t="str">
        <f ca="1"/>
        <v>LAZR</v>
      </c>
      <c r="AP96">
        <f ca="1"/>
        <v>20.460105079632847</v>
      </c>
      <c r="AQ96" s="87" t="str">
        <f ca="1"/>
        <v>NOTE</v>
      </c>
      <c r="AR96" s="90">
        <f ca="1"/>
        <v>-2.5422222222222222</v>
      </c>
      <c r="AS96" s="94" t="str">
        <f ca="1"/>
        <v>JBEOAN</v>
      </c>
      <c r="AT96" s="90">
        <f ca="1"/>
        <v>0</v>
      </c>
    </row>
    <row r="97" spans="2:45" x14ac:dyDescent="0.3">
      <c r="D97" s="153"/>
      <c r="F97" s="910">
        <f ca="1">AVERAGE(F4:F96)</f>
        <v>0.18731016885275578</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2.8162469848329948E-3</v>
      </c>
      <c r="G101" s="560">
        <f t="shared" ref="G101" ca="1" si="2">_xlfn.XLOOKUP(G100,G3:G96,H3:H96)</f>
        <v>-57282.50999999998</v>
      </c>
      <c r="I101" s="310">
        <f t="shared" ref="I101" ca="1" si="3">_xlfn.XLOOKUP(I100,I3:I96,J3:J96)</f>
        <v>9.3799999999999994E-3</v>
      </c>
      <c r="K101" s="310">
        <f t="shared" ref="K101" ca="1" si="4">_xlfn.XLOOKUP(K100,K3:K96,L3:L96)</f>
        <v>-6.3829999999999998E-2</v>
      </c>
      <c r="M101" s="560">
        <f t="shared" ref="M101" ca="1" si="5">_xlfn.XLOOKUP(M100,M3:M96,N3:N96)</f>
        <v>-59634.006666666646</v>
      </c>
      <c r="O101" s="560">
        <f t="shared" ref="O101" ca="1" si="6">_xlfn.XLOOKUP(O100,O3:O96,P3:P96)</f>
        <v>-11644.644999999999</v>
      </c>
      <c r="Q101" s="310">
        <f t="shared" ref="Q101" ca="1" si="7">_xlfn.XLOOKUP(Q100,Q3:Q96,R3:R96)</f>
        <v>3.3476874999999989E-2</v>
      </c>
      <c r="S101" s="560">
        <f t="shared" ref="S101" ca="1" si="8">_xlfn.XLOOKUP(S100,S3:S96,T3:T96)</f>
        <v>9000.0000000000291</v>
      </c>
      <c r="U101" s="560">
        <f t="shared" ref="U101" ca="1" si="9">_xlfn.XLOOKUP(U100,U3:U96,V3:V96)</f>
        <v>30600.000000000029</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-1799.9999999999993</v>
      </c>
      <c r="AI101" s="560">
        <f t="shared" ref="AI101" ca="1" si="16">_xlfn.XLOOKUP(AI100,AI3:AI96,AJ3:AJ96)</f>
        <v>11675</v>
      </c>
      <c r="AJ101"/>
      <c r="AK101" s="310">
        <f t="shared" ref="AK101" ca="1" si="17">_xlfn.XLOOKUP(AK100,AK3:AK96,AL3:AL96)</f>
        <v>3.3476874999999989E-2</v>
      </c>
      <c r="AM101" s="310">
        <f t="shared" ref="AM101" ca="1" si="18">_xlfn.XLOOKUP(AM100,AM3:AM96,AN3:AN96)</f>
        <v>-0.23086609962282142</v>
      </c>
      <c r="AO101" s="310">
        <f ca="1">_xlfn.XLOOKUP(AO100,AO3:AO96,AP3:AP96)</f>
        <v>0.29858185185185171</v>
      </c>
      <c r="AQ101" s="310">
        <f t="shared" ref="AQ101" ca="1" si="19">_xlfn.XLOOKUP(AQ100,AQ3:AQ96,AR3:AR96)</f>
        <v>-0.34913793103448265</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8"/>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3" t="str" cm="1">
        <f t="array" ref="B2">_xlfn.LET(_xlpm.Tick,[0]!IDTICKER,_xlfn.IFS(OR(LEFT(_xlpm.Tick,3)="SAF",LEFT(_xlpm.Tick,3)="MVE"),RIGHT(_xlpm.Tick, LEN(_xlpm.Tick)-3),LEFT(_xlpm.Tick,2)="JB",RIGHT(_xlpm.Tick, LEN(_xlpm.Tick)-2),TRUE,_xlpm.Tick))</f>
        <v>SAP</v>
      </c>
      <c r="K2" s="874" t="str">
        <f>TEXT(K3,"dd/mm/yyyy")</f>
        <v>01/01/2025</v>
      </c>
      <c r="L2" s="874" t="str">
        <f ca="1">TEXT(TODAY(),"dd/mm/yyyy")</f>
        <v>17/11/2025</v>
      </c>
      <c r="M2" s="875" t="s">
        <v>2300</v>
      </c>
    </row>
    <row r="3" spans="2:130" ht="23" thickBot="1" x14ac:dyDescent="0.35">
      <c r="B3" s="1474"/>
      <c r="C3" s="876"/>
      <c r="D3" s="876"/>
      <c r="E3" s="1207">
        <v>5.0000000000000001E-3</v>
      </c>
      <c r="I3" s="972" t="s">
        <v>2420</v>
      </c>
      <c r="J3" s="893" t="str">
        <f>B2</f>
        <v>SAP</v>
      </c>
      <c r="K3" s="1159">
        <v>45658</v>
      </c>
      <c r="L3" s="1159">
        <f ca="1">TODAY()</f>
        <v>45978</v>
      </c>
      <c r="M3" s="875">
        <f ca="1">MATCH(MAX(J5:J212),J5:J212,0)</f>
        <v>208</v>
      </c>
    </row>
    <row r="4" spans="2:130" x14ac:dyDescent="0.3">
      <c r="B4" s="89" t="s">
        <v>156</v>
      </c>
      <c r="C4" s="89" t="s">
        <v>2301</v>
      </c>
      <c r="D4" s="89" t="s">
        <v>196</v>
      </c>
      <c r="E4" s="294" t="s">
        <v>2640</v>
      </c>
      <c r="F4" s="294"/>
      <c r="G4" s="294" t="s">
        <v>2639</v>
      </c>
      <c r="H4" s="874">
        <f ca="1">COUNTIF(H5:H212,"=ZZ")</f>
        <v>20</v>
      </c>
      <c r="I4" s="972" t="s">
        <v>2421</v>
      </c>
      <c r="J4" s="89" t="str" cm="1">
        <f t="array" aca="1" ref="J4:K228"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45975</v>
      </c>
      <c r="C5" s="89" vm="2">
        <f ca="1"/>
        <v>211.1</v>
      </c>
      <c r="D5" s="1225">
        <f t="shared" ref="D5:D68" ca="1" si="0">IFERROR((C5-C6)/C6,0)</f>
        <v>-3.2095369096744611E-2</v>
      </c>
      <c r="E5" s="294" t="str" cm="1">
        <f t="array" aca="1" ref="E5" ca="1">_xlfn.IFS(D5&gt;ZPercent,"U",D5&lt;=-ZPercent,"D",TRUE,"Z")</f>
        <v>D</v>
      </c>
      <c r="F5" s="294" t="str">
        <f ca="1">_xlfn.CONCAT(E6,E5)</f>
        <v>ZD</v>
      </c>
      <c r="G5" s="294" t="str">
        <f ca="1">_xlfn.CONCAT(E7,E6,E5)</f>
        <v>UZD</v>
      </c>
      <c r="H5" s="874" t="str">
        <f ca="1">IF(AND(E5="D",E6="Z"),"ZZ","")</f>
        <v>ZZ</v>
      </c>
      <c r="J5" s="89" vm="3">
        <f ca="1"/>
        <v>45659</v>
      </c>
      <c r="K5" s="89" vm="4">
        <f ca="1"/>
        <v>238.55</v>
      </c>
      <c r="N5" s="874" t="str">
        <f ca="1">IF(F5=[2]Sheet1!O3,"","dif")</f>
        <v>dif</v>
      </c>
    </row>
    <row r="6" spans="2:130" ht="22" customHeight="1" x14ac:dyDescent="0.3">
      <c r="B6" s="89" vm="5">
        <f ca="1"/>
        <v>45974</v>
      </c>
      <c r="C6" s="89" vm="6">
        <f ca="1"/>
        <v>218.1</v>
      </c>
      <c r="D6" s="1225">
        <f t="shared" ca="1" si="0"/>
        <v>-1.3736263736264256E-3</v>
      </c>
      <c r="E6" s="294" t="str" cm="1">
        <f t="array" aca="1" ref="E6" ca="1">_xlfn.IFS(D6&gt;ZPercent,"U",D6&lt;=-ZPercent,"D",TRUE,"Z")</f>
        <v>Z</v>
      </c>
      <c r="F6" s="294" t="str">
        <f t="shared" ref="F6:F69" ca="1" si="1">_xlfn.CONCAT(E7,E6)</f>
        <v>UZ</v>
      </c>
      <c r="G6" s="294" t="str">
        <f t="shared" ref="G6:G69" ca="1" si="2">_xlfn.CONCAT(E8,E7,E6)</f>
        <v>ZUZ</v>
      </c>
      <c r="H6" s="874" t="str">
        <f t="shared" ref="H6:H69" ca="1" si="3">IF(AND(E6="D",E7="Z"),"ZZ","")</f>
        <v/>
      </c>
      <c r="J6" s="89" vm="7">
        <f ca="1"/>
        <v>45660</v>
      </c>
      <c r="K6" s="89" vm="8">
        <f ca="1"/>
        <v>234.85</v>
      </c>
      <c r="N6" s="874" t="str">
        <f ca="1">IF(F6=[2]Sheet1!O4,"","dif")</f>
        <v>dif</v>
      </c>
    </row>
    <row r="7" spans="2:130" ht="22" customHeight="1" x14ac:dyDescent="0.3">
      <c r="B7" s="89" vm="9">
        <f ca="1"/>
        <v>45973</v>
      </c>
      <c r="C7" s="89" vm="10">
        <f ca="1"/>
        <v>218.4</v>
      </c>
      <c r="D7" s="1225">
        <f t="shared" ca="1" si="0"/>
        <v>6.2197650310987984E-3</v>
      </c>
      <c r="E7" s="294" t="str" cm="1">
        <f t="array" aca="1" ref="E7" ca="1">_xlfn.IFS(D7&gt;ZPercent,"U",D7&lt;=-ZPercent,"D",TRUE,"Z")</f>
        <v>U</v>
      </c>
      <c r="F7" s="294" t="str">
        <f t="shared" ca="1" si="1"/>
        <v>ZU</v>
      </c>
      <c r="G7" s="294" t="str">
        <f t="shared" ca="1" si="2"/>
        <v>ZZU</v>
      </c>
      <c r="H7" s="874" t="str">
        <f t="shared" ca="1" si="3"/>
        <v/>
      </c>
      <c r="J7" s="89" vm="11">
        <f ca="1"/>
        <v>45663</v>
      </c>
      <c r="K7" s="89" vm="12">
        <f ca="1"/>
        <v>239.25</v>
      </c>
      <c r="N7" s="874" t="str">
        <f ca="1">IF(F7=[2]Sheet1!O5,"","dif")</f>
        <v>dif</v>
      </c>
    </row>
    <row r="8" spans="2:130" ht="22" customHeight="1" x14ac:dyDescent="0.3">
      <c r="B8" s="89" vm="13">
        <f ca="1"/>
        <v>45972</v>
      </c>
      <c r="C8" s="89" vm="14">
        <f ca="1"/>
        <v>217.05</v>
      </c>
      <c r="D8" s="1225">
        <f t="shared" ca="1" si="0"/>
        <v>3.6994219653179714E-3</v>
      </c>
      <c r="E8" s="294" t="str" cm="1">
        <f t="array" aca="1" ref="E8" ca="1">_xlfn.IFS(D8&gt;ZPercent,"U",D8&lt;=-ZPercent,"D",TRUE,"Z")</f>
        <v>Z</v>
      </c>
      <c r="F8" s="294" t="str">
        <f t="shared" ca="1" si="1"/>
        <v>ZZ</v>
      </c>
      <c r="G8" s="294" t="str">
        <f t="shared" ca="1" si="2"/>
        <v>DZZ</v>
      </c>
      <c r="H8" s="874" t="str">
        <f t="shared" ca="1" si="3"/>
        <v/>
      </c>
      <c r="J8" s="89" vm="15">
        <f ca="1"/>
        <v>45664</v>
      </c>
      <c r="K8" s="89" vm="16">
        <f ca="1"/>
        <v>243.3</v>
      </c>
      <c r="N8" s="874" t="str">
        <f ca="1">IF(F8=[2]Sheet1!O6,"","dif")</f>
        <v/>
      </c>
    </row>
    <row r="9" spans="2:130" x14ac:dyDescent="0.3">
      <c r="B9" s="89" vm="17">
        <f ca="1"/>
        <v>45971</v>
      </c>
      <c r="C9" s="89" vm="18">
        <f ca="1"/>
        <v>216.25</v>
      </c>
      <c r="D9" s="1225">
        <f t="shared" ca="1" si="0"/>
        <v>2.7822861117551322E-3</v>
      </c>
      <c r="E9" s="294" t="str" cm="1">
        <f t="array" aca="1" ref="E9" ca="1">_xlfn.IFS(D9&gt;ZPercent,"U",D9&lt;=-ZPercent,"D",TRUE,"Z")</f>
        <v>Z</v>
      </c>
      <c r="F9" s="294" t="str">
        <f t="shared" ca="1" si="1"/>
        <v>DZ</v>
      </c>
      <c r="G9" s="294" t="str">
        <f t="shared" ca="1" si="2"/>
        <v>DDZ</v>
      </c>
      <c r="H9" s="874" t="str">
        <f t="shared" ca="1" si="3"/>
        <v/>
      </c>
      <c r="J9" s="89" vm="19">
        <f ca="1"/>
        <v>45665</v>
      </c>
      <c r="K9" s="89" vm="20">
        <f ca="1"/>
        <v>244.75</v>
      </c>
      <c r="N9" s="874" t="str">
        <f ca="1">IF(F9=[2]Sheet1!O7,"","dif")</f>
        <v>dif</v>
      </c>
      <c r="S9" s="874" t="str" cm="1">
        <f t="array" aca="1" ref="S9:AV9" ca="1">TRANSPOSE(R10:R39)</f>
        <v>UZD</v>
      </c>
      <c r="T9" s="874" t="str">
        <f ca="1"/>
        <v>ZUZ</v>
      </c>
      <c r="U9" s="874" t="str">
        <f ca="1"/>
        <v>ZZU</v>
      </c>
      <c r="V9" s="874" t="str">
        <f ca="1"/>
        <v>DZZ</v>
      </c>
      <c r="W9" s="874" t="str">
        <f ca="1"/>
        <v>DDZ</v>
      </c>
      <c r="X9" s="874" t="str">
        <f ca="1"/>
        <v>UDD</v>
      </c>
      <c r="Y9" s="874" t="str">
        <f ca="1"/>
        <v>DUD</v>
      </c>
      <c r="Z9" s="874" t="str">
        <f ca="1"/>
        <v>UDU</v>
      </c>
      <c r="AA9" s="874" t="str">
        <f ca="1"/>
        <v>DDU</v>
      </c>
      <c r="AB9" s="874" t="str">
        <f ca="1"/>
        <v>UUD</v>
      </c>
      <c r="AC9" s="874" t="str">
        <f ca="1"/>
        <v>DUU</v>
      </c>
      <c r="AD9" s="874" t="str">
        <f ca="1"/>
        <v>ZDU</v>
      </c>
      <c r="AE9" s="874" t="str">
        <f ca="1"/>
        <v>UUZ</v>
      </c>
      <c r="AF9" s="874" t="str">
        <f ca="1"/>
        <v>ZUU</v>
      </c>
      <c r="AG9" s="874" t="str">
        <f ca="1"/>
        <v>DZU</v>
      </c>
      <c r="AH9" s="874" t="str">
        <f ca="1"/>
        <v>ZDZ</v>
      </c>
      <c r="AI9" s="874" t="str">
        <f ca="1"/>
        <v>UUU</v>
      </c>
      <c r="AJ9" s="874" t="str">
        <f ca="1"/>
        <v>ZUD</v>
      </c>
      <c r="AK9" s="874" t="str">
        <f ca="1"/>
        <v>UZU</v>
      </c>
      <c r="AL9" s="874" t="str">
        <f ca="1"/>
        <v>UDZ</v>
      </c>
      <c r="AM9" s="874" t="str">
        <f ca="1"/>
        <v>ZDD</v>
      </c>
      <c r="AN9" s="874" t="str">
        <f ca="1"/>
        <v>DUZ</v>
      </c>
      <c r="AO9" s="874" t="str">
        <f ca="1"/>
        <v>ZZZ</v>
      </c>
      <c r="AP9" s="874" t="str">
        <f ca="1"/>
        <v>ZZD</v>
      </c>
      <c r="AQ9" s="874" t="str">
        <f ca="1"/>
        <v>DZD</v>
      </c>
      <c r="AR9" s="874" t="str">
        <f ca="1"/>
        <v>DDD</v>
      </c>
      <c r="AS9" s="874" t="str">
        <f ca="1"/>
        <v>UZZ</v>
      </c>
      <c r="AT9" s="874">
        <f ca="1"/>
        <v>0</v>
      </c>
      <c r="AU9" s="874">
        <f ca="1"/>
        <v>0</v>
      </c>
      <c r="AV9" s="874">
        <f ca="1"/>
        <v>0</v>
      </c>
      <c r="CS9" s="874" t="str" cm="1">
        <f t="array" aca="1" ref="CS9:DZ9" ca="1">TRANSPOSE(R10:R43)</f>
        <v>UZD</v>
      </c>
      <c r="CT9" s="874" t="str">
        <f ca="1"/>
        <v>ZUZ</v>
      </c>
      <c r="CU9" s="874" t="str">
        <f ca="1"/>
        <v>ZZU</v>
      </c>
      <c r="CV9" s="874" t="str">
        <f ca="1"/>
        <v>DZZ</v>
      </c>
      <c r="CW9" s="874" t="str">
        <f ca="1"/>
        <v>DDZ</v>
      </c>
      <c r="CX9" s="874" t="str">
        <f ca="1"/>
        <v>UDD</v>
      </c>
      <c r="CY9" s="874" t="str">
        <f ca="1"/>
        <v>DUD</v>
      </c>
      <c r="CZ9" s="874" t="str">
        <f ca="1"/>
        <v>UDU</v>
      </c>
      <c r="DA9" s="874" t="str">
        <f ca="1"/>
        <v>DDU</v>
      </c>
      <c r="DB9" s="874" t="str">
        <f ca="1"/>
        <v>UUD</v>
      </c>
      <c r="DC9" s="874" t="str">
        <f ca="1"/>
        <v>DUU</v>
      </c>
      <c r="DD9" s="874" t="str">
        <f ca="1"/>
        <v>ZDU</v>
      </c>
      <c r="DE9" s="874" t="str">
        <f ca="1"/>
        <v>UUZ</v>
      </c>
      <c r="DF9" s="874" t="str">
        <f ca="1"/>
        <v>ZUU</v>
      </c>
      <c r="DG9" s="874" t="str">
        <f ca="1"/>
        <v>DZU</v>
      </c>
      <c r="DH9" s="874" t="str">
        <f ca="1"/>
        <v>ZDZ</v>
      </c>
      <c r="DI9" s="874" t="str">
        <f ca="1"/>
        <v>UUU</v>
      </c>
      <c r="DJ9" s="874" t="str">
        <f ca="1"/>
        <v>ZUD</v>
      </c>
      <c r="DK9" s="874" t="str">
        <f ca="1"/>
        <v>UZU</v>
      </c>
      <c r="DL9" s="874" t="str">
        <f ca="1"/>
        <v>UDZ</v>
      </c>
      <c r="DM9" s="874" t="str">
        <f ca="1"/>
        <v>ZDD</v>
      </c>
      <c r="DN9" s="874" t="str">
        <f ca="1"/>
        <v>DUZ</v>
      </c>
      <c r="DO9" s="874" t="str">
        <f ca="1"/>
        <v>ZZZ</v>
      </c>
      <c r="DP9" s="874" t="str">
        <f ca="1"/>
        <v>ZZD</v>
      </c>
      <c r="DQ9" s="874" t="str">
        <f ca="1"/>
        <v>DZD</v>
      </c>
      <c r="DR9" s="874" t="str">
        <f ca="1"/>
        <v>DDD</v>
      </c>
      <c r="DS9" s="874" t="str">
        <f ca="1"/>
        <v>UZZ</v>
      </c>
      <c r="DT9" s="874">
        <f ca="1"/>
        <v>0</v>
      </c>
      <c r="DU9" s="874">
        <f ca="1"/>
        <v>0</v>
      </c>
      <c r="DV9" s="874">
        <f ca="1"/>
        <v>0</v>
      </c>
      <c r="DW9" s="874">
        <f ca="1"/>
        <v>0</v>
      </c>
      <c r="DX9" s="874">
        <f ca="1"/>
        <v>0</v>
      </c>
      <c r="DY9" s="874" t="str">
        <f ca="1"/>
        <v>Min</v>
      </c>
      <c r="DZ9" s="1208">
        <f ca="1"/>
        <v>1.8181818181818181E-2</v>
      </c>
    </row>
    <row r="10" spans="2:130" x14ac:dyDescent="0.3">
      <c r="B10" s="89" vm="21">
        <f ca="1"/>
        <v>45968</v>
      </c>
      <c r="C10" s="89" vm="22">
        <f ca="1"/>
        <v>215.65</v>
      </c>
      <c r="D10" s="1225">
        <f t="shared" ca="1" si="0"/>
        <v>-1.0552879100711095E-2</v>
      </c>
      <c r="E10" s="294" t="str" cm="1">
        <f t="array" aca="1" ref="E10" ca="1">_xlfn.IFS(D10&gt;ZPercent,"U",D10&lt;=-ZPercent,"D",TRUE,"Z")</f>
        <v>D</v>
      </c>
      <c r="F10" s="294" t="str">
        <f t="shared" ca="1" si="1"/>
        <v>DD</v>
      </c>
      <c r="G10" s="294" t="str">
        <f t="shared" ca="1" si="2"/>
        <v>UDD</v>
      </c>
      <c r="H10" s="874" t="str">
        <f t="shared" ca="1" si="3"/>
        <v/>
      </c>
      <c r="J10" s="89" vm="23">
        <f ca="1"/>
        <v>45666</v>
      </c>
      <c r="K10" s="89" vm="24">
        <f ca="1"/>
        <v>245.15</v>
      </c>
      <c r="N10" s="874" t="str">
        <f ca="1">IF(F10=[2]Sheet1!O8,"","dif")</f>
        <v>dif</v>
      </c>
      <c r="R10" s="874" t="str" cm="1">
        <f t="array" aca="1" ref="R10:R36" ca="1">_xlfn.UNIQUE(G5:G157)</f>
        <v>UZD</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2</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2</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5</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1" ca="1">_xlfn.UNIQUE(G$5:G$25)</f>
        <v>UZD</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1</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45967</v>
      </c>
      <c r="C11" s="89" vm="26">
        <f ca="1"/>
        <v>217.95</v>
      </c>
      <c r="D11" s="1225">
        <f t="shared" ca="1" si="0"/>
        <v>-4.3869269576661547E-2</v>
      </c>
      <c r="E11" s="294" t="str" cm="1">
        <f t="array" aca="1" ref="E11" ca="1">_xlfn.IFS(D11&gt;ZPercent,"U",D11&lt;=-ZPercent,"D",TRUE,"Z")</f>
        <v>D</v>
      </c>
      <c r="F11" s="294" t="str">
        <f t="shared" ca="1" si="1"/>
        <v>UD</v>
      </c>
      <c r="G11" s="294" t="str">
        <f t="shared" ca="1" si="2"/>
        <v>DUD</v>
      </c>
      <c r="H11" s="874" t="str">
        <f t="shared" ca="1" si="3"/>
        <v/>
      </c>
      <c r="J11" s="89" vm="27">
        <f ca="1"/>
        <v>45667</v>
      </c>
      <c r="K11" s="89" vm="28">
        <f ca="1"/>
        <v>245.85</v>
      </c>
      <c r="N11" s="874" t="str">
        <f ca="1">IF(F11=[2]Sheet1!O9,"","dif")</f>
        <v>dif</v>
      </c>
      <c r="R11" s="874" t="str">
        <f ca="1"/>
        <v>ZUZ</v>
      </c>
      <c r="S11" s="874" cm="1">
        <f t="array" aca="1" ref="S11" ca="1">SUM( ($G$7:$G$212=$R11) * ($G$6:$G$211=S$9) )</f>
        <v>3</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2</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2</v>
      </c>
      <c r="AT11" s="874" cm="1">
        <f t="array" aca="1" ref="AT11" ca="1">SUM( ($G$7:$G$212=$R11) * ($G$6:$G$211=AT$9) )</f>
        <v>0</v>
      </c>
      <c r="AU11" s="874" cm="1">
        <f t="array" aca="1" ref="AU11" ca="1">SUM( ($G$7:$G$212=$R11) * ($G$6:$G$211=AU$9) )</f>
        <v>0</v>
      </c>
      <c r="CR11" s="874" t="str">
        <f ca="1"/>
        <v>ZUZ</v>
      </c>
      <c r="CS11" s="874" cm="1">
        <f t="array" aca="1" ref="CS11" ca="1">SUM( ($G$7:$G$25=$R11) * ($G$6:$G$24=CS$9) )</f>
        <v>0</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45966</v>
      </c>
      <c r="C12" s="89" vm="30">
        <f ca="1"/>
        <v>227.95</v>
      </c>
      <c r="D12" s="1225">
        <f t="shared" ca="1" si="0"/>
        <v>8.4052200840521001E-3</v>
      </c>
      <c r="E12" s="294" t="str" cm="1">
        <f t="array" aca="1" ref="E12" ca="1">_xlfn.IFS(D12&gt;ZPercent,"U",D12&lt;=-ZPercent,"D",TRUE,"Z")</f>
        <v>U</v>
      </c>
      <c r="F12" s="294" t="str">
        <f t="shared" ca="1" si="1"/>
        <v>DU</v>
      </c>
      <c r="G12" s="294" t="str">
        <f t="shared" ca="1" si="2"/>
        <v>UDU</v>
      </c>
      <c r="H12" s="874" t="str">
        <f t="shared" ca="1" si="3"/>
        <v/>
      </c>
      <c r="J12" s="89" vm="31">
        <f ca="1"/>
        <v>45670</v>
      </c>
      <c r="K12" s="89" vm="32">
        <f ca="1"/>
        <v>243.9</v>
      </c>
      <c r="N12" s="874" t="str">
        <f ca="1">IF(F12=[2]Sheet1!O10,"","dif")</f>
        <v>dif</v>
      </c>
      <c r="R12" s="874" t="str">
        <f ca="1"/>
        <v>ZZU</v>
      </c>
      <c r="S12" s="874" cm="1">
        <f t="array" aca="1" ref="S12" ca="1">SUM( ($G$7:$G$212=$R12) * ($G$6:$G$211=S$9) )</f>
        <v>0</v>
      </c>
      <c r="T12" s="874" cm="1">
        <f t="array" aca="1" ref="T12" ca="1">SUM( ($G$7:$G$212=$R12) * ($G$6:$G$211=T$9) )</f>
        <v>3</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1</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ZZU</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45965</v>
      </c>
      <c r="C13" s="89" vm="34">
        <f ca="1"/>
        <v>226.05</v>
      </c>
      <c r="D13" s="1225">
        <f t="shared" ca="1" si="0"/>
        <v>-1.2235088485907725E-2</v>
      </c>
      <c r="E13" s="294" t="str" cm="1">
        <f t="array" aca="1" ref="E13" ca="1">_xlfn.IFS(D13&gt;ZPercent,"U",D13&lt;=-ZPercent,"D",TRUE,"Z")</f>
        <v>D</v>
      </c>
      <c r="F13" s="294" t="str">
        <f t="shared" ca="1" si="1"/>
        <v>UD</v>
      </c>
      <c r="G13" s="294" t="str">
        <f t="shared" ca="1" si="2"/>
        <v>DUD</v>
      </c>
      <c r="H13" s="874" t="str">
        <f t="shared" ca="1" si="3"/>
        <v/>
      </c>
      <c r="J13" s="89" vm="35">
        <f ca="1"/>
        <v>45671</v>
      </c>
      <c r="K13" s="89" vm="36">
        <f ca="1"/>
        <v>247.4</v>
      </c>
      <c r="N13" s="874" t="str">
        <f ca="1">IF(F13=[2]Sheet1!O11,"","dif")</f>
        <v>dif</v>
      </c>
      <c r="R13" s="874" t="str">
        <f ca="1"/>
        <v>DZZ</v>
      </c>
      <c r="S13" s="874" cm="1">
        <f t="array" aca="1" ref="S13" ca="1">SUM( ($G$7:$G$212=$R13) * ($G$6:$G$211=S$9) )</f>
        <v>0</v>
      </c>
      <c r="T13" s="874" cm="1">
        <f t="array" aca="1" ref="T13" ca="1">SUM( ($G$7:$G$212=$R13) * ($G$6:$G$211=T$9) )</f>
        <v>0</v>
      </c>
      <c r="U13" s="874" cm="1">
        <f t="array" aca="1" ref="U13" ca="1">SUM( ($G$7:$G$212=$R13) * ($G$6:$G$211=U$9) )</f>
        <v>3</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3</v>
      </c>
      <c r="AP13" s="874" cm="1">
        <f t="array" aca="1" ref="AP13" ca="1">SUM( ($G$7:$G$212=$R13) * ($G$6:$G$211=AP$9) )</f>
        <v>1</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DZZ</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45964</v>
      </c>
      <c r="C14" s="89" vm="38">
        <f ca="1"/>
        <v>228.85</v>
      </c>
      <c r="D14" s="1225">
        <f t="shared" ca="1" si="0"/>
        <v>1.9603475161505929E-2</v>
      </c>
      <c r="E14" s="294" t="str" cm="1">
        <f t="array" aca="1" ref="E14" ca="1">_xlfn.IFS(D14&gt;ZPercent,"U",D14&lt;=-ZPercent,"D",TRUE,"Z")</f>
        <v>U</v>
      </c>
      <c r="F14" s="294" t="str">
        <f t="shared" ca="1" si="1"/>
        <v>DU</v>
      </c>
      <c r="G14" s="294" t="str">
        <f t="shared" ca="1" si="2"/>
        <v>UDU</v>
      </c>
      <c r="H14" s="874" t="str">
        <f t="shared" ca="1" si="3"/>
        <v/>
      </c>
      <c r="J14" s="89" vm="39">
        <f ca="1"/>
        <v>45672</v>
      </c>
      <c r="K14" s="89" vm="40">
        <f ca="1"/>
        <v>253.6</v>
      </c>
      <c r="N14" s="874" t="str">
        <f ca="1">IF(F14=[2]Sheet1!O12,"","dif")</f>
        <v/>
      </c>
      <c r="R14" s="874" t="str">
        <f ca="1"/>
        <v>DDZ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5</v>
      </c>
      <c r="W14" s="874" cm="1">
        <f t="array" aca="1" ref="W14" ca="1">SUM( ($G$7:$G$212=$R14) * ($G$6:$G$211=W$9) )</f>
        <v>0</v>
      </c>
      <c r="X14" s="874" cm="1">
        <f t="array" aca="1" ref="X14" ca="1">SUM( ($G$7:$G$212=$R14) * ($G$6:$G$211=X$9) )</f>
        <v>0</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2</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DDZ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45961</v>
      </c>
      <c r="C15" s="89" vm="42">
        <f ca="1"/>
        <v>224.45</v>
      </c>
      <c r="D15" s="1225">
        <f t="shared" ca="1" si="0"/>
        <v>-6.1988045162718868E-3</v>
      </c>
      <c r="E15" s="294" t="str" cm="1">
        <f t="array" aca="1" ref="E15" ca="1">_xlfn.IFS(D15&gt;ZPercent,"U",D15&lt;=-ZPercent,"D",TRUE,"Z")</f>
        <v>D</v>
      </c>
      <c r="F15" s="294" t="str">
        <f t="shared" ca="1" si="1"/>
        <v>UD</v>
      </c>
      <c r="G15" s="294" t="str">
        <f t="shared" ca="1" si="2"/>
        <v>DUD</v>
      </c>
      <c r="H15" s="874" t="str">
        <f t="shared" ca="1" si="3"/>
        <v/>
      </c>
      <c r="J15" s="89" vm="43">
        <f ca="1"/>
        <v>45673</v>
      </c>
      <c r="K15" s="89" vm="44">
        <f ca="1"/>
        <v>255.05</v>
      </c>
      <c r="N15" s="874" t="str">
        <f ca="1">IF(F15=[2]Sheet1!O13,"","dif")</f>
        <v>dif</v>
      </c>
      <c r="R15" s="874" t="str">
        <f ca="1"/>
        <v>UDD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4</v>
      </c>
      <c r="X15" s="874" cm="1">
        <f t="array" aca="1" ref="X15" ca="1">SUM( ($G$7:$G$212=$R15) * ($G$6:$G$211=X$9) )</f>
        <v>0</v>
      </c>
      <c r="Y15" s="874" cm="1">
        <f t="array" aca="1" ref="Y15" ca="1">SUM( ($G$7:$G$212=$R15) * ($G$6:$G$211=Y$9) )</f>
        <v>0</v>
      </c>
      <c r="Z15" s="874" cm="1">
        <f t="array" aca="1" ref="Z15" ca="1">SUM( ($G$7:$G$212=$R15) * ($G$6:$G$211=Z$9) )</f>
        <v>0</v>
      </c>
      <c r="AA15" s="874" cm="1">
        <f t="array" aca="1" ref="AA15" ca="1">SUM( ($G$7:$G$212=$R15) * ($G$6:$G$211=AA$9) )</f>
        <v>4</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3</v>
      </c>
      <c r="AS15" s="874" cm="1">
        <f t="array" aca="1" ref="AS15" ca="1">SUM( ($G$7:$G$212=$R15) * ($G$6:$G$211=AS$9) )</f>
        <v>0</v>
      </c>
      <c r="AT15" s="874" cm="1">
        <f t="array" aca="1" ref="AT15" ca="1">SUM( ($G$7:$G$212=$R15) * ($G$6:$G$211=AT$9) )</f>
        <v>0</v>
      </c>
      <c r="AU15" s="874" cm="1">
        <f t="array" aca="1" ref="AU15" ca="1">SUM( ($G$7:$G$212=$R15) * ($G$6:$G$211=AU$9) )</f>
        <v>0</v>
      </c>
      <c r="CR15" s="874" t="str">
        <f ca="1"/>
        <v>UDD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1</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45960</v>
      </c>
      <c r="C16" s="89" vm="46">
        <f ca="1"/>
        <v>225.85</v>
      </c>
      <c r="D16" s="1225">
        <f t="shared" ca="1" si="0"/>
        <v>6.9103878733837842E-3</v>
      </c>
      <c r="E16" s="294" t="str" cm="1">
        <f t="array" aca="1" ref="E16" ca="1">_xlfn.IFS(D16&gt;ZPercent,"U",D16&lt;=-ZPercent,"D",TRUE,"Z")</f>
        <v>U</v>
      </c>
      <c r="F16" s="294" t="str">
        <f t="shared" ca="1" si="1"/>
        <v>DU</v>
      </c>
      <c r="G16" s="294" t="str">
        <f t="shared" ca="1" si="2"/>
        <v>DDU</v>
      </c>
      <c r="H16" s="874" t="str">
        <f t="shared" ca="1" si="3"/>
        <v/>
      </c>
      <c r="J16" s="89" vm="47">
        <f ca="1"/>
        <v>45674</v>
      </c>
      <c r="K16" s="89" vm="48">
        <f ca="1"/>
        <v>256.85000000000002</v>
      </c>
      <c r="N16" s="874" t="str">
        <f ca="1">IF(F16=[2]Sheet1!O14,"","dif")</f>
        <v>dif</v>
      </c>
      <c r="R16" s="874" t="str">
        <f ca="1"/>
        <v>DUD</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7</v>
      </c>
      <c r="Y16" s="874" cm="1">
        <f t="array" aca="1" ref="Y16" ca="1">SUM( ($G$7:$G$212=$R16) * ($G$6:$G$211=Y$9) )</f>
        <v>0</v>
      </c>
      <c r="Z16" s="874" cm="1">
        <f t="array" aca="1" ref="Z16" ca="1">SUM( ($G$7:$G$212=$R16) * ($G$6:$G$211=Z$9) )</f>
        <v>9</v>
      </c>
      <c r="AA16" s="874" cm="1">
        <f t="array" aca="1" ref="AA16" ca="1">SUM( ($G$7:$G$212=$R16) * ($G$6:$G$211=AA$9) )</f>
        <v>0</v>
      </c>
      <c r="AB16" s="874" cm="1">
        <f t="array" aca="1" ref="AB16" ca="1">SUM( ($G$7:$G$212=$R16) * ($G$6:$G$211=AB$9) )</f>
        <v>0</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DUD</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2</v>
      </c>
      <c r="CY16" s="874" cm="1">
        <f t="array" aca="1" ref="CY16" ca="1">SUM( ($G$7:$G$25=$R16) * ($G$6:$G$24=CY$9) )</f>
        <v>0</v>
      </c>
      <c r="CZ16" s="874" cm="1">
        <f t="array" aca="1" ref="CZ16" ca="1">SUM( ($G$7:$G$25=$R16) * ($G$6:$G$24=CZ$9) )</f>
        <v>3</v>
      </c>
      <c r="DA16" s="874" cm="1">
        <f t="array" aca="1" ref="DA16" ca="1">SUM( ($G$7:$G$25=$R16) * ($G$6:$G$24=DA$9) )</f>
        <v>0</v>
      </c>
      <c r="DB16" s="874" cm="1">
        <f t="array" aca="1" ref="DB16" ca="1">SUM( ($G$7:$G$25=$R16) * ($G$6:$G$24=DB$9) )</f>
        <v>0</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45959</v>
      </c>
      <c r="C17" s="89" vm="50">
        <f ca="1"/>
        <v>224.3</v>
      </c>
      <c r="D17" s="1225">
        <f t="shared" ca="1" si="0"/>
        <v>-4.1862451943613765E-2</v>
      </c>
      <c r="E17" s="294" t="str" cm="1">
        <f t="array" aca="1" ref="E17" ca="1">_xlfn.IFS(D17&gt;ZPercent,"U",D17&lt;=-ZPercent,"D",TRUE,"Z")</f>
        <v>D</v>
      </c>
      <c r="F17" s="294" t="str">
        <f t="shared" ca="1" si="1"/>
        <v>DD</v>
      </c>
      <c r="G17" s="294" t="str">
        <f t="shared" ca="1" si="2"/>
        <v>UDD</v>
      </c>
      <c r="H17" s="874" t="str">
        <f t="shared" ca="1" si="3"/>
        <v/>
      </c>
      <c r="J17" s="89" vm="51">
        <f ca="1"/>
        <v>45677</v>
      </c>
      <c r="K17" s="89" vm="52">
        <f ca="1"/>
        <v>256</v>
      </c>
      <c r="N17" s="874" t="str">
        <f ca="1">IF(F17=[2]Sheet1!O15,"","dif")</f>
        <v>dif</v>
      </c>
      <c r="R17" s="874" t="str">
        <f ca="1"/>
        <v>UDU</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6</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6</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1</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UDU</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4</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45958</v>
      </c>
      <c r="C18" s="89" vm="54">
        <f ca="1"/>
        <v>234.1</v>
      </c>
      <c r="D18" s="1225">
        <f t="shared" ca="1" si="0"/>
        <v>-6.1558055614519928E-3</v>
      </c>
      <c r="E18" s="294" t="str" cm="1">
        <f t="array" aca="1" ref="E18" ca="1">_xlfn.IFS(D18&gt;ZPercent,"U",D18&lt;=-ZPercent,"D",TRUE,"Z")</f>
        <v>D</v>
      </c>
      <c r="F18" s="294" t="str">
        <f t="shared" ca="1" si="1"/>
        <v>UD</v>
      </c>
      <c r="G18" s="294" t="str">
        <f t="shared" ca="1" si="2"/>
        <v>DUD</v>
      </c>
      <c r="H18" s="874" t="str">
        <f t="shared" ca="1" si="3"/>
        <v/>
      </c>
      <c r="J18" s="89" vm="55">
        <f ca="1"/>
        <v>45678</v>
      </c>
      <c r="K18" s="89" vm="56">
        <f ca="1"/>
        <v>256.75</v>
      </c>
      <c r="N18" s="874" t="str">
        <f ca="1">IF(F18=[2]Sheet1!O16,"","dif")</f>
        <v>dif</v>
      </c>
      <c r="R18" s="874" t="str">
        <f ca="1"/>
        <v>DDU</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7</v>
      </c>
      <c r="Z18" s="874" cm="1">
        <f t="array" aca="1" ref="Z18" ca="1">SUM( ($G$7:$G$212=$R18) * ($G$6:$G$211=Z$9) )</f>
        <v>0</v>
      </c>
      <c r="AA18" s="874" cm="1">
        <f t="array" aca="1" ref="AA18" ca="1">SUM( ($G$7:$G$212=$R18) * ($G$6:$G$211=AA$9) )</f>
        <v>0</v>
      </c>
      <c r="AB18" s="874" cm="1">
        <f t="array" aca="1" ref="AB18" ca="1">SUM( ($G$7:$G$212=$R18) * ($G$6:$G$211=AB$9) )</f>
        <v>0</v>
      </c>
      <c r="AC18" s="874" cm="1">
        <f t="array" aca="1" ref="AC18" ca="1">SUM( ($G$7:$G$212=$R18) * ($G$6:$G$211=AC$9) )</f>
        <v>2</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3</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DDU</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1</v>
      </c>
      <c r="CZ18" s="874" cm="1">
        <f t="array" aca="1" ref="CZ18" ca="1">SUM( ($G$7:$G$25=$R18) * ($G$6:$G$24=CZ$9) )</f>
        <v>0</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45957</v>
      </c>
      <c r="C19" s="89" vm="58">
        <f ca="1"/>
        <v>235.55</v>
      </c>
      <c r="D19" s="1225">
        <f t="shared" ca="1" si="0"/>
        <v>9.4278980072852667E-3</v>
      </c>
      <c r="E19" s="294" t="str" cm="1">
        <f t="array" aca="1" ref="E19" ca="1">_xlfn.IFS(D19&gt;ZPercent,"U",D19&lt;=-ZPercent,"D",TRUE,"Z")</f>
        <v>U</v>
      </c>
      <c r="F19" s="294" t="str">
        <f t="shared" ca="1" si="1"/>
        <v>DU</v>
      </c>
      <c r="G19" s="294" t="str">
        <f t="shared" ca="1" si="2"/>
        <v>UDU</v>
      </c>
      <c r="H19" s="874" t="str">
        <f t="shared" ca="1" si="3"/>
        <v/>
      </c>
      <c r="J19" s="89" vm="59">
        <f ca="1"/>
        <v>45679</v>
      </c>
      <c r="K19" s="89" vm="60">
        <f ca="1"/>
        <v>262.3</v>
      </c>
      <c r="N19" s="874" t="str">
        <f ca="1">IF(F19=[2]Sheet1!O17,"","dif")</f>
        <v>dif</v>
      </c>
      <c r="R19" s="874" t="str">
        <f ca="1"/>
        <v>UUD</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3</v>
      </c>
      <c r="Y19" s="874" cm="1">
        <f t="array" aca="1" ref="Y19" ca="1">SUM( ($G$7:$G$212=$R19) * ($G$6:$G$211=Y$9) )</f>
        <v>0</v>
      </c>
      <c r="Z19" s="874" cm="1">
        <f t="array" aca="1" ref="Z19" ca="1">SUM( ($G$7:$G$212=$R19) * ($G$6:$G$211=Z$9) )</f>
        <v>2</v>
      </c>
      <c r="AA19" s="874" cm="1">
        <f t="array" aca="1" ref="AA19" ca="1">SUM( ($G$7:$G$212=$R19) * ($G$6:$G$211=AA$9) )</f>
        <v>0</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5</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UUD</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1</v>
      </c>
      <c r="DA19" s="874" cm="1">
        <f t="array" aca="1" ref="DA19" ca="1">SUM( ($G$7:$G$25=$R19) * ($G$6:$G$24=DA$9) )</f>
        <v>0</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45954</v>
      </c>
      <c r="C20" s="89" vm="62">
        <f ca="1"/>
        <v>233.35</v>
      </c>
      <c r="D20" s="1225">
        <f t="shared" ca="1" si="0"/>
        <v>-3.5743801652892586E-2</v>
      </c>
      <c r="E20" s="294" t="str" cm="1">
        <f t="array" aca="1" ref="E20" ca="1">_xlfn.IFS(D20&gt;ZPercent,"U",D20&lt;=-ZPercent,"D",TRUE,"Z")</f>
        <v>D</v>
      </c>
      <c r="F20" s="294" t="str">
        <f t="shared" ca="1" si="1"/>
        <v>UD</v>
      </c>
      <c r="G20" s="294" t="str">
        <f t="shared" ca="1" si="2"/>
        <v>DUD</v>
      </c>
      <c r="H20" s="874" t="str">
        <f t="shared" ca="1" si="3"/>
        <v/>
      </c>
      <c r="J20" s="89" vm="63">
        <f ca="1"/>
        <v>45680</v>
      </c>
      <c r="K20" s="89" vm="64">
        <f ca="1"/>
        <v>262.39999999999998</v>
      </c>
      <c r="N20" s="874" t="str">
        <f ca="1">IF(F20=[2]Sheet1!O18,"","dif")</f>
        <v>dif</v>
      </c>
      <c r="R20" s="874" t="str">
        <f ca="1"/>
        <v>DUU</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0</v>
      </c>
      <c r="Z20" s="874" cm="1">
        <f t="array" aca="1" ref="Z20" ca="1">SUM( ($G$7:$G$212=$R20) * ($G$6:$G$211=Z$9) )</f>
        <v>0</v>
      </c>
      <c r="AA20" s="874" cm="1">
        <f t="array" aca="1" ref="AA20" ca="1">SUM( ($G$7:$G$212=$R20) * ($G$6:$G$211=AA$9) )</f>
        <v>0</v>
      </c>
      <c r="AB20" s="874" cm="1">
        <f t="array" aca="1" ref="AB20" ca="1">SUM( ($G$7:$G$212=$R20) * ($G$6:$G$211=AB$9) )</f>
        <v>5</v>
      </c>
      <c r="AC20" s="874" cm="1">
        <f t="array" aca="1" ref="AC20" ca="1">SUM( ($G$7:$G$212=$R20) * ($G$6:$G$211=AC$9) )</f>
        <v>0</v>
      </c>
      <c r="AD20" s="874" cm="1">
        <f t="array" aca="1" ref="AD20" ca="1">SUM( ($G$7:$G$212=$R20) * ($G$6:$G$211=AD$9) )</f>
        <v>0</v>
      </c>
      <c r="AE20" s="874" cm="1">
        <f t="array" aca="1" ref="AE20" ca="1">SUM( ($G$7:$G$212=$R20) * ($G$6:$G$211=AE$9) )</f>
        <v>4</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3</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DUU</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0</v>
      </c>
      <c r="CZ20" s="874" cm="1">
        <f t="array" aca="1" ref="CZ20" ca="1">SUM( ($G$7:$G$25=$R20) * ($G$6:$G$24=CZ$9) )</f>
        <v>0</v>
      </c>
      <c r="DA20" s="874" cm="1">
        <f t="array" aca="1" ref="DA20" ca="1">SUM( ($G$7:$G$25=$R20) * ($G$6:$G$24=DA$9) )</f>
        <v>0</v>
      </c>
      <c r="DB20" s="874" cm="1">
        <f t="array" aca="1" ref="DB20" ca="1">SUM( ($G$7:$G$25=$R20) * ($G$6:$G$24=DB$9) )</f>
        <v>1</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45953</v>
      </c>
      <c r="C21" s="89" vm="66">
        <f ca="1"/>
        <v>242</v>
      </c>
      <c r="D21" s="1225">
        <f t="shared" ca="1" si="0"/>
        <v>2.1743719653789344E-2</v>
      </c>
      <c r="E21" s="294" t="str" cm="1">
        <f t="array" aca="1" ref="E21" ca="1">_xlfn.IFS(D21&gt;ZPercent,"U",D21&lt;=-ZPercent,"D",TRUE,"Z")</f>
        <v>U</v>
      </c>
      <c r="F21" s="294" t="str">
        <f t="shared" ca="1" si="1"/>
        <v>DU</v>
      </c>
      <c r="G21" s="294" t="str">
        <f t="shared" ca="1" si="2"/>
        <v>UDU</v>
      </c>
      <c r="H21" s="874" t="str">
        <f t="shared" ca="1" si="3"/>
        <v/>
      </c>
      <c r="J21" s="89" vm="67">
        <f ca="1"/>
        <v>45681</v>
      </c>
      <c r="K21" s="89" vm="68">
        <f ca="1"/>
        <v>263.55</v>
      </c>
      <c r="N21" s="874" t="str">
        <f ca="1">IF(F21=[2]Sheet1!O19,"","dif")</f>
        <v>dif</v>
      </c>
      <c r="R21" s="874" t="str">
        <f ca="1"/>
        <v>ZDU</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3</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4</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1</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ZDU</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1</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45952</v>
      </c>
      <c r="C22" s="89" vm="70">
        <f ca="1"/>
        <v>236.85</v>
      </c>
      <c r="D22" s="1225">
        <f t="shared" ca="1" si="0"/>
        <v>-1.4767054908485905E-2</v>
      </c>
      <c r="E22" s="294" t="str" cm="1">
        <f t="array" aca="1" ref="E22" ca="1">_xlfn.IFS(D22&gt;ZPercent,"U",D22&lt;=-ZPercent,"D",TRUE,"Z")</f>
        <v>D</v>
      </c>
      <c r="F22" s="294" t="str">
        <f t="shared" ca="1" si="1"/>
        <v>UD</v>
      </c>
      <c r="G22" s="294" t="str">
        <f t="shared" ca="1" si="2"/>
        <v>UUD</v>
      </c>
      <c r="H22" s="874" t="str">
        <f t="shared" ca="1" si="3"/>
        <v/>
      </c>
      <c r="J22" s="89" vm="71">
        <f ca="1"/>
        <v>45684</v>
      </c>
      <c r="K22" s="89" vm="72">
        <f ca="1"/>
        <v>261.39999999999998</v>
      </c>
      <c r="N22" s="874" t="str">
        <f ca="1">IF(F22=[2]Sheet1!O20,"","dif")</f>
        <v>dif</v>
      </c>
      <c r="R22" s="874" t="str">
        <f ca="1"/>
        <v>UUZ</v>
      </c>
      <c r="S22" s="874" cm="1">
        <f t="array" aca="1" ref="S22" ca="1">SUM( ($G$7:$G$212=$R22) * ($G$6:$G$211=S$9) )</f>
        <v>3</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0</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3</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0</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1</v>
      </c>
      <c r="AT22" s="874" cm="1">
        <f t="array" aca="1" ref="AT22" ca="1">SUM( ($G$7:$G$212=$R22) * ($G$6:$G$211=AT$9) )</f>
        <v>0</v>
      </c>
      <c r="AU22" s="874" cm="1">
        <f t="array" aca="1" ref="AU22" ca="1">SUM( ($G$7:$G$212=$R22) * ($G$6:$G$211=AU$9) )</f>
        <v>0</v>
      </c>
    </row>
    <row r="23" spans="2:119" x14ac:dyDescent="0.3">
      <c r="B23" s="89" vm="73">
        <f ca="1"/>
        <v>45951</v>
      </c>
      <c r="C23" s="89" vm="74">
        <f ca="1"/>
        <v>240.4</v>
      </c>
      <c r="D23" s="1225">
        <f t="shared" ca="1" si="0"/>
        <v>7.5440067057837863E-3</v>
      </c>
      <c r="E23" s="294" t="str" cm="1">
        <f t="array" aca="1" ref="E23" ca="1">_xlfn.IFS(D23&gt;ZPercent,"U",D23&lt;=-ZPercent,"D",TRUE,"Z")</f>
        <v>U</v>
      </c>
      <c r="F23" s="294" t="str">
        <f t="shared" ca="1" si="1"/>
        <v>UU</v>
      </c>
      <c r="G23" s="294" t="str">
        <f t="shared" ca="1" si="2"/>
        <v>DUU</v>
      </c>
      <c r="H23" s="874" t="str">
        <f t="shared" ca="1" si="3"/>
        <v/>
      </c>
      <c r="J23" s="89" vm="75">
        <f ca="1"/>
        <v>45685</v>
      </c>
      <c r="K23" s="89" vm="76">
        <f ca="1"/>
        <v>262.60000000000002</v>
      </c>
      <c r="N23" s="874" t="str">
        <f ca="1">IF(F23=[2]Sheet1!O21,"","dif")</f>
        <v>dif</v>
      </c>
      <c r="R23" s="874" t="str">
        <f ca="1"/>
        <v>ZUU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1</v>
      </c>
      <c r="AC23" s="874" cm="1">
        <f t="array" aca="1" ref="AC23" ca="1">SUM( ($G$7:$G$212=$R23) * ($G$6:$G$211=AC$9) )</f>
        <v>0</v>
      </c>
      <c r="AD23" s="874" cm="1">
        <f t="array" aca="1" ref="AD23" ca="1">SUM( ($G$7:$G$212=$R23) * ($G$6:$G$211=AD$9) )</f>
        <v>0</v>
      </c>
      <c r="AE23" s="874" cm="1">
        <f t="array" aca="1" ref="AE23" ca="1">SUM( ($G$7:$G$212=$R23) * ($G$6:$G$211=AE$9) )</f>
        <v>1</v>
      </c>
      <c r="AF23" s="874" cm="1">
        <f t="array" aca="1" ref="AF23" ca="1">SUM( ($G$7:$G$212=$R23) * ($G$6:$G$211=AF$9) )</f>
        <v>0</v>
      </c>
      <c r="AG23" s="874" cm="1">
        <f t="array" aca="1" ref="AG23" ca="1">SUM( ($G$7:$G$212=$R23) * ($G$6:$G$211=AG$9) )</f>
        <v>0</v>
      </c>
      <c r="AH23" s="874" cm="1">
        <f t="array" aca="1" ref="AH23" ca="1">SUM( ($G$7:$G$212=$R23) * ($G$6:$G$211=AH$9) )</f>
        <v>0</v>
      </c>
      <c r="AI23" s="874" cm="1">
        <f t="array" aca="1" ref="AI23" ca="1">SUM( ($G$7:$G$212=$R23) * ($G$6:$G$211=AI$9) )</f>
        <v>3</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0</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row>
    <row r="24" spans="2:119" x14ac:dyDescent="0.3">
      <c r="B24" s="89" vm="77">
        <f ca="1"/>
        <v>45950</v>
      </c>
      <c r="C24" s="89" vm="78">
        <f ca="1"/>
        <v>238.6</v>
      </c>
      <c r="D24" s="1225">
        <f t="shared" ca="1" si="0"/>
        <v>3.3124052825286882E-2</v>
      </c>
      <c r="E24" s="294" t="str" cm="1">
        <f t="array" aca="1" ref="E24" ca="1">_xlfn.IFS(D24&gt;ZPercent,"U",D24&lt;=-ZPercent,"D",TRUE,"Z")</f>
        <v>U</v>
      </c>
      <c r="F24" s="294" t="str">
        <f t="shared" ca="1" si="1"/>
        <v>DU</v>
      </c>
      <c r="G24" s="294" t="str">
        <f t="shared" ca="1" si="2"/>
        <v>ZDU</v>
      </c>
      <c r="H24" s="874" t="str">
        <f t="shared" ca="1" si="3"/>
        <v/>
      </c>
      <c r="J24" s="89" vm="79">
        <f ca="1"/>
        <v>45686</v>
      </c>
      <c r="K24" s="89" vm="80">
        <f ca="1"/>
        <v>267.2</v>
      </c>
      <c r="N24" s="874" t="str">
        <f ca="1">IF(F24=[2]Sheet1!O22,"","dif")</f>
        <v>dif</v>
      </c>
      <c r="R24" s="874" t="str">
        <f ca="1"/>
        <v>DZU</v>
      </c>
      <c r="S24" s="874" cm="1">
        <f t="array" aca="1" ref="S24" ca="1">SUM( ($G$7:$G$212=$R24) * ($G$6:$G$211=S$9) )</f>
        <v>0</v>
      </c>
      <c r="T24" s="874" cm="1">
        <f t="array" aca="1" ref="T24" ca="1">SUM( ($G$7:$G$212=$R24) * ($G$6:$G$211=T$9) )</f>
        <v>4</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2</v>
      </c>
      <c r="AG24" s="874" cm="1">
        <f t="array" aca="1" ref="AG24" ca="1">SUM( ($G$7:$G$212=$R24) * ($G$6:$G$211=AG$9) )</f>
        <v>0</v>
      </c>
      <c r="AH24" s="874" cm="1">
        <f t="array" aca="1" ref="AH24" ca="1">SUM( ($G$7:$G$212=$R24) * ($G$6:$G$211=AH$9) )</f>
        <v>0</v>
      </c>
      <c r="AI24" s="874" cm="1">
        <f t="array" aca="1" ref="AI24" ca="1">SUM( ($G$7:$G$212=$R24) * ($G$6:$G$211=AI$9) )</f>
        <v>0</v>
      </c>
      <c r="AJ24" s="874" cm="1">
        <f t="array" aca="1" ref="AJ24" ca="1">SUM( ($G$7:$G$212=$R24) * ($G$6:$G$211=AJ$9) )</f>
        <v>1</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0</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1">
        <f ca="1"/>
        <v>45947</v>
      </c>
      <c r="C25" s="89" vm="82">
        <f ca="1"/>
        <v>230.95</v>
      </c>
      <c r="D25" s="1225">
        <f t="shared" ca="1" si="0"/>
        <v>-9.6483704974271011E-3</v>
      </c>
      <c r="E25" s="294" t="str" cm="1">
        <f t="array" aca="1" ref="E25" ca="1">_xlfn.IFS(D25&gt;ZPercent,"U",D25&lt;=-ZPercent,"D",TRUE,"Z")</f>
        <v>D</v>
      </c>
      <c r="F25" s="294" t="str">
        <f t="shared" ca="1" si="1"/>
        <v>ZD</v>
      </c>
      <c r="G25" s="294" t="str">
        <f t="shared" ca="1" si="2"/>
        <v>UZD</v>
      </c>
      <c r="H25" s="874" t="str">
        <f t="shared" ca="1" si="3"/>
        <v>ZZ</v>
      </c>
      <c r="J25" s="89" vm="83">
        <f ca="1"/>
        <v>45687</v>
      </c>
      <c r="K25" s="89" vm="84">
        <f ca="1"/>
        <v>268.05</v>
      </c>
      <c r="N25" s="874" t="str">
        <f ca="1">IF(F25=[2]Sheet1!O23,"","dif")</f>
        <v>dif</v>
      </c>
      <c r="R25" s="874" t="str">
        <f ca="1"/>
        <v>ZDZ</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1</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0</v>
      </c>
      <c r="AF25" s="874" cm="1">
        <f t="array" aca="1" ref="AF25" ca="1">SUM( ($G$7:$G$212=$R25) * ($G$6:$G$211=AF$9) )</f>
        <v>0</v>
      </c>
      <c r="AG25" s="874" cm="1">
        <f t="array" aca="1" ref="AG25" ca="1">SUM( ($G$7:$G$212=$R25) * ($G$6:$G$211=AG$9) )</f>
        <v>2</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0</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5">
        <f ca="1"/>
        <v>45946</v>
      </c>
      <c r="C26" s="89" vm="86">
        <f ca="1"/>
        <v>233.2</v>
      </c>
      <c r="D26" s="1225">
        <f t="shared" ca="1" si="0"/>
        <v>-4.269854824935952E-3</v>
      </c>
      <c r="E26" s="294" t="str" cm="1">
        <f t="array" aca="1" ref="E26" ca="1">_xlfn.IFS(D26&gt;ZPercent,"U",D26&lt;=-ZPercent,"D",TRUE,"Z")</f>
        <v>Z</v>
      </c>
      <c r="F26" s="294" t="str">
        <f t="shared" ca="1" si="1"/>
        <v>UZ</v>
      </c>
      <c r="G26" s="294" t="str">
        <f t="shared" ca="1" si="2"/>
        <v>UUZ</v>
      </c>
      <c r="H26" s="874" t="str">
        <f t="shared" ca="1" si="3"/>
        <v/>
      </c>
      <c r="J26" s="89" vm="87">
        <f ca="1"/>
        <v>45688</v>
      </c>
      <c r="K26" s="89" vm="88">
        <f ca="1"/>
        <v>268.5</v>
      </c>
      <c r="N26" s="874" t="str">
        <f ca="1">IF(F26=[2]Sheet1!O24,"","dif")</f>
        <v>dif</v>
      </c>
      <c r="R26" s="874" t="str">
        <f ca="1"/>
        <v>UUU</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0</v>
      </c>
      <c r="W26" s="874" cm="1">
        <f t="array" aca="1" ref="W26" ca="1">SUM( ($G$7:$G$212=$R26) * ($G$6:$G$211=W$9) )</f>
        <v>0</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4</v>
      </c>
      <c r="AC26" s="874" cm="1">
        <f t="array" aca="1" ref="AC26" ca="1">SUM( ($G$7:$G$212=$R26) * ($G$6:$G$211=AC$9) )</f>
        <v>0</v>
      </c>
      <c r="AD26" s="874" cm="1">
        <f t="array" aca="1" ref="AD26" ca="1">SUM( ($G$7:$G$212=$R26) * ($G$6:$G$211=AD$9) )</f>
        <v>0</v>
      </c>
      <c r="AE26" s="874" cm="1">
        <f t="array" aca="1" ref="AE26" ca="1">SUM( ($G$7:$G$212=$R26) * ($G$6:$G$211=AE$9) )</f>
        <v>2</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2</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45945</v>
      </c>
      <c r="C27" s="89" vm="90">
        <f ca="1"/>
        <v>234.2</v>
      </c>
      <c r="D27" s="1225">
        <f t="shared" ca="1" si="0"/>
        <v>6.4460678985818658E-3</v>
      </c>
      <c r="E27" s="294" t="str" cm="1">
        <f t="array" aca="1" ref="E27" ca="1">_xlfn.IFS(D27&gt;ZPercent,"U",D27&lt;=-ZPercent,"D",TRUE,"Z")</f>
        <v>U</v>
      </c>
      <c r="F27" s="294" t="str">
        <f t="shared" ca="1" si="1"/>
        <v>UU</v>
      </c>
      <c r="G27" s="294" t="str">
        <f t="shared" ca="1" si="2"/>
        <v>ZUU</v>
      </c>
      <c r="H27" s="874" t="str">
        <f t="shared" ca="1" si="3"/>
        <v/>
      </c>
      <c r="J27" s="89" vm="91">
        <f ca="1"/>
        <v>45691</v>
      </c>
      <c r="K27" s="89" vm="92">
        <f ca="1"/>
        <v>263.14999999999998</v>
      </c>
      <c r="N27" s="874" t="str">
        <f ca="1">IF(F27=[2]Sheet1!O25,"","dif")</f>
        <v>dif</v>
      </c>
      <c r="R27" s="874" t="str">
        <f ca="1"/>
        <v>ZUD</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1</v>
      </c>
      <c r="Y27" s="874" cm="1">
        <f t="array" aca="1" ref="Y27" ca="1">SUM( ($G$7:$G$212=$R27) * ($G$6:$G$211=Y$9) )</f>
        <v>0</v>
      </c>
      <c r="Z27" s="874" cm="1">
        <f t="array" aca="1" ref="Z27" ca="1">SUM( ($G$7:$G$212=$R27) * ($G$6:$G$211=Z$9) )</f>
        <v>2</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0</v>
      </c>
      <c r="AG27" s="874" cm="1">
        <f t="array" aca="1" ref="AG27" ca="1">SUM( ($G$7:$G$212=$R27) * ($G$6:$G$211=AG$9) )</f>
        <v>0</v>
      </c>
      <c r="AH27" s="874" cm="1">
        <f t="array" aca="1" ref="AH27" ca="1">SUM( ($G$7:$G$212=$R27) * ($G$6:$G$211=AH$9) )</f>
        <v>0</v>
      </c>
      <c r="AI27" s="874" cm="1">
        <f t="array" aca="1" ref="AI27" ca="1">SUM( ($G$7:$G$212=$R27) * ($G$6:$G$211=AI$9) )</f>
        <v>0</v>
      </c>
      <c r="AJ27" s="874" cm="1">
        <f t="array" aca="1" ref="AJ27" ca="1">SUM( ($G$7:$G$212=$R27) * ($G$6:$G$211=AJ$9) )</f>
        <v>0</v>
      </c>
      <c r="AK27" s="874" cm="1">
        <f t="array" aca="1" ref="AK27" ca="1">SUM( ($G$7:$G$212=$R27) * ($G$6:$G$211=AK$9) )</f>
        <v>0</v>
      </c>
      <c r="AL27" s="874" cm="1">
        <f t="array" aca="1" ref="AL27" ca="1">SUM( ($G$7:$G$212=$R27) * ($G$6:$G$211=AL$9) )</f>
        <v>2</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0</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3">
        <f ca="1"/>
        <v>45944</v>
      </c>
      <c r="C28" s="89" vm="94">
        <f ca="1"/>
        <v>232.7</v>
      </c>
      <c r="D28" s="1225">
        <f t="shared" ca="1" si="0"/>
        <v>5.6179775280898138E-3</v>
      </c>
      <c r="E28" s="294" t="str" cm="1">
        <f t="array" aca="1" ref="E28" ca="1">_xlfn.IFS(D28&gt;ZPercent,"U",D28&lt;=-ZPercent,"D",TRUE,"Z")</f>
        <v>U</v>
      </c>
      <c r="F28" s="294" t="str">
        <f t="shared" ca="1" si="1"/>
        <v>ZU</v>
      </c>
      <c r="G28" s="294" t="str">
        <f t="shared" ca="1" si="2"/>
        <v>DZU</v>
      </c>
      <c r="H28" s="874" t="str">
        <f t="shared" ca="1" si="3"/>
        <v/>
      </c>
      <c r="J28" s="89" vm="95">
        <f ca="1"/>
        <v>45692</v>
      </c>
      <c r="K28" s="89" vm="96">
        <f ca="1"/>
        <v>267.3</v>
      </c>
      <c r="N28" s="874" t="str">
        <f ca="1">IF(F28=[2]Sheet1!O26,"","dif")</f>
        <v/>
      </c>
      <c r="R28" s="874" t="str">
        <f ca="1"/>
        <v>UZU</v>
      </c>
      <c r="S28" s="874" cm="1">
        <f t="array" aca="1" ref="S28" ca="1">SUM( ($G$7:$G$212=$R28) * ($G$6:$G$211=S$9) )</f>
        <v>0</v>
      </c>
      <c r="T28" s="874" cm="1">
        <f t="array" aca="1" ref="T28" ca="1">SUM( ($G$7:$G$212=$R28) * ($G$6:$G$211=T$9) )</f>
        <v>1</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0</v>
      </c>
      <c r="AE28" s="874" cm="1">
        <f t="array" aca="1" ref="AE28" ca="1">SUM( ($G$7:$G$212=$R28) * ($G$6:$G$211=AE$9) )</f>
        <v>0</v>
      </c>
      <c r="AF28" s="874" cm="1">
        <f t="array" aca="1" ref="AF28" ca="1">SUM( ($G$7:$G$212=$R28) * ($G$6:$G$211=AF$9) )</f>
        <v>2</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4</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0</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45943</v>
      </c>
      <c r="C29" s="89" vm="98">
        <f ca="1"/>
        <v>231.4</v>
      </c>
      <c r="D29" s="1225">
        <f t="shared" ca="1" si="0"/>
        <v>3.6868358273693092E-3</v>
      </c>
      <c r="E29" s="294" t="str" cm="1">
        <f t="array" aca="1" ref="E29" ca="1">_xlfn.IFS(D29&gt;ZPercent,"U",D29&lt;=-ZPercent,"D",TRUE,"Z")</f>
        <v>Z</v>
      </c>
      <c r="F29" s="294" t="str">
        <f t="shared" ca="1" si="1"/>
        <v>DZ</v>
      </c>
      <c r="G29" s="294" t="str">
        <f t="shared" ca="1" si="2"/>
        <v>ZDZ</v>
      </c>
      <c r="H29" s="874" t="str">
        <f t="shared" ca="1" si="3"/>
        <v/>
      </c>
      <c r="J29" s="89" vm="99">
        <f ca="1"/>
        <v>45693</v>
      </c>
      <c r="K29" s="89" vm="100">
        <f ca="1"/>
        <v>270.8</v>
      </c>
      <c r="N29" s="874" t="str">
        <f ca="1">IF(F29=[2]Sheet1!O27,"","dif")</f>
        <v>dif</v>
      </c>
      <c r="R29" s="874" t="str">
        <f ca="1"/>
        <v>UDZ</v>
      </c>
      <c r="S29" s="874" cm="1">
        <f t="array" aca="1" ref="S29" ca="1">SUM( ($G$7:$G$212=$R29) * ($G$6:$G$211=S$9) )</f>
        <v>0</v>
      </c>
      <c r="T29" s="874" cm="1">
        <f t="array" aca="1" ref="T29" ca="1">SUM( ($G$7:$G$212=$R29) * ($G$6:$G$211=T$9) )</f>
        <v>0</v>
      </c>
      <c r="U29" s="874" cm="1">
        <f t="array" aca="1" ref="U29" ca="1">SUM( ($G$7:$G$212=$R29) * ($G$6:$G$211=U$9) )</f>
        <v>0</v>
      </c>
      <c r="V29" s="874" cm="1">
        <f t="array" aca="1" ref="V29" ca="1">SUM( ($G$7:$G$212=$R29) * ($G$6:$G$211=V$9) )</f>
        <v>1</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3</v>
      </c>
      <c r="AH29" s="874" cm="1">
        <f t="array" aca="1" ref="AH29" ca="1">SUM( ($G$7:$G$212=$R29) * ($G$6:$G$211=AH$9) )</f>
        <v>0</v>
      </c>
      <c r="AI29" s="874" cm="1">
        <f t="array" aca="1" ref="AI29" ca="1">SUM( ($G$7:$G$212=$R29) * ($G$6:$G$211=AI$9) )</f>
        <v>0</v>
      </c>
      <c r="AJ29" s="874" cm="1">
        <f t="array" aca="1" ref="AJ29" ca="1">SUM( ($G$7:$G$212=$R29) * ($G$6:$G$211=AJ$9) )</f>
        <v>0</v>
      </c>
      <c r="AK29" s="874" cm="1">
        <f t="array" aca="1" ref="AK29" ca="1">SUM( ($G$7:$G$212=$R29) * ($G$6:$G$211=AK$9) )</f>
        <v>0</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3</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45940</v>
      </c>
      <c r="C30" s="89" vm="102">
        <f ca="1"/>
        <v>230.55</v>
      </c>
      <c r="D30" s="1225">
        <f t="shared" ca="1" si="0"/>
        <v>-3.048780487804878E-2</v>
      </c>
      <c r="E30" s="294" t="str" cm="1">
        <f t="array" aca="1" ref="E30" ca="1">_xlfn.IFS(D30&gt;ZPercent,"U",D30&lt;=-ZPercent,"D",TRUE,"Z")</f>
        <v>D</v>
      </c>
      <c r="F30" s="294" t="str">
        <f t="shared" ca="1" si="1"/>
        <v>ZD</v>
      </c>
      <c r="G30" s="294" t="str">
        <f t="shared" ca="1" si="2"/>
        <v>UZD</v>
      </c>
      <c r="H30" s="874" t="str">
        <f t="shared" ca="1" si="3"/>
        <v>ZZ</v>
      </c>
      <c r="J30" s="89" vm="103">
        <f ca="1"/>
        <v>45694</v>
      </c>
      <c r="K30" s="89" vm="104">
        <f ca="1"/>
        <v>273.64999999999998</v>
      </c>
      <c r="N30" s="874" t="str">
        <f ca="1">IF(F30=[2]Sheet1!O28,"","dif")</f>
        <v>dif</v>
      </c>
      <c r="R30" s="874" t="str">
        <f ca="1"/>
        <v>ZDD</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2</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4</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0</v>
      </c>
      <c r="AM30" s="874" cm="1">
        <f t="array" aca="1" ref="AM30" ca="1">SUM( ($G$7:$G$212=$R30) * ($G$6:$G$211=AM$9) )</f>
        <v>0</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2</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45939</v>
      </c>
      <c r="C31" s="89" vm="106">
        <f ca="1"/>
        <v>237.8</v>
      </c>
      <c r="D31" s="1225">
        <f t="shared" ca="1" si="0"/>
        <v>2.5295109612142614E-3</v>
      </c>
      <c r="E31" s="294" t="str" cm="1">
        <f t="array" aca="1" ref="E31" ca="1">_xlfn.IFS(D31&gt;ZPercent,"U",D31&lt;=-ZPercent,"D",TRUE,"Z")</f>
        <v>Z</v>
      </c>
      <c r="F31" s="294" t="str">
        <f t="shared" ca="1" si="1"/>
        <v>UZ</v>
      </c>
      <c r="G31" s="294" t="str">
        <f t="shared" ca="1" si="2"/>
        <v>UUZ</v>
      </c>
      <c r="H31" s="874" t="str">
        <f t="shared" ca="1" si="3"/>
        <v/>
      </c>
      <c r="J31" s="89" vm="107">
        <f ca="1"/>
        <v>45695</v>
      </c>
      <c r="K31" s="89" vm="108">
        <f ca="1"/>
        <v>271</v>
      </c>
      <c r="N31" s="874" t="str">
        <f ca="1">IF(F31=[2]Sheet1!O29,"","dif")</f>
        <v>dif</v>
      </c>
      <c r="R31" s="874" t="str">
        <f ca="1"/>
        <v>DUZ</v>
      </c>
      <c r="S31" s="874" cm="1">
        <f t="array" aca="1" ref="S31" ca="1">SUM( ($G$7:$G$212=$R31) * ($G$6:$G$211=S$9) )</f>
        <v>3</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0</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2</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0</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45938</v>
      </c>
      <c r="C32" s="89" vm="110">
        <f ca="1"/>
        <v>237.2</v>
      </c>
      <c r="D32" s="1225">
        <f t="shared" ca="1" si="0"/>
        <v>9.3617021276595266E-3</v>
      </c>
      <c r="E32" s="294" t="str" cm="1">
        <f t="array" aca="1" ref="E32" ca="1">_xlfn.IFS(D32&gt;ZPercent,"U",D32&lt;=-ZPercent,"D",TRUE,"Z")</f>
        <v>U</v>
      </c>
      <c r="F32" s="294" t="str">
        <f t="shared" ca="1" si="1"/>
        <v>UU</v>
      </c>
      <c r="G32" s="294" t="str">
        <f t="shared" ca="1" si="2"/>
        <v>UUU</v>
      </c>
      <c r="H32" s="874" t="str">
        <f t="shared" ca="1" si="3"/>
        <v/>
      </c>
      <c r="J32" s="89" vm="111">
        <f ca="1"/>
        <v>45698</v>
      </c>
      <c r="K32" s="89" vm="112">
        <f ca="1"/>
        <v>271.8</v>
      </c>
      <c r="N32" s="874" t="str">
        <f ca="1">IF(F32=[2]Sheet1!O30,"","dif")</f>
        <v>dif</v>
      </c>
      <c r="R32" s="874" t="str">
        <f ca="1"/>
        <v>ZZZ</v>
      </c>
      <c r="S32" s="874" cm="1">
        <f t="array" aca="1" ref="S32" ca="1">SUM( ($G$7:$G$212=$R32) * ($G$6:$G$211=S$9) )</f>
        <v>0</v>
      </c>
      <c r="T32" s="874" cm="1">
        <f t="array" aca="1" ref="T32" ca="1">SUM( ($G$7:$G$212=$R32) * ($G$6:$G$211=T$9) )</f>
        <v>0</v>
      </c>
      <c r="U32" s="874" cm="1">
        <f t="array" aca="1" ref="U32" ca="1">SUM( ($G$7:$G$212=$R32) * ($G$6:$G$211=U$9) )</f>
        <v>1</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0</v>
      </c>
      <c r="AG32" s="874" cm="1">
        <f t="array" aca="1" ref="AG32" ca="1">SUM( ($G$7:$G$212=$R32) * ($G$6:$G$211=AG$9) )</f>
        <v>0</v>
      </c>
      <c r="AH32" s="874" cm="1">
        <f t="array" aca="1" ref="AH32" ca="1">SUM( ($G$7:$G$212=$R32) * ($G$6:$G$211=AH$9) )</f>
        <v>0</v>
      </c>
      <c r="AI32" s="874" cm="1">
        <f t="array" aca="1" ref="AI32" ca="1">SUM( ($G$7:$G$212=$R32) * ($G$6:$G$211=AI$9) )</f>
        <v>0</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0</v>
      </c>
      <c r="AO32" s="874" cm="1">
        <f t="array" aca="1" ref="AO32" ca="1">SUM( ($G$7:$G$212=$R32) * ($G$6:$G$211=AO$9) )</f>
        <v>2</v>
      </c>
      <c r="AP32" s="874" cm="1">
        <f t="array" aca="1" ref="AP32" ca="1">SUM( ($G$7:$G$212=$R32) * ($G$6:$G$211=AP$9) )</f>
        <v>3</v>
      </c>
      <c r="AQ32" s="874" cm="1">
        <f t="array" aca="1" ref="AQ32" ca="1">SUM( ($G$7:$G$212=$R32) * ($G$6:$G$211=AQ$9) )</f>
        <v>0</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45937</v>
      </c>
      <c r="C33" s="89" vm="114">
        <f ca="1"/>
        <v>235</v>
      </c>
      <c r="D33" s="1225">
        <f t="shared" ca="1" si="0"/>
        <v>1.4680483592400716E-2</v>
      </c>
      <c r="E33" s="294" t="str" cm="1">
        <f t="array" aca="1" ref="E33" ca="1">_xlfn.IFS(D33&gt;ZPercent,"U",D33&lt;=-ZPercent,"D",TRUE,"Z")</f>
        <v>U</v>
      </c>
      <c r="F33" s="294" t="str">
        <f t="shared" ca="1" si="1"/>
        <v>UU</v>
      </c>
      <c r="G33" s="294" t="str">
        <f t="shared" ca="1" si="2"/>
        <v>DUU</v>
      </c>
      <c r="H33" s="874" t="str">
        <f t="shared" ca="1" si="3"/>
        <v/>
      </c>
      <c r="J33" s="89" vm="115">
        <f ca="1"/>
        <v>45699</v>
      </c>
      <c r="K33" s="89" vm="116">
        <f ca="1"/>
        <v>278.35000000000002</v>
      </c>
      <c r="N33" s="874" t="str">
        <f ca="1">IF(F33=[2]Sheet1!O31,"","dif")</f>
        <v>dif</v>
      </c>
      <c r="R33" s="874" t="str">
        <f ca="1"/>
        <v>ZZD</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5</v>
      </c>
      <c r="AE33" s="874" cm="1">
        <f t="array" aca="1" ref="AE33" ca="1">SUM( ($G$7:$G$212=$R33) * ($G$6:$G$211=AE$9) )</f>
        <v>0</v>
      </c>
      <c r="AF33" s="874" cm="1">
        <f t="array" aca="1" ref="AF33" ca="1">SUM( ($G$7:$G$212=$R33) * ($G$6:$G$211=AF$9) )</f>
        <v>0</v>
      </c>
      <c r="AG33" s="874" cm="1">
        <f t="array" aca="1" ref="AG33" ca="1">SUM( ($G$7:$G$212=$R33) * ($G$6:$G$211=AG$9) )</f>
        <v>0</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1</v>
      </c>
      <c r="AN33" s="874" cm="1">
        <f t="array" aca="1" ref="AN33" ca="1">SUM( ($G$7:$G$212=$R33) * ($G$6:$G$211=AN$9) )</f>
        <v>0</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45936</v>
      </c>
      <c r="C34" s="89" vm="118">
        <f ca="1"/>
        <v>231.6</v>
      </c>
      <c r="D34" s="1225">
        <f t="shared" ca="1" si="0"/>
        <v>6.3002389745817448E-3</v>
      </c>
      <c r="E34" s="294" t="str" cm="1">
        <f t="array" aca="1" ref="E34" ca="1">_xlfn.IFS(D34&gt;ZPercent,"U",D34&lt;=-ZPercent,"D",TRUE,"Z")</f>
        <v>U</v>
      </c>
      <c r="F34" s="294" t="str">
        <f t="shared" ca="1" si="1"/>
        <v>DU</v>
      </c>
      <c r="G34" s="294" t="str">
        <f t="shared" ca="1" si="2"/>
        <v>UDU</v>
      </c>
      <c r="H34" s="874" t="str">
        <f t="shared" ca="1" si="3"/>
        <v/>
      </c>
      <c r="J34" s="89" vm="119">
        <f ca="1"/>
        <v>45700</v>
      </c>
      <c r="K34" s="89" vm="120">
        <f ca="1"/>
        <v>279.14999999999998</v>
      </c>
      <c r="N34" s="874" t="str">
        <f ca="1">IF(F34=[2]Sheet1!O32,"","dif")</f>
        <v>dif</v>
      </c>
      <c r="R34" s="874" t="str">
        <f ca="1"/>
        <v>DZD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0</v>
      </c>
      <c r="AD34" s="874" cm="1">
        <f t="array" aca="1" ref="AD34" ca="1">SUM( ($G$7:$G$212=$R34) * ($G$6:$G$211=AD$9) )</f>
        <v>1</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0</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2</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45933</v>
      </c>
      <c r="C35" s="89" vm="122">
        <f ca="1"/>
        <v>230.15</v>
      </c>
      <c r="D35" s="1225">
        <f t="shared" ca="1" si="0"/>
        <v>-8.4015510555794422E-3</v>
      </c>
      <c r="E35" s="294" t="str" cm="1">
        <f t="array" aca="1" ref="E35" ca="1">_xlfn.IFS(D35&gt;ZPercent,"U",D35&lt;=-ZPercent,"D",TRUE,"Z")</f>
        <v>D</v>
      </c>
      <c r="F35" s="294" t="str">
        <f t="shared" ca="1" si="1"/>
        <v>UD</v>
      </c>
      <c r="G35" s="294" t="str">
        <f t="shared" ca="1" si="2"/>
        <v>ZUD</v>
      </c>
      <c r="H35" s="874" t="str">
        <f t="shared" ca="1" si="3"/>
        <v/>
      </c>
      <c r="J35" s="89" vm="123">
        <f ca="1"/>
        <v>45701</v>
      </c>
      <c r="K35" s="89" vm="124">
        <f ca="1"/>
        <v>280.3</v>
      </c>
      <c r="N35" s="874" t="str">
        <f ca="1">IF(F35=[2]Sheet1!O33,"","dif")</f>
        <v/>
      </c>
      <c r="R35" s="874" t="str">
        <f ca="1"/>
        <v>DDD</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1</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4</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0</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3</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5">
        <f ca="1"/>
        <v>45932</v>
      </c>
      <c r="C36" s="89" vm="126">
        <f ca="1"/>
        <v>232.1</v>
      </c>
      <c r="D36" s="1225">
        <f t="shared" ca="1" si="0"/>
        <v>1.8876207199297553E-2</v>
      </c>
      <c r="E36" s="294" t="str" cm="1">
        <f t="array" aca="1" ref="E36" ca="1">_xlfn.IFS(D36&gt;ZPercent,"U",D36&lt;=-ZPercent,"D",TRUE,"Z")</f>
        <v>U</v>
      </c>
      <c r="F36" s="294" t="str">
        <f t="shared" ca="1" si="1"/>
        <v>ZU</v>
      </c>
      <c r="G36" s="294" t="str">
        <f t="shared" ca="1" si="2"/>
        <v>UZU</v>
      </c>
      <c r="H36" s="874" t="str">
        <f t="shared" ca="1" si="3"/>
        <v/>
      </c>
      <c r="J36" s="89" vm="127">
        <f ca="1"/>
        <v>45702</v>
      </c>
      <c r="K36" s="89" vm="128">
        <f ca="1"/>
        <v>276.95</v>
      </c>
      <c r="N36" s="874" t="str">
        <f ca="1">IF(F36=[2]Sheet1!O34,"","dif")</f>
        <v>dif</v>
      </c>
      <c r="R36" s="874" t="str">
        <f ca="1"/>
        <v>UZZ</v>
      </c>
      <c r="S36" s="874" cm="1">
        <f t="array" aca="1" ref="S36" ca="1">SUM( ($G$7:$G$212=$R36) * ($G$6:$G$211=S$9) )</f>
        <v>0</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1</v>
      </c>
      <c r="AP36" s="874" cm="1">
        <f t="array" aca="1" ref="AP36" ca="1">SUM( ($G$7:$G$212=$R36) * ($G$6:$G$211=AP$9) )</f>
        <v>2</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9">
        <f ca="1"/>
        <v>45931</v>
      </c>
      <c r="C37" s="89" vm="130">
        <f ca="1"/>
        <v>227.8</v>
      </c>
      <c r="D37" s="1225">
        <f t="shared" ca="1" si="0"/>
        <v>-4.387889425186236E-4</v>
      </c>
      <c r="E37" s="294" t="str" cm="1">
        <f t="array" aca="1" ref="E37" ca="1">_xlfn.IFS(D37&gt;ZPercent,"U",D37&lt;=-ZPercent,"D",TRUE,"Z")</f>
        <v>Z</v>
      </c>
      <c r="F37" s="294" t="str">
        <f t="shared" ca="1" si="1"/>
        <v>UZ</v>
      </c>
      <c r="G37" s="294" t="str">
        <f t="shared" ca="1" si="2"/>
        <v>ZUZ</v>
      </c>
      <c r="H37" s="874" t="str">
        <f t="shared" ca="1" si="3"/>
        <v/>
      </c>
      <c r="J37" s="89" vm="131">
        <f ca="1"/>
        <v>45705</v>
      </c>
      <c r="K37" s="89" vm="132">
        <f ca="1"/>
        <v>280.10000000000002</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3">
        <f ca="1"/>
        <v>45930</v>
      </c>
      <c r="C38" s="89" vm="134">
        <f ca="1"/>
        <v>227.9</v>
      </c>
      <c r="D38" s="1225">
        <f t="shared" ca="1" si="0"/>
        <v>1.0418975836843246E-2</v>
      </c>
      <c r="E38" s="294" t="str" cm="1">
        <f t="array" aca="1" ref="E38" ca="1">_xlfn.IFS(D38&gt;ZPercent,"U",D38&lt;=-ZPercent,"D",TRUE,"Z")</f>
        <v>U</v>
      </c>
      <c r="F38" s="294" t="str">
        <f t="shared" ca="1" si="1"/>
        <v>ZU</v>
      </c>
      <c r="G38" s="294" t="str">
        <f t="shared" ca="1" si="2"/>
        <v>ZZU</v>
      </c>
      <c r="H38" s="874" t="str">
        <f t="shared" ca="1" si="3"/>
        <v/>
      </c>
      <c r="J38" s="89" vm="135">
        <f ca="1"/>
        <v>45706</v>
      </c>
      <c r="K38" s="89" vm="116">
        <f ca="1"/>
        <v>278.35000000000002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45929</v>
      </c>
      <c r="C39" s="89" vm="137">
        <f ca="1"/>
        <v>225.55</v>
      </c>
      <c r="D39" s="1225">
        <f t="shared" ca="1" si="0"/>
        <v>1.7765933821896765E-3</v>
      </c>
      <c r="E39" s="294" t="str" cm="1">
        <f t="array" aca="1" ref="E39" ca="1">_xlfn.IFS(D39&gt;ZPercent,"U",D39&lt;=-ZPercent,"D",TRUE,"Z")</f>
        <v>Z</v>
      </c>
      <c r="F39" s="294" t="str">
        <f t="shared" ca="1" si="1"/>
        <v>ZZ</v>
      </c>
      <c r="G39" s="294" t="str">
        <f t="shared" ca="1" si="2"/>
        <v>DZZ</v>
      </c>
      <c r="H39" s="874" t="str">
        <f t="shared" ca="1" si="3"/>
        <v/>
      </c>
      <c r="J39" s="89" vm="138">
        <f ca="1"/>
        <v>45707</v>
      </c>
      <c r="K39" s="89" vm="139">
        <f ca="1"/>
        <v>276.3</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45926</v>
      </c>
      <c r="C40" s="89" vm="141">
        <f ca="1"/>
        <v>225.15</v>
      </c>
      <c r="D40" s="1225">
        <f t="shared" ca="1" si="0"/>
        <v>-2.2202486678500421E-4</v>
      </c>
      <c r="E40" s="294" t="str" cm="1">
        <f t="array" aca="1" ref="E40" ca="1">_xlfn.IFS(D40&gt;ZPercent,"U",D40&lt;=-ZPercent,"D",TRUE,"Z")</f>
        <v>Z</v>
      </c>
      <c r="F40" s="294" t="str">
        <f t="shared" ca="1" si="1"/>
        <v>DZ</v>
      </c>
      <c r="G40" s="294" t="str">
        <f t="shared" ca="1" si="2"/>
        <v>UDZ</v>
      </c>
      <c r="H40" s="874" t="str">
        <f t="shared" ca="1" si="3"/>
        <v/>
      </c>
      <c r="J40" s="89" vm="142">
        <f ca="1"/>
        <v>45708</v>
      </c>
      <c r="K40" s="89" vm="143">
        <f ca="1"/>
        <v>274.95</v>
      </c>
      <c r="N40" s="874" t="str">
        <f ca="1">IF(F40=[2]Sheet1!O38,"","dif")</f>
        <v>dif</v>
      </c>
    </row>
    <row r="41" spans="2:130" ht="23" thickBot="1" x14ac:dyDescent="0.35">
      <c r="B41" s="89" vm="144">
        <f ca="1"/>
        <v>45925</v>
      </c>
      <c r="C41" s="89" vm="145">
        <f ca="1"/>
        <v>225.2</v>
      </c>
      <c r="D41" s="1225">
        <f t="shared" ca="1" si="0"/>
        <v>-1.2280701754386015E-2</v>
      </c>
      <c r="E41" s="294" t="str" cm="1">
        <f t="array" aca="1" ref="E41" ca="1">_xlfn.IFS(D41&gt;ZPercent,"U",D41&lt;=-ZPercent,"D",TRUE,"Z")</f>
        <v>D</v>
      </c>
      <c r="F41" s="294" t="str">
        <f t="shared" ca="1" si="1"/>
        <v>UD</v>
      </c>
      <c r="G41" s="294" t="str">
        <f t="shared" ca="1" si="2"/>
        <v>UUD</v>
      </c>
      <c r="H41" s="874" t="str">
        <f t="shared" ca="1" si="3"/>
        <v/>
      </c>
      <c r="J41" s="89" vm="146">
        <f ca="1"/>
        <v>45709</v>
      </c>
      <c r="K41" s="89" vm="147">
        <f ca="1"/>
        <v>273.60000000000002</v>
      </c>
      <c r="N41" s="874" t="str">
        <f ca="1">IF(F41=[2]Sheet1!O39,"","dif")</f>
        <v>dif</v>
      </c>
      <c r="Q41" s="926" t="s">
        <v>2664</v>
      </c>
    </row>
    <row r="42" spans="2:130" ht="23" thickBot="1" x14ac:dyDescent="0.35">
      <c r="B42" s="89" vm="148">
        <f ca="1"/>
        <v>45924</v>
      </c>
      <c r="C42" s="89" vm="149">
        <f ca="1"/>
        <v>228</v>
      </c>
      <c r="D42" s="1225">
        <f t="shared" ca="1" si="0"/>
        <v>7.9575596816976631E-3</v>
      </c>
      <c r="E42" s="294" t="str" cm="1">
        <f t="array" aca="1" ref="E42" ca="1">_xlfn.IFS(D42&gt;ZPercent,"U",D42&lt;=-ZPercent,"D",TRUE,"Z")</f>
        <v>U</v>
      </c>
      <c r="F42" s="294" t="str">
        <f t="shared" ca="1" si="1"/>
        <v>UU</v>
      </c>
      <c r="G42" s="294" t="str">
        <f t="shared" ca="1" si="2"/>
        <v>DUU</v>
      </c>
      <c r="H42" s="874" t="str">
        <f t="shared" ca="1" si="3"/>
        <v/>
      </c>
      <c r="J42" s="89" vm="150">
        <f ca="1"/>
        <v>45712</v>
      </c>
      <c r="K42" s="89" vm="151">
        <f ca="1"/>
        <v>274.3</v>
      </c>
      <c r="N42" s="874" t="str">
        <f ca="1">IF(F42=[2]Sheet1!O40,"","dif")</f>
        <v>dif</v>
      </c>
      <c r="P42" s="893" t="str">
        <f>J3</f>
        <v>SAP</v>
      </c>
      <c r="Q42" s="893" t="str">
        <f ca="1">LastMark3</f>
        <v>UZD</v>
      </c>
      <c r="R42" s="1213" t="s">
        <v>1669</v>
      </c>
      <c r="S42" s="1214" t="s">
        <v>1670</v>
      </c>
      <c r="CQ42" s="926" t="s">
        <v>2664</v>
      </c>
    </row>
    <row r="43" spans="2:130" ht="23" thickBot="1" x14ac:dyDescent="0.35">
      <c r="B43" s="89" vm="152">
        <f ca="1"/>
        <v>45923</v>
      </c>
      <c r="C43" s="89" vm="153">
        <f ca="1"/>
        <v>226.2</v>
      </c>
      <c r="D43" s="1225">
        <f t="shared" ca="1" si="0"/>
        <v>6.6755674232309749E-3</v>
      </c>
      <c r="E43" s="294" t="str" cm="1">
        <f t="array" aca="1" ref="E43" ca="1">_xlfn.IFS(D43&gt;ZPercent,"U",D43&lt;=-ZPercent,"D",TRUE,"Z")</f>
        <v>U</v>
      </c>
      <c r="F43" s="294" t="str">
        <f t="shared" ca="1" si="1"/>
        <v>DU</v>
      </c>
      <c r="G43" s="294" t="str">
        <f t="shared" ca="1" si="2"/>
        <v>DDU</v>
      </c>
      <c r="H43" s="874" t="str">
        <f t="shared" ca="1" si="3"/>
        <v/>
      </c>
      <c r="J43" s="89" vm="154">
        <f ca="1"/>
        <v>45713</v>
      </c>
      <c r="K43" s="89" vm="155">
        <f ca="1"/>
        <v>272.39999999999998</v>
      </c>
      <c r="N43" s="874" t="str">
        <f ca="1">IF(F43=[2]Sheet1!O41,"","dif")</f>
        <v>dif</v>
      </c>
      <c r="P43" s="926" t="s">
        <v>2723</v>
      </c>
      <c r="Q43" s="1307" t="str">
        <f ca="1">RIGHT(Q42,2)&amp;"U"</f>
        <v>ZDU</v>
      </c>
      <c r="R43" s="1211">
        <f ca="1">IFERROR(_xlfn.MINIFS(S48:AT75, S48:AT75, "&gt;0", S48:AT75, "&lt;1"), "")</f>
        <v>1.8181818181818181E-2</v>
      </c>
      <c r="S43" s="1212">
        <f ca="1">IFERROR(_xlfn.MAXIFS(S48:AT75, S48:AT75, "&gt;0", S48:AT75, "&lt;1"), "")</f>
        <v>0.55555555555555558</v>
      </c>
      <c r="CP43" s="893" t="str">
        <f>B2</f>
        <v>SAP</v>
      </c>
      <c r="CQ43" s="893" t="str">
        <f ca="1">LastMark3</f>
        <v>UZD</v>
      </c>
      <c r="CR43" s="1213" t="s">
        <v>1669</v>
      </c>
      <c r="CS43" s="1214" t="s">
        <v>1670</v>
      </c>
    </row>
    <row r="44" spans="2:130" ht="23" thickBot="1" x14ac:dyDescent="0.35">
      <c r="B44" s="89" vm="156">
        <f ca="1"/>
        <v>45922</v>
      </c>
      <c r="C44" s="89" vm="157">
        <f ca="1"/>
        <v>224.7</v>
      </c>
      <c r="D44" s="1225">
        <f t="shared" ca="1" si="0"/>
        <v>-1.2524719841793111E-2</v>
      </c>
      <c r="E44" s="294" t="str" cm="1">
        <f t="array" aca="1" ref="E44" ca="1">_xlfn.IFS(D44&gt;ZPercent,"U",D44&lt;=-ZPercent,"D",TRUE,"Z")</f>
        <v>D</v>
      </c>
      <c r="F44" s="294" t="str">
        <f t="shared" ca="1" si="1"/>
        <v>DD</v>
      </c>
      <c r="G44" s="294" t="str">
        <f t="shared" ca="1" si="2"/>
        <v>UDD</v>
      </c>
      <c r="H44" s="874" t="str">
        <f t="shared" ca="1" si="3"/>
        <v/>
      </c>
      <c r="J44" s="89" vm="158">
        <f ca="1"/>
        <v>45714</v>
      </c>
      <c r="K44" s="89" vm="159">
        <f ca="1"/>
        <v>275.2</v>
      </c>
      <c r="N44" s="874" t="str">
        <f ca="1">IF(F44=[2]Sheet1!O42,"","dif")</f>
        <v>dif</v>
      </c>
      <c r="O44" s="1216"/>
      <c r="P44" s="1306" t="str">
        <f ca="1">IF(UpPercent=0,"No "&amp;RIGHT(NewMark,2)&amp;"U","Up")</f>
        <v>Up</v>
      </c>
      <c r="Q44" s="1313">
        <f ca="1">MAX(P48:P74)</f>
        <v>0.22222222222222221</v>
      </c>
      <c r="CP44" s="926" t="s">
        <v>2723</v>
      </c>
      <c r="CQ44" s="1307" t="str">
        <f ca="1">RIGHT(CQ43,2)&amp;"U"</f>
        <v>ZDU</v>
      </c>
      <c r="CR44" s="1211">
        <f ca="1">IFERROR(_xlfn.MINIFS(CS48:DT75, CS48:DT75, "&gt;0", CS48:DT75, "&lt;1"), "")</f>
        <v>1.5873015873015872E-2</v>
      </c>
      <c r="CS44" s="1212">
        <f ca="1">IFERROR(_xlfn.MAXIFS(CS48:DT75, CS48:DT75, "&gt;0", CS48:DT75, "&lt;1"), "")</f>
        <v>0.1111111111111111</v>
      </c>
    </row>
    <row r="45" spans="2:130" ht="24" thickTop="1" thickBot="1" x14ac:dyDescent="0.35">
      <c r="B45" s="89" vm="160">
        <f ca="1"/>
        <v>45919</v>
      </c>
      <c r="C45" s="89" vm="161">
        <f ca="1"/>
        <v>227.55</v>
      </c>
      <c r="D45" s="1225">
        <f t="shared" ca="1" si="0"/>
        <v>-8.4967320261437416E-3</v>
      </c>
      <c r="E45" s="294" t="str" cm="1">
        <f t="array" aca="1" ref="E45" ca="1">_xlfn.IFS(D45&gt;ZPercent,"U",D45&lt;=-ZPercent,"D",TRUE,"Z")</f>
        <v>D</v>
      </c>
      <c r="F45" s="294" t="str">
        <f t="shared" ca="1" si="1"/>
        <v>UD</v>
      </c>
      <c r="G45" s="294" t="str">
        <f t="shared" ca="1" si="2"/>
        <v>UUD</v>
      </c>
      <c r="H45" s="874" t="str">
        <f t="shared" ca="1" si="3"/>
        <v/>
      </c>
      <c r="J45" s="89" vm="162">
        <f ca="1"/>
        <v>45715</v>
      </c>
      <c r="K45" s="89" vm="163">
        <f ca="1"/>
        <v>267.5</v>
      </c>
      <c r="N45" s="874" t="str">
        <f ca="1">IF(F45=[2]Sheet1!O43,"","dif")</f>
        <v>dif</v>
      </c>
      <c r="O45" s="1216"/>
      <c r="CP45" s="1306" t="str">
        <f ca="1">IF(CQ45=0,"No "&amp;RIGHT(CQ43,2)&amp;"U","Up")</f>
        <v>No ZDU</v>
      </c>
      <c r="CQ45" s="1313">
        <f ca="1">MAX(CP48:CP74)</f>
        <v>0</v>
      </c>
    </row>
    <row r="46" spans="2:130" ht="24" thickTop="1" thickBot="1" x14ac:dyDescent="0.35">
      <c r="B46" s="89" vm="164">
        <f ca="1"/>
        <v>45918</v>
      </c>
      <c r="C46" s="89" vm="165">
        <f ca="1"/>
        <v>229.5</v>
      </c>
      <c r="D46" s="1225">
        <f t="shared" ca="1" si="0"/>
        <v>5.4203031694993166E-2</v>
      </c>
      <c r="E46" s="294" t="str" cm="1">
        <f t="array" aca="1" ref="E46" ca="1">_xlfn.IFS(D46&gt;ZPercent,"U",D46&lt;=-ZPercent,"D",TRUE,"Z")</f>
        <v>U</v>
      </c>
      <c r="F46" s="294" t="str">
        <f t="shared" ca="1" si="1"/>
        <v>UU</v>
      </c>
      <c r="G46" s="294" t="str">
        <f t="shared" ca="1" si="2"/>
        <v>DUU</v>
      </c>
      <c r="H46" s="874" t="str">
        <f t="shared" ca="1" si="3"/>
        <v/>
      </c>
      <c r="J46" s="89" vm="166">
        <f ca="1"/>
        <v>45716</v>
      </c>
      <c r="K46" s="89" vm="167">
        <f ca="1"/>
        <v>265.3</v>
      </c>
      <c r="N46" s="874" t="str">
        <f ca="1">IF(F46=[2]Sheet1!O44,"","dif")</f>
        <v>dif</v>
      </c>
      <c r="O46" s="1216"/>
    </row>
    <row r="47" spans="2:130" ht="23" thickBot="1" x14ac:dyDescent="0.35">
      <c r="B47" s="89" vm="168">
        <f ca="1"/>
        <v>45917</v>
      </c>
      <c r="C47" s="89" vm="169">
        <f ca="1"/>
        <v>217.7</v>
      </c>
      <c r="D47" s="1225">
        <f t="shared" ca="1" si="0"/>
        <v>3.1998103816070163E-2</v>
      </c>
      <c r="E47" s="294" t="str" cm="1">
        <f t="array" aca="1" ref="E47" ca="1">_xlfn.IFS(D47&gt;ZPercent,"U",D47&lt;=-ZPercent,"D",TRUE,"Z")</f>
        <v>U</v>
      </c>
      <c r="F47" s="294" t="str">
        <f t="shared" ca="1" si="1"/>
        <v>DU</v>
      </c>
      <c r="G47" s="294" t="str">
        <f t="shared" ca="1" si="2"/>
        <v>DDU</v>
      </c>
      <c r="H47" s="874" t="str">
        <f t="shared" ca="1" si="3"/>
        <v/>
      </c>
      <c r="J47" s="89" vm="170">
        <f ca="1"/>
        <v>45719</v>
      </c>
      <c r="K47" s="89" vm="171">
        <f ca="1"/>
        <v>271.55</v>
      </c>
      <c r="N47" s="874" t="str">
        <f ca="1">IF(F47=[2]Sheet1!O45,"","dif")</f>
        <v>dif</v>
      </c>
      <c r="O47" s="1216"/>
      <c r="Q47" s="1320">
        <f ca="1">SUM(Q48:Q75)</f>
        <v>946</v>
      </c>
      <c r="R47" s="1317">
        <f ca="1">ROWS(_xlfn.UNIQUE(G5:G157))</f>
        <v>27</v>
      </c>
      <c r="S47" s="1252" t="str">
        <f t="shared" ref="S47:AR47" ca="1" si="4">S9</f>
        <v>UZD</v>
      </c>
      <c r="T47" s="1232" t="str">
        <f t="shared" ca="1" si="4"/>
        <v>ZUZ</v>
      </c>
      <c r="U47" s="1232" t="str">
        <f t="shared" ca="1" si="4"/>
        <v>ZZU</v>
      </c>
      <c r="V47" s="1232" t="str">
        <f t="shared" ca="1" si="4"/>
        <v>DZZ</v>
      </c>
      <c r="W47" s="1232" t="str">
        <f t="shared" ca="1" si="4"/>
        <v>DDZ</v>
      </c>
      <c r="X47" s="1232" t="str">
        <f t="shared" ca="1" si="4"/>
        <v>UDD</v>
      </c>
      <c r="Y47" s="1232" t="str">
        <f t="shared" ca="1" si="4"/>
        <v>DUD</v>
      </c>
      <c r="Z47" s="1232" t="str">
        <f t="shared" ca="1" si="4"/>
        <v>UDU</v>
      </c>
      <c r="AA47" s="1232" t="str">
        <f t="shared" ca="1" si="4"/>
        <v>DDU</v>
      </c>
      <c r="AB47" s="1232" t="str">
        <f t="shared" ca="1" si="4"/>
        <v>UUD</v>
      </c>
      <c r="AC47" s="1232" t="str">
        <f t="shared" ca="1" si="4"/>
        <v>DUU</v>
      </c>
      <c r="AD47" s="1232" t="str">
        <f t="shared" ca="1" si="4"/>
        <v>ZDU</v>
      </c>
      <c r="AE47" s="1232" t="str">
        <f t="shared" ca="1" si="4"/>
        <v>UUZ</v>
      </c>
      <c r="AF47" s="1232" t="str">
        <f t="shared" ca="1" si="4"/>
        <v>ZUU</v>
      </c>
      <c r="AG47" s="1232" t="str">
        <f t="shared" ca="1" si="4"/>
        <v>DZU</v>
      </c>
      <c r="AH47" s="1232" t="str">
        <f t="shared" ca="1" si="4"/>
        <v>ZDZ</v>
      </c>
      <c r="AI47" s="1232" t="str">
        <f t="shared" ca="1" si="4"/>
        <v>UUU</v>
      </c>
      <c r="AJ47" s="1232" t="str">
        <f t="shared" ca="1" si="4"/>
        <v>ZUD</v>
      </c>
      <c r="AK47" s="1232" t="str">
        <f t="shared" ca="1" si="4"/>
        <v>UZU</v>
      </c>
      <c r="AL47" s="1232" t="str">
        <f t="shared" ca="1" si="4"/>
        <v>UDZ</v>
      </c>
      <c r="AM47" s="1232" t="str">
        <f t="shared" ca="1" si="4"/>
        <v>ZDD</v>
      </c>
      <c r="AN47" s="1232" t="str">
        <f t="shared" ca="1" si="4"/>
        <v>DUZ</v>
      </c>
      <c r="AO47" s="1232" t="str">
        <f t="shared" ca="1" si="4"/>
        <v>ZZZ</v>
      </c>
      <c r="AP47" s="1232" t="str">
        <f t="shared" ca="1" si="4"/>
        <v>ZZD</v>
      </c>
      <c r="AQ47" s="1232" t="str">
        <f t="shared" ca="1" si="4"/>
        <v>DZD</v>
      </c>
      <c r="AR47" s="1232" t="str">
        <f t="shared" ca="1" si="4"/>
        <v>DDD</v>
      </c>
      <c r="AS47" s="1232"/>
      <c r="AT47" s="1232"/>
      <c r="AU47" s="1232"/>
      <c r="AV47" s="1232"/>
      <c r="AW47" s="1232"/>
      <c r="AX47" s="1232"/>
      <c r="CP47" s="1323" t="s">
        <v>2726</v>
      </c>
      <c r="CQ47" s="1215">
        <f ca="1">SUM(CQ48:CQ75)</f>
        <v>95</v>
      </c>
      <c r="CR47" s="1170">
        <f ca="1">ROWS(_xlfn.UNIQUE(AH9:AH153))</f>
        <v>12</v>
      </c>
      <c r="CS47" s="1232" t="str">
        <f ca="1">CS9</f>
        <v>UZD</v>
      </c>
      <c r="CT47" s="1232" t="str">
        <f t="shared" ref="CT47:DZ47" ca="1" si="5">CT9</f>
        <v>ZUZ</v>
      </c>
      <c r="CU47" s="1232" t="str">
        <f t="shared" ca="1" si="5"/>
        <v>ZZU</v>
      </c>
      <c r="CV47" s="1232" t="str">
        <f t="shared" ca="1" si="5"/>
        <v>DZZ</v>
      </c>
      <c r="CW47" s="1232" t="str">
        <f t="shared" ca="1" si="5"/>
        <v>DDZ</v>
      </c>
      <c r="CX47" s="1232" t="str">
        <f t="shared" ca="1" si="5"/>
        <v>UDD</v>
      </c>
      <c r="CY47" s="1232" t="str">
        <f t="shared" ca="1" si="5"/>
        <v>DUD</v>
      </c>
      <c r="CZ47" s="1232" t="str">
        <f t="shared" ca="1" si="5"/>
        <v>UDU</v>
      </c>
      <c r="DA47" s="1232" t="str">
        <f t="shared" ca="1" si="5"/>
        <v>DDU</v>
      </c>
      <c r="DB47" s="1232" t="str">
        <f t="shared" ca="1" si="5"/>
        <v>UUD</v>
      </c>
      <c r="DC47" s="1232" t="str">
        <f t="shared" ca="1" si="5"/>
        <v>DUU</v>
      </c>
      <c r="DD47" s="1232" t="str">
        <f t="shared" ca="1" si="5"/>
        <v>ZDU</v>
      </c>
      <c r="DE47" s="1232" t="str">
        <f t="shared" ca="1" si="5"/>
        <v>UUZ</v>
      </c>
      <c r="DF47" s="1232" t="str">
        <f t="shared" ca="1" si="5"/>
        <v>ZUU</v>
      </c>
      <c r="DG47" s="1232" t="str">
        <f t="shared" ca="1" si="5"/>
        <v>DZU</v>
      </c>
      <c r="DH47" s="1232" t="str">
        <f t="shared" ca="1" si="5"/>
        <v>ZDZ</v>
      </c>
      <c r="DI47" s="1232" t="str">
        <f t="shared" ca="1" si="5"/>
        <v>UUU</v>
      </c>
      <c r="DJ47" s="1232" t="str">
        <f t="shared" ca="1" si="5"/>
        <v>ZUD</v>
      </c>
      <c r="DK47" s="1232" t="str">
        <f t="shared" ca="1" si="5"/>
        <v>UZU</v>
      </c>
      <c r="DL47" s="1232" t="str">
        <f t="shared" ca="1" si="5"/>
        <v>UDZ</v>
      </c>
      <c r="DM47" s="1232" t="str">
        <f t="shared" ca="1" si="5"/>
        <v>ZDD</v>
      </c>
      <c r="DN47" s="1232" t="str">
        <f t="shared" ca="1" si="5"/>
        <v>DUZ</v>
      </c>
      <c r="DO47" s="1232" t="str">
        <f t="shared" ca="1" si="5"/>
        <v>ZZZ</v>
      </c>
      <c r="DP47" s="1232" t="str">
        <f t="shared" ca="1" si="5"/>
        <v>ZZD</v>
      </c>
      <c r="DQ47" s="1232" t="str">
        <f t="shared" ca="1" si="5"/>
        <v>DZD</v>
      </c>
      <c r="DR47" s="1232" t="str">
        <f t="shared" ca="1" si="5"/>
        <v>DDD</v>
      </c>
      <c r="DS47" s="1232" t="str">
        <f t="shared" ca="1" si="5"/>
        <v>UZZ</v>
      </c>
      <c r="DT47" s="1232">
        <f t="shared" ca="1" si="5"/>
        <v>0</v>
      </c>
      <c r="DU47" s="1232">
        <f t="shared" ca="1" si="5"/>
        <v>0</v>
      </c>
      <c r="DV47" s="1232">
        <f t="shared" ca="1" si="5"/>
        <v>0</v>
      </c>
      <c r="DW47" s="1232">
        <f t="shared" ca="1" si="5"/>
        <v>0</v>
      </c>
      <c r="DX47" s="1232">
        <f t="shared" ca="1" si="5"/>
        <v>0</v>
      </c>
      <c r="DY47" s="1232" t="str">
        <f t="shared" ca="1" si="5"/>
        <v>Min</v>
      </c>
      <c r="DZ47" s="1451">
        <f t="shared" ca="1" si="5"/>
        <v>1.8181818181818181E-2</v>
      </c>
    </row>
    <row r="48" spans="2:130" ht="23" thickTop="1" x14ac:dyDescent="0.3">
      <c r="B48" s="89" vm="172">
        <f ca="1"/>
        <v>45916</v>
      </c>
      <c r="C48" s="89" vm="173">
        <f ca="1"/>
        <v>210.95</v>
      </c>
      <c r="D48" s="1225">
        <f t="shared" ca="1" si="0"/>
        <v>-1.7237363149312915E-2</v>
      </c>
      <c r="E48" s="294" t="str" cm="1">
        <f t="array" aca="1" ref="E48" ca="1">_xlfn.IFS(D48&gt;ZPercent,"U",D48&lt;=-ZPercent,"D",TRUE,"Z")</f>
        <v>D</v>
      </c>
      <c r="F48" s="294" t="str">
        <f t="shared" ca="1" si="1"/>
        <v>DD</v>
      </c>
      <c r="G48" s="294" t="str">
        <f t="shared" ca="1" si="2"/>
        <v>UDD</v>
      </c>
      <c r="H48" s="874" t="str">
        <f t="shared" ca="1" si="3"/>
        <v/>
      </c>
      <c r="J48" s="89" vm="174">
        <f ca="1"/>
        <v>45720</v>
      </c>
      <c r="K48" s="89" vm="175">
        <f ca="1"/>
        <v>258.95</v>
      </c>
      <c r="N48" s="874" t="str">
        <f ca="1">IF(F48=[2]Sheet1!O46,"","dif")</f>
        <v>dif</v>
      </c>
      <c r="O48" s="1216"/>
      <c r="P48" s="1208" cm="1">
        <f t="array" aca="1" ref="P48" ca="1">IFERROR(INDEX($S48:$AT48,
       MATCH(TRUE,
             (($R48=Q42)*
              (RIGHT($S$47:$AT$47,3)=NewMUP)*
              ($S48:$AT48&gt;0))&gt;0,
       0)),0)</f>
        <v>0.22222222222222221</v>
      </c>
      <c r="Q48" s="1305">
        <f ca="1">SUM(S10:INDEX(6:6, COLUMN($S10) +$R$47 - 1))</f>
        <v>9</v>
      </c>
      <c r="R48" s="1248" t="str">
        <f t="shared" ref="R48:R73" ca="1" si="6">R10</f>
        <v>UZD</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0.22222222222222221</v>
      </c>
      <c r="AE48" s="1226">
        <f t="shared" ca="1" si="7"/>
        <v>0</v>
      </c>
      <c r="AF48" s="1226">
        <f t="shared" ca="1" si="7"/>
        <v>0</v>
      </c>
      <c r="AG48" s="1226">
        <f t="shared" ca="1" si="7"/>
        <v>0</v>
      </c>
      <c r="AH48" s="1226">
        <f t="shared" ca="1" si="7"/>
        <v>0.22222222222222221</v>
      </c>
      <c r="AI48" s="1226">
        <f t="shared" ca="1" si="7"/>
        <v>0</v>
      </c>
      <c r="AJ48" s="1226">
        <f t="shared" ca="1" si="7"/>
        <v>0</v>
      </c>
      <c r="AK48" s="1226">
        <f t="shared" ca="1" si="7"/>
        <v>0</v>
      </c>
      <c r="AL48" s="1226">
        <f t="shared" ca="1" si="7"/>
        <v>0</v>
      </c>
      <c r="AM48" s="1226">
        <f t="shared" ca="1" si="7"/>
        <v>0.55555555555555558</v>
      </c>
      <c r="AN48" s="1226">
        <f t="shared" ca="1" si="7"/>
        <v>0</v>
      </c>
      <c r="AO48" s="1226">
        <f t="shared" ca="1" si="7"/>
        <v>0</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1</v>
      </c>
      <c r="CR48" s="1217" t="str">
        <f t="shared" ref="CR48:CR64" ca="1" si="8">CR10</f>
        <v>UZD</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0.1111111111111111</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45915</v>
      </c>
      <c r="C49" s="89" vm="177">
        <f ca="1"/>
        <v>214.65</v>
      </c>
      <c r="D49" s="1225">
        <f t="shared" ca="1" si="0"/>
        <v>-2.8293345405160705E-2</v>
      </c>
      <c r="E49" s="294" t="str" cm="1">
        <f t="array" aca="1" ref="E49" ca="1">_xlfn.IFS(D49&gt;ZPercent,"U",D49&lt;=-ZPercent,"D",TRUE,"Z")</f>
        <v>D</v>
      </c>
      <c r="F49" s="294" t="str">
        <f t="shared" ca="1" si="1"/>
        <v>UD</v>
      </c>
      <c r="G49" s="294" t="str">
        <f t="shared" ca="1" si="2"/>
        <v>DUD</v>
      </c>
      <c r="H49" s="874" t="str">
        <f t="shared" ca="1" si="3"/>
        <v/>
      </c>
      <c r="J49" s="89" vm="178">
        <f ca="1"/>
        <v>45721</v>
      </c>
      <c r="K49" s="89" vm="179">
        <f ca="1"/>
        <v>264.7</v>
      </c>
      <c r="N49" s="874" t="str">
        <f ca="1">IF(F49=[2]Sheet1!O47,"","dif")</f>
        <v>dif</v>
      </c>
      <c r="O49" s="1216"/>
      <c r="P49" s="1208" cm="1">
        <f t="array" aca="1" ref="P49" ca="1">IFERROR(INDEX($S49:$AT49,
       MATCH(TRUE,
             (($R49=R42)*
              (RIGHT($S$47:$AT$47,3)=NewMUP)*
              ($S49:$AT49&gt;0))&gt;0,
       0)),0)</f>
        <v>0</v>
      </c>
      <c r="Q49" s="1305">
        <f ca="1">SUM(S11:INDEX(7:7, COLUMN($S11) +$R$47 - 1))</f>
        <v>16</v>
      </c>
      <c r="R49" s="1249" t="str">
        <f t="shared" ca="1" si="6"/>
        <v>ZUZ</v>
      </c>
      <c r="S49" s="1242">
        <f t="shared" ref="S49:AS49" ca="1" si="10">IF(S11=0,0,S11/$Q49)</f>
        <v>0.1875</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0.125</v>
      </c>
      <c r="AL49" s="1243">
        <f t="shared" ca="1" si="10"/>
        <v>0</v>
      </c>
      <c r="AM49" s="1243">
        <f t="shared" ca="1" si="10"/>
        <v>0</v>
      </c>
      <c r="AN49" s="1243">
        <f t="shared" ca="1" si="10"/>
        <v>0</v>
      </c>
      <c r="AO49" s="1243">
        <f t="shared" ca="1" si="10"/>
        <v>0</v>
      </c>
      <c r="AP49" s="1243">
        <f t="shared" ca="1" si="10"/>
        <v>0</v>
      </c>
      <c r="AQ49" s="1243">
        <f t="shared" ca="1" si="10"/>
        <v>0</v>
      </c>
      <c r="AR49" s="1243">
        <f t="shared" ca="1" si="10"/>
        <v>0</v>
      </c>
      <c r="AS49" s="1243">
        <f t="shared" ca="1" si="10"/>
        <v>0.125</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1</v>
      </c>
      <c r="CR49" s="1217" t="str">
        <f t="shared" ca="1" si="8"/>
        <v>ZUZ</v>
      </c>
      <c r="CS49" s="1243">
        <f t="shared" ref="CS49:DW49" ca="1" si="12">IF(CS11=0,0,CS11/$Q49)</f>
        <v>0</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80">
        <f ca="1"/>
        <v>45912</v>
      </c>
      <c r="C50" s="89" vm="181">
        <f ca="1"/>
        <v>220.9</v>
      </c>
      <c r="D50" s="1225">
        <f t="shared" ca="1" si="0"/>
        <v>5.0045495905368257E-3</v>
      </c>
      <c r="E50" s="294" t="str" cm="1">
        <f t="array" aca="1" ref="E50" ca="1">_xlfn.IFS(D50&gt;ZPercent,"U",D50&lt;=-ZPercent,"D",TRUE,"Z")</f>
        <v>U</v>
      </c>
      <c r="F50" s="294" t="str">
        <f t="shared" ca="1" si="1"/>
        <v>DU</v>
      </c>
      <c r="G50" s="294" t="str">
        <f t="shared" ca="1" si="2"/>
        <v>DDU</v>
      </c>
      <c r="H50" s="874" t="str">
        <f t="shared" ca="1" si="3"/>
        <v/>
      </c>
      <c r="J50" s="89" vm="182">
        <f ca="1"/>
        <v>45722</v>
      </c>
      <c r="K50" s="89" vm="183">
        <f ca="1"/>
        <v>261.35000000000002</v>
      </c>
      <c r="N50" s="874" t="str">
        <f ca="1">IF(F50=[2]Sheet1!O48,"","dif")</f>
        <v>dif</v>
      </c>
      <c r="O50" s="1216"/>
      <c r="P50" s="1208" cm="1">
        <f t="array" aca="1" ref="P50" ca="1">IFERROR(INDEX($S50:$AT50,
       MATCH(TRUE,
             (($R50=R43)*
              (RIGHT($S$47:$AT$47,3)=NewMUP)*
              ($S50:$AT50&gt;0))&gt;0,
       0)),0)</f>
        <v>0</v>
      </c>
      <c r="Q50" s="1305">
        <f ca="1">SUM(S12:INDEX(8:8, COLUMN($S12) +$R$47 - 1))</f>
        <v>20</v>
      </c>
      <c r="R50" s="1249" t="str">
        <f t="shared" ca="1" si="6"/>
        <v>ZZU</v>
      </c>
      <c r="S50" s="1242">
        <f t="shared" ref="S50:AS50" ca="1" si="13">IF(S12=0,0,S12/$Q50)</f>
        <v>0</v>
      </c>
      <c r="T50" s="1243">
        <f t="shared" ca="1" si="13"/>
        <v>0.15</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0.05</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0</v>
      </c>
      <c r="AP50" s="1243">
        <f t="shared" ca="1" si="13"/>
        <v>0</v>
      </c>
      <c r="AQ50" s="1243">
        <f t="shared" ca="1" si="13"/>
        <v>0</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2</v>
      </c>
      <c r="CR50" s="1217" t="str">
        <f t="shared" ca="1" si="8"/>
        <v>ZZU</v>
      </c>
      <c r="CS50" s="1243">
        <f t="shared" ref="CS50:DW50" ca="1" si="14">IF(CS12=0,0,CS12/$Q50)</f>
        <v>0</v>
      </c>
      <c r="CT50" s="1243">
        <f t="shared" ca="1" si="14"/>
        <v>0.05</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4">
        <f ca="1"/>
        <v>45911</v>
      </c>
      <c r="C51" s="89" vm="185">
        <f ca="1"/>
        <v>219.8</v>
      </c>
      <c r="D51" s="1225">
        <f t="shared" ca="1" si="0"/>
        <v>-1.7434063477872051E-2</v>
      </c>
      <c r="E51" s="294" t="str" cm="1">
        <f t="array" aca="1" ref="E51" ca="1">_xlfn.IFS(D51&gt;ZPercent,"U",D51&lt;=-ZPercent,"D",TRUE,"Z")</f>
        <v>D</v>
      </c>
      <c r="F51" s="294" t="str">
        <f t="shared" ca="1" si="1"/>
        <v>DD</v>
      </c>
      <c r="G51" s="294" t="str">
        <f t="shared" ca="1" si="2"/>
        <v>ZDD</v>
      </c>
      <c r="H51" s="874" t="str">
        <f t="shared" ca="1" si="3"/>
        <v/>
      </c>
      <c r="J51" s="89" vm="186">
        <f ca="1"/>
        <v>45723</v>
      </c>
      <c r="K51" s="89" vm="187">
        <f ca="1"/>
        <v>254.35</v>
      </c>
      <c r="N51" s="874" t="str">
        <f ca="1">IF(F51=[2]Sheet1!O49,"","dif")</f>
        <v>dif</v>
      </c>
      <c r="O51" s="1216"/>
      <c r="P51" s="1208" cm="1">
        <f t="array" aca="1" ref="P51" ca="1">IFERROR(INDEX($S51:$AT51,
       MATCH(TRUE,
             (($R51=Q47)*
              (RIGHT($S$47:$AT$47,3)=NewMUP)*
              ($S51:$AT51&gt;0))&gt;0,
       0)),0)</f>
        <v>0</v>
      </c>
      <c r="Q51" s="1305">
        <f ca="1">SUM(S13:INDEX(9:9, COLUMN($S13) +$R$47 - 1))</f>
        <v>27</v>
      </c>
      <c r="R51" s="1249" t="str">
        <f t="shared" ca="1" si="6"/>
        <v>DZZ</v>
      </c>
      <c r="S51" s="1242">
        <f t="shared" ref="S51:AS51" ca="1" si="15">IF(S13=0,0,S13/$Q51)</f>
        <v>0</v>
      </c>
      <c r="T51" s="1243">
        <f t="shared" ca="1" si="15"/>
        <v>0</v>
      </c>
      <c r="U51" s="1243">
        <f t="shared" ca="1" si="15"/>
        <v>0.1111111111111111</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0.1111111111111111</v>
      </c>
      <c r="AP51" s="1243">
        <f t="shared" ca="1" si="15"/>
        <v>3.7037037037037035E-2</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3</v>
      </c>
      <c r="CR51" s="1217" t="str">
        <f t="shared" ca="1" si="8"/>
        <v>DZZ</v>
      </c>
      <c r="CS51" s="1243">
        <f t="shared" ref="CS51:DW51" ca="1" si="16">IF(CS13=0,0,CS13/$Q51)</f>
        <v>0</v>
      </c>
      <c r="CT51" s="1243">
        <f t="shared" ca="1" si="16"/>
        <v>0</v>
      </c>
      <c r="CU51" s="1243">
        <f t="shared" ca="1" si="16"/>
        <v>3.7037037037037035E-2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8">
        <f ca="1"/>
        <v>45910</v>
      </c>
      <c r="C52" s="89" vm="189">
        <f ca="1"/>
        <v>223.7</v>
      </c>
      <c r="D52" s="1225">
        <f t="shared" ca="1" si="0"/>
        <v>-2.865827181936614E-2</v>
      </c>
      <c r="E52" s="294" t="str" cm="1">
        <f t="array" aca="1" ref="E52" ca="1">_xlfn.IFS(D52&gt;ZPercent,"U",D52&lt;=-ZPercent,"D",TRUE,"Z")</f>
        <v>D</v>
      </c>
      <c r="F52" s="294" t="str">
        <f t="shared" ca="1" si="1"/>
        <v>ZD</v>
      </c>
      <c r="G52" s="294" t="str">
        <f t="shared" ca="1" si="2"/>
        <v>UZD</v>
      </c>
      <c r="H52" s="874" t="str">
        <f t="shared" ca="1" si="3"/>
        <v>ZZ</v>
      </c>
      <c r="J52" s="89" vm="190">
        <f ca="1"/>
        <v>45726</v>
      </c>
      <c r="K52" s="89" vm="191">
        <f ca="1"/>
        <v>242.2</v>
      </c>
      <c r="N52" s="874" t="str">
        <f ca="1">IF(F52=[2]Sheet1!O50,"","dif")</f>
        <v>dif</v>
      </c>
      <c r="O52" s="1216"/>
      <c r="P52" s="1208" cm="1">
        <f t="array" aca="1" ref="P52" ca="1">IFERROR(INDEX($S52:$AT52,
       MATCH(TRUE,
             (($R52=Q48)*
              (RIGHT($S$47:$AT$47,3)=NewMUP)*
              ($S52:$AT52&gt;0))&gt;0,
       0)),0)</f>
        <v>0</v>
      </c>
      <c r="Q52" s="1305">
        <f ca="1">SUM(S14:INDEX(10:10, COLUMN($S14) +$R$47 - 1))</f>
        <v>34</v>
      </c>
      <c r="R52" s="1249" t="str">
        <f t="shared" ca="1" si="6"/>
        <v>DDZ</v>
      </c>
      <c r="S52" s="1242">
        <f t="shared" ref="S52:AS52" ca="1" si="17">IF(S14=0,0,S14/$Q52)</f>
        <v>0</v>
      </c>
      <c r="T52" s="1243">
        <f t="shared" ca="1" si="17"/>
        <v>0</v>
      </c>
      <c r="U52" s="1243">
        <f t="shared" ca="1" si="17"/>
        <v>0</v>
      </c>
      <c r="V52" s="1243">
        <f t="shared" ca="1" si="17"/>
        <v>0.14705882352941177</v>
      </c>
      <c r="W52" s="1243">
        <f t="shared" ca="1" si="17"/>
        <v>0</v>
      </c>
      <c r="X52" s="1243">
        <f t="shared" ca="1" si="17"/>
        <v>0</v>
      </c>
      <c r="Y52" s="1243">
        <f t="shared" ca="1" si="17"/>
        <v>0</v>
      </c>
      <c r="Z52" s="1243">
        <f t="shared" ca="1" si="17"/>
        <v>0</v>
      </c>
      <c r="AA52" s="1243">
        <f t="shared" ca="1" si="17"/>
        <v>0</v>
      </c>
      <c r="AB52" s="1243">
        <f t="shared" ca="1" si="17"/>
        <v>0</v>
      </c>
      <c r="AC52" s="1243">
        <f t="shared" ca="1" si="17"/>
        <v>0</v>
      </c>
      <c r="AD52" s="1243">
        <f t="shared" ca="1" si="17"/>
        <v>0</v>
      </c>
      <c r="AE52" s="1243">
        <f t="shared" ca="1" si="17"/>
        <v>0</v>
      </c>
      <c r="AF52" s="1243">
        <f t="shared" ca="1" si="17"/>
        <v>0</v>
      </c>
      <c r="AG52" s="1243">
        <f t="shared" ca="1" si="17"/>
        <v>5.8823529411764705E-2</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4</v>
      </c>
      <c r="CR52" s="1217" t="str">
        <f t="shared" ca="1" si="8"/>
        <v>DDZ</v>
      </c>
      <c r="CS52" s="1243">
        <f t="shared" ref="CS52:DW52" ca="1" si="18">IF(CS14=0,0,CS14/$Q52)</f>
        <v>0</v>
      </c>
      <c r="CT52" s="1243">
        <f t="shared" ca="1" si="18"/>
        <v>0</v>
      </c>
      <c r="CU52" s="1243">
        <f t="shared" ca="1" si="18"/>
        <v>0</v>
      </c>
      <c r="CV52" s="1243">
        <f t="shared" ca="1" si="18"/>
        <v>2.9411764705882353E-2</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2">
        <f ca="1"/>
        <v>45909</v>
      </c>
      <c r="C53" s="89" vm="193">
        <f ca="1"/>
        <v>230.3</v>
      </c>
      <c r="D53" s="1225">
        <f t="shared" ca="1" si="0"/>
        <v>-6.5090041223682914E-4</v>
      </c>
      <c r="E53" s="294" t="str" cm="1">
        <f t="array" aca="1" ref="E53" ca="1">_xlfn.IFS(D53&gt;ZPercent,"U",D53&lt;=-ZPercent,"D",TRUE,"Z")</f>
        <v>Z</v>
      </c>
      <c r="F53" s="294" t="str">
        <f t="shared" ca="1" si="1"/>
        <v>UZ</v>
      </c>
      <c r="G53" s="294" t="str">
        <f t="shared" ca="1" si="2"/>
        <v>DUZ</v>
      </c>
      <c r="H53" s="874" t="str">
        <f t="shared" ca="1" si="3"/>
        <v/>
      </c>
      <c r="J53" s="89" vm="194">
        <f ca="1"/>
        <v>45727</v>
      </c>
      <c r="K53" s="89" vm="195">
        <f ca="1"/>
        <v>238.65</v>
      </c>
      <c r="N53" s="874" t="str">
        <f ca="1">IF(F53=[2]Sheet1!O51,"","dif")</f>
        <v>dif</v>
      </c>
      <c r="O53" s="1216"/>
      <c r="P53" s="1208" cm="1">
        <f t="array" aca="1" ref="P53" ca="1">IFERROR(INDEX($S53:$AT53,
       MATCH(TRUE,
             (($R53=Q49)*
              (RIGHT($S$47:$AT$47,3)=NewMUP)*
              ($S53:$AT53&gt;0))&gt;0,
       0)),0)</f>
        <v>0</v>
      </c>
      <c r="Q53" s="1305">
        <f ca="1">SUM(S15:INDEX(11:11, COLUMN($S15) +$R$47 - 1))</f>
        <v>36</v>
      </c>
      <c r="R53" s="1249" t="str">
        <f t="shared" ca="1" si="6"/>
        <v>UDD</v>
      </c>
      <c r="S53" s="1242">
        <f t="shared" ref="S53:AS53" ca="1" si="19">IF(S15=0,0,S15/$Q53)</f>
        <v>0</v>
      </c>
      <c r="T53" s="1243">
        <f t="shared" ca="1" si="19"/>
        <v>0</v>
      </c>
      <c r="U53" s="1243">
        <f t="shared" ca="1" si="19"/>
        <v>0</v>
      </c>
      <c r="V53" s="1243">
        <f t="shared" ca="1" si="19"/>
        <v>0</v>
      </c>
      <c r="W53" s="1243">
        <f t="shared" ca="1" si="19"/>
        <v>0.1111111111111111</v>
      </c>
      <c r="X53" s="1243">
        <f t="shared" ca="1" si="19"/>
        <v>0</v>
      </c>
      <c r="Y53" s="1243">
        <f t="shared" ca="1" si="19"/>
        <v>0</v>
      </c>
      <c r="Z53" s="1243">
        <f t="shared" ca="1" si="19"/>
        <v>0</v>
      </c>
      <c r="AA53" s="1243">
        <f t="shared" ca="1" si="19"/>
        <v>0.1111111111111111</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8.3333333333333329E-2</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5</v>
      </c>
      <c r="CR53" s="1217" t="str">
        <f t="shared" ca="1" si="8"/>
        <v>UDD</v>
      </c>
      <c r="CS53" s="1243">
        <f t="shared" ref="CS53:DW53" ca="1" si="20">IF(CS15=0,0,CS15/$Q53)</f>
        <v>0</v>
      </c>
      <c r="CT53" s="1243">
        <f t="shared" ca="1" si="20"/>
        <v>0</v>
      </c>
      <c r="CU53" s="1243">
        <f t="shared" ca="1" si="20"/>
        <v>0</v>
      </c>
      <c r="CV53" s="1243">
        <f t="shared" ca="1" si="20"/>
        <v>0</v>
      </c>
      <c r="CW53" s="1243">
        <f t="shared" ca="1" si="20"/>
        <v>2.7777777777777776E-2</v>
      </c>
      <c r="CX53" s="1243">
        <f t="shared" ca="1" si="20"/>
        <v>0</v>
      </c>
      <c r="CY53" s="1243">
        <f t="shared" ca="1" si="20"/>
        <v>0</v>
      </c>
      <c r="CZ53" s="1243">
        <f t="shared" ca="1" si="20"/>
        <v>0</v>
      </c>
      <c r="DA53" s="1243">
        <f t="shared" ca="1" si="20"/>
        <v>2.7777777777777776E-2</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6">
        <f ca="1"/>
        <v>45908</v>
      </c>
      <c r="C54" s="89" vm="197">
        <f ca="1"/>
        <v>230.45</v>
      </c>
      <c r="D54" s="1225">
        <f t="shared" ca="1" si="0"/>
        <v>9.6385542168674204E-3</v>
      </c>
      <c r="E54" s="294" t="str" cm="1">
        <f t="array" aca="1" ref="E54" ca="1">_xlfn.IFS(D54&gt;ZPercent,"U",D54&lt;=-ZPercent,"D",TRUE,"Z")</f>
        <v>U</v>
      </c>
      <c r="F54" s="294" t="str">
        <f t="shared" ca="1" si="1"/>
        <v>DU</v>
      </c>
      <c r="G54" s="294" t="str">
        <f t="shared" ca="1" si="2"/>
        <v>UDU</v>
      </c>
      <c r="H54" s="874" t="str">
        <f t="shared" ca="1" si="3"/>
        <v/>
      </c>
      <c r="J54" s="89" vm="198">
        <f ca="1"/>
        <v>45728</v>
      </c>
      <c r="K54" s="89" vm="199">
        <f ca="1"/>
        <v>242.55</v>
      </c>
      <c r="N54" s="874" t="str">
        <f ca="1">IF(F54=[2]Sheet1!O52,"","dif")</f>
        <v>dif</v>
      </c>
      <c r="O54" s="1216"/>
      <c r="P54" s="1208" cm="1">
        <f t="array" aca="1" ref="P54" ca="1">IFERROR(INDEX($S54:$AT54,
       MATCH(TRUE,
             (($R54=Q50)*
              (RIGHT($S$47:$AT$47,3)=NewMUP)*
              ($S54:$AT54&gt;0))&gt;0,
       0)),0)</f>
        <v>0</v>
      </c>
      <c r="Q54" s="1305">
        <f ca="1">SUM(S16:INDEX(12:12, COLUMN($S16) +$R$47 - 1))</f>
        <v>45</v>
      </c>
      <c r="R54" s="1249" t="str">
        <f t="shared" ca="1" si="6"/>
        <v>DUD</v>
      </c>
      <c r="S54" s="1242">
        <f t="shared" ref="S54:AS54" ca="1" si="21">IF(S16=0,0,S16/$Q54)</f>
        <v>0</v>
      </c>
      <c r="T54" s="1243">
        <f t="shared" ca="1" si="21"/>
        <v>0</v>
      </c>
      <c r="U54" s="1243">
        <f t="shared" ca="1" si="21"/>
        <v>0</v>
      </c>
      <c r="V54" s="1243">
        <f t="shared" ca="1" si="21"/>
        <v>0</v>
      </c>
      <c r="W54" s="1243">
        <f t="shared" ca="1" si="21"/>
        <v>0</v>
      </c>
      <c r="X54" s="1243">
        <f t="shared" ca="1" si="21"/>
        <v>0.15555555555555556</v>
      </c>
      <c r="Y54" s="1243">
        <f t="shared" ca="1" si="21"/>
        <v>0</v>
      </c>
      <c r="Z54" s="1243">
        <f t="shared" ca="1" si="21"/>
        <v>0.2</v>
      </c>
      <c r="AA54" s="1243">
        <f t="shared" ca="1" si="21"/>
        <v>0</v>
      </c>
      <c r="AB54" s="1243">
        <f t="shared" ca="1" si="21"/>
        <v>0</v>
      </c>
      <c r="AC54" s="1243">
        <f t="shared" ca="1" si="21"/>
        <v>0</v>
      </c>
      <c r="AD54" s="1243">
        <f t="shared" ca="1" si="21"/>
        <v>0</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10</v>
      </c>
      <c r="CR54" s="1217" t="str">
        <f t="shared" ca="1" si="8"/>
        <v>DUD</v>
      </c>
      <c r="CS54" s="1243">
        <f t="shared" ref="CS54:DW54" ca="1" si="22">IF(CS16=0,0,CS16/$Q54)</f>
        <v>0</v>
      </c>
      <c r="CT54" s="1243">
        <f t="shared" ca="1" si="22"/>
        <v>0</v>
      </c>
      <c r="CU54" s="1243">
        <f t="shared" ca="1" si="22"/>
        <v>0</v>
      </c>
      <c r="CV54" s="1243">
        <f t="shared" ca="1" si="22"/>
        <v>0</v>
      </c>
      <c r="CW54" s="1243">
        <f t="shared" ca="1" si="22"/>
        <v>0</v>
      </c>
      <c r="CX54" s="1243">
        <f t="shared" ca="1" si="22"/>
        <v>4.4444444444444446E-2</v>
      </c>
      <c r="CY54" s="1243">
        <f t="shared" ca="1" si="22"/>
        <v>0</v>
      </c>
      <c r="CZ54" s="1243">
        <f t="shared" ca="1" si="22"/>
        <v>6.6666666666666666E-2</v>
      </c>
      <c r="DA54" s="1243">
        <f t="shared" ca="1" si="22"/>
        <v>0</v>
      </c>
      <c r="DB54" s="1243">
        <f t="shared" ca="1" si="22"/>
        <v>0</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200">
        <f ca="1"/>
        <v>45905</v>
      </c>
      <c r="C55" s="89" vm="201">
        <f ca="1"/>
        <v>228.25</v>
      </c>
      <c r="D55" s="1225">
        <f t="shared" ca="1" si="0"/>
        <v>-2.1226415094339576E-2</v>
      </c>
      <c r="E55" s="294" t="str" cm="1">
        <f t="array" aca="1" ref="E55" ca="1">_xlfn.IFS(D55&gt;ZPercent,"U",D55&lt;=-ZPercent,"D",TRUE,"Z")</f>
        <v>D</v>
      </c>
      <c r="F55" s="294" t="str">
        <f t="shared" ca="1" si="1"/>
        <v>UD</v>
      </c>
      <c r="G55" s="294" t="str">
        <f t="shared" ca="1" si="2"/>
        <v>UUD</v>
      </c>
      <c r="H55" s="874" t="str">
        <f t="shared" ca="1" si="3"/>
        <v/>
      </c>
      <c r="J55" s="89" vm="202">
        <f ca="1"/>
        <v>45729</v>
      </c>
      <c r="K55" s="89" vm="203">
        <f ca="1"/>
        <v>236.9</v>
      </c>
      <c r="N55" s="874" t="str">
        <f ca="1">IF(F55=[2]Sheet1!O53,"","dif")</f>
        <v>dif</v>
      </c>
      <c r="O55" s="1216"/>
      <c r="P55" s="1208" cm="1">
        <f t="array" aca="1" ref="P55" ca="1">IFERROR(INDEX($S55:$AT55,
       MATCH(TRUE,
             (($R55=Q51)*
              (RIGHT($S$47:$AT$47,3)=NewMUP)*
              ($S55:$AT55&gt;0))&gt;0,
       0)),0)</f>
        <v>0</v>
      </c>
      <c r="Q55" s="1305">
        <f ca="1">SUM(S17:INDEX(13:13, COLUMN($S17) +$R$47 - 1))</f>
        <v>54</v>
      </c>
      <c r="R55" s="1249" t="str">
        <f t="shared" ca="1" si="6"/>
        <v>UDU</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0.1111111111111111</v>
      </c>
      <c r="Z55" s="1243">
        <f t="shared" ca="1" si="23"/>
        <v>0</v>
      </c>
      <c r="AA55" s="1243">
        <f t="shared" ca="1" si="23"/>
        <v>0</v>
      </c>
      <c r="AB55" s="1243">
        <f t="shared" ca="1" si="23"/>
        <v>0</v>
      </c>
      <c r="AC55" s="1243">
        <f t="shared" ca="1" si="23"/>
        <v>0.1111111111111111</v>
      </c>
      <c r="AD55" s="1243">
        <f t="shared" ca="1" si="23"/>
        <v>0</v>
      </c>
      <c r="AE55" s="1243">
        <f t="shared" ca="1" si="23"/>
        <v>0</v>
      </c>
      <c r="AF55" s="1243">
        <f t="shared" ca="1" si="23"/>
        <v>0</v>
      </c>
      <c r="AG55" s="1243">
        <f t="shared" ca="1" si="23"/>
        <v>0</v>
      </c>
      <c r="AH55" s="1243">
        <f t="shared" ca="1" si="23"/>
        <v>0</v>
      </c>
      <c r="AI55" s="1243">
        <f t="shared" ca="1" si="23"/>
        <v>0</v>
      </c>
      <c r="AJ55" s="1243">
        <f t="shared" ca="1" si="23"/>
        <v>0</v>
      </c>
      <c r="AK55" s="1243">
        <f t="shared" ca="1" si="23"/>
        <v>0</v>
      </c>
      <c r="AL55" s="1243">
        <f t="shared" ca="1" si="23"/>
        <v>0</v>
      </c>
      <c r="AM55" s="1243">
        <f t="shared" ca="1" si="23"/>
        <v>0</v>
      </c>
      <c r="AN55" s="1243">
        <f t="shared" ca="1" si="23"/>
        <v>1.8518518518518517E-2</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13</v>
      </c>
      <c r="CR55" s="1217" t="str">
        <f t="shared" ca="1" si="8"/>
        <v>UDU</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7.407407407407407E-2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4">
        <f ca="1"/>
        <v>45904</v>
      </c>
      <c r="C56" s="89" vm="86">
        <f ca="1"/>
        <v>233.2</v>
      </c>
      <c r="D56" s="1225">
        <f t="shared" ca="1" si="0"/>
        <v>7.9965420358763528E-3</v>
      </c>
      <c r="E56" s="294" t="str" cm="1">
        <f t="array" aca="1" ref="E56" ca="1">_xlfn.IFS(D56&gt;ZPercent,"U",D56&lt;=-ZPercent,"D",TRUE,"Z")</f>
        <v>U</v>
      </c>
      <c r="F56" s="294" t="str">
        <f t="shared" ca="1" si="1"/>
        <v>UU</v>
      </c>
      <c r="G56" s="294" t="str">
        <f t="shared" ca="1" si="2"/>
        <v>DUU</v>
      </c>
      <c r="H56" s="874" t="str">
        <f t="shared" ca="1" si="3"/>
        <v/>
      </c>
      <c r="J56" s="89" vm="205">
        <f ca="1"/>
        <v>45730</v>
      </c>
      <c r="K56" s="89" vm="206">
        <f ca="1"/>
        <v>242.6</v>
      </c>
      <c r="N56" s="874" t="str">
        <f ca="1">IF(F56=[2]Sheet1!O54,"","dif")</f>
        <v>dif</v>
      </c>
      <c r="O56" s="1216"/>
      <c r="P56" s="1208" cm="1">
        <f t="array" aca="1" ref="P56" ca="1">IFERROR(INDEX($S56:$AT56,
       MATCH(TRUE,
             (($R56=Q52)*
              (RIGHT($S$47:$AT$47,3)=NewMUP)*
              ($S56:$AT56&gt;0))&gt;0,
       0)),0)</f>
        <v>0</v>
      </c>
      <c r="Q56" s="1305">
        <f ca="1">SUM(S18:INDEX(14:14, COLUMN($S18) +$R$47 - 1))</f>
        <v>59</v>
      </c>
      <c r="R56" s="1249" t="str">
        <f t="shared" ca="1" si="6"/>
        <v>DDU</v>
      </c>
      <c r="S56" s="1242">
        <f t="shared" ref="S56:AS56" ca="1" si="25">IF(S18=0,0,S18/$Q56)</f>
        <v>0</v>
      </c>
      <c r="T56" s="1243">
        <f t="shared" ca="1" si="25"/>
        <v>0</v>
      </c>
      <c r="U56" s="1243">
        <f t="shared" ca="1" si="25"/>
        <v>0</v>
      </c>
      <c r="V56" s="1243">
        <f t="shared" ca="1" si="25"/>
        <v>0</v>
      </c>
      <c r="W56" s="1243">
        <f t="shared" ca="1" si="25"/>
        <v>0</v>
      </c>
      <c r="X56" s="1243">
        <f t="shared" ca="1" si="25"/>
        <v>0</v>
      </c>
      <c r="Y56" s="1243">
        <f t="shared" ca="1" si="25"/>
        <v>0.11864406779661017</v>
      </c>
      <c r="Z56" s="1243">
        <f t="shared" ca="1" si="25"/>
        <v>0</v>
      </c>
      <c r="AA56" s="1243">
        <f t="shared" ca="1" si="25"/>
        <v>0</v>
      </c>
      <c r="AB56" s="1243">
        <f t="shared" ca="1" si="25"/>
        <v>0</v>
      </c>
      <c r="AC56" s="1243">
        <f t="shared" ca="1" si="25"/>
        <v>3.3898305084745763E-2</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5.0847457627118647E-2</v>
      </c>
      <c r="AO56" s="1243">
        <f t="shared" ca="1" si="25"/>
        <v>0</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13</v>
      </c>
      <c r="CR56" s="1217" t="str">
        <f t="shared" ca="1" si="8"/>
        <v>DDU</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1.6949152542372881E-2</v>
      </c>
      <c r="CZ56" s="1243">
        <f t="shared" ca="1" si="26"/>
        <v>0</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45903</v>
      </c>
      <c r="C57" s="89" vm="208">
        <f ca="1"/>
        <v>231.35</v>
      </c>
      <c r="D57" s="1225">
        <f t="shared" ca="1" si="0"/>
        <v>1.8041804180418015E-2</v>
      </c>
      <c r="E57" s="294" t="str" cm="1">
        <f t="array" aca="1" ref="E57" ca="1">_xlfn.IFS(D57&gt;ZPercent,"U",D57&lt;=-ZPercent,"D",TRUE,"Z")</f>
        <v>U</v>
      </c>
      <c r="F57" s="294" t="str">
        <f t="shared" ca="1" si="1"/>
        <v>DU</v>
      </c>
      <c r="G57" s="294" t="str">
        <f t="shared" ca="1" si="2"/>
        <v>UDU</v>
      </c>
      <c r="H57" s="874" t="str">
        <f t="shared" ca="1" si="3"/>
        <v/>
      </c>
      <c r="J57" s="89" vm="209">
        <f ca="1"/>
        <v>45733</v>
      </c>
      <c r="K57" s="89" vm="210">
        <f ca="1"/>
        <v>246.7</v>
      </c>
      <c r="N57" s="874" t="str">
        <f ca="1">IF(F57=[2]Sheet1!O55,"","dif")</f>
        <v>dif</v>
      </c>
      <c r="O57" s="1216"/>
      <c r="P57" s="1208" cm="1">
        <f t="array" aca="1" ref="P57" ca="1">IFERROR(INDEX($S57:$AT57,
       MATCH(TRUE,
             (($R57=Q53)*
              (RIGHT($S$47:$AT$47,3)=NewMUP)*
              ($S57:$AT57&gt;0))&gt;0,
       0)),0)</f>
        <v>0</v>
      </c>
      <c r="Q57" s="1305">
        <f ca="1">SUM(S19:INDEX(15:15, COLUMN($S19) +$R$47 - 1))</f>
        <v>62</v>
      </c>
      <c r="R57" s="1249" t="str">
        <f t="shared" ca="1" si="6"/>
        <v>UUD</v>
      </c>
      <c r="S57" s="1242">
        <f t="shared" ref="S57:AS57" ca="1" si="27">IF(S19=0,0,S19/$Q57)</f>
        <v>0</v>
      </c>
      <c r="T57" s="1243">
        <f t="shared" ca="1" si="27"/>
        <v>0</v>
      </c>
      <c r="U57" s="1243">
        <f t="shared" ca="1" si="27"/>
        <v>0</v>
      </c>
      <c r="V57" s="1243">
        <f t="shared" ca="1" si="27"/>
        <v>0</v>
      </c>
      <c r="W57" s="1243">
        <f t="shared" ca="1" si="27"/>
        <v>0</v>
      </c>
      <c r="X57" s="1243">
        <f t="shared" ca="1" si="27"/>
        <v>4.8387096774193547E-2</v>
      </c>
      <c r="Y57" s="1243">
        <f t="shared" ca="1" si="27"/>
        <v>0</v>
      </c>
      <c r="Z57" s="1243">
        <f t="shared" ca="1" si="27"/>
        <v>3.2258064516129031E-2</v>
      </c>
      <c r="AA57" s="1243">
        <f t="shared" ca="1" si="27"/>
        <v>0</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0</v>
      </c>
      <c r="AK57" s="1243">
        <f t="shared" ca="1" si="27"/>
        <v>0</v>
      </c>
      <c r="AL57" s="1243">
        <f t="shared" ca="1" si="27"/>
        <v>8.0645161290322578E-2</v>
      </c>
      <c r="AM57" s="1243">
        <f t="shared" ca="1" si="27"/>
        <v>0</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13</v>
      </c>
      <c r="CR57" s="1217" t="str">
        <f t="shared" ca="1" si="8"/>
        <v>UUD</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1.6129032258064516E-2</v>
      </c>
      <c r="DA57" s="1243">
        <f t="shared" ca="1" si="28"/>
        <v>0</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45902</v>
      </c>
      <c r="C58" s="89" vm="212">
        <f ca="1"/>
        <v>227.25</v>
      </c>
      <c r="D58" s="1225">
        <f t="shared" ca="1" si="0"/>
        <v>-2.8430953398888438E-2</v>
      </c>
      <c r="E58" s="294" t="str" cm="1">
        <f t="array" aca="1" ref="E58" ca="1">_xlfn.IFS(D58&gt;ZPercent,"U",D58&lt;=-ZPercent,"D",TRUE,"Z")</f>
        <v>D</v>
      </c>
      <c r="F58" s="294" t="str">
        <f t="shared" ca="1" si="1"/>
        <v>UD</v>
      </c>
      <c r="G58" s="294" t="str">
        <f t="shared" ca="1" si="2"/>
        <v>DUD</v>
      </c>
      <c r="H58" s="874" t="str">
        <f t="shared" ca="1" si="3"/>
        <v/>
      </c>
      <c r="J58" s="89" vm="213">
        <f ca="1"/>
        <v>45734</v>
      </c>
      <c r="K58" s="89" vm="210">
        <f ca="1"/>
        <v>246.7</v>
      </c>
      <c r="N58" s="874" t="str">
        <f ca="1">IF(F58=[2]Sheet1!O56,"","dif")</f>
        <v>dif</v>
      </c>
      <c r="O58" s="1216"/>
      <c r="P58" s="1208" cm="1">
        <f t="array" aca="1" ref="P58" ca="1">IFERROR(INDEX($S58:$AT58,
       MATCH(TRUE,
             (($R58=Q54)*
              (RIGHT($S$47:$AT$47,3)=NewMUP)*
              ($S58:$AT58&gt;0))&gt;0,
       0)),0)</f>
        <v>0</v>
      </c>
      <c r="Q58" s="1305">
        <f ca="1">SUM(S20:INDEX(16:16, COLUMN($S20) +$R$47 - 1))</f>
        <v>63</v>
      </c>
      <c r="R58" s="1249" t="str">
        <f t="shared" ca="1" si="6"/>
        <v>DUU</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0</v>
      </c>
      <c r="Z58" s="1243">
        <f t="shared" ca="1" si="29"/>
        <v>0</v>
      </c>
      <c r="AA58" s="1243">
        <f t="shared" ca="1" si="29"/>
        <v>0</v>
      </c>
      <c r="AB58" s="1243">
        <f t="shared" ca="1" si="29"/>
        <v>7.9365079365079361E-2</v>
      </c>
      <c r="AC58" s="1243">
        <f t="shared" ca="1" si="29"/>
        <v>0</v>
      </c>
      <c r="AD58" s="1243">
        <f t="shared" ca="1" si="29"/>
        <v>0</v>
      </c>
      <c r="AE58" s="1243">
        <f t="shared" ca="1" si="29"/>
        <v>6.3492063492063489E-2</v>
      </c>
      <c r="AF58" s="1243">
        <f t="shared" ca="1" si="29"/>
        <v>0</v>
      </c>
      <c r="AG58" s="1243">
        <f t="shared" ca="1" si="29"/>
        <v>0</v>
      </c>
      <c r="AH58" s="1243">
        <f t="shared" ca="1" si="29"/>
        <v>0</v>
      </c>
      <c r="AI58" s="1243">
        <f t="shared" ca="1" si="29"/>
        <v>4.7619047619047616E-2</v>
      </c>
      <c r="AJ58" s="1243">
        <f t="shared" ca="1" si="29"/>
        <v>0</v>
      </c>
      <c r="AK58" s="1243">
        <f t="shared" ca="1" si="29"/>
        <v>0</v>
      </c>
      <c r="AL58" s="1243">
        <f t="shared" ca="1" si="29"/>
        <v>0</v>
      </c>
      <c r="AM58" s="1243">
        <f t="shared" ca="1" si="29"/>
        <v>0</v>
      </c>
      <c r="AN58" s="1243">
        <f t="shared" ca="1" si="29"/>
        <v>0</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12</v>
      </c>
      <c r="CR58" s="1217" t="str">
        <f t="shared" ca="1" si="8"/>
        <v>DUU</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0</v>
      </c>
      <c r="CZ58" s="1243">
        <f t="shared" ca="1" si="30"/>
        <v>0</v>
      </c>
      <c r="DA58" s="1243">
        <f t="shared" ca="1" si="30"/>
        <v>0</v>
      </c>
      <c r="DB58" s="1243">
        <f t="shared" ca="1" si="30"/>
        <v>1.5873015873015872E-2</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4">
        <f ca="1"/>
        <v>45901</v>
      </c>
      <c r="C59" s="89" vm="215">
        <f ca="1"/>
        <v>233.9</v>
      </c>
      <c r="D59" s="1225">
        <f t="shared" ca="1" si="0"/>
        <v>9.4950366853690862E-3</v>
      </c>
      <c r="E59" s="294" t="str" cm="1">
        <f t="array" aca="1" ref="E59" ca="1">_xlfn.IFS(D59&gt;ZPercent,"U",D59&lt;=-ZPercent,"D",TRUE,"Z")</f>
        <v>U</v>
      </c>
      <c r="F59" s="294" t="str">
        <f t="shared" ca="1" si="1"/>
        <v>DU</v>
      </c>
      <c r="G59" s="294" t="str">
        <f t="shared" ca="1" si="2"/>
        <v>ZDU</v>
      </c>
      <c r="H59" s="874" t="str">
        <f t="shared" ca="1" si="3"/>
        <v/>
      </c>
      <c r="J59" s="89" vm="216">
        <f ca="1"/>
        <v>45735</v>
      </c>
      <c r="K59" s="89" vm="217">
        <f ca="1"/>
        <v>248.35</v>
      </c>
      <c r="N59" s="874" t="str">
        <f ca="1">IF(F59=[2]Sheet1!O57,"","dif")</f>
        <v>dif</v>
      </c>
      <c r="O59" s="1216"/>
      <c r="P59" s="1208" cm="1">
        <f t="array" aca="1" ref="P59" ca="1">IFERROR(INDEX($S59:$AT59,
       MATCH(TRUE,
             (($R59=Q55)*
              (RIGHT($S$47:$AT$47,3)=NewMUP)*
              ($S59:$AT59&gt;0))&gt;0,
       0)),0)</f>
        <v>0</v>
      </c>
      <c r="Q59" s="1305">
        <f ca="1">SUM(S21:INDEX(17:17, COLUMN($S21) +$R$47 - 1))</f>
        <v>55</v>
      </c>
      <c r="R59" s="1249" t="str">
        <f t="shared" ca="1" si="6"/>
        <v>ZDU</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5.4545454545454543E-2</v>
      </c>
      <c r="Z59" s="1243">
        <f t="shared" ca="1" si="31"/>
        <v>0</v>
      </c>
      <c r="AA59" s="1243">
        <f t="shared" ca="1" si="31"/>
        <v>0</v>
      </c>
      <c r="AB59" s="1243">
        <f t="shared" ca="1" si="31"/>
        <v>0</v>
      </c>
      <c r="AC59" s="1243">
        <f t="shared" ca="1" si="31"/>
        <v>7.2727272727272724E-2</v>
      </c>
      <c r="AD59" s="1243">
        <f t="shared" ca="1" si="31"/>
        <v>0</v>
      </c>
      <c r="AE59" s="1243">
        <f t="shared" ca="1" si="31"/>
        <v>0</v>
      </c>
      <c r="AF59" s="1243">
        <f t="shared" ca="1" si="31"/>
        <v>0</v>
      </c>
      <c r="AG59" s="1243">
        <f t="shared" ca="1" si="31"/>
        <v>0</v>
      </c>
      <c r="AH59" s="1243">
        <f t="shared" ca="1" si="31"/>
        <v>0</v>
      </c>
      <c r="AI59" s="1243">
        <f t="shared" ca="1" si="31"/>
        <v>0</v>
      </c>
      <c r="AJ59" s="1243">
        <f t="shared" ca="1" si="31"/>
        <v>0</v>
      </c>
      <c r="AK59" s="1243">
        <f t="shared" ca="1" si="31"/>
        <v>0</v>
      </c>
      <c r="AL59" s="1243">
        <f t="shared" ca="1" si="31"/>
        <v>0</v>
      </c>
      <c r="AM59" s="1243">
        <f t="shared" ca="1" si="31"/>
        <v>0</v>
      </c>
      <c r="AN59" s="1243">
        <f t="shared" ca="1" si="31"/>
        <v>1.8181818181818181E-2</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8</v>
      </c>
      <c r="CR59" s="1217" t="str">
        <f t="shared" ca="1" si="8"/>
        <v>ZDU</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1.8181818181818181E-2</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8">
        <f ca="1"/>
        <v>45898</v>
      </c>
      <c r="C60" s="89" vm="219">
        <f ca="1"/>
        <v>231.7</v>
      </c>
      <c r="D60" s="1225">
        <f t="shared" ca="1" si="0"/>
        <v>-1.9674211973767741E-2</v>
      </c>
      <c r="E60" s="294" t="str" cm="1">
        <f t="array" aca="1" ref="E60" ca="1">_xlfn.IFS(D60&gt;ZPercent,"U",D60&lt;=-ZPercent,"D",TRUE,"Z")</f>
        <v>D</v>
      </c>
      <c r="F60" s="294" t="str">
        <f t="shared" ca="1" si="1"/>
        <v>ZD</v>
      </c>
      <c r="G60" s="294" t="str">
        <f t="shared" ca="1" si="2"/>
        <v>UZD</v>
      </c>
      <c r="H60" s="874" t="str">
        <f t="shared" ca="1" si="3"/>
        <v>ZZ</v>
      </c>
      <c r="J60" s="89" vm="220">
        <f ca="1"/>
        <v>45736</v>
      </c>
      <c r="K60" s="89" vm="221">
        <f ca="1"/>
        <v>250.15</v>
      </c>
      <c r="N60" s="874" t="str">
        <f ca="1">IF(F60=[2]Sheet1!O58,"","dif")</f>
        <v>dif</v>
      </c>
      <c r="O60" s="1216"/>
      <c r="P60" s="1208" cm="1">
        <f t="array" aca="1" ref="P60" ca="1">IFERROR(INDEX($S60:$AT60,
       MATCH(TRUE,
             (($R60=Q56)*
              (RIGHT($S$47:$AT$47,3)=NewMUP)*
              ($S60:$AT60&gt;0))&gt;0,
       0)),0)</f>
        <v>0</v>
      </c>
      <c r="Q60" s="1305">
        <f ca="1">SUM(S22:INDEX(18:18, COLUMN($S22) +$R$47 - 1))</f>
        <v>49</v>
      </c>
      <c r="R60" s="1249" t="str">
        <f t="shared" ca="1" si="6"/>
        <v>UUZ</v>
      </c>
      <c r="S60" s="1242">
        <f t="shared" ref="S60:AS60" ca="1" si="33">IF(S22=0,0,S22/$Q60)</f>
        <v>6.1224489795918366E-2</v>
      </c>
      <c r="T60" s="1243">
        <f t="shared" ca="1" si="33"/>
        <v>0</v>
      </c>
      <c r="U60" s="1243">
        <f t="shared" ca="1" si="33"/>
        <v>0</v>
      </c>
      <c r="V60" s="1243">
        <f t="shared" ca="1" si="33"/>
        <v>0</v>
      </c>
      <c r="W60" s="1243">
        <f t="shared" ca="1" si="33"/>
        <v>0</v>
      </c>
      <c r="X60" s="1243">
        <f t="shared" ca="1" si="33"/>
        <v>0</v>
      </c>
      <c r="Y60" s="1243">
        <f t="shared" ca="1" si="33"/>
        <v>0</v>
      </c>
      <c r="Z60" s="1243">
        <f t="shared" ca="1" si="33"/>
        <v>0</v>
      </c>
      <c r="AA60" s="1243">
        <f t="shared" ca="1" si="33"/>
        <v>0</v>
      </c>
      <c r="AB60" s="1243">
        <f t="shared" ca="1" si="33"/>
        <v>0</v>
      </c>
      <c r="AC60" s="1243">
        <f t="shared" ca="1" si="33"/>
        <v>0</v>
      </c>
      <c r="AD60" s="1243">
        <f t="shared" ca="1" si="33"/>
        <v>0</v>
      </c>
      <c r="AE60" s="1243">
        <f t="shared" ca="1" si="33"/>
        <v>0</v>
      </c>
      <c r="AF60" s="1243">
        <f t="shared" ca="1" si="33"/>
        <v>0</v>
      </c>
      <c r="AG60" s="1243">
        <f t="shared" ca="1" si="33"/>
        <v>0</v>
      </c>
      <c r="AH60" s="1243">
        <f t="shared" ca="1" si="33"/>
        <v>0</v>
      </c>
      <c r="AI60" s="1243">
        <f t="shared" ca="1" si="33"/>
        <v>0</v>
      </c>
      <c r="AJ60" s="1243">
        <f t="shared" ca="1" si="33"/>
        <v>0</v>
      </c>
      <c r="AK60" s="1243">
        <f t="shared" ca="1" si="33"/>
        <v>6.1224489795918366E-2</v>
      </c>
      <c r="AL60" s="1243">
        <f t="shared" ca="1" si="33"/>
        <v>0</v>
      </c>
      <c r="AM60" s="1243">
        <f t="shared" ca="1" si="33"/>
        <v>0</v>
      </c>
      <c r="AN60" s="1243">
        <f t="shared" ca="1" si="33"/>
        <v>0</v>
      </c>
      <c r="AO60" s="1243">
        <f t="shared" ca="1" si="33"/>
        <v>0</v>
      </c>
      <c r="AP60" s="1243">
        <f t="shared" ca="1" si="33"/>
        <v>0</v>
      </c>
      <c r="AQ60" s="1243">
        <f t="shared" ca="1" si="33"/>
        <v>0</v>
      </c>
      <c r="AR60" s="1243">
        <f t="shared" ca="1" si="33"/>
        <v>0</v>
      </c>
      <c r="AS60" s="1243">
        <f t="shared" ca="1" si="33"/>
        <v>2.0408163265306121E-2</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4</v>
      </c>
      <c r="CR60" s="1217">
        <f t="shared" si="8"/>
        <v>0</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2">
        <f ca="1"/>
        <v>45897</v>
      </c>
      <c r="C61" s="89" vm="223">
        <f ca="1"/>
        <v>236.35</v>
      </c>
      <c r="D61" s="1225">
        <f t="shared" ca="1" si="0"/>
        <v>-2.1150592216586872E-4</v>
      </c>
      <c r="E61" s="294" t="str" cm="1">
        <f t="array" aca="1" ref="E61" ca="1">_xlfn.IFS(D61&gt;ZPercent,"U",D61&lt;=-ZPercent,"D",TRUE,"Z")</f>
        <v>Z</v>
      </c>
      <c r="F61" s="294" t="str">
        <f t="shared" ca="1" si="1"/>
        <v>UZ</v>
      </c>
      <c r="G61" s="294" t="str">
        <f t="shared" ca="1" si="2"/>
        <v>ZUZ</v>
      </c>
      <c r="H61" s="874" t="str">
        <f t="shared" ca="1" si="3"/>
        <v/>
      </c>
      <c r="J61" s="89" vm="224">
        <f ca="1"/>
        <v>45737</v>
      </c>
      <c r="K61" s="89" vm="225">
        <f ca="1"/>
        <v>251.95</v>
      </c>
      <c r="N61" s="874" t="str">
        <f ca="1">IF(F61=[2]Sheet1!O59,"","dif")</f>
        <v>dif</v>
      </c>
      <c r="O61" s="1216"/>
      <c r="P61" s="1208" cm="1">
        <f t="array" aca="1" ref="P61" ca="1">IFERROR(INDEX($S61:$AT61,
       MATCH(TRUE,
             (($R61=Q57)*
              (RIGHT($S$47:$AT$47,3)=NewMUP)*
              ($S61:$AT61&gt;0))&gt;0,
       0)),0)</f>
        <v>0</v>
      </c>
      <c r="Q61" s="1305">
        <f ca="1">SUM(S23:INDEX(19:19, COLUMN($S23) +$R$47 - 1))</f>
        <v>42</v>
      </c>
      <c r="R61" s="1249" t="str">
        <f t="shared" ca="1" si="6"/>
        <v>ZUU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0</v>
      </c>
      <c r="AB61" s="1243">
        <f t="shared" ca="1" si="35"/>
        <v>2.3809523809523808E-2</v>
      </c>
      <c r="AC61" s="1243">
        <f t="shared" ca="1" si="35"/>
        <v>0</v>
      </c>
      <c r="AD61" s="1243">
        <f t="shared" ca="1" si="35"/>
        <v>0</v>
      </c>
      <c r="AE61" s="1243">
        <f t="shared" ca="1" si="35"/>
        <v>2.3809523809523808E-2</v>
      </c>
      <c r="AF61" s="1243">
        <f t="shared" ca="1" si="35"/>
        <v>0</v>
      </c>
      <c r="AG61" s="1243">
        <f t="shared" ca="1" si="35"/>
        <v>0</v>
      </c>
      <c r="AH61" s="1243">
        <f t="shared" ca="1" si="35"/>
        <v>0</v>
      </c>
      <c r="AI61" s="1243">
        <f t="shared" ca="1" si="35"/>
        <v>7.1428571428571425E-2</v>
      </c>
      <c r="AJ61" s="1243">
        <f t="shared" ca="1" si="35"/>
        <v>0</v>
      </c>
      <c r="AK61" s="1243">
        <f t="shared" ca="1" si="35"/>
        <v>0</v>
      </c>
      <c r="AL61" s="1243">
        <f t="shared" ca="1" si="35"/>
        <v>0</v>
      </c>
      <c r="AM61" s="1243">
        <f t="shared" ca="1" si="35"/>
        <v>0</v>
      </c>
      <c r="AN61" s="1243">
        <f t="shared" ca="1" si="35"/>
        <v>0</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3</v>
      </c>
      <c r="CR61" s="1217">
        <f t="shared" si="8"/>
        <v>0</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6">
        <f ca="1"/>
        <v>45896</v>
      </c>
      <c r="C62" s="89" vm="227">
        <f ca="1"/>
        <v>236.4</v>
      </c>
      <c r="D62" s="1225">
        <f t="shared" ca="1" si="0"/>
        <v>1.9624757386241153E-2</v>
      </c>
      <c r="E62" s="294" t="str" cm="1">
        <f t="array" aca="1" ref="E62" ca="1">_xlfn.IFS(D62&gt;ZPercent,"U",D62&lt;=-ZPercent,"D",TRUE,"Z")</f>
        <v>U</v>
      </c>
      <c r="F62" s="294" t="str">
        <f t="shared" ca="1" si="1"/>
        <v>ZU</v>
      </c>
      <c r="G62" s="294" t="str">
        <f t="shared" ca="1" si="2"/>
        <v>ZZU</v>
      </c>
      <c r="H62" s="874" t="str">
        <f t="shared" ca="1" si="3"/>
        <v/>
      </c>
      <c r="J62" s="89" vm="228">
        <f ca="1"/>
        <v>45740</v>
      </c>
      <c r="K62" s="89" vm="229">
        <f ca="1"/>
        <v>255.35</v>
      </c>
      <c r="N62" s="874" t="str">
        <f ca="1">IF(F62=[2]Sheet1!O60,"","dif")</f>
        <v>dif</v>
      </c>
      <c r="O62" s="1216"/>
      <c r="P62" s="1208" cm="1">
        <f t="array" aca="1" ref="P62" ca="1">IFERROR(INDEX($S62:$AT62,
       MATCH(TRUE,
             (($R62=Q58)*
              (RIGHT($S$47:$AT$47,3)=NewMUP)*
              ($S62:$AT62&gt;0))&gt;0,
       0)),0)</f>
        <v>0</v>
      </c>
      <c r="Q62" s="1305">
        <f ca="1">SUM(S24:INDEX(20:20, COLUMN($S24) +$R$47 - 1))</f>
        <v>39</v>
      </c>
      <c r="R62" s="1249" t="str">
        <f t="shared" ca="1" si="6"/>
        <v>DZU</v>
      </c>
      <c r="S62" s="1242">
        <f t="shared" ref="S62:AS62" ca="1" si="37">IF(S24=0,0,S24/$Q62)</f>
        <v>0</v>
      </c>
      <c r="T62" s="1243">
        <f t="shared" ca="1" si="37"/>
        <v>0.10256410256410256</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5.128205128205128E-2</v>
      </c>
      <c r="AG62" s="1243">
        <f t="shared" ca="1" si="37"/>
        <v>0</v>
      </c>
      <c r="AH62" s="1243">
        <f t="shared" ca="1" si="37"/>
        <v>0</v>
      </c>
      <c r="AI62" s="1243">
        <f t="shared" ca="1" si="37"/>
        <v>0</v>
      </c>
      <c r="AJ62" s="1243">
        <f t="shared" ca="1" si="37"/>
        <v>2.564102564102564E-2</v>
      </c>
      <c r="AK62" s="1243">
        <f t="shared" ca="1" si="37"/>
        <v>0</v>
      </c>
      <c r="AL62" s="1243">
        <f t="shared" ca="1" si="37"/>
        <v>0</v>
      </c>
      <c r="AM62" s="1243">
        <f t="shared" ca="1" si="37"/>
        <v>0</v>
      </c>
      <c r="AN62" s="1243">
        <f t="shared" ca="1" si="37"/>
        <v>0</v>
      </c>
      <c r="AO62" s="1243">
        <f t="shared" ca="1" si="37"/>
        <v>0</v>
      </c>
      <c r="AP62" s="1243">
        <f t="shared" ca="1" si="37"/>
        <v>0</v>
      </c>
      <c r="AQ62" s="1243">
        <f t="shared" ca="1" si="37"/>
        <v>0</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2</v>
      </c>
      <c r="CR62" s="1217">
        <f t="shared" si="8"/>
        <v>0</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0">
        <f ca="1"/>
        <v>45895</v>
      </c>
      <c r="C63" s="89" vm="231">
        <f ca="1"/>
        <v>231.85</v>
      </c>
      <c r="D63" s="1225">
        <f t="shared" ca="1" si="0"/>
        <v>-4.9356223175965911E-3</v>
      </c>
      <c r="E63" s="294" t="str" cm="1">
        <f t="array" aca="1" ref="E63" ca="1">_xlfn.IFS(D63&gt;ZPercent,"U",D63&lt;=-ZPercent,"D",TRUE,"Z")</f>
        <v>Z</v>
      </c>
      <c r="F63" s="294" t="str">
        <f t="shared" ca="1" si="1"/>
        <v>ZZ</v>
      </c>
      <c r="G63" s="294" t="str">
        <f t="shared" ca="1" si="2"/>
        <v>ZZZ</v>
      </c>
      <c r="H63" s="874" t="str">
        <f t="shared" ca="1" si="3"/>
        <v/>
      </c>
      <c r="J63" s="89" vm="232">
        <f ca="1"/>
        <v>45741</v>
      </c>
      <c r="K63" s="89" vm="233">
        <f ca="1"/>
        <v>258.75</v>
      </c>
      <c r="N63" s="874" t="str">
        <f ca="1">IF(F63=[2]Sheet1!O61,"","dif")</f>
        <v>dif</v>
      </c>
      <c r="O63" s="1216"/>
      <c r="P63" s="1208" cm="1">
        <f t="array" aca="1" ref="P63" ca="1">IFERROR(INDEX($S63:$AT63,
       MATCH(TRUE,
             (($R63=Q59)*
              (RIGHT($S$47:$AT$47,3)=NewMUP)*
              ($S63:$AT63&gt;0))&gt;0,
       0)),0)</f>
        <v>0</v>
      </c>
      <c r="Q63" s="1305">
        <f ca="1">SUM(S25:INDEX(21:21, COLUMN($S25) +$R$47 - 1))</f>
        <v>30</v>
      </c>
      <c r="R63" s="1249" t="str">
        <f t="shared" ca="1" si="6"/>
        <v>ZDZ</v>
      </c>
      <c r="S63" s="1242">
        <f t="shared" ref="S63:AS63" ca="1" si="39">IF(S25=0,0,S25/$Q63)</f>
        <v>0</v>
      </c>
      <c r="T63" s="1243">
        <f t="shared" ca="1" si="39"/>
        <v>0</v>
      </c>
      <c r="U63" s="1243">
        <f t="shared" ca="1" si="39"/>
        <v>0</v>
      </c>
      <c r="V63" s="1243">
        <f t="shared" ca="1" si="39"/>
        <v>3.3333333333333333E-2</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0</v>
      </c>
      <c r="AF63" s="1243">
        <f t="shared" ca="1" si="39"/>
        <v>0</v>
      </c>
      <c r="AG63" s="1243">
        <f t="shared" ca="1" si="39"/>
        <v>6.6666666666666666E-2</v>
      </c>
      <c r="AH63" s="1243">
        <f t="shared" ca="1" si="39"/>
        <v>0</v>
      </c>
      <c r="AI63" s="1243">
        <f t="shared" ca="1" si="39"/>
        <v>0</v>
      </c>
      <c r="AJ63" s="1243">
        <f t="shared" ca="1" si="39"/>
        <v>0</v>
      </c>
      <c r="AK63" s="1243">
        <f t="shared" ca="1" si="39"/>
        <v>0</v>
      </c>
      <c r="AL63" s="1243">
        <f t="shared" ca="1" si="39"/>
        <v>0</v>
      </c>
      <c r="AM63" s="1243">
        <f t="shared" ca="1" si="39"/>
        <v>0</v>
      </c>
      <c r="AN63" s="1243">
        <f t="shared" ca="1" si="39"/>
        <v>0</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4">
        <f ca="1"/>
        <v>45894</v>
      </c>
      <c r="C64" s="89" vm="235">
        <f ca="1"/>
        <v>233</v>
      </c>
      <c r="D64" s="1225">
        <f t="shared" ca="1" si="0"/>
        <v>1.7196904557179953E-3</v>
      </c>
      <c r="E64" s="294" t="str" cm="1">
        <f t="array" aca="1" ref="E64" ca="1">_xlfn.IFS(D64&gt;ZPercent,"U",D64&lt;=-ZPercent,"D",TRUE,"Z")</f>
        <v>Z</v>
      </c>
      <c r="F64" s="294" t="str">
        <f t="shared" ca="1" si="1"/>
        <v>ZZ</v>
      </c>
      <c r="G64" s="294" t="str">
        <f t="shared" ca="1" si="2"/>
        <v>DZZ</v>
      </c>
      <c r="H64" s="874" t="str">
        <f t="shared" ca="1" si="3"/>
        <v/>
      </c>
      <c r="J64" s="89" vm="236">
        <f ca="1"/>
        <v>45742</v>
      </c>
      <c r="K64" s="89" vm="237">
        <f ca="1"/>
        <v>250.1</v>
      </c>
      <c r="N64" s="874" t="str">
        <f ca="1">IF(F64=[2]Sheet1!O62,"","dif")</f>
        <v>dif</v>
      </c>
      <c r="O64" s="1216"/>
      <c r="P64" s="1208" cm="1">
        <f t="array" aca="1" ref="P64" ca="1">IFERROR(INDEX($S64:$AT64,
       MATCH(TRUE,
             (($R64=Q60)*
              (RIGHT($S$47:$AT$47,3)=NewMUP)*
              ($S64:$AT64&gt;0))&gt;0,
       0)),0)</f>
        <v>0</v>
      </c>
      <c r="Q64" s="1305">
        <f ca="1">SUM(S26:INDEX(22:22, COLUMN($S26) +$R$47 - 1))</f>
        <v>30</v>
      </c>
      <c r="R64" s="1249" t="str">
        <f t="shared" ca="1" si="6"/>
        <v>UUU</v>
      </c>
      <c r="S64" s="1242">
        <f t="shared" ref="S64:AS64" ca="1" si="41">IF(S26=0,0,S26/$Q64)</f>
        <v>0</v>
      </c>
      <c r="T64" s="1243">
        <f t="shared" ca="1" si="41"/>
        <v>0</v>
      </c>
      <c r="U64" s="1243">
        <f t="shared" ca="1" si="41"/>
        <v>0</v>
      </c>
      <c r="V64" s="1243">
        <f t="shared" ca="1" si="41"/>
        <v>0</v>
      </c>
      <c r="W64" s="1243">
        <f t="shared" ca="1" si="41"/>
        <v>0</v>
      </c>
      <c r="X64" s="1243">
        <f t="shared" ca="1" si="41"/>
        <v>0</v>
      </c>
      <c r="Y64" s="1243">
        <f t="shared" ca="1" si="41"/>
        <v>0</v>
      </c>
      <c r="Z64" s="1243">
        <f t="shared" ca="1" si="41"/>
        <v>0</v>
      </c>
      <c r="AA64" s="1243">
        <f t="shared" ca="1" si="41"/>
        <v>0</v>
      </c>
      <c r="AB64" s="1243">
        <f t="shared" ca="1" si="41"/>
        <v>0.13333333333333333</v>
      </c>
      <c r="AC64" s="1243">
        <f t="shared" ca="1" si="41"/>
        <v>0</v>
      </c>
      <c r="AD64" s="1243">
        <f t="shared" ca="1" si="41"/>
        <v>0</v>
      </c>
      <c r="AE64" s="1243">
        <f t="shared" ca="1" si="41"/>
        <v>6.6666666666666666E-2</v>
      </c>
      <c r="AF64" s="1243">
        <f t="shared" ca="1" si="41"/>
        <v>0</v>
      </c>
      <c r="AG64" s="1243">
        <f t="shared" ca="1" si="41"/>
        <v>0</v>
      </c>
      <c r="AH64" s="1243">
        <f t="shared" ca="1" si="41"/>
        <v>0</v>
      </c>
      <c r="AI64" s="1243">
        <f t="shared" ca="1" si="41"/>
        <v>6.6666666666666666E-2</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8">
        <f ca="1"/>
        <v>45891</v>
      </c>
      <c r="C65" s="89" vm="239">
        <f ca="1"/>
        <v>232.6</v>
      </c>
      <c r="D65" s="1225">
        <f t="shared" ca="1" si="0"/>
        <v>1.9384018953262487E-3</v>
      </c>
      <c r="E65" s="294" t="str" cm="1">
        <f t="array" aca="1" ref="E65" ca="1">_xlfn.IFS(D65&gt;ZPercent,"U",D65&lt;=-ZPercent,"D",TRUE,"Z")</f>
        <v>Z</v>
      </c>
      <c r="F65" s="294" t="str">
        <f t="shared" ca="1" si="1"/>
        <v>DZ</v>
      </c>
      <c r="G65" s="294" t="str">
        <f t="shared" ca="1" si="2"/>
        <v>DDZ</v>
      </c>
      <c r="H65" s="874" t="str">
        <f t="shared" ca="1" si="3"/>
        <v/>
      </c>
      <c r="J65" s="89" vm="240">
        <f ca="1"/>
        <v>45743</v>
      </c>
      <c r="K65" s="89" vm="241">
        <f ca="1"/>
        <v>249.25</v>
      </c>
      <c r="N65" s="874" t="str">
        <f ca="1">IF(F65=[2]Sheet1!O63,"","dif")</f>
        <v>dif</v>
      </c>
      <c r="O65" s="1216"/>
      <c r="P65" s="1208" cm="1">
        <f t="array" aca="1" ref="P65" ca="1">IFERROR(INDEX($S65:$AT65,
       MATCH(TRUE,
             (($R65=Q61)*
              (RIGHT($S$47:$AT$47,3)=NewMUP)*
              ($S65:$AT65&gt;0))&gt;0,
       0)),0)</f>
        <v>0</v>
      </c>
      <c r="Q65" s="1305">
        <f ca="1">SUM(S27:INDEX(23:23, COLUMN($S27) +$R$47 - 1))</f>
        <v>28</v>
      </c>
      <c r="R65" s="1249" t="str">
        <f t="shared" ca="1" si="6"/>
        <v>ZUD</v>
      </c>
      <c r="S65" s="1242">
        <f t="shared" ref="S65:AS65" ca="1" si="43">IF(S27=0,0,S27/$Q65)</f>
        <v>0</v>
      </c>
      <c r="T65" s="1243">
        <f t="shared" ca="1" si="43"/>
        <v>0</v>
      </c>
      <c r="U65" s="1243">
        <f t="shared" ca="1" si="43"/>
        <v>0</v>
      </c>
      <c r="V65" s="1243">
        <f t="shared" ca="1" si="43"/>
        <v>0</v>
      </c>
      <c r="W65" s="1243">
        <f t="shared" ca="1" si="43"/>
        <v>0</v>
      </c>
      <c r="X65" s="1243">
        <f t="shared" ca="1" si="43"/>
        <v>3.5714285714285712E-2</v>
      </c>
      <c r="Y65" s="1243">
        <f t="shared" ca="1" si="43"/>
        <v>0</v>
      </c>
      <c r="Z65" s="1243">
        <f t="shared" ca="1" si="43"/>
        <v>7.1428571428571425E-2</v>
      </c>
      <c r="AA65" s="1243">
        <f t="shared" ca="1" si="43"/>
        <v>0</v>
      </c>
      <c r="AB65" s="1243">
        <f t="shared" ca="1" si="43"/>
        <v>0</v>
      </c>
      <c r="AC65" s="1243">
        <f t="shared" ca="1" si="43"/>
        <v>0</v>
      </c>
      <c r="AD65" s="1243">
        <f t="shared" ca="1" si="43"/>
        <v>0</v>
      </c>
      <c r="AE65" s="1243">
        <f t="shared" ca="1" si="43"/>
        <v>0</v>
      </c>
      <c r="AF65" s="1243">
        <f t="shared" ca="1" si="43"/>
        <v>0</v>
      </c>
      <c r="AG65" s="1243">
        <f t="shared" ca="1" si="43"/>
        <v>0</v>
      </c>
      <c r="AH65" s="1243">
        <f t="shared" ca="1" si="43"/>
        <v>0</v>
      </c>
      <c r="AI65" s="1243">
        <f t="shared" ca="1" si="43"/>
        <v>0</v>
      </c>
      <c r="AJ65" s="1243">
        <f t="shared" ca="1" si="43"/>
        <v>0</v>
      </c>
      <c r="AK65" s="1243">
        <f t="shared" ca="1" si="43"/>
        <v>0</v>
      </c>
      <c r="AL65" s="1243">
        <f t="shared" ca="1" si="43"/>
        <v>7.1428571428571425E-2</v>
      </c>
      <c r="AM65" s="1243">
        <f t="shared" ca="1" si="43"/>
        <v>0</v>
      </c>
      <c r="AN65" s="1243">
        <f t="shared" ca="1" si="43"/>
        <v>0</v>
      </c>
      <c r="AO65" s="1243">
        <f t="shared" ca="1" si="43"/>
        <v>0</v>
      </c>
      <c r="AP65" s="1243">
        <f t="shared" ca="1" si="43"/>
        <v>0</v>
      </c>
      <c r="AQ65" s="1243">
        <f t="shared" ca="1" si="43"/>
        <v>0</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2">
        <f ca="1"/>
        <v>45890</v>
      </c>
      <c r="C66" s="89" vm="243">
        <f ca="1"/>
        <v>232.15</v>
      </c>
      <c r="D66" s="1225">
        <f t="shared" ca="1" si="0"/>
        <v>-6.844919786096232E-3</v>
      </c>
      <c r="E66" s="294" t="str" cm="1">
        <f t="array" aca="1" ref="E66" ca="1">_xlfn.IFS(D66&gt;ZPercent,"U",D66&lt;=-ZPercent,"D",TRUE,"Z")</f>
        <v>D</v>
      </c>
      <c r="F66" s="294" t="str">
        <f t="shared" ca="1" si="1"/>
        <v>DD</v>
      </c>
      <c r="G66" s="294" t="str">
        <f t="shared" ca="1" si="2"/>
        <v>ZDD</v>
      </c>
      <c r="H66" s="874" t="str">
        <f t="shared" ca="1" si="3"/>
        <v/>
      </c>
      <c r="J66" s="89" vm="244">
        <f ca="1"/>
        <v>45744</v>
      </c>
      <c r="K66" s="89" vm="245">
        <f ca="1"/>
        <v>246.75</v>
      </c>
      <c r="N66" s="874" t="str">
        <f ca="1">IF(F66=[2]Sheet1!O64,"","dif")</f>
        <v>dif</v>
      </c>
      <c r="O66" s="1216"/>
      <c r="P66" s="1208" cm="1">
        <f t="array" aca="1" ref="P66" ca="1">IFERROR(INDEX($S66:$AT66,
       MATCH(TRUE,
             (($R66=Q62)*
              (RIGHT($S$47:$AT$47,3)=NewMUP)*
              ($S66:$AT66&gt;0))&gt;0,
       0)),0)</f>
        <v>0</v>
      </c>
      <c r="Q66" s="1305">
        <f ca="1">SUM(S28:INDEX(24:24, COLUMN($S28) +$R$47 - 1))</f>
        <v>30</v>
      </c>
      <c r="R66" s="1249" t="str">
        <f t="shared" ca="1" si="6"/>
        <v>UZU</v>
      </c>
      <c r="S66" s="1242">
        <f t="shared" ref="S66:AS66" ca="1" si="45">IF(S28=0,0,S28/$Q66)</f>
        <v>0</v>
      </c>
      <c r="T66" s="1243">
        <f t="shared" ca="1" si="45"/>
        <v>3.3333333333333333E-2</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v>
      </c>
      <c r="AD66" s="1243">
        <f t="shared" ca="1" si="45"/>
        <v>0</v>
      </c>
      <c r="AE66" s="1243">
        <f t="shared" ca="1" si="45"/>
        <v>0</v>
      </c>
      <c r="AF66" s="1243">
        <f t="shared" ca="1" si="45"/>
        <v>6.6666666666666666E-2</v>
      </c>
      <c r="AG66" s="1243">
        <f t="shared" ca="1" si="45"/>
        <v>0</v>
      </c>
      <c r="AH66" s="1243">
        <f t="shared" ca="1" si="45"/>
        <v>0</v>
      </c>
      <c r="AI66" s="1243">
        <f t="shared" ca="1" si="45"/>
        <v>0</v>
      </c>
      <c r="AJ66" s="1243">
        <f t="shared" ca="1" si="45"/>
        <v>0.13333333333333333</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0</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6">
        <f ca="1"/>
        <v>45889</v>
      </c>
      <c r="C67" s="89" vm="247">
        <f ca="1"/>
        <v>233.75</v>
      </c>
      <c r="D67" s="1225">
        <f t="shared" ca="1" si="0"/>
        <v>-1.3296749683410745E-2</v>
      </c>
      <c r="E67" s="294" t="str" cm="1">
        <f t="array" aca="1" ref="E67" ca="1">_xlfn.IFS(D67&gt;ZPercent,"U",D67&lt;=-ZPercent,"D",TRUE,"Z")</f>
        <v>D</v>
      </c>
      <c r="F67" s="294" t="str">
        <f t="shared" ca="1" si="1"/>
        <v>ZD</v>
      </c>
      <c r="G67" s="294" t="str">
        <f t="shared" ca="1" si="2"/>
        <v>ZZD</v>
      </c>
      <c r="H67" s="874" t="str">
        <f t="shared" ca="1" si="3"/>
        <v>ZZ</v>
      </c>
      <c r="J67" s="89" vm="248">
        <f ca="1"/>
        <v>45747</v>
      </c>
      <c r="K67" s="89" vm="249">
        <f ca="1"/>
        <v>244.4</v>
      </c>
      <c r="N67" s="874" t="str">
        <f ca="1">IF(F67=[2]Sheet1!O65,"","dif")</f>
        <v>dif</v>
      </c>
      <c r="O67" s="1216"/>
      <c r="P67" s="1208" cm="1">
        <f t="array" aca="1" ref="P67" ca="1">IFERROR(INDEX($S67:$AT67,
       MATCH(TRUE,
             (($R67=Q63)*
              (RIGHT($S$47:$AT$47,3)=NewMUP)*
              ($S67:$AT67&gt;0))&gt;0,
       0)),0)</f>
        <v>0</v>
      </c>
      <c r="Q67" s="1305">
        <f ca="1">SUM(S29:INDEX(25:25, COLUMN($S29) +$R$47 - 1))</f>
        <v>30</v>
      </c>
      <c r="R67" s="1249" t="str">
        <f t="shared" ca="1" si="6"/>
        <v>UDZ</v>
      </c>
      <c r="S67" s="1242">
        <f t="shared" ref="S67:AS67" ca="1" si="47">IF(S29=0,0,S29/$Q67)</f>
        <v>0</v>
      </c>
      <c r="T67" s="1243">
        <f t="shared" ca="1" si="47"/>
        <v>0</v>
      </c>
      <c r="U67" s="1243">
        <f t="shared" ca="1" si="47"/>
        <v>0</v>
      </c>
      <c r="V67" s="1243">
        <f t="shared" ca="1" si="47"/>
        <v>3.3333333333333333E-2</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0.1</v>
      </c>
      <c r="AH67" s="1243">
        <f t="shared" ca="1" si="47"/>
        <v>0</v>
      </c>
      <c r="AI67" s="1243">
        <f t="shared" ca="1" si="47"/>
        <v>0</v>
      </c>
      <c r="AJ67" s="1243">
        <f t="shared" ca="1" si="47"/>
        <v>0</v>
      </c>
      <c r="AK67" s="1243">
        <f t="shared" ca="1" si="47"/>
        <v>0</v>
      </c>
      <c r="AL67" s="1243">
        <f t="shared" ca="1" si="47"/>
        <v>0</v>
      </c>
      <c r="AM67" s="1243">
        <f t="shared" ca="1" si="47"/>
        <v>0</v>
      </c>
      <c r="AN67" s="1243">
        <f t="shared" ca="1" si="47"/>
        <v>0</v>
      </c>
      <c r="AO67" s="1243">
        <f t="shared" ca="1" si="47"/>
        <v>0</v>
      </c>
      <c r="AP67" s="1243">
        <f t="shared" ca="1" si="47"/>
        <v>0</v>
      </c>
      <c r="AQ67" s="1243">
        <f t="shared" ca="1" si="47"/>
        <v>0.1</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50">
        <f ca="1"/>
        <v>45888</v>
      </c>
      <c r="C68" s="89" vm="203">
        <f ca="1"/>
        <v>236.9</v>
      </c>
      <c r="D68" s="1225">
        <f t="shared" ca="1" si="0"/>
        <v>1.0564124234100994E-3</v>
      </c>
      <c r="E68" s="294" t="str" cm="1">
        <f t="array" aca="1" ref="E68" ca="1">_xlfn.IFS(D68&gt;ZPercent,"U",D68&lt;=-ZPercent,"D",TRUE,"Z")</f>
        <v>Z</v>
      </c>
      <c r="F68" s="294" t="str">
        <f t="shared" ca="1" si="1"/>
        <v>ZZ</v>
      </c>
      <c r="G68" s="294" t="str">
        <f t="shared" ca="1" si="2"/>
        <v>DZZ</v>
      </c>
      <c r="H68" s="874" t="str">
        <f t="shared" ca="1" si="3"/>
        <v/>
      </c>
      <c r="J68" s="89" vm="251">
        <f ca="1"/>
        <v>45748</v>
      </c>
      <c r="K68" s="89" vm="221">
        <f ca="1"/>
        <v>250.15</v>
      </c>
      <c r="N68" s="874" t="str">
        <f ca="1">IF(F68=[2]Sheet1!O66,"","dif")</f>
        <v>dif</v>
      </c>
      <c r="O68" s="1216"/>
      <c r="P68" s="1208" cm="1">
        <f t="array" aca="1" ref="P68" ca="1">IFERROR(INDEX($S68:$AT68,
       MATCH(TRUE,
             (($R68=Q64)*
              (RIGHT($S$47:$AT$47,3)=NewMUP)*
              ($S68:$AT68&gt;0))&gt;0,
       0)),0)</f>
        <v>0</v>
      </c>
      <c r="Q68" s="1305">
        <f ca="1">SUM(S30:INDEX(26:26, COLUMN($S30) +$R$47 - 1))</f>
        <v>35</v>
      </c>
      <c r="R68" s="1249" t="str">
        <f t="shared" ca="1" si="6"/>
        <v>ZDD</v>
      </c>
      <c r="S68" s="1242">
        <f t="shared" ref="S68:AS68" ca="1" si="49">IF(S30=0,0,S30/$Q68)</f>
        <v>0</v>
      </c>
      <c r="T68" s="1243">
        <f t="shared" ca="1" si="49"/>
        <v>0</v>
      </c>
      <c r="U68" s="1243">
        <f t="shared" ca="1" si="49"/>
        <v>0</v>
      </c>
      <c r="V68" s="1243">
        <f t="shared" ca="1" si="49"/>
        <v>0</v>
      </c>
      <c r="W68" s="1243">
        <f t="shared" ca="1" si="49"/>
        <v>5.7142857142857141E-2</v>
      </c>
      <c r="X68" s="1243">
        <f t="shared" ca="1" si="49"/>
        <v>0</v>
      </c>
      <c r="Y68" s="1243">
        <f t="shared" ca="1" si="49"/>
        <v>0</v>
      </c>
      <c r="Z68" s="1243">
        <f t="shared" ca="1" si="49"/>
        <v>0</v>
      </c>
      <c r="AA68" s="1243">
        <f t="shared" ca="1" si="49"/>
        <v>0.11428571428571428</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0</v>
      </c>
      <c r="AM68" s="1243">
        <f t="shared" ca="1" si="49"/>
        <v>0</v>
      </c>
      <c r="AN68" s="1243">
        <f t="shared" ca="1" si="49"/>
        <v>0</v>
      </c>
      <c r="AO68" s="1243">
        <f t="shared" ca="1" si="49"/>
        <v>0</v>
      </c>
      <c r="AP68" s="1243">
        <f t="shared" ca="1" si="49"/>
        <v>0</v>
      </c>
      <c r="AQ68" s="1243">
        <f t="shared" ca="1" si="49"/>
        <v>0</v>
      </c>
      <c r="AR68" s="1243">
        <f t="shared" ca="1" si="49"/>
        <v>5.7142857142857141E-2</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2">
        <f ca="1"/>
        <v>45887</v>
      </c>
      <c r="C69" s="89" vm="253">
        <f ca="1"/>
        <v>236.65</v>
      </c>
      <c r="D69" s="1225">
        <f t="shared" ref="D69:D132" ca="1" si="51">IFERROR((C69-C70)/C70,0)</f>
        <v>-1.4767932489451237E-3</v>
      </c>
      <c r="E69" s="294" t="str" cm="1">
        <f t="array" aca="1" ref="E69" ca="1">_xlfn.IFS(D69&gt;ZPercent,"U",D69&lt;=-ZPercent,"D",TRUE,"Z")</f>
        <v>Z</v>
      </c>
      <c r="F69" s="294" t="str">
        <f t="shared" ca="1" si="1"/>
        <v>DZ</v>
      </c>
      <c r="G69" s="294" t="str">
        <f t="shared" ca="1" si="2"/>
        <v>ZDZ</v>
      </c>
      <c r="H69" s="874" t="str">
        <f t="shared" ca="1" si="3"/>
        <v/>
      </c>
      <c r="J69" s="89" vm="254">
        <f ca="1"/>
        <v>45749</v>
      </c>
      <c r="K69" s="89" vm="255">
        <f ca="1"/>
        <v>249.1</v>
      </c>
      <c r="N69" s="874" t="str">
        <f ca="1">IF(F69=[2]Sheet1!O67,"","dif")</f>
        <v>dif</v>
      </c>
      <c r="O69" s="1216"/>
      <c r="P69" s="1208" cm="1">
        <f t="array" aca="1" ref="P69" ca="1">IFERROR(INDEX($S69:$AT69,
       MATCH(TRUE,
             (($R69=Q65)*
              (RIGHT($S$47:$AT$47,3)=NewMUP)*
              ($S69:$AT69&gt;0))&gt;0,
       0)),0)</f>
        <v>0</v>
      </c>
      <c r="Q69" s="1305">
        <f ca="1">SUM(S31:INDEX(27:27, COLUMN($S31) +$R$47 - 1))</f>
        <v>32</v>
      </c>
      <c r="R69" s="1249" t="str">
        <f t="shared" ca="1" si="6"/>
        <v>DUZ</v>
      </c>
      <c r="S69" s="1242">
        <f t="shared" ref="S69:AS69" ca="1" si="52">IF(S31=0,0,S31/$Q69)</f>
        <v>9.375E-2</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0</v>
      </c>
      <c r="AD69" s="1243">
        <f t="shared" ca="1" si="52"/>
        <v>0</v>
      </c>
      <c r="AE69" s="1243">
        <f t="shared" ca="1" si="52"/>
        <v>0</v>
      </c>
      <c r="AF69" s="1243">
        <f t="shared" ca="1" si="52"/>
        <v>0</v>
      </c>
      <c r="AG69" s="1243">
        <f t="shared" ca="1" si="52"/>
        <v>0</v>
      </c>
      <c r="AH69" s="1243">
        <f t="shared" ca="1" si="52"/>
        <v>0</v>
      </c>
      <c r="AI69" s="1243">
        <f t="shared" ca="1" si="52"/>
        <v>0</v>
      </c>
      <c r="AJ69" s="1243">
        <f t="shared" ca="1" si="52"/>
        <v>0</v>
      </c>
      <c r="AK69" s="1243">
        <f t="shared" ca="1" si="52"/>
        <v>6.25E-2</v>
      </c>
      <c r="AL69" s="1243">
        <f t="shared" ca="1" si="52"/>
        <v>0</v>
      </c>
      <c r="AM69" s="1243">
        <f t="shared" ca="1" si="52"/>
        <v>0</v>
      </c>
      <c r="AN69" s="1243">
        <f t="shared" ca="1" si="52"/>
        <v>0</v>
      </c>
      <c r="AO69" s="1243">
        <f t="shared" ca="1" si="52"/>
        <v>0</v>
      </c>
      <c r="AP69" s="1243">
        <f t="shared" ca="1" si="52"/>
        <v>0</v>
      </c>
      <c r="AQ69" s="1243">
        <f t="shared" ca="1" si="52"/>
        <v>0</v>
      </c>
      <c r="AR69" s="1243">
        <f t="shared" ca="1" si="52"/>
        <v>0</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6">
        <f ca="1"/>
        <v>45884</v>
      </c>
      <c r="C70" s="89" vm="257">
        <f ca="1"/>
        <v>237</v>
      </c>
      <c r="D70" s="1225">
        <f t="shared" ca="1" si="51"/>
        <v>-1.1057792614229107E-2</v>
      </c>
      <c r="E70" s="294" t="str" cm="1">
        <f t="array" aca="1" ref="E70" ca="1">_xlfn.IFS(D70&gt;ZPercent,"U",D70&lt;=-ZPercent,"D",TRUE,"Z")</f>
        <v>D</v>
      </c>
      <c r="F70" s="294" t="str">
        <f t="shared" ref="F70:F133" ca="1" si="54">_xlfn.CONCAT(E71,E70)</f>
        <v>ZD</v>
      </c>
      <c r="G70" s="294" t="str">
        <f t="shared" ref="G70:G133" ca="1" si="55">_xlfn.CONCAT(E72,E71,E70)</f>
        <v>UZD</v>
      </c>
      <c r="H70" s="874" t="str">
        <f t="shared" ref="H70:H133" ca="1" si="56">IF(AND(E70="D",E71="Z"),"ZZ","")</f>
        <v>ZZ</v>
      </c>
      <c r="J70" s="89" vm="258">
        <f ca="1"/>
        <v>45750</v>
      </c>
      <c r="K70" s="89" vm="259">
        <f ca="1"/>
        <v>238.95</v>
      </c>
      <c r="N70" s="874" t="str">
        <f ca="1">IF(F70=[2]Sheet1!O68,"","dif")</f>
        <v>dif</v>
      </c>
      <c r="O70" s="1216"/>
      <c r="P70" s="1208" cm="1">
        <f t="array" aca="1" ref="P70" ca="1">IFERROR(INDEX($S70:$AT70,
       MATCH(TRUE,
             (($R70=Q66)*
              (RIGHT($S$47:$AT$47,3)=NewMUP)*
              ($S70:$AT70&gt;0))&gt;0,
       0)),0)</f>
        <v>0</v>
      </c>
      <c r="Q70" s="1305">
        <f ca="1">SUM(S32:INDEX(28:28, COLUMN($S32) +$R$47 - 1))</f>
        <v>33</v>
      </c>
      <c r="R70" s="1249" t="str">
        <f t="shared" ca="1" si="6"/>
        <v>ZZZ</v>
      </c>
      <c r="S70" s="1242">
        <f t="shared" ref="S70:AS70" ca="1" si="57">IF(S32=0,0,S32/$Q70)</f>
        <v>0</v>
      </c>
      <c r="T70" s="1243">
        <f t="shared" ca="1" si="57"/>
        <v>0</v>
      </c>
      <c r="U70" s="1243">
        <f t="shared" ca="1" si="57"/>
        <v>3.0303030303030304E-2</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0</v>
      </c>
      <c r="AG70" s="1243">
        <f t="shared" ca="1" si="57"/>
        <v>0</v>
      </c>
      <c r="AH70" s="1243">
        <f t="shared" ca="1" si="57"/>
        <v>0</v>
      </c>
      <c r="AI70" s="1243">
        <f t="shared" ca="1" si="57"/>
        <v>0</v>
      </c>
      <c r="AJ70" s="1243">
        <f t="shared" ca="1" si="57"/>
        <v>0</v>
      </c>
      <c r="AK70" s="1243">
        <f t="shared" ca="1" si="57"/>
        <v>0</v>
      </c>
      <c r="AL70" s="1243">
        <f t="shared" ca="1" si="57"/>
        <v>0</v>
      </c>
      <c r="AM70" s="1243">
        <f t="shared" ca="1" si="57"/>
        <v>0</v>
      </c>
      <c r="AN70" s="1243">
        <f t="shared" ca="1" si="57"/>
        <v>0</v>
      </c>
      <c r="AO70" s="1243">
        <f t="shared" ca="1" si="57"/>
        <v>6.0606060606060608E-2</v>
      </c>
      <c r="AP70" s="1243">
        <f t="shared" ca="1" si="57"/>
        <v>9.0909090909090912E-2</v>
      </c>
      <c r="AQ70" s="1243">
        <f t="shared" ca="1" si="57"/>
        <v>0</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0">
        <f ca="1"/>
        <v>45883</v>
      </c>
      <c r="C71" s="89" vm="261">
        <f ca="1"/>
        <v>239.65</v>
      </c>
      <c r="D71" s="1225">
        <f t="shared" ca="1" si="51"/>
        <v>2.7196652719665509E-3</v>
      </c>
      <c r="E71" s="294" t="str" cm="1">
        <f t="array" aca="1" ref="E71" ca="1">_xlfn.IFS(D71&gt;ZPercent,"U",D71&lt;=-ZPercent,"D",TRUE,"Z")</f>
        <v>Z</v>
      </c>
      <c r="F71" s="294" t="str">
        <f t="shared" ca="1" si="54"/>
        <v>UZ</v>
      </c>
      <c r="G71" s="294" t="str">
        <f t="shared" ca="1" si="55"/>
        <v>DUZ</v>
      </c>
      <c r="H71" s="874" t="str">
        <f t="shared" ca="1" si="56"/>
        <v/>
      </c>
      <c r="J71" s="89" vm="262">
        <f ca="1"/>
        <v>45751</v>
      </c>
      <c r="K71" s="89" vm="263">
        <f ca="1"/>
        <v>231.2</v>
      </c>
      <c r="N71" s="874" t="str">
        <f ca="1">IF(F71=[2]Sheet1!O69,"","dif")</f>
        <v>dif</v>
      </c>
      <c r="P71" s="1208" cm="1">
        <f t="array" aca="1" ref="P71" ca="1">IFERROR(INDEX($S71:$AT71,
       MATCH(TRUE,
             (($R71=Q67)*
              (RIGHT($S$47:$AT$47,3)=NewMUP)*
              ($S71:$AT71&gt;0))&gt;0,
       0)),0)</f>
        <v>0</v>
      </c>
      <c r="Q71" s="1305">
        <f ca="1">SUM(S33:INDEX(29:29, COLUMN($S33) +$R$47 - 1))</f>
        <v>32</v>
      </c>
      <c r="R71" s="1249" t="str">
        <f t="shared" ca="1" si="6"/>
        <v>ZZD</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v>
      </c>
      <c r="AC71" s="1243">
        <f t="shared" ca="1" si="59"/>
        <v>0</v>
      </c>
      <c r="AD71" s="1243">
        <f t="shared" ca="1" si="59"/>
        <v>0.15625</v>
      </c>
      <c r="AE71" s="1243">
        <f t="shared" ca="1" si="59"/>
        <v>0</v>
      </c>
      <c r="AF71" s="1243">
        <f t="shared" ca="1" si="59"/>
        <v>0</v>
      </c>
      <c r="AG71" s="1243">
        <f t="shared" ca="1" si="59"/>
        <v>0</v>
      </c>
      <c r="AH71" s="1243">
        <f t="shared" ca="1" si="59"/>
        <v>0</v>
      </c>
      <c r="AI71" s="1243">
        <f t="shared" ca="1" si="59"/>
        <v>0</v>
      </c>
      <c r="AJ71" s="1243">
        <f t="shared" ca="1" si="59"/>
        <v>0</v>
      </c>
      <c r="AK71" s="1243">
        <f t="shared" ca="1" si="59"/>
        <v>0</v>
      </c>
      <c r="AL71" s="1243">
        <f t="shared" ca="1" si="59"/>
        <v>0</v>
      </c>
      <c r="AM71" s="1243">
        <f t="shared" ca="1" si="59"/>
        <v>3.125E-2</v>
      </c>
      <c r="AN71" s="1243">
        <f t="shared" ca="1" si="59"/>
        <v>0</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4">
        <f ca="1"/>
        <v>45882</v>
      </c>
      <c r="C72" s="89" vm="265">
        <f ca="1"/>
        <v>239</v>
      </c>
      <c r="D72" s="1225">
        <f t="shared" ca="1" si="51"/>
        <v>3.017241379310345E-2</v>
      </c>
      <c r="E72" s="294" t="str" cm="1">
        <f t="array" aca="1" ref="E72" ca="1">_xlfn.IFS(D72&gt;ZPercent,"U",D72&lt;=-ZPercent,"D",TRUE,"Z")</f>
        <v>U</v>
      </c>
      <c r="F72" s="294" t="str">
        <f t="shared" ca="1" si="54"/>
        <v>DU</v>
      </c>
      <c r="G72" s="294" t="str">
        <f t="shared" ca="1" si="55"/>
        <v>ZDU</v>
      </c>
      <c r="H72" s="874" t="str">
        <f t="shared" ca="1" si="56"/>
        <v/>
      </c>
      <c r="J72" s="89" vm="266">
        <f ca="1"/>
        <v>45754</v>
      </c>
      <c r="K72" s="89" vm="267">
        <f ca="1"/>
        <v>221.4</v>
      </c>
      <c r="N72" s="874" t="str">
        <f ca="1">IF(F72=[2]Sheet1!O70,"","dif")</f>
        <v>dif</v>
      </c>
      <c r="P72" s="1208" cm="1">
        <f t="array" aca="1" ref="P72" ca="1">IFERROR(INDEX($S72:$AT72,
       MATCH(TRUE,
             (($R72=Q68)*
              (RIGHT($S$47:$AT$47,3)=NewMUP)*
              ($S72:$AT72&gt;0))&gt;0,
       0)),0)</f>
        <v>0</v>
      </c>
      <c r="Q72" s="1305">
        <f ca="1">SUM(S34:INDEX(30:30, COLUMN($S34) +$R$47 - 1))</f>
        <v>28</v>
      </c>
      <c r="R72" s="1249" t="str">
        <f t="shared" ca="1" si="6"/>
        <v>DZD</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0</v>
      </c>
      <c r="Z72" s="1243">
        <f t="shared" ca="1" si="61"/>
        <v>0</v>
      </c>
      <c r="AA72" s="1243">
        <f t="shared" ca="1" si="61"/>
        <v>0</v>
      </c>
      <c r="AB72" s="1243">
        <f t="shared" ca="1" si="61"/>
        <v>0</v>
      </c>
      <c r="AC72" s="1243">
        <f t="shared" ca="1" si="61"/>
        <v>0</v>
      </c>
      <c r="AD72" s="1243">
        <f t="shared" ca="1" si="61"/>
        <v>3.5714285714285712E-2</v>
      </c>
      <c r="AE72" s="1243">
        <f t="shared" ca="1" si="61"/>
        <v>0</v>
      </c>
      <c r="AF72" s="1243">
        <f t="shared" ca="1" si="61"/>
        <v>0</v>
      </c>
      <c r="AG72" s="1243">
        <f t="shared" ca="1" si="61"/>
        <v>0</v>
      </c>
      <c r="AH72" s="1243">
        <f t="shared" ca="1" si="61"/>
        <v>0</v>
      </c>
      <c r="AI72" s="1243">
        <f t="shared" ca="1" si="61"/>
        <v>0</v>
      </c>
      <c r="AJ72" s="1243">
        <f t="shared" ca="1" si="61"/>
        <v>0</v>
      </c>
      <c r="AK72" s="1243">
        <f t="shared" ca="1" si="61"/>
        <v>0</v>
      </c>
      <c r="AL72" s="1243">
        <f t="shared" ca="1" si="61"/>
        <v>0</v>
      </c>
      <c r="AM72" s="1243">
        <f t="shared" ca="1" si="61"/>
        <v>7.1428571428571425E-2</v>
      </c>
      <c r="AN72" s="1243">
        <f t="shared" ca="1" si="61"/>
        <v>0</v>
      </c>
      <c r="AO72" s="1243">
        <f t="shared" ca="1" si="61"/>
        <v>0</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68">
        <f ca="1"/>
        <v>45881</v>
      </c>
      <c r="C73" s="89" vm="269">
        <f ca="1"/>
        <v>232</v>
      </c>
      <c r="D73" s="1225">
        <f t="shared" ca="1" si="51"/>
        <v>-6.958091036695406E-2</v>
      </c>
      <c r="E73" s="294" t="str" cm="1">
        <f t="array" aca="1" ref="E73" ca="1">_xlfn.IFS(D73&gt;ZPercent,"U",D73&lt;=-ZPercent,"D",TRUE,"Z")</f>
        <v>D</v>
      </c>
      <c r="F73" s="294" t="str">
        <f t="shared" ca="1" si="54"/>
        <v>ZD</v>
      </c>
      <c r="G73" s="294" t="str">
        <f t="shared" ca="1" si="55"/>
        <v>DZD</v>
      </c>
      <c r="H73" s="874" t="str">
        <f t="shared" ca="1" si="56"/>
        <v>ZZ</v>
      </c>
      <c r="J73" s="89" vm="270">
        <f ca="1"/>
        <v>45755</v>
      </c>
      <c r="K73" s="89" vm="271">
        <f ca="1"/>
        <v>223.8</v>
      </c>
      <c r="N73" s="874" t="str">
        <f ca="1">IF(F73=[2]Sheet1!O71,"","dif")</f>
        <v>dif</v>
      </c>
      <c r="P73" s="1208" cm="1">
        <f t="array" aca="1" ref="P73" ca="1">IFERROR(INDEX($S73:$AT73,
       MATCH(TRUE,
             (($R73=Q69)*
              (RIGHT($S$47:$AT$47,3)=NewMUP)*
              ($S73:$AT73&gt;0))&gt;0,
       0)),0)</f>
        <v>0</v>
      </c>
      <c r="Q73" s="1305">
        <f ca="1">SUM(S35:INDEX(31:31, COLUMN($S35) +$R$47 - 1))</f>
        <v>28</v>
      </c>
      <c r="R73" s="1249" t="str">
        <f t="shared" ca="1" si="6"/>
        <v>DDD</v>
      </c>
      <c r="S73" s="1242">
        <f t="shared" ref="S73:AS73" ca="1" si="63">IF(S35=0,0,S35/$Q73)</f>
        <v>0</v>
      </c>
      <c r="T73" s="1243">
        <f t="shared" ca="1" si="63"/>
        <v>0</v>
      </c>
      <c r="U73" s="1243">
        <f t="shared" ca="1" si="63"/>
        <v>0</v>
      </c>
      <c r="V73" s="1243">
        <f t="shared" ca="1" si="63"/>
        <v>0</v>
      </c>
      <c r="W73" s="1243">
        <f t="shared" ca="1" si="63"/>
        <v>3.5714285714285712E-2</v>
      </c>
      <c r="X73" s="1243">
        <f t="shared" ca="1" si="63"/>
        <v>0</v>
      </c>
      <c r="Y73" s="1243">
        <f t="shared" ca="1" si="63"/>
        <v>0</v>
      </c>
      <c r="Z73" s="1243">
        <f t="shared" ca="1" si="63"/>
        <v>0</v>
      </c>
      <c r="AA73" s="1243">
        <f t="shared" ca="1" si="63"/>
        <v>0.14285714285714285</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0</v>
      </c>
      <c r="AN73" s="1243">
        <f t="shared" ca="1" si="63"/>
        <v>0</v>
      </c>
      <c r="AO73" s="1243">
        <f t="shared" ca="1" si="63"/>
        <v>0</v>
      </c>
      <c r="AP73" s="1243">
        <f t="shared" ca="1" si="63"/>
        <v>0</v>
      </c>
      <c r="AQ73" s="1243">
        <f t="shared" ca="1" si="63"/>
        <v>0</v>
      </c>
      <c r="AR73" s="1243">
        <f t="shared" ca="1" si="63"/>
        <v>0.10714285714285714</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2">
        <f ca="1"/>
        <v>45880</v>
      </c>
      <c r="C74" s="89" vm="273">
        <f ca="1"/>
        <v>249.35</v>
      </c>
      <c r="D74" s="1225">
        <f t="shared" ca="1" si="51"/>
        <v>-2.9988004798080768E-3</v>
      </c>
      <c r="E74" s="294" t="str" cm="1">
        <f t="array" aca="1" ref="E74" ca="1">_xlfn.IFS(D74&gt;ZPercent,"U",D74&lt;=-ZPercent,"D",TRUE,"Z")</f>
        <v>Z</v>
      </c>
      <c r="F74" s="294" t="str">
        <f t="shared" ca="1" si="54"/>
        <v>DZ</v>
      </c>
      <c r="G74" s="294" t="str">
        <f t="shared" ca="1" si="55"/>
        <v>UDZ</v>
      </c>
      <c r="H74" s="874" t="str">
        <f t="shared" ca="1" si="56"/>
        <v/>
      </c>
      <c r="J74" s="89" vm="274">
        <f ca="1"/>
        <v>45756</v>
      </c>
      <c r="K74" s="89" vm="275">
        <f ca="1"/>
        <v>214.4</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6">
        <f ca="1"/>
        <v>45877</v>
      </c>
      <c r="C75" s="89" vm="237">
        <f ca="1"/>
        <v>250.1</v>
      </c>
      <c r="D75" s="1225">
        <f t="shared" ca="1" si="51"/>
        <v>-1.825318940137392E-2</v>
      </c>
      <c r="E75" s="294" t="str" cm="1">
        <f t="array" aca="1" ref="E75" ca="1">_xlfn.IFS(D75&gt;ZPercent,"U",D75&lt;=-ZPercent,"D",TRUE,"Z")</f>
        <v>D</v>
      </c>
      <c r="F75" s="294" t="str">
        <f t="shared" ca="1" si="54"/>
        <v>UD</v>
      </c>
      <c r="G75" s="294" t="str">
        <f t="shared" ca="1" si="55"/>
        <v>UUD</v>
      </c>
      <c r="H75" s="874" t="str">
        <f t="shared" ca="1" si="56"/>
        <v/>
      </c>
      <c r="J75" s="89" vm="277">
        <f ca="1"/>
        <v>45757</v>
      </c>
      <c r="K75" s="89" vm="278">
        <f ca="1"/>
        <v>230</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79">
        <f ca="1"/>
        <v>45876</v>
      </c>
      <c r="C76" s="89" vm="280">
        <f ca="1"/>
        <v>254.75</v>
      </c>
      <c r="D76" s="1225">
        <f t="shared" ca="1" si="51"/>
        <v>2.3709061683745251E-2</v>
      </c>
      <c r="E76" s="294" t="str" cm="1">
        <f t="array" aca="1" ref="E76" ca="1">_xlfn.IFS(D76&gt;ZPercent,"U",D76&lt;=-ZPercent,"D",TRUE,"Z")</f>
        <v>U</v>
      </c>
      <c r="F76" s="294" t="str">
        <f t="shared" ca="1" si="54"/>
        <v>UU</v>
      </c>
      <c r="G76" s="294" t="str">
        <f t="shared" ca="1" si="55"/>
        <v>UUU</v>
      </c>
      <c r="H76" s="874" t="str">
        <f t="shared" ca="1" si="56"/>
        <v/>
      </c>
      <c r="J76" s="89" vm="281">
        <f ca="1"/>
        <v>45758</v>
      </c>
      <c r="K76" s="89" vm="282">
        <f ca="1"/>
        <v>224.8</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3">
        <f ca="1"/>
        <v>45875</v>
      </c>
      <c r="C77" s="89" vm="284">
        <f ca="1"/>
        <v>248.85</v>
      </c>
      <c r="D77" s="1225">
        <f t="shared" ca="1" si="51"/>
        <v>8.9195215892965279E-3</v>
      </c>
      <c r="E77" s="294" t="str" cm="1">
        <f t="array" aca="1" ref="E77" ca="1">_xlfn.IFS(D77&gt;ZPercent,"U",D77&lt;=-ZPercent,"D",TRUE,"Z")</f>
        <v>U</v>
      </c>
      <c r="F77" s="294" t="str">
        <f t="shared" ca="1" si="54"/>
        <v>UU</v>
      </c>
      <c r="G77" s="294" t="str">
        <f t="shared" ca="1" si="55"/>
        <v>ZUU</v>
      </c>
      <c r="H77" s="874" t="str">
        <f t="shared" ca="1" si="56"/>
        <v/>
      </c>
      <c r="J77" s="89" vm="285">
        <f ca="1"/>
        <v>45761</v>
      </c>
      <c r="K77" s="89" vm="286">
        <f ca="1"/>
        <v>228.8</v>
      </c>
      <c r="N77" s="874" t="str">
        <f ca="1">IF(F77=[2]Sheet1!O75,"","dif")</f>
        <v>dif</v>
      </c>
    </row>
    <row r="78" spans="2:128" x14ac:dyDescent="0.3">
      <c r="B78" s="89" vm="287">
        <f ca="1"/>
        <v>45874</v>
      </c>
      <c r="C78" s="89" vm="288">
        <f ca="1"/>
        <v>246.65</v>
      </c>
      <c r="D78" s="1225">
        <f t="shared" ca="1" si="51"/>
        <v>7.7630234933605954E-3</v>
      </c>
      <c r="E78" s="294" t="str" cm="1">
        <f t="array" aca="1" ref="E78" ca="1">_xlfn.IFS(D78&gt;ZPercent,"U",D78&lt;=-ZPercent,"D",TRUE,"Z")</f>
        <v>U</v>
      </c>
      <c r="F78" s="294" t="str">
        <f t="shared" ca="1" si="54"/>
        <v>ZU</v>
      </c>
      <c r="G78" s="294" t="str">
        <f t="shared" ca="1" si="55"/>
        <v>DZU</v>
      </c>
      <c r="H78" s="874" t="str">
        <f t="shared" ca="1" si="56"/>
        <v/>
      </c>
      <c r="J78" s="89" vm="289">
        <f ca="1"/>
        <v>45762</v>
      </c>
      <c r="K78" s="89" vm="290">
        <f ca="1"/>
        <v>232.65</v>
      </c>
      <c r="N78" s="874" t="str">
        <f ca="1">IF(F78=[2]Sheet1!O76,"","dif")</f>
        <v>dif</v>
      </c>
    </row>
    <row r="79" spans="2:128" x14ac:dyDescent="0.3">
      <c r="B79" s="89" vm="291">
        <f ca="1"/>
        <v>45873</v>
      </c>
      <c r="C79" s="89" vm="20">
        <f ca="1"/>
        <v>244.75</v>
      </c>
      <c r="D79" s="1225">
        <f t="shared" ca="1" si="51"/>
        <v>4.0874718986304645E-4</v>
      </c>
      <c r="E79" s="294" t="str" cm="1">
        <f t="array" aca="1" ref="E79" ca="1">_xlfn.IFS(D79&gt;ZPercent,"U",D79&lt;=-ZPercent,"D",TRUE,"Z")</f>
        <v>Z</v>
      </c>
      <c r="F79" s="294" t="str">
        <f t="shared" ca="1" si="54"/>
        <v>DZ</v>
      </c>
      <c r="G79" s="294" t="str">
        <f t="shared" ca="1" si="55"/>
        <v>DDZ</v>
      </c>
      <c r="H79" s="874" t="str">
        <f t="shared" ca="1" si="56"/>
        <v/>
      </c>
      <c r="J79" s="89" vm="292">
        <f ca="1"/>
        <v>45763</v>
      </c>
      <c r="K79" s="89" vm="293">
        <f ca="1"/>
        <v>232.35</v>
      </c>
      <c r="N79" s="874" t="str">
        <f ca="1">IF(F79=[2]Sheet1!O77,"","dif")</f>
        <v>dif</v>
      </c>
    </row>
    <row r="80" spans="2:128" x14ac:dyDescent="0.3">
      <c r="B80" s="89" vm="294">
        <f ca="1"/>
        <v>45870</v>
      </c>
      <c r="C80" s="89" vm="295">
        <f ca="1"/>
        <v>244.65</v>
      </c>
      <c r="D80" s="1225">
        <f t="shared" ca="1" si="51"/>
        <v>-2.4521531100478489E-2</v>
      </c>
      <c r="E80" s="294" t="str" cm="1">
        <f t="array" aca="1" ref="E80" ca="1">_xlfn.IFS(D80&gt;ZPercent,"U",D80&lt;=-ZPercent,"D",TRUE,"Z")</f>
        <v>D</v>
      </c>
      <c r="F80" s="294" t="str">
        <f t="shared" ca="1" si="54"/>
        <v>DD</v>
      </c>
      <c r="G80" s="294" t="str">
        <f t="shared" ca="1" si="55"/>
        <v>UDD</v>
      </c>
      <c r="H80" s="874" t="str">
        <f t="shared" ca="1" si="56"/>
        <v/>
      </c>
      <c r="J80" s="89" vm="296">
        <f ca="1"/>
        <v>45764</v>
      </c>
      <c r="K80" s="89" vm="297">
        <f ca="1"/>
        <v>226</v>
      </c>
      <c r="N80" s="874" t="str">
        <f ca="1">IF(F80=[2]Sheet1!O78,"","dif")</f>
        <v>dif</v>
      </c>
    </row>
    <row r="81" spans="2:96" x14ac:dyDescent="0.3">
      <c r="B81" s="89" vm="298">
        <f ca="1"/>
        <v>45869</v>
      </c>
      <c r="C81" s="89" vm="299">
        <f ca="1"/>
        <v>250.8</v>
      </c>
      <c r="D81" s="1225">
        <f t="shared" ca="1" si="51"/>
        <v>-8.6956521739129985E-3</v>
      </c>
      <c r="E81" s="294" t="str" cm="1">
        <f t="array" aca="1" ref="E81" ca="1">_xlfn.IFS(D81&gt;ZPercent,"U",D81&lt;=-ZPercent,"D",TRUE,"Z")</f>
        <v>D</v>
      </c>
      <c r="F81" s="294" t="str">
        <f t="shared" ca="1" si="54"/>
        <v>UD</v>
      </c>
      <c r="G81" s="294" t="str">
        <f t="shared" ca="1" si="55"/>
        <v>UUD</v>
      </c>
      <c r="H81" s="874" t="str">
        <f t="shared" ca="1" si="56"/>
        <v/>
      </c>
      <c r="J81" s="89" vm="300">
        <f ca="1"/>
        <v>45769</v>
      </c>
      <c r="K81" s="89" vm="301">
        <f ca="1"/>
        <v>218.5</v>
      </c>
      <c r="N81" s="874" t="str">
        <f ca="1">IF(F81=[2]Sheet1!O79,"","dif")</f>
        <v>dif</v>
      </c>
    </row>
    <row r="82" spans="2:96" x14ac:dyDescent="0.3">
      <c r="B82" s="89" vm="302">
        <f ca="1"/>
        <v>45868</v>
      </c>
      <c r="C82" s="89" vm="303">
        <f ca="1"/>
        <v>253</v>
      </c>
      <c r="D82" s="1225">
        <f t="shared" ca="1" si="51"/>
        <v>1.8313543972630353E-2</v>
      </c>
      <c r="E82" s="294" t="str" cm="1">
        <f t="array" aca="1" ref="E82" ca="1">_xlfn.IFS(D82&gt;ZPercent,"U",D82&lt;=-ZPercent,"D",TRUE,"Z")</f>
        <v>U</v>
      </c>
      <c r="F82" s="294" t="str">
        <f t="shared" ca="1" si="54"/>
        <v>UU</v>
      </c>
      <c r="G82" s="294" t="str">
        <f t="shared" ca="1" si="55"/>
        <v>ZUU</v>
      </c>
      <c r="H82" s="874" t="str">
        <f t="shared" ca="1" si="56"/>
        <v/>
      </c>
      <c r="J82" s="89" vm="304">
        <f ca="1"/>
        <v>45770</v>
      </c>
      <c r="K82" s="89" vm="305">
        <f ca="1"/>
        <v>241.7</v>
      </c>
      <c r="N82" s="874" t="str">
        <f ca="1">IF(F82=[2]Sheet1!O80,"","dif")</f>
        <v>dif</v>
      </c>
    </row>
    <row r="83" spans="2:96" x14ac:dyDescent="0.3">
      <c r="B83" s="89" vm="306">
        <f ca="1"/>
        <v>45867</v>
      </c>
      <c r="C83" s="89" vm="307">
        <f ca="1"/>
        <v>248.45</v>
      </c>
      <c r="D83" s="1225">
        <f t="shared" ca="1" si="51"/>
        <v>1.8029092399098452E-2</v>
      </c>
      <c r="E83" s="294" t="str" cm="1">
        <f t="array" aca="1" ref="E83" ca="1">_xlfn.IFS(D83&gt;ZPercent,"U",D83&lt;=-ZPercent,"D",TRUE,"Z")</f>
        <v>U</v>
      </c>
      <c r="F83" s="294" t="str">
        <f t="shared" ca="1" si="54"/>
        <v>ZU</v>
      </c>
      <c r="G83" s="294" t="str">
        <f t="shared" ca="1" si="55"/>
        <v>ZZU</v>
      </c>
      <c r="H83" s="874" t="str">
        <f t="shared" ca="1" si="56"/>
        <v/>
      </c>
      <c r="J83" s="89" vm="308">
        <f ca="1"/>
        <v>45771</v>
      </c>
      <c r="K83" s="89" vm="309">
        <f ca="1"/>
        <v>241.15</v>
      </c>
      <c r="N83" s="874" t="str">
        <f ca="1">IF(F83=[2]Sheet1!O81,"","dif")</f>
        <v>dif</v>
      </c>
    </row>
    <row r="84" spans="2:96" x14ac:dyDescent="0.3">
      <c r="B84" s="89" vm="310">
        <f ca="1"/>
        <v>45866</v>
      </c>
      <c r="C84" s="89" vm="311">
        <f ca="1"/>
        <v>244.05</v>
      </c>
      <c r="D84" s="1225">
        <f t="shared" ca="1" si="51"/>
        <v>-3.877551020408117E-3</v>
      </c>
      <c r="E84" s="294" t="str" cm="1">
        <f t="array" aca="1" ref="E84" ca="1">_xlfn.IFS(D84&gt;ZPercent,"U",D84&lt;=-ZPercent,"D",TRUE,"Z")</f>
        <v>Z</v>
      </c>
      <c r="F84" s="294" t="str">
        <f t="shared" ca="1" si="54"/>
        <v>ZZ</v>
      </c>
      <c r="G84" s="294" t="str">
        <f t="shared" ca="1" si="55"/>
        <v>DZZ</v>
      </c>
      <c r="H84" s="874" t="str">
        <f t="shared" ca="1" si="56"/>
        <v/>
      </c>
      <c r="J84" s="89" vm="312">
        <f ca="1"/>
        <v>45772</v>
      </c>
      <c r="K84" s="89" vm="313">
        <f ca="1"/>
        <v>244.7</v>
      </c>
      <c r="N84" s="874" t="str">
        <f ca="1">IF(F84=[2]Sheet1!O82,"","dif")</f>
        <v/>
      </c>
    </row>
    <row r="85" spans="2:96" x14ac:dyDescent="0.3">
      <c r="B85" s="89" vm="314">
        <f ca="1"/>
        <v>45863</v>
      </c>
      <c r="C85" s="89" vm="315">
        <f ca="1"/>
        <v>245</v>
      </c>
      <c r="D85" s="1225">
        <f t="shared" ca="1" si="51"/>
        <v>-4.4697277529459336E-3</v>
      </c>
      <c r="E85" s="294" t="str" cm="1">
        <f t="array" aca="1" ref="E85" ca="1">_xlfn.IFS(D85&gt;ZPercent,"U",D85&lt;=-ZPercent,"D",TRUE,"Z")</f>
        <v>Z</v>
      </c>
      <c r="F85" s="294" t="str">
        <f t="shared" ca="1" si="54"/>
        <v>DZ</v>
      </c>
      <c r="G85" s="294" t="str">
        <f t="shared" ca="1" si="55"/>
        <v>DDZ</v>
      </c>
      <c r="H85" s="874" t="str">
        <f t="shared" ca="1" si="56"/>
        <v/>
      </c>
      <c r="J85" s="89" vm="316">
        <f ca="1"/>
        <v>45775</v>
      </c>
      <c r="K85" s="89" vm="317">
        <f ca="1"/>
        <v>248.8</v>
      </c>
      <c r="N85" s="874" t="str">
        <f ca="1">IF(F85=[2]Sheet1!O83,"","dif")</f>
        <v>dif</v>
      </c>
    </row>
    <row r="86" spans="2:96" ht="23" thickBot="1" x14ac:dyDescent="0.35">
      <c r="B86" s="89" vm="318">
        <f ca="1"/>
        <v>45862</v>
      </c>
      <c r="C86" s="89" vm="319">
        <f ca="1"/>
        <v>246.1</v>
      </c>
      <c r="D86" s="1225">
        <f t="shared" ca="1" si="51"/>
        <v>-1.1050833835643963E-2</v>
      </c>
      <c r="E86" s="294" t="str" cm="1">
        <f t="array" aca="1" ref="E86" ca="1">_xlfn.IFS(D86&gt;ZPercent,"U",D86&lt;=-ZPercent,"D",TRUE,"Z")</f>
        <v>D</v>
      </c>
      <c r="F86" s="294" t="str">
        <f t="shared" ca="1" si="54"/>
        <v>DD</v>
      </c>
      <c r="G86" s="294" t="str">
        <f t="shared" ca="1" si="55"/>
        <v>DDD</v>
      </c>
      <c r="H86" s="874" t="str">
        <f t="shared" ca="1" si="56"/>
        <v/>
      </c>
      <c r="J86" s="89" vm="320">
        <f ca="1"/>
        <v>45776</v>
      </c>
      <c r="K86" s="89" vm="321">
        <f ca="1"/>
        <v>254.6</v>
      </c>
      <c r="N86" s="874" t="str">
        <f ca="1">IF(F86=[2]Sheet1!O84,"","dif")</f>
        <v>dif</v>
      </c>
    </row>
    <row r="87" spans="2:96" ht="23" thickBot="1" x14ac:dyDescent="0.35">
      <c r="B87" s="89" vm="322">
        <f ca="1"/>
        <v>45861</v>
      </c>
      <c r="C87" s="89" vm="284">
        <f ca="1"/>
        <v>248.85</v>
      </c>
      <c r="D87" s="1225">
        <f t="shared" ca="1" si="51"/>
        <v>-4.1040462427745686E-2</v>
      </c>
      <c r="E87" s="294" t="str" cm="1">
        <f t="array" aca="1" ref="E87" ca="1">_xlfn.IFS(D87&gt;ZPercent,"U",D87&lt;=-ZPercent,"D",TRUE,"Z")</f>
        <v>D</v>
      </c>
      <c r="F87" s="294" t="str">
        <f t="shared" ca="1" si="54"/>
        <v>DD</v>
      </c>
      <c r="G87" s="294" t="str">
        <f t="shared" ca="1" si="55"/>
        <v>ZDD</v>
      </c>
      <c r="H87" s="874" t="str">
        <f t="shared" ca="1" si="56"/>
        <v/>
      </c>
      <c r="J87" s="89" vm="323">
        <f ca="1"/>
        <v>45777</v>
      </c>
      <c r="K87" s="89" vm="324">
        <f ca="1"/>
        <v>255.3</v>
      </c>
      <c r="N87" s="874" t="str">
        <f ca="1">IF(F87=[2]Sheet1!O85,"","dif")</f>
        <v>dif</v>
      </c>
      <c r="V87" s="930" t="s">
        <v>2748</v>
      </c>
      <c r="X87" s="893" t="str">
        <f>J3</f>
        <v>SAP</v>
      </c>
      <c r="Y87" s="893" t="str">
        <f ca="1">LastMark2</f>
        <v>ZD</v>
      </c>
      <c r="Z87" s="875" t="s">
        <v>1669</v>
      </c>
      <c r="AA87" s="874" t="s">
        <v>1670</v>
      </c>
    </row>
    <row r="88" spans="2:96" ht="23" thickBot="1" x14ac:dyDescent="0.35">
      <c r="B88" s="89" vm="325">
        <f ca="1"/>
        <v>45860</v>
      </c>
      <c r="C88" s="89" vm="326">
        <f ca="1"/>
        <v>259.5</v>
      </c>
      <c r="D88" s="1225">
        <f t="shared" ca="1" si="51"/>
        <v>-1.4993357373315577E-2</v>
      </c>
      <c r="E88" s="294" t="str" cm="1">
        <f t="array" aca="1" ref="E88" ca="1">_xlfn.IFS(D88&gt;ZPercent,"U",D88&lt;=-ZPercent,"D",TRUE,"Z")</f>
        <v>D</v>
      </c>
      <c r="F88" s="294" t="str">
        <f t="shared" ca="1" si="54"/>
        <v>ZD</v>
      </c>
      <c r="G88" s="294" t="str">
        <f t="shared" ca="1" si="55"/>
        <v>DZD</v>
      </c>
      <c r="H88" s="874" t="str">
        <f t="shared" ca="1" si="56"/>
        <v>ZZ</v>
      </c>
      <c r="J88" s="89" vm="327">
        <f ca="1"/>
        <v>45779</v>
      </c>
      <c r="K88" s="89" vm="328">
        <f ca="1"/>
        <v>266.3</v>
      </c>
      <c r="N88" s="874" t="str">
        <f ca="1">IF(F88=[2]Sheet1!O86,"","dif")</f>
        <v>dif</v>
      </c>
      <c r="X88" s="874" t="s">
        <v>2722</v>
      </c>
      <c r="Y88" s="1308" t="str">
        <f ca="1">RIGHT(Y87,1)&amp;"U"</f>
        <v>DU</v>
      </c>
      <c r="Z88" s="1209">
        <f ca="1">IFERROR(_xlfn.MINIFS(AE93:AM101, AE93:AM101, "&gt;0", AE93:AM101, "&lt;1"), "")</f>
        <v>0.15151515151515152</v>
      </c>
      <c r="AA88" s="1210">
        <f ca="1">IFERROR(_xlfn.MAXIFS(AE93:AM101, AE93:AM101, "&gt;0", AE93:AM101, "&lt;1"), "")</f>
        <v>0.48484848484848486</v>
      </c>
      <c r="BA88" s="1452" t="str">
        <f>CG88</f>
        <v>SAP</v>
      </c>
      <c r="BB88" s="1453" t="str">
        <f ca="1">CH88</f>
        <v>ZD</v>
      </c>
      <c r="BU88" s="972" t="s">
        <v>2775</v>
      </c>
      <c r="CG88" s="893" t="str">
        <f>B2</f>
        <v>SAP</v>
      </c>
      <c r="CH88" s="893" t="str">
        <f ca="1">LastMark2</f>
        <v>ZD</v>
      </c>
      <c r="CI88" s="875" t="s">
        <v>1669</v>
      </c>
      <c r="CJ88" s="874" t="s">
        <v>1670</v>
      </c>
    </row>
    <row r="89" spans="2:96" ht="28" thickBot="1" x14ac:dyDescent="0.4">
      <c r="B89" s="89" vm="329">
        <f ca="1"/>
        <v>45859</v>
      </c>
      <c r="C89" s="89" vm="330">
        <f ca="1"/>
        <v>263.45</v>
      </c>
      <c r="D89" s="1225">
        <f t="shared" ca="1" si="51"/>
        <v>-2.2722969134634451E-3</v>
      </c>
      <c r="E89" s="294" t="str" cm="1">
        <f t="array" aca="1" ref="E89" ca="1">_xlfn.IFS(D89&gt;ZPercent,"U",D89&lt;=-ZPercent,"D",TRUE,"Z")</f>
        <v>Z</v>
      </c>
      <c r="F89" s="294" t="str">
        <f t="shared" ca="1" si="54"/>
        <v>DZ</v>
      </c>
      <c r="G89" s="294" t="str">
        <f t="shared" ca="1" si="55"/>
        <v>UDZ</v>
      </c>
      <c r="H89" s="874" t="str">
        <f t="shared" ca="1" si="56"/>
        <v/>
      </c>
      <c r="J89" s="89" vm="331">
        <f ca="1"/>
        <v>45782</v>
      </c>
      <c r="K89" s="89" vm="332">
        <f ca="1"/>
        <v>267.35000000000002</v>
      </c>
      <c r="N89" s="874" t="str">
        <f ca="1">IF(F89=[2]Sheet1!O87,"","dif")</f>
        <v>dif</v>
      </c>
      <c r="X89" s="1306" t="str">
        <f ca="1">IF(Y89=0,"No "&amp;Y88,"Up")</f>
        <v>Up</v>
      </c>
      <c r="Y89" s="1312">
        <f ca="1">MAX(AB93:AB101)</f>
        <v>0.42105263157894735</v>
      </c>
      <c r="AE89" s="1450" t="s">
        <v>2769</v>
      </c>
      <c r="AQ89" s="1450" t="s">
        <v>2724</v>
      </c>
      <c r="BD89" s="1450" t="s">
        <v>2768</v>
      </c>
      <c r="CG89" s="874" t="s">
        <v>2722</v>
      </c>
      <c r="CH89" s="1308" t="str">
        <f ca="1">RIGHT(CH88,1)&amp;"U"</f>
        <v>DU</v>
      </c>
      <c r="CI89" s="1209">
        <f ca="1">IFERROR(_xlfn.MINIFS(CJ93:CR101, CJ93:CR101, "&gt;0", CJ93:CR101, "&lt;1"), "")</f>
        <v>0.16666666666666666</v>
      </c>
      <c r="CJ89" s="1210">
        <f ca="1">IFERROR(_xlfn.MAXIFS(CJ93:CR101, CJ93:CR101, "&gt;0", CJ93:CR101, "&lt;1"), "")</f>
        <v>0.83333333333333337</v>
      </c>
    </row>
    <row r="90" spans="2:96" x14ac:dyDescent="0.3">
      <c r="B90" s="89" vm="333">
        <f ca="1"/>
        <v>45856</v>
      </c>
      <c r="C90" s="89" vm="334">
        <f ca="1"/>
        <v>264.05</v>
      </c>
      <c r="D90" s="1225">
        <f t="shared" ca="1" si="51"/>
        <v>-6.5838976674191122E-3</v>
      </c>
      <c r="E90" s="294" t="str" cm="1">
        <f t="array" aca="1" ref="E90" ca="1">_xlfn.IFS(D90&gt;ZPercent,"U",D90&lt;=-ZPercent,"D",TRUE,"Z")</f>
        <v>D</v>
      </c>
      <c r="F90" s="294" t="str">
        <f t="shared" ca="1" si="54"/>
        <v>UD</v>
      </c>
      <c r="G90" s="294" t="str">
        <f t="shared" ca="1" si="55"/>
        <v>ZUD</v>
      </c>
      <c r="H90" s="874" t="str">
        <f t="shared" ca="1" si="56"/>
        <v/>
      </c>
      <c r="J90" s="89" vm="335">
        <f ca="1"/>
        <v>45783</v>
      </c>
      <c r="K90" s="89" vm="336">
        <f ca="1"/>
        <v>264.35000000000002</v>
      </c>
      <c r="N90" s="874" t="str">
        <f ca="1">IF(F90=[2]Sheet1!O88,"","dif")</f>
        <v>dif</v>
      </c>
      <c r="AE90" s="888">
        <f ca="1">MAX(AE92:AE100)</f>
        <v>0.47368421052631576</v>
      </c>
      <c r="AF90" s="888">
        <f t="shared" ref="AF90:AM90" ca="1" si="70">MAX(AF92:AF100)</f>
        <v>0.44444444444444442</v>
      </c>
      <c r="AG90" s="888">
        <f t="shared" ca="1" si="70"/>
        <v>0.41176470588235292</v>
      </c>
      <c r="AH90" s="888">
        <f t="shared" ca="1" si="70"/>
        <v>0.41176470588235292</v>
      </c>
      <c r="AI90" s="888">
        <f t="shared" ca="1" si="70"/>
        <v>0.25925925925925924</v>
      </c>
      <c r="AJ90" s="888">
        <f t="shared" ca="1" si="70"/>
        <v>0.42105263157894735</v>
      </c>
      <c r="AK90" s="888">
        <f t="shared" ca="1" si="70"/>
        <v>0.48484848484848486</v>
      </c>
      <c r="AL90" s="888">
        <f t="shared" ca="1" si="70"/>
        <v>0.44444444444444442</v>
      </c>
      <c r="AM90" s="888">
        <f t="shared" ca="1" si="70"/>
        <v>0.36363636363636365</v>
      </c>
      <c r="CG90" s="1306" t="str">
        <f ca="1">IF(CH90=0,"No "&amp;CH89,"Up")</f>
        <v>Up</v>
      </c>
      <c r="CH90" s="1312">
        <f ca="1">MAX(CG93:CG101)</f>
        <v>1</v>
      </c>
    </row>
    <row r="91" spans="2:96" ht="23" thickBot="1" x14ac:dyDescent="0.35">
      <c r="B91" s="89" vm="337">
        <f ca="1"/>
        <v>45855</v>
      </c>
      <c r="C91" s="89" vm="338">
        <f ca="1"/>
        <v>265.8</v>
      </c>
      <c r="D91" s="1225">
        <f t="shared" ca="1" si="51"/>
        <v>2.2504327755337655E-2</v>
      </c>
      <c r="E91" s="294" t="str" cm="1">
        <f t="array" aca="1" ref="E91" ca="1">_xlfn.IFS(D91&gt;ZPercent,"U",D91&lt;=-ZPercent,"D",TRUE,"Z")</f>
        <v>U</v>
      </c>
      <c r="F91" s="294" t="str">
        <f t="shared" ca="1" si="54"/>
        <v>ZU</v>
      </c>
      <c r="G91" s="294" t="str">
        <f t="shared" ca="1" si="55"/>
        <v>UZU</v>
      </c>
      <c r="H91" s="874" t="str">
        <f t="shared" ca="1" si="56"/>
        <v/>
      </c>
      <c r="J91" s="89" vm="339">
        <f ca="1"/>
        <v>45784</v>
      </c>
      <c r="K91" s="89" vm="340">
        <f ca="1"/>
        <v>261.5</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v>
      </c>
      <c r="BG91" s="888">
        <f t="shared" ca="1" si="71"/>
        <v>1</v>
      </c>
      <c r="BH91" s="888">
        <f t="shared" ca="1" si="71"/>
        <v>0.99999999999999978</v>
      </c>
      <c r="BI91" s="888">
        <f t="shared" ca="1" si="71"/>
        <v>0.99999999999999978</v>
      </c>
      <c r="BJ91" s="888">
        <f t="shared" ca="1" si="71"/>
        <v>1</v>
      </c>
      <c r="BK91" s="888">
        <f t="shared" ca="1" si="71"/>
        <v>1</v>
      </c>
      <c r="BL91" s="888">
        <f t="shared" ca="1" si="71"/>
        <v>1</v>
      </c>
      <c r="BM91" s="888">
        <f ca="1">SUM(BD91:BL91)</f>
        <v>9</v>
      </c>
      <c r="CH91" s="875"/>
    </row>
    <row r="92" spans="2:96" ht="23" thickBot="1" x14ac:dyDescent="0.35">
      <c r="B92" s="89" vm="341">
        <f ca="1"/>
        <v>45854</v>
      </c>
      <c r="C92" s="89" vm="342">
        <f ca="1"/>
        <v>259.95</v>
      </c>
      <c r="D92" s="1225">
        <f t="shared" ca="1" si="51"/>
        <v>5.7736720554263767E-4</v>
      </c>
      <c r="E92" s="294" t="str" cm="1">
        <f t="array" aca="1" ref="E92" ca="1">_xlfn.IFS(D92&gt;ZPercent,"U",D92&lt;=-ZPercent,"D",TRUE,"Z")</f>
        <v>Z</v>
      </c>
      <c r="F92" s="294" t="str">
        <f t="shared" ca="1" si="54"/>
        <v>UZ</v>
      </c>
      <c r="G92" s="294" t="str">
        <f t="shared" ca="1" si="55"/>
        <v>ZUZ</v>
      </c>
      <c r="H92" s="874" t="str">
        <f t="shared" ca="1" si="56"/>
        <v/>
      </c>
      <c r="J92" s="89" vm="343">
        <f ca="1"/>
        <v>45785</v>
      </c>
      <c r="K92" s="89" vm="344">
        <f ca="1"/>
        <v>262.8</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ZD</v>
      </c>
      <c r="AF92" s="1232" t="str">
        <f t="shared" ca="1" si="72"/>
        <v>UZ</v>
      </c>
      <c r="AG92" s="1232" t="str">
        <f t="shared" ca="1" si="72"/>
        <v>ZU</v>
      </c>
      <c r="AH92" s="1232" t="str">
        <f t="shared" ca="1" si="72"/>
        <v>ZZ</v>
      </c>
      <c r="AI92" s="1232" t="str">
        <f t="shared" ca="1" si="72"/>
        <v>DZ</v>
      </c>
      <c r="AJ92" s="1232" t="str">
        <f t="shared" ca="1" si="72"/>
        <v>DD</v>
      </c>
      <c r="AK92" s="1232" t="str">
        <f t="shared" ca="1" si="72"/>
        <v>UD</v>
      </c>
      <c r="AL92" s="1232" t="str">
        <f t="shared" ca="1" si="72"/>
        <v>DU</v>
      </c>
      <c r="AM92" s="1233" t="str">
        <f t="shared" ca="1" si="72"/>
        <v>UU</v>
      </c>
      <c r="AP92" s="1463"/>
      <c r="AQ92" s="1251"/>
      <c r="AR92" s="1239" t="str">
        <f t="shared" ref="AR92:AZ92" ca="1" si="73">AE92</f>
        <v>ZD</v>
      </c>
      <c r="AS92" s="1461" t="str">
        <f t="shared" ca="1" si="73"/>
        <v>UZ</v>
      </c>
      <c r="AT92" s="1461" t="str">
        <f t="shared" ca="1" si="73"/>
        <v>ZU</v>
      </c>
      <c r="AU92" s="1461" t="str">
        <f t="shared" ca="1" si="73"/>
        <v>ZZ</v>
      </c>
      <c r="AV92" s="1461" t="str">
        <f t="shared" ca="1" si="73"/>
        <v>DZ</v>
      </c>
      <c r="AW92" s="1461" t="str">
        <f t="shared" ca="1" si="73"/>
        <v>DD</v>
      </c>
      <c r="AX92" s="1461" t="str">
        <f t="shared" ca="1" si="73"/>
        <v>UD</v>
      </c>
      <c r="AY92" s="1461" t="str">
        <f t="shared" ca="1" si="73"/>
        <v>DU</v>
      </c>
      <c r="AZ92" s="1462" t="str">
        <f t="shared" ca="1" si="73"/>
        <v>UU</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9</v>
      </c>
      <c r="BV92" s="1239" t="str" cm="1">
        <f t="array" aca="1" ref="BV92:CD92" ca="1">TRANSPOSE(_xlfn.ANCHORARRAY(BU93))</f>
        <v>ZD</v>
      </c>
      <c r="BW92" s="1232" t="str">
        <f ca="1"/>
        <v>UZ</v>
      </c>
      <c r="BX92" s="1232" t="str">
        <f ca="1"/>
        <v>ZU</v>
      </c>
      <c r="BY92" s="1232" t="str">
        <f ca="1"/>
        <v>ZZ</v>
      </c>
      <c r="BZ92" s="1232" t="str">
        <f ca="1"/>
        <v>DZ</v>
      </c>
      <c r="CA92" s="1232" t="str">
        <f ca="1"/>
        <v>DD</v>
      </c>
      <c r="CB92" s="1232" t="str">
        <f ca="1"/>
        <v>UD</v>
      </c>
      <c r="CC92" s="1232" t="str">
        <f ca="1"/>
        <v>DU</v>
      </c>
      <c r="CD92" s="1233" t="str">
        <f ca="1"/>
        <v>UU</v>
      </c>
      <c r="CH92" s="1318">
        <f ca="1">SUM(CH93:CH101)</f>
        <v>19</v>
      </c>
      <c r="CI92" s="1319">
        <f ca="1">ROWS(_xlfn.UNIQUE(G66:G75))</f>
        <v>10</v>
      </c>
      <c r="CJ92" s="1239" t="str" cm="1">
        <f t="array" aca="1" ref="CJ92:CR92" ca="1">TRANSPOSE(CI93:CI101)</f>
        <v>ZD</v>
      </c>
      <c r="CK92" s="1232" t="str">
        <f ca="1"/>
        <v>UZ</v>
      </c>
      <c r="CL92" s="1232" t="str">
        <f ca="1"/>
        <v>ZU</v>
      </c>
      <c r="CM92" s="1232" t="str">
        <f ca="1"/>
        <v>ZZ</v>
      </c>
      <c r="CN92" s="1232" t="str">
        <f ca="1"/>
        <v>DZ</v>
      </c>
      <c r="CO92" s="1232" t="str">
        <f ca="1"/>
        <v>DD</v>
      </c>
      <c r="CP92" s="1232" t="str">
        <f ca="1"/>
        <v>UD</v>
      </c>
      <c r="CQ92" s="1232" t="str">
        <f ca="1"/>
        <v>DU</v>
      </c>
      <c r="CR92" s="1233" t="str">
        <f ca="1"/>
        <v>UU</v>
      </c>
    </row>
    <row r="93" spans="2:96" ht="24" thickTop="1" thickBot="1" x14ac:dyDescent="0.35">
      <c r="B93" s="89" vm="345">
        <f ca="1"/>
        <v>45853</v>
      </c>
      <c r="C93" s="89" vm="346">
        <f ca="1"/>
        <v>259.8</v>
      </c>
      <c r="D93" s="1225">
        <f t="shared" ca="1" si="51"/>
        <v>6.7816314667700052E-3</v>
      </c>
      <c r="E93" s="294" t="str" cm="1">
        <f t="array" aca="1" ref="E93" ca="1">_xlfn.IFS(D93&gt;ZPercent,"U",D93&lt;=-ZPercent,"D",TRUE,"Z")</f>
        <v>U</v>
      </c>
      <c r="F93" s="294" t="str">
        <f t="shared" ca="1" si="54"/>
        <v>ZU</v>
      </c>
      <c r="G93" s="294" t="str">
        <f t="shared" ca="1" si="55"/>
        <v>DZU</v>
      </c>
      <c r="H93" s="874" t="str">
        <f t="shared" ca="1" si="56"/>
        <v/>
      </c>
      <c r="J93" s="89" vm="347">
        <f ca="1"/>
        <v>45786</v>
      </c>
      <c r="K93" s="89" vm="348">
        <f ca="1"/>
        <v>261.64999999999998</v>
      </c>
      <c r="N93" s="874" t="str">
        <f ca="1">IF(F93=[2]Sheet1!O91,"","dif")</f>
        <v>dif</v>
      </c>
      <c r="Q93" s="1231">
        <f ca="1">ROWS(_xlfn.UNIQUE(G66:G75))</f>
        <v>10</v>
      </c>
      <c r="R93" s="1236" t="str" cm="1">
        <f t="array" aca="1" ref="R93:Z93" ca="1">TRANSPOSE(_xlfn.ANCHORARRAY(Q94))</f>
        <v>ZD</v>
      </c>
      <c r="S93" s="1237" t="str">
        <f ca="1"/>
        <v>UZ</v>
      </c>
      <c r="T93" s="1237" t="str">
        <f ca="1"/>
        <v>ZU</v>
      </c>
      <c r="U93" s="1237" t="str">
        <f ca="1"/>
        <v>ZZ</v>
      </c>
      <c r="V93" s="1237" t="str">
        <f ca="1"/>
        <v>DZ</v>
      </c>
      <c r="W93" s="1237" t="str">
        <f ca="1"/>
        <v>DD</v>
      </c>
      <c r="X93" s="1237" t="str">
        <f ca="1"/>
        <v>UD</v>
      </c>
      <c r="Y93" s="1237" t="str">
        <f ca="1"/>
        <v>DU</v>
      </c>
      <c r="Z93" s="1238" t="str">
        <f ca="1"/>
        <v>UU</v>
      </c>
      <c r="AB93" s="1208" cm="1">
        <f t="array" aca="1" ref="AB93" ca="1">IFERROR(INDEX($AE93:$AM93,
       MATCH(TRUE,
             (($AD93=Y$87)*
              ($AE$92:$AM$92=$Y$88)*
              ($AE93:$AM93&gt;0))&gt;0,
       0)),0)</f>
        <v>0.42105263157894735</v>
      </c>
      <c r="AC93" s="1305">
        <f t="shared" ref="AC93:AC101" ca="1" si="74">SUM(R94:Z94)</f>
        <v>19</v>
      </c>
      <c r="AD93" s="1234" t="str">
        <f t="shared" ref="AD93:AD101" ca="1" si="75">Q94</f>
        <v>ZD</v>
      </c>
      <c r="AE93" s="1240">
        <f t="shared" ref="AE93:AE101" ca="1" si="76">IF(R94=0,0,R94/$AC93)</f>
        <v>0</v>
      </c>
      <c r="AF93" s="1226">
        <f t="shared" ref="AF93:AF101" ca="1" si="77">IF(S94=0,0,S94/$AC93)</f>
        <v>0</v>
      </c>
      <c r="AG93" s="1226">
        <f t="shared" ref="AG93:AG101" ca="1" si="78">IF(T94=0,0,T94/$AC93)</f>
        <v>0</v>
      </c>
      <c r="AH93" s="1226">
        <f t="shared" ref="AH93:AH101" ca="1" si="79">IF(U94=0,0,U94/$AC93)</f>
        <v>0</v>
      </c>
      <c r="AI93" s="1226">
        <f t="shared" ref="AI93:AI101" ca="1" si="80">IF(V94=0,0,V94/$AC93)</f>
        <v>0.15789473684210525</v>
      </c>
      <c r="AJ93" s="1226">
        <f t="shared" ref="AJ93:AJ101" ca="1" si="81">IF(W94=0,0,W94/$AC93)</f>
        <v>0.42105263157894735</v>
      </c>
      <c r="AK93" s="1226">
        <f t="shared" ref="AK93:AK101" ca="1" si="82">IF(X94=0,0,X94/$AC93)</f>
        <v>0</v>
      </c>
      <c r="AL93" s="1226">
        <f t="shared" ref="AL93:AL101" ca="1" si="83">IF(Y94=0,0,Y94/$AC93)</f>
        <v>0.42105263157894735</v>
      </c>
      <c r="AM93" s="1241">
        <f t="shared" ref="AM93:AM101" ca="1" si="84">IF(Z94=0,0,Z94/$AC93)</f>
        <v>0</v>
      </c>
      <c r="AP93" s="1305"/>
      <c r="AQ93" s="1249" t="str">
        <f t="shared" ref="AQ93:AQ101" ca="1" si="85">Q94</f>
        <v>ZD</v>
      </c>
      <c r="AR93" s="1240">
        <f ca="1">AE93/SUM(AE$93:AE$101)</f>
        <v>0</v>
      </c>
      <c r="AS93" s="1226">
        <f t="shared" ref="AS93:AS101" ca="1" si="86">AF93/SUM(AF$93:AF$101)</f>
        <v>0</v>
      </c>
      <c r="AT93" s="1226">
        <f t="shared" ref="AT93:AT101" ca="1" si="87">AG93/SUM(AG$93:AG$101)</f>
        <v>0</v>
      </c>
      <c r="AU93" s="1226">
        <f t="shared" ref="AU93:AU101" ca="1" si="88">AH93/SUM(AH$93:AH$101)</f>
        <v>0</v>
      </c>
      <c r="AV93" s="1226">
        <f t="shared" ref="AV93:AV101" ca="1" si="89">AI93/SUM(AI$93:AI$101)</f>
        <v>0.24557457212713935</v>
      </c>
      <c r="AW93" s="1226">
        <f t="shared" ref="AW93:AW101" ca="1" si="90">AJ93/SUM(AJ$93:AJ$101)</f>
        <v>0.39270424022051487</v>
      </c>
      <c r="AX93" s="1226">
        <f t="shared" ref="AX93:AX101" ca="1" si="91">AK93/SUM(AK$93:AK$101)</f>
        <v>0</v>
      </c>
      <c r="AY93" s="1226">
        <f t="shared" ref="AY93:AY101" ca="1" si="92">AL93/SUM(AL$93:AL$101)</f>
        <v>0.32770518279254146</v>
      </c>
      <c r="AZ93" s="1241">
        <f t="shared" ref="AZ93:AZ101" ca="1" si="93">AM93/SUM(AM$93:AM$101)</f>
        <v>0</v>
      </c>
      <c r="BC93" s="874" t="str">
        <f t="shared" ref="BC93:BC101" ca="1" si="94">AD93</f>
        <v>ZD</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0.23936049225908065</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0.17407407366171726</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0.29270788091946726</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0.70614244684026517</v>
      </c>
      <c r="BN93" s="1454">
        <f t="shared" ref="BN93:BN101" ca="1" si="96">IF(MarkCurr=BC93,_xlfn.XLOOKUP(MAX(BD93:BL93),BD93:BL93,BD93:BL93),"")</f>
        <v>0.29270788091946726</v>
      </c>
      <c r="BO93" s="1458">
        <f t="shared" ref="BO93:BO101" ca="1" si="97">MAX(INDEX(BD123:BL131,ROW()-ROW(BO$92),MATCH(RIGHT(MarkCurr,1)&amp;"U",$BD$92:$BL$92,0)))</f>
        <v>0</v>
      </c>
      <c r="BT93" s="1305">
        <f ca="1">SUM(BV93:CD93)</f>
        <v>1</v>
      </c>
      <c r="BU93" s="1234" t="str" cm="1">
        <f t="array" aca="1" ref="BU93:BU101" ca="1">_xlfn.UNIQUE(F$5:F$25)</f>
        <v>ZD</v>
      </c>
      <c r="BV93" s="890" cm="1">
        <f t="array" aca="1" ref="BV93" ca="1">SUM( ($F$7:$F$25=$Q94) * ($F$6:$F$24=BV$92) )</f>
        <v>0</v>
      </c>
      <c r="BW93" s="1321" cm="1">
        <f t="array" aca="1" ref="BW93" ca="1">SUM( ($F$7:$F$25=$Q94) * ($F$6:$F$24=BW$92) )</f>
        <v>0</v>
      </c>
      <c r="BX93" s="1321" cm="1">
        <f t="array" aca="1" ref="BX93" ca="1">SUM( ($F$7:$F$25=$Q94) * ($F$6:$F$24=BX$92) )</f>
        <v>0</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1</v>
      </c>
      <c r="CD93" s="1322" cm="1">
        <f t="array" aca="1" ref="CD93" ca="1">SUM( ($F$7:$F$25=$Q94) * ($F$6:$F$24=CD$92) )</f>
        <v>0</v>
      </c>
      <c r="CG93" s="1208" cm="1">
        <f t="array" aca="1" ref="CG93" ca="1">IFERROR(INDEX($CJ93:$CR93,
       MATCH(TRUE,
             (($CI93=CH$88)*
              (_xlfn.ANCHORARRAY($CJ$92)=$CH$89)*
              ($CJ93:$CR93&gt;0))&gt;0,
       0)),0)</f>
        <v>1</v>
      </c>
      <c r="CH93" s="1305">
        <f t="shared" ref="CH93:CH101" ca="1" si="98">SUM(BV93:CD93)</f>
        <v>1</v>
      </c>
      <c r="CI93" s="1217" t="str" cm="1">
        <f t="array" aca="1" ref="CI93:CI101" ca="1">_xlfn.UNIQUE(F$5:F$25)</f>
        <v>ZD</v>
      </c>
      <c r="CJ93" s="1240">
        <f t="shared" ref="CJ93:CJ101" ca="1" si="99">IF(BV93=0,0,BV93/$CH93)</f>
        <v>0</v>
      </c>
      <c r="CK93" s="1226">
        <f t="shared" ref="CK93:CK101" ca="1" si="100">IF(BW93=0,0,BW93/$CH93)</f>
        <v>0</v>
      </c>
      <c r="CL93" s="1226">
        <f t="shared" ref="CL93:CL101" ca="1" si="101">IF(BX93=0,0,BX93/$CH93)</f>
        <v>0</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1</v>
      </c>
      <c r="CR93" s="1241">
        <f t="shared" ref="CR93:CR101" ca="1" si="107">IF(CD93=0,0,CD93/$CH93)</f>
        <v>0</v>
      </c>
    </row>
    <row r="94" spans="2:96" ht="23" thickTop="1" x14ac:dyDescent="0.3">
      <c r="B94" s="89" vm="349">
        <f ca="1"/>
        <v>45852</v>
      </c>
      <c r="C94" s="89" vm="350">
        <f ca="1"/>
        <v>258.05</v>
      </c>
      <c r="D94" s="1225">
        <f t="shared" ca="1" si="51"/>
        <v>-2.7053140096617917E-3</v>
      </c>
      <c r="E94" s="294" t="str" cm="1">
        <f t="array" aca="1" ref="E94" ca="1">_xlfn.IFS(D94&gt;ZPercent,"U",D94&lt;=-ZPercent,"D",TRUE,"Z")</f>
        <v>Z</v>
      </c>
      <c r="F94" s="294" t="str">
        <f t="shared" ca="1" si="54"/>
        <v>DZ</v>
      </c>
      <c r="G94" s="294" t="str">
        <f t="shared" ca="1" si="55"/>
        <v>DDZ</v>
      </c>
      <c r="H94" s="874" t="str">
        <f t="shared" ca="1" si="56"/>
        <v/>
      </c>
      <c r="J94" s="89" vm="351">
        <f ca="1"/>
        <v>45789</v>
      </c>
      <c r="K94" s="89" vm="352">
        <f ca="1"/>
        <v>262.5</v>
      </c>
      <c r="N94" s="874" t="str">
        <f ca="1">IF(F94=[2]Sheet1!O92,"","dif")</f>
        <v>dif</v>
      </c>
      <c r="Q94" s="1234" t="str" cm="1">
        <f t="array" aca="1" ref="Q94:Q102" ca="1">_xlfn.UNIQUE(F5:F158)</f>
        <v>ZD</v>
      </c>
      <c r="R94" s="1227" cm="1">
        <f t="array" aca="1" ref="R94" ca="1">SUM( ($F$7:$F$212=$Q94) * ($F$6:$F$211=R$93) )</f>
        <v>0</v>
      </c>
      <c r="S94" s="874" cm="1">
        <f t="array" aca="1" ref="S94" ca="1">SUM( ($F$7:$F$212=$Q94) * ($F$6:$F$211=S$93) )</f>
        <v>0</v>
      </c>
      <c r="T94" s="874" cm="1">
        <f t="array" aca="1" ref="T94" ca="1">SUM( ($F$7:$F$212=$Q94) * ($F$6:$F$211=T$93) )</f>
        <v>0</v>
      </c>
      <c r="U94" s="874" cm="1">
        <f t="array" aca="1" ref="U94" ca="1">SUM( ($F$7:$F$212=$Q94) * ($F$6:$F$211=U$93) )</f>
        <v>0</v>
      </c>
      <c r="V94" s="874" cm="1">
        <f t="array" aca="1" ref="V94" ca="1">SUM( ($F$7:$F$212=$Q94) * ($F$6:$F$211=V$93) )</f>
        <v>3</v>
      </c>
      <c r="W94" s="874" cm="1">
        <f t="array" aca="1" ref="W94" ca="1">SUM( ($F$7:$F$212=$Q94) * ($F$6:$F$211=W$93) )</f>
        <v>8</v>
      </c>
      <c r="X94" s="874" cm="1">
        <f t="array" aca="1" ref="X94" ca="1">SUM( ($F$7:$F$212=$Q94) * ($F$6:$F$211=X$93) )</f>
        <v>0</v>
      </c>
      <c r="Y94" s="874" cm="1">
        <f t="array" aca="1" ref="Y94" ca="1">SUM( ($F$7:$F$212=$Q94) * ($F$6:$F$211=Y$93) )</f>
        <v>8</v>
      </c>
      <c r="Z94" s="1228" cm="1">
        <f t="array" aca="1" ref="Z94" ca="1">SUM( ($F$7:$F$212=$Q94) * ($F$6:$F$211=Z$93) )</f>
        <v>0</v>
      </c>
      <c r="AB94" s="1208" cm="1">
        <f t="array" aca="1" ref="AB94" ca="1">IFERROR(INDEX($AE94:$AM94,
       MATCH(TRUE,
             (($AD94=Y$87)*
              ($AE$92:$AM$92=$Y$88)*
              ($AE94:$AM94&gt;0))&gt;0,
       0)),0)</f>
        <v>0</v>
      </c>
      <c r="AC94" s="1305">
        <f t="shared" ca="1" si="74"/>
        <v>19</v>
      </c>
      <c r="AD94" s="1234" t="str">
        <f t="shared" ca="1" si="75"/>
        <v>UZ</v>
      </c>
      <c r="AE94" s="1242">
        <f t="shared" ca="1" si="76"/>
        <v>0.47368421052631576</v>
      </c>
      <c r="AF94" s="1243">
        <f t="shared" ca="1" si="77"/>
        <v>0</v>
      </c>
      <c r="AG94" s="1243">
        <f t="shared" ca="1" si="78"/>
        <v>0.36842105263157893</v>
      </c>
      <c r="AH94" s="1243">
        <f t="shared" ca="1" si="79"/>
        <v>0.15789473684210525</v>
      </c>
      <c r="AI94" s="1243">
        <f t="shared" ca="1" si="80"/>
        <v>0</v>
      </c>
      <c r="AJ94" s="1243">
        <f t="shared" ca="1" si="81"/>
        <v>0</v>
      </c>
      <c r="AK94" s="1243">
        <f t="shared" ca="1" si="82"/>
        <v>0</v>
      </c>
      <c r="AL94" s="1243">
        <f t="shared" ca="1" si="83"/>
        <v>0</v>
      </c>
      <c r="AM94" s="1244">
        <f t="shared" ca="1" si="84"/>
        <v>0</v>
      </c>
      <c r="AP94" s="1305"/>
      <c r="AQ94" s="1249" t="str">
        <f t="shared" ca="1" si="85"/>
        <v>UZ</v>
      </c>
      <c r="AR94" s="1242">
        <f t="shared" ref="AR94:AR101" ca="1" si="108">AE94/SUM(AE$93:AE$101)</f>
        <v>0.46206115515288787</v>
      </c>
      <c r="AS94" s="1243">
        <f t="shared" ca="1" si="86"/>
        <v>0</v>
      </c>
      <c r="AT94" s="1243">
        <f t="shared" ca="1" si="87"/>
        <v>0.35762584522915097</v>
      </c>
      <c r="AU94" s="1243">
        <f t="shared" ca="1" si="88"/>
        <v>0.16714461286358048</v>
      </c>
      <c r="AV94" s="1243">
        <f t="shared" ca="1" si="89"/>
        <v>0</v>
      </c>
      <c r="AW94" s="1243">
        <f t="shared" ca="1" si="90"/>
        <v>0</v>
      </c>
      <c r="AX94" s="1243">
        <f t="shared" ca="1" si="91"/>
        <v>0</v>
      </c>
      <c r="AY94" s="1243">
        <f t="shared" ca="1" si="92"/>
        <v>0</v>
      </c>
      <c r="AZ94" s="1244">
        <f t="shared" ca="1" si="93"/>
        <v>0</v>
      </c>
      <c r="BC94" s="874" t="str">
        <f t="shared" ca="1" si="94"/>
        <v>UZ</v>
      </c>
      <c r="BD94" s="1242">
        <f ca="1"/>
        <v>0</v>
      </c>
      <c r="BE94" s="1243">
        <f ca="1"/>
        <v>0.51319631920299602</v>
      </c>
      <c r="BF94" s="1243">
        <f ca="1"/>
        <v>0</v>
      </c>
      <c r="BG94" s="1243">
        <f ca="1"/>
        <v>0.4029934927115062</v>
      </c>
      <c r="BH94" s="1243">
        <f ca="1"/>
        <v>0</v>
      </c>
      <c r="BI94" s="1243">
        <f ca="1"/>
        <v>0</v>
      </c>
      <c r="BJ94" s="1243">
        <f ca="1"/>
        <v>0.1963349680650685</v>
      </c>
      <c r="BK94" s="1243">
        <f ca="1"/>
        <v>0</v>
      </c>
      <c r="BL94" s="1244">
        <f ca="1"/>
        <v>0</v>
      </c>
      <c r="BM94" s="888">
        <f t="shared" ca="1" si="95"/>
        <v>1.1125247799795708</v>
      </c>
      <c r="BN94" s="1455" t="str">
        <f t="shared" ca="1" si="96"/>
        <v/>
      </c>
      <c r="BO94" s="1459">
        <f t="shared" ca="1" si="97"/>
        <v>0</v>
      </c>
      <c r="BT94" s="1305">
        <f t="shared" ref="BT94:BT101" ca="1" si="109">SUM(BV94:CD94)</f>
        <v>0</v>
      </c>
      <c r="BU94" s="1234" t="str">
        <f ca="1"/>
        <v>UZ</v>
      </c>
      <c r="BV94" s="1227" cm="1">
        <f t="array" aca="1" ref="BV94" ca="1">SUM( ($F$7:$F$25=$Q95) * ($F$6:$F$24=BV$92) )</f>
        <v>0</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0</v>
      </c>
      <c r="CI94" s="1234" t="str">
        <f ca="1"/>
        <v>UZ</v>
      </c>
      <c r="CJ94" s="1242">
        <f t="shared" ca="1" si="99"/>
        <v>0</v>
      </c>
      <c r="CK94" s="1243">
        <f t="shared" ca="1" si="100"/>
        <v>0</v>
      </c>
      <c r="CL94" s="1243">
        <f t="shared" ca="1" si="101"/>
        <v>0</v>
      </c>
      <c r="CM94" s="1243">
        <f t="shared" ca="1" si="102"/>
        <v>0</v>
      </c>
      <c r="CN94" s="1243">
        <f t="shared" ca="1" si="103"/>
        <v>0</v>
      </c>
      <c r="CO94" s="1243">
        <f t="shared" ca="1" si="104"/>
        <v>0</v>
      </c>
      <c r="CP94" s="1243">
        <f t="shared" ca="1" si="105"/>
        <v>0</v>
      </c>
      <c r="CQ94" s="1243">
        <f t="shared" ca="1" si="106"/>
        <v>0</v>
      </c>
      <c r="CR94" s="1244">
        <f t="shared" ca="1" si="107"/>
        <v>0</v>
      </c>
    </row>
    <row r="95" spans="2:96" x14ac:dyDescent="0.3">
      <c r="B95" s="89" vm="353">
        <f ca="1"/>
        <v>45849</v>
      </c>
      <c r="C95" s="89" vm="233">
        <f ca="1"/>
        <v>258.75</v>
      </c>
      <c r="D95" s="1225">
        <f t="shared" ca="1" si="51"/>
        <v>-1.6533637400228136E-2</v>
      </c>
      <c r="E95" s="294" t="str" cm="1">
        <f t="array" aca="1" ref="E95" ca="1">_xlfn.IFS(D95&gt;ZPercent,"U",D95&lt;=-ZPercent,"D",TRUE,"Z")</f>
        <v>D</v>
      </c>
      <c r="F95" s="294" t="str">
        <f t="shared" ca="1" si="54"/>
        <v>DD</v>
      </c>
      <c r="G95" s="294" t="str">
        <f t="shared" ca="1" si="55"/>
        <v>UDD</v>
      </c>
      <c r="H95" s="874" t="str">
        <f t="shared" ca="1" si="56"/>
        <v/>
      </c>
      <c r="J95" s="89" vm="354">
        <f ca="1"/>
        <v>45790</v>
      </c>
      <c r="K95" s="89" vm="355">
        <f ca="1"/>
        <v>262.35000000000002</v>
      </c>
      <c r="N95" s="874" t="str">
        <f ca="1">IF(F95=[2]Sheet1!O93,"","dif")</f>
        <v>dif</v>
      </c>
      <c r="Q95" s="1234" t="str">
        <f ca="1"/>
        <v>UZ</v>
      </c>
      <c r="R95" s="1227" cm="1">
        <f t="array" aca="1" ref="R95" ca="1">SUM( ($F$7:$F$212=$Q95) * ($F$6:$F$211=R$93) )</f>
        <v>9</v>
      </c>
      <c r="S95" s="874" cm="1">
        <f t="array" aca="1" ref="S95" ca="1">SUM( ($F$7:$F$212=$Q95) * ($F$6:$F$211=S$93) )</f>
        <v>0</v>
      </c>
      <c r="T95" s="874" cm="1">
        <f t="array" aca="1" ref="T95" ca="1">SUM( ($F$7:$F$212=$Q95) * ($F$6:$F$211=T$93) )</f>
        <v>7</v>
      </c>
      <c r="U95" s="874" cm="1">
        <f t="array" aca="1" ref="U95" ca="1">SUM( ($F$7:$F$212=$Q95) * ($F$6:$F$211=U$93) )</f>
        <v>3</v>
      </c>
      <c r="V95" s="874" cm="1">
        <f t="array" aca="1" ref="V95" ca="1">SUM( ($F$7:$F$212=$Q95) * ($F$6:$F$211=V$93) )</f>
        <v>0</v>
      </c>
      <c r="W95" s="874" cm="1">
        <f t="array" aca="1" ref="W95" ca="1">SUM( ($F$7:$F$212=$Q95) * ($F$6:$F$211=W$93) )</f>
        <v>0</v>
      </c>
      <c r="X95" s="874" cm="1">
        <f t="array" aca="1" ref="X95" ca="1">SUM( ($F$7:$F$212=$Q95) * ($F$6:$F$211=X$93) )</f>
        <v>0</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18</v>
      </c>
      <c r="AD95" s="1234" t="str">
        <f t="shared" ca="1" si="75"/>
        <v>ZU</v>
      </c>
      <c r="AE95" s="1242">
        <f t="shared" ca="1" si="76"/>
        <v>0</v>
      </c>
      <c r="AF95" s="1243">
        <f t="shared" ca="1" si="77"/>
        <v>0.44444444444444442</v>
      </c>
      <c r="AG95" s="1243">
        <f t="shared" ca="1" si="78"/>
        <v>0</v>
      </c>
      <c r="AH95" s="1243">
        <f t="shared" ca="1" si="79"/>
        <v>0</v>
      </c>
      <c r="AI95" s="1243">
        <f t="shared" ca="1" si="80"/>
        <v>0</v>
      </c>
      <c r="AJ95" s="1243">
        <f t="shared" ca="1" si="81"/>
        <v>0</v>
      </c>
      <c r="AK95" s="1243">
        <f t="shared" ca="1" si="82"/>
        <v>0.27777777777777779</v>
      </c>
      <c r="AL95" s="1243">
        <f t="shared" ca="1" si="83"/>
        <v>0</v>
      </c>
      <c r="AM95" s="1244">
        <f t="shared" ca="1" si="84"/>
        <v>0.27777777777777779</v>
      </c>
      <c r="AP95" s="1305"/>
      <c r="AQ95" s="1249" t="str">
        <f t="shared" ca="1" si="85"/>
        <v>ZU</v>
      </c>
      <c r="AR95" s="1242">
        <f t="shared" ca="1" si="108"/>
        <v>0</v>
      </c>
      <c r="AS95" s="1243">
        <f t="shared" ca="1" si="86"/>
        <v>0.50738007380073802</v>
      </c>
      <c r="AT95" s="1243">
        <f t="shared" ca="1" si="87"/>
        <v>0</v>
      </c>
      <c r="AU95" s="1243">
        <f t="shared" ca="1" si="88"/>
        <v>0</v>
      </c>
      <c r="AV95" s="1243">
        <f t="shared" ca="1" si="89"/>
        <v>0</v>
      </c>
      <c r="AW95" s="1243">
        <f t="shared" ca="1" si="90"/>
        <v>0</v>
      </c>
      <c r="AX95" s="1243">
        <f t="shared" ca="1" si="91"/>
        <v>0.23892267593397046</v>
      </c>
      <c r="AY95" s="1243">
        <f t="shared" ca="1" si="92"/>
        <v>0</v>
      </c>
      <c r="AZ95" s="1244">
        <f t="shared" ca="1" si="93"/>
        <v>0.28892624500945574</v>
      </c>
      <c r="BC95" s="874" t="str">
        <f t="shared" ca="1" si="94"/>
        <v>ZU</v>
      </c>
      <c r="BD95" s="1242">
        <f ca="1"/>
        <v>0</v>
      </c>
      <c r="BE95" s="1243">
        <f ca="1"/>
        <v>0</v>
      </c>
      <c r="BF95" s="1243">
        <f ca="1"/>
        <v>0.40631596544339033</v>
      </c>
      <c r="BG95" s="1243">
        <f ca="1"/>
        <v>0</v>
      </c>
      <c r="BH95" s="1243">
        <f ca="1"/>
        <v>0</v>
      </c>
      <c r="BI95" s="1243">
        <f ca="1"/>
        <v>0</v>
      </c>
      <c r="BJ95" s="1243">
        <f ca="1"/>
        <v>0</v>
      </c>
      <c r="BK95" s="1243">
        <f ca="1"/>
        <v>0.16513158222903049</v>
      </c>
      <c r="BL95" s="1244">
        <f ca="1"/>
        <v>0.2045146577703825</v>
      </c>
      <c r="BM95" s="888">
        <f t="shared" ca="1" si="95"/>
        <v>0.77596220544280325</v>
      </c>
      <c r="BN95" s="1455" t="str">
        <f t="shared" ca="1" si="96"/>
        <v/>
      </c>
      <c r="BO95" s="1459">
        <f t="shared" ca="1" si="97"/>
        <v>0</v>
      </c>
      <c r="BT95" s="1305">
        <f t="shared" ca="1" si="109"/>
        <v>1</v>
      </c>
      <c r="BU95" s="1234" t="str">
        <f ca="1"/>
        <v>ZU</v>
      </c>
      <c r="BV95" s="1227" cm="1">
        <f t="array" aca="1" ref="BV95" ca="1">SUM( ($F$7:$F$25=$Q96) * ($F$6:$F$24=BV$92) )</f>
        <v>0</v>
      </c>
      <c r="BW95" s="874" cm="1">
        <f t="array" aca="1" ref="BW95" ca="1">SUM( ($F$7:$F$25=$Q96) * ($F$6:$F$24=BW$92) )</f>
        <v>1</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1</v>
      </c>
      <c r="CI95" s="1234" t="str">
        <f ca="1"/>
        <v>ZU</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56">
        <f ca="1"/>
        <v>45848</v>
      </c>
      <c r="C96" s="89" vm="357">
        <f ca="1"/>
        <v>263.10000000000002</v>
      </c>
      <c r="D96" s="1225">
        <f t="shared" ca="1" si="51"/>
        <v>-9.0395480225987836E-3</v>
      </c>
      <c r="E96" s="294" t="str" cm="1">
        <f t="array" aca="1" ref="E96" ca="1">_xlfn.IFS(D96&gt;ZPercent,"U",D96&lt;=-ZPercent,"D",TRUE,"Z")</f>
        <v>D</v>
      </c>
      <c r="F96" s="294" t="str">
        <f t="shared" ca="1" si="54"/>
        <v>UD</v>
      </c>
      <c r="G96" s="294" t="str">
        <f t="shared" ca="1" si="55"/>
        <v>UUD</v>
      </c>
      <c r="H96" s="874" t="str">
        <f t="shared" ca="1" si="56"/>
        <v/>
      </c>
      <c r="J96" s="89" vm="358">
        <f ca="1"/>
        <v>45791</v>
      </c>
      <c r="K96" s="89" vm="359">
        <f ca="1"/>
        <v>258</v>
      </c>
      <c r="N96" s="874" t="str">
        <f ca="1">IF(F96=[2]Sheet1!O94,"","dif")</f>
        <v>dif</v>
      </c>
      <c r="Q96" s="1234" t="str">
        <f ca="1"/>
        <v>ZU</v>
      </c>
      <c r="R96" s="1227" cm="1">
        <f t="array" aca="1" ref="R96" ca="1">SUM( ($F$7:$F$212=$Q96) * ($F$6:$F$211=R$93) )</f>
        <v>0</v>
      </c>
      <c r="S96" s="874" cm="1">
        <f t="array" aca="1" ref="S96" ca="1">SUM( ($F$7:$F$212=$Q96) * ($F$6:$F$211=S$93) )</f>
        <v>8</v>
      </c>
      <c r="T96" s="874" cm="1">
        <f t="array" aca="1" ref="T96" ca="1">SUM( ($F$7:$F$212=$Q96) * ($F$6:$F$211=T$93) )</f>
        <v>0</v>
      </c>
      <c r="U96" s="874" cm="1">
        <f t="array" aca="1" ref="U96" ca="1">SUM( ($F$7:$F$212=$Q96) * ($F$6:$F$211=U$93) )</f>
        <v>0</v>
      </c>
      <c r="V96" s="874" cm="1">
        <f t="array" aca="1" ref="V96" ca="1">SUM( ($F$7:$F$212=$Q96) * ($F$6:$F$211=V$93) )</f>
        <v>0</v>
      </c>
      <c r="W96" s="874" cm="1">
        <f t="array" aca="1" ref="W96" ca="1">SUM( ($F$7:$F$212=$Q96) * ($F$6:$F$211=W$93) )</f>
        <v>0</v>
      </c>
      <c r="X96" s="874" cm="1">
        <f t="array" aca="1" ref="X96" ca="1">SUM( ($F$7:$F$212=$Q96) * ($F$6:$F$211=X$93) )</f>
        <v>5</v>
      </c>
      <c r="Y96" s="874" cm="1">
        <f t="array" aca="1" ref="Y96" ca="1">SUM( ($F$7:$F$212=$Q96) * ($F$6:$F$211=Y$93) )</f>
        <v>0</v>
      </c>
      <c r="Z96" s="1228" cm="1">
        <f t="array" aca="1" ref="Z96" ca="1">SUM( ($F$7:$F$212=$Q96) * ($F$6:$F$211=Z$93) )</f>
        <v>5</v>
      </c>
      <c r="AB96" s="1208" cm="1">
        <f t="array" aca="1" ref="AB96" ca="1">IFERROR(INDEX($AE96:$AM96,
       MATCH(TRUE,
             (($AD96=Y$87)*
              ($AE$92:$AM$92=$Y$88)*
              ($AE96:$AM96&gt;0))&gt;0,
       0)),0)</f>
        <v>0</v>
      </c>
      <c r="AC96" s="1305">
        <f t="shared" ca="1" si="74"/>
        <v>16</v>
      </c>
      <c r="AD96" s="1234" t="str">
        <f t="shared" ca="1" si="75"/>
        <v>ZZ</v>
      </c>
      <c r="AE96" s="1242">
        <f t="shared" ca="1" si="76"/>
        <v>0.375</v>
      </c>
      <c r="AF96" s="1243">
        <f t="shared" ca="1" si="77"/>
        <v>0</v>
      </c>
      <c r="AG96" s="1243">
        <f t="shared" ca="1" si="78"/>
        <v>0.25</v>
      </c>
      <c r="AH96" s="1243">
        <f t="shared" ca="1" si="79"/>
        <v>0.375</v>
      </c>
      <c r="AI96" s="1243">
        <f t="shared" ca="1" si="80"/>
        <v>0</v>
      </c>
      <c r="AJ96" s="1243">
        <f t="shared" ca="1" si="81"/>
        <v>0</v>
      </c>
      <c r="AK96" s="1243">
        <f t="shared" ca="1" si="82"/>
        <v>0</v>
      </c>
      <c r="AL96" s="1243">
        <f t="shared" ca="1" si="83"/>
        <v>0</v>
      </c>
      <c r="AM96" s="1244">
        <f t="shared" ca="1" si="84"/>
        <v>0</v>
      </c>
      <c r="AP96" s="1305"/>
      <c r="AQ96" s="1249" t="str">
        <f t="shared" ca="1" si="85"/>
        <v>ZZ</v>
      </c>
      <c r="AR96" s="1242">
        <f t="shared" ca="1" si="108"/>
        <v>0.36579841449603623</v>
      </c>
      <c r="AS96" s="1243">
        <f t="shared" ca="1" si="86"/>
        <v>0</v>
      </c>
      <c r="AT96" s="1243">
        <f t="shared" ca="1" si="87"/>
        <v>0.24267468069120959</v>
      </c>
      <c r="AU96" s="1243">
        <f t="shared" ca="1" si="88"/>
        <v>0.39696845555100368</v>
      </c>
      <c r="AV96" s="1243">
        <f t="shared" ca="1" si="89"/>
        <v>0</v>
      </c>
      <c r="AW96" s="1243">
        <f t="shared" ca="1" si="90"/>
        <v>0</v>
      </c>
      <c r="AX96" s="1243">
        <f t="shared" ca="1" si="91"/>
        <v>0</v>
      </c>
      <c r="AY96" s="1243">
        <f t="shared" ca="1" si="92"/>
        <v>0</v>
      </c>
      <c r="AZ96" s="1244">
        <f t="shared" ca="1" si="93"/>
        <v>0</v>
      </c>
      <c r="BC96" s="874" t="str">
        <f t="shared" ca="1" si="94"/>
        <v>ZZ</v>
      </c>
      <c r="BD96" s="1242">
        <f ca="1"/>
        <v>0</v>
      </c>
      <c r="BE96" s="1243">
        <f ca="1"/>
        <v>0.32673517373183542</v>
      </c>
      <c r="BF96" s="1243">
        <f ca="1"/>
        <v>0</v>
      </c>
      <c r="BG96" s="1243">
        <f ca="1"/>
        <v>0.21991942976138679</v>
      </c>
      <c r="BH96" s="1243">
        <f ca="1"/>
        <v>0</v>
      </c>
      <c r="BI96" s="1243">
        <f ca="1"/>
        <v>0</v>
      </c>
      <c r="BJ96" s="1243">
        <f ca="1"/>
        <v>0.375</v>
      </c>
      <c r="BK96" s="1243">
        <f ca="1"/>
        <v>0</v>
      </c>
      <c r="BL96" s="1244">
        <f ca="1"/>
        <v>0</v>
      </c>
      <c r="BM96" s="888">
        <f t="shared" ca="1" si="95"/>
        <v>0.92165460349322226</v>
      </c>
      <c r="BN96" s="1455" t="str">
        <f t="shared" ca="1" si="96"/>
        <v/>
      </c>
      <c r="BO96" s="1459">
        <f t="shared" ca="1" si="97"/>
        <v>0</v>
      </c>
      <c r="BT96" s="1305">
        <f t="shared" ca="1" si="109"/>
        <v>1</v>
      </c>
      <c r="BU96" s="1234" t="str">
        <f ca="1"/>
        <v>ZZ</v>
      </c>
      <c r="BV96" s="1227" cm="1">
        <f t="array" aca="1" ref="BV96" ca="1">SUM( ($F$7:$F$25=$Q97) * ($F$6:$F$24=BV$92) )</f>
        <v>0</v>
      </c>
      <c r="BW96" s="874" cm="1">
        <f t="array" aca="1" ref="BW96" ca="1">SUM( ($F$7:$F$25=$Q97) * ($F$6:$F$24=BW$92) )</f>
        <v>0</v>
      </c>
      <c r="BX96" s="874" cm="1">
        <f t="array" aca="1" ref="BX96" ca="1">SUM( ($F$7:$F$25=$Q97) * ($F$6:$F$24=BX$92) )</f>
        <v>1</v>
      </c>
      <c r="BY96" s="874" cm="1">
        <f t="array" aca="1" ref="BY96" ca="1">SUM( ($F$7:$F$25=$Q97) * ($F$6:$F$24=BY$92) )</f>
        <v>0</v>
      </c>
      <c r="BZ96" s="874" cm="1">
        <f t="array" aca="1" ref="BZ96" ca="1">SUM( ($F$7:$F$25=$Q97) * ($F$6:$F$24=BZ$92) )</f>
        <v>0</v>
      </c>
      <c r="CA96" s="874" cm="1">
        <f t="array" aca="1" ref="CA96" ca="1">SUM( ($F$7:$F$25=$Q97) * ($F$6:$F$24=CA$92) )</f>
        <v>0</v>
      </c>
      <c r="CB96" s="874" cm="1">
        <f t="array" aca="1" ref="CB96" ca="1">SUM( ($F$7:$F$25=$Q97) * ($F$6:$F$24=CB$92) )</f>
        <v>0</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1</v>
      </c>
      <c r="CI96" s="1234" t="str">
        <f ca="1"/>
        <v>ZZ</v>
      </c>
      <c r="CJ96" s="1242">
        <f t="shared" ca="1" si="99"/>
        <v>0</v>
      </c>
      <c r="CK96" s="1243">
        <f t="shared" ca="1" si="100"/>
        <v>0</v>
      </c>
      <c r="CL96" s="1243">
        <f t="shared" ca="1" si="101"/>
        <v>1</v>
      </c>
      <c r="CM96" s="1243">
        <f t="shared" ca="1" si="102"/>
        <v>0</v>
      </c>
      <c r="CN96" s="1243">
        <f t="shared" ca="1" si="103"/>
        <v>0</v>
      </c>
      <c r="CO96" s="1243">
        <f t="shared" ca="1" si="104"/>
        <v>0</v>
      </c>
      <c r="CP96" s="1243">
        <f t="shared" ca="1" si="105"/>
        <v>0</v>
      </c>
      <c r="CQ96" s="1243">
        <f t="shared" ca="1" si="106"/>
        <v>0</v>
      </c>
      <c r="CR96" s="1244">
        <f t="shared" ca="1" si="107"/>
        <v>0</v>
      </c>
    </row>
    <row r="97" spans="2:98" x14ac:dyDescent="0.3">
      <c r="B97" s="89" vm="360">
        <f ca="1"/>
        <v>45847</v>
      </c>
      <c r="C97" s="89" vm="361">
        <f ca="1"/>
        <v>265.5</v>
      </c>
      <c r="D97" s="1225">
        <f t="shared" ca="1" si="51"/>
        <v>5.1107325383305804E-3</v>
      </c>
      <c r="E97" s="294" t="str" cm="1">
        <f t="array" aca="1" ref="E97" ca="1">_xlfn.IFS(D97&gt;ZPercent,"U",D97&lt;=-ZPercent,"D",TRUE,"Z")</f>
        <v>U</v>
      </c>
      <c r="F97" s="294" t="str">
        <f t="shared" ca="1" si="54"/>
        <v>UU</v>
      </c>
      <c r="G97" s="294" t="str">
        <f t="shared" ca="1" si="55"/>
        <v>UUU</v>
      </c>
      <c r="H97" s="874" t="str">
        <f t="shared" ca="1" si="56"/>
        <v/>
      </c>
      <c r="J97" s="89" vm="362">
        <f ca="1"/>
        <v>45792</v>
      </c>
      <c r="K97" s="89" vm="363">
        <f ca="1"/>
        <v>263.2</v>
      </c>
      <c r="N97" s="874" t="str">
        <f ca="1">IF(F97=[2]Sheet1!O95,"","dif")</f>
        <v>dif</v>
      </c>
      <c r="Q97" s="1234" t="str">
        <f ca="1"/>
        <v>ZZ</v>
      </c>
      <c r="R97" s="1227" cm="1">
        <f t="array" aca="1" ref="R97" ca="1">SUM( ($F$7:$F$212=$Q97) * ($F$6:$F$211=R$93) )</f>
        <v>6</v>
      </c>
      <c r="S97" s="874" cm="1">
        <f t="array" aca="1" ref="S97" ca="1">SUM( ($F$7:$F$212=$Q97) * ($F$6:$F$211=S$93) )</f>
        <v>0</v>
      </c>
      <c r="T97" s="874" cm="1">
        <f t="array" aca="1" ref="T97" ca="1">SUM( ($F$7:$F$212=$Q97) * ($F$6:$F$211=T$93) )</f>
        <v>4</v>
      </c>
      <c r="U97" s="874" cm="1">
        <f t="array" aca="1" ref="U97" ca="1">SUM( ($F$7:$F$212=$Q97) * ($F$6:$F$211=U$93) )</f>
        <v>6</v>
      </c>
      <c r="V97" s="874" cm="1">
        <f t="array" aca="1" ref="V97" ca="1">SUM( ($F$7:$F$212=$Q97) * ($F$6:$F$211=V$93) )</f>
        <v>0</v>
      </c>
      <c r="W97" s="874" cm="1">
        <f t="array" aca="1" ref="W97" ca="1">SUM( ($F$7:$F$212=$Q97) * ($F$6:$F$211=W$93) )</f>
        <v>0</v>
      </c>
      <c r="X97" s="874" cm="1">
        <f t="array" aca="1" ref="X97" ca="1">SUM( ($F$7:$F$212=$Q97) * ($F$6:$F$211=X$93) )</f>
        <v>0</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t="shared" ca="1" si="74"/>
        <v>17</v>
      </c>
      <c r="AD97" s="1234" t="str">
        <f t="shared" ca="1" si="75"/>
        <v>DZ</v>
      </c>
      <c r="AE97" s="1242">
        <f t="shared" ca="1" si="76"/>
        <v>0.17647058823529413</v>
      </c>
      <c r="AF97" s="1243">
        <f t="shared" ca="1" si="77"/>
        <v>0</v>
      </c>
      <c r="AG97" s="1243">
        <f t="shared" ca="1" si="78"/>
        <v>0.41176470588235292</v>
      </c>
      <c r="AH97" s="1243">
        <f t="shared" ca="1" si="79"/>
        <v>0.41176470588235292</v>
      </c>
      <c r="AI97" s="1243">
        <f t="shared" ca="1" si="80"/>
        <v>0</v>
      </c>
      <c r="AJ97" s="1243">
        <f t="shared" ca="1" si="81"/>
        <v>0</v>
      </c>
      <c r="AK97" s="1243">
        <f t="shared" ca="1" si="82"/>
        <v>0</v>
      </c>
      <c r="AL97" s="1243">
        <f t="shared" ca="1" si="83"/>
        <v>0</v>
      </c>
      <c r="AM97" s="1244">
        <f t="shared" ca="1" si="84"/>
        <v>0</v>
      </c>
      <c r="AP97" s="1305"/>
      <c r="AQ97" s="1249" t="str">
        <f t="shared" ca="1" si="85"/>
        <v>DZ</v>
      </c>
      <c r="AR97" s="1242">
        <f t="shared" ca="1" si="108"/>
        <v>0.1721404303510759</v>
      </c>
      <c r="AS97" s="1243">
        <f t="shared" ca="1" si="86"/>
        <v>0</v>
      </c>
      <c r="AT97" s="1243">
        <f t="shared" ca="1" si="87"/>
        <v>0.39969947407963929</v>
      </c>
      <c r="AU97" s="1243">
        <f t="shared" ca="1" si="88"/>
        <v>0.4358869315854158</v>
      </c>
      <c r="AV97" s="1243">
        <f t="shared" ca="1" si="89"/>
        <v>0</v>
      </c>
      <c r="AW97" s="1243">
        <f t="shared" ca="1" si="90"/>
        <v>0</v>
      </c>
      <c r="AX97" s="1243">
        <f t="shared" ca="1" si="91"/>
        <v>0</v>
      </c>
      <c r="AY97" s="1243">
        <f t="shared" ca="1" si="92"/>
        <v>0</v>
      </c>
      <c r="AZ97" s="1244">
        <f t="shared" ca="1" si="93"/>
        <v>0</v>
      </c>
      <c r="BC97" s="874" t="str">
        <f t="shared" ca="1" si="94"/>
        <v>DZ</v>
      </c>
      <c r="BD97" s="1242">
        <f ca="1"/>
        <v>0</v>
      </c>
      <c r="BE97" s="1243">
        <f ca="1"/>
        <v>0.16006850706516867</v>
      </c>
      <c r="BF97" s="1243">
        <f ca="1"/>
        <v>0</v>
      </c>
      <c r="BG97" s="1243">
        <f ca="1"/>
        <v>0.37708707752710702</v>
      </c>
      <c r="BH97" s="1243">
        <f ca="1"/>
        <v>0</v>
      </c>
      <c r="BI97" s="1243">
        <f ca="1"/>
        <v>0</v>
      </c>
      <c r="BJ97" s="1243">
        <f ca="1"/>
        <v>0.42866503193493138</v>
      </c>
      <c r="BK97" s="1243">
        <f ca="1"/>
        <v>0</v>
      </c>
      <c r="BL97" s="1244">
        <f ca="1"/>
        <v>0</v>
      </c>
      <c r="BM97" s="888">
        <f t="shared" ca="1" si="95"/>
        <v>0.96582061652720719</v>
      </c>
      <c r="BN97" s="1455" t="str">
        <f t="shared" ca="1" si="96"/>
        <v/>
      </c>
      <c r="BO97" s="1459">
        <f t="shared" ca="1" si="97"/>
        <v>0</v>
      </c>
      <c r="BT97" s="1305">
        <f t="shared" ca="1" si="109"/>
        <v>1</v>
      </c>
      <c r="BU97" s="1234" t="str">
        <f ca="1"/>
        <v>DZ</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0</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1</v>
      </c>
      <c r="CI97" s="1234" t="str">
        <f ca="1"/>
        <v>DZ</v>
      </c>
      <c r="CJ97" s="1242">
        <f t="shared" ca="1" si="99"/>
        <v>0</v>
      </c>
      <c r="CK97" s="1243">
        <f t="shared" ca="1" si="100"/>
        <v>0</v>
      </c>
      <c r="CL97" s="1243">
        <f t="shared" ca="1" si="101"/>
        <v>0</v>
      </c>
      <c r="CM97" s="1243">
        <f t="shared" ca="1" si="102"/>
        <v>1</v>
      </c>
      <c r="CN97" s="1243">
        <f t="shared" ca="1" si="103"/>
        <v>0</v>
      </c>
      <c r="CO97" s="1243">
        <f t="shared" ca="1" si="104"/>
        <v>0</v>
      </c>
      <c r="CP97" s="1243">
        <f t="shared" ca="1" si="105"/>
        <v>0</v>
      </c>
      <c r="CQ97" s="1243">
        <f t="shared" ca="1" si="106"/>
        <v>0</v>
      </c>
      <c r="CR97" s="1244">
        <f t="shared" ca="1" si="107"/>
        <v>0</v>
      </c>
    </row>
    <row r="98" spans="2:98" x14ac:dyDescent="0.3">
      <c r="B98" s="89" vm="364">
        <f ca="1"/>
        <v>45846</v>
      </c>
      <c r="C98" s="89" vm="365">
        <f ca="1"/>
        <v>264.14999999999998</v>
      </c>
      <c r="D98" s="1225">
        <f t="shared" ca="1" si="51"/>
        <v>1.1487650775416428E-2</v>
      </c>
      <c r="E98" s="294" t="str" cm="1">
        <f t="array" aca="1" ref="E98" ca="1">_xlfn.IFS(D98&gt;ZPercent,"U",D98&lt;=-ZPercent,"D",TRUE,"Z")</f>
        <v>U</v>
      </c>
      <c r="F98" s="294" t="str">
        <f t="shared" ca="1" si="54"/>
        <v>UU</v>
      </c>
      <c r="G98" s="294" t="str">
        <f t="shared" ca="1" si="55"/>
        <v>DUU</v>
      </c>
      <c r="H98" s="874" t="str">
        <f t="shared" ca="1" si="56"/>
        <v/>
      </c>
      <c r="J98" s="89" vm="366">
        <f ca="1"/>
        <v>45793</v>
      </c>
      <c r="K98" s="89" vm="367">
        <f ca="1"/>
        <v>266.25</v>
      </c>
      <c r="N98" s="874" t="str">
        <f ca="1">IF(F98=[2]Sheet1!O96,"","dif")</f>
        <v>dif</v>
      </c>
      <c r="Q98" s="1234" t="str">
        <f ca="1"/>
        <v>DZ</v>
      </c>
      <c r="R98" s="1227" cm="1">
        <f t="array" aca="1" ref="R98" ca="1">SUM( ($F$7:$F$212=$Q98) * ($F$6:$F$211=R$93) )</f>
        <v>3</v>
      </c>
      <c r="S98" s="874" cm="1">
        <f t="array" aca="1" ref="S98" ca="1">SUM( ($F$7:$F$212=$Q98) * ($F$6:$F$211=S$93) )</f>
        <v>0</v>
      </c>
      <c r="T98" s="874" cm="1">
        <f t="array" aca="1" ref="T98" ca="1">SUM( ($F$7:$F$212=$Q98) * ($F$6:$F$211=T$93) )</f>
        <v>7</v>
      </c>
      <c r="U98" s="874" cm="1">
        <f t="array" aca="1" ref="U98" ca="1">SUM( ($F$7:$F$212=$Q98) * ($F$6:$F$211=U$93) )</f>
        <v>7</v>
      </c>
      <c r="V98" s="874" cm="1">
        <f t="array" aca="1" ref="V98" ca="1">SUM( ($F$7:$F$212=$Q98) * ($F$6:$F$211=V$93) )</f>
        <v>0</v>
      </c>
      <c r="W98" s="874" cm="1">
        <f t="array" aca="1" ref="W98" ca="1">SUM( ($F$7:$F$212=$Q98) * ($F$6:$F$211=W$93) )</f>
        <v>0</v>
      </c>
      <c r="X98" s="874" cm="1">
        <f t="array" aca="1" ref="X98" ca="1">SUM( ($F$7:$F$212=$Q98) * ($F$6:$F$211=X$93) )</f>
        <v>0</v>
      </c>
      <c r="Y98" s="874" cm="1">
        <f t="array" aca="1" ref="Y98" ca="1">SUM( ($F$7:$F$212=$Q98) * ($F$6:$F$211=Y$93) )</f>
        <v>0</v>
      </c>
      <c r="Z98" s="1228" cm="1">
        <f t="array" aca="1" ref="Z98" ca="1">SUM( ($F$7:$F$212=$Q98) * ($F$6:$F$211=Z$93) )</f>
        <v>0</v>
      </c>
      <c r="AB98" s="1208" cm="1">
        <f t="array" aca="1" ref="AB98" ca="1">IFERROR(INDEX($AE98:$AM98,
       MATCH(TRUE,
             (($AD98=Y$87)*
              ($AE$92:$AM$92=$Y$88)*
              ($AE98:$AM98&gt;0))&gt;0,
       0)),0)</f>
        <v>0</v>
      </c>
      <c r="AC98" s="1305">
        <f t="shared" ca="1" si="74"/>
        <v>27</v>
      </c>
      <c r="AD98" s="1234" t="str">
        <f t="shared" ca="1" si="75"/>
        <v>DD</v>
      </c>
      <c r="AE98" s="1242">
        <f t="shared" ca="1" si="76"/>
        <v>0</v>
      </c>
      <c r="AF98" s="1243">
        <f t="shared" ca="1" si="77"/>
        <v>0</v>
      </c>
      <c r="AG98" s="1243">
        <f t="shared" ca="1" si="78"/>
        <v>0</v>
      </c>
      <c r="AH98" s="1243">
        <f t="shared" ca="1" si="79"/>
        <v>0</v>
      </c>
      <c r="AI98" s="1243">
        <f t="shared" ca="1" si="80"/>
        <v>0.25925925925925924</v>
      </c>
      <c r="AJ98" s="1243">
        <f t="shared" ca="1" si="81"/>
        <v>0.29629629629629628</v>
      </c>
      <c r="AK98" s="1243">
        <f t="shared" ca="1" si="82"/>
        <v>0</v>
      </c>
      <c r="AL98" s="1243">
        <f t="shared" ca="1" si="83"/>
        <v>0.44444444444444442</v>
      </c>
      <c r="AM98" s="1244">
        <f t="shared" ca="1" si="84"/>
        <v>0</v>
      </c>
      <c r="AP98" s="1305"/>
      <c r="AQ98" s="1249" t="str">
        <f t="shared" ca="1" si="85"/>
        <v>DD</v>
      </c>
      <c r="AR98" s="1242">
        <f t="shared" ca="1" si="108"/>
        <v>0</v>
      </c>
      <c r="AS98" s="1243">
        <f t="shared" ca="1" si="86"/>
        <v>0</v>
      </c>
      <c r="AT98" s="1243">
        <f t="shared" ca="1" si="87"/>
        <v>0</v>
      </c>
      <c r="AU98" s="1243">
        <f t="shared" ca="1" si="88"/>
        <v>0</v>
      </c>
      <c r="AV98" s="1243">
        <f t="shared" ca="1" si="89"/>
        <v>0.40322738386308066</v>
      </c>
      <c r="AW98" s="1243">
        <f t="shared" ca="1" si="90"/>
        <v>0.27634742830332526</v>
      </c>
      <c r="AX98" s="1243">
        <f t="shared" ca="1" si="91"/>
        <v>0</v>
      </c>
      <c r="AY98" s="1243">
        <f t="shared" ca="1" si="92"/>
        <v>0.345911026281016</v>
      </c>
      <c r="AZ98" s="1244">
        <f t="shared" ca="1" si="93"/>
        <v>0</v>
      </c>
      <c r="BC98" s="874" t="str">
        <f t="shared" ca="1" si="94"/>
        <v>DD</v>
      </c>
      <c r="BD98" s="1242">
        <f ca="1"/>
        <v>0.36344235307181511</v>
      </c>
      <c r="BE98" s="1243">
        <f ca="1"/>
        <v>0</v>
      </c>
      <c r="BF98" s="1243">
        <f ca="1"/>
        <v>0</v>
      </c>
      <c r="BG98" s="1243">
        <f ca="1"/>
        <v>0</v>
      </c>
      <c r="BH98" s="1243">
        <f ca="1"/>
        <v>0.41115226326910548</v>
      </c>
      <c r="BI98" s="1243">
        <f ca="1"/>
        <v>0.29629629629629628</v>
      </c>
      <c r="BJ98" s="1243">
        <f ca="1"/>
        <v>0</v>
      </c>
      <c r="BK98" s="1243">
        <f ca="1"/>
        <v>0</v>
      </c>
      <c r="BL98" s="1244">
        <f ca="1"/>
        <v>0</v>
      </c>
      <c r="BM98" s="888">
        <f t="shared" ca="1" si="95"/>
        <v>1.0708909126372168</v>
      </c>
      <c r="BN98" s="1455" t="str">
        <f t="shared" ca="1" si="96"/>
        <v/>
      </c>
      <c r="BO98" s="1459">
        <f t="shared" ca="1" si="97"/>
        <v>0</v>
      </c>
      <c r="BT98" s="1305">
        <f t="shared" ca="1" si="109"/>
        <v>2</v>
      </c>
      <c r="BU98" s="1234" t="str">
        <f ca="1"/>
        <v>DD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0</v>
      </c>
      <c r="BZ98" s="874" cm="1">
        <f t="array" aca="1" ref="BZ98" ca="1">SUM( ($F$7:$F$25=$Q99) * ($F$6:$F$24=BZ$92) )</f>
        <v>1</v>
      </c>
      <c r="CA98" s="874" cm="1">
        <f t="array" aca="1" ref="CA98" ca="1">SUM( ($F$7:$F$25=$Q99) * ($F$6:$F$24=CA$92) )</f>
        <v>0</v>
      </c>
      <c r="CB98" s="874" cm="1">
        <f t="array" aca="1" ref="CB98" ca="1">SUM( ($F$7:$F$25=$Q99) * ($F$6:$F$24=CB$92) )</f>
        <v>0</v>
      </c>
      <c r="CC98" s="874" cm="1">
        <f t="array" aca="1" ref="CC98" ca="1">SUM( ($F$7:$F$25=$Q99) * ($F$6:$F$24=CC$92) )</f>
        <v>1</v>
      </c>
      <c r="CD98" s="1228" cm="1">
        <f t="array" aca="1" ref="CD98" ca="1">SUM( ($F$7:$F$25=$Q99) * ($F$6:$F$24=CD$92) )</f>
        <v>0</v>
      </c>
      <c r="CG98" s="1208" cm="1">
        <f t="array" aca="1" ref="CG98" ca="1">IFERROR(INDEX($CJ98:$CR98,
       MATCH(TRUE,
             (($CI98=CH$88)*
              (_xlfn.ANCHORARRAY($CJ$92)=$CH$89)*
              ($CJ98:$CR98&gt;0))&gt;0,
       0)),0)</f>
        <v>0</v>
      </c>
      <c r="CH98" s="1305">
        <f t="shared" ca="1" si="98"/>
        <v>2</v>
      </c>
      <c r="CI98" s="1234" t="str">
        <f ca="1"/>
        <v>DD</v>
      </c>
      <c r="CJ98" s="1242">
        <f t="shared" ca="1" si="99"/>
        <v>0</v>
      </c>
      <c r="CK98" s="1243">
        <f t="shared" ca="1" si="100"/>
        <v>0</v>
      </c>
      <c r="CL98" s="1243">
        <f t="shared" ca="1" si="101"/>
        <v>0</v>
      </c>
      <c r="CM98" s="1243">
        <f t="shared" ca="1" si="102"/>
        <v>0</v>
      </c>
      <c r="CN98" s="1243">
        <f t="shared" ca="1" si="103"/>
        <v>0.5</v>
      </c>
      <c r="CO98" s="1243">
        <f t="shared" ca="1" si="104"/>
        <v>0</v>
      </c>
      <c r="CP98" s="1243">
        <f t="shared" ca="1" si="105"/>
        <v>0</v>
      </c>
      <c r="CQ98" s="1243">
        <f t="shared" ca="1" si="106"/>
        <v>0.5</v>
      </c>
      <c r="CR98" s="1244">
        <f t="shared" ca="1" si="107"/>
        <v>0</v>
      </c>
    </row>
    <row r="99" spans="2:98" x14ac:dyDescent="0.3">
      <c r="B99" s="89" vm="368">
        <f ca="1"/>
        <v>45845</v>
      </c>
      <c r="C99" s="89" vm="369">
        <f ca="1"/>
        <v>261.14999999999998</v>
      </c>
      <c r="D99" s="1225">
        <f t="shared" ca="1" si="51"/>
        <v>2.2113502935420654E-2</v>
      </c>
      <c r="E99" s="294" t="str" cm="1">
        <f t="array" aca="1" ref="E99" ca="1">_xlfn.IFS(D99&gt;ZPercent,"U",D99&lt;=-ZPercent,"D",TRUE,"Z")</f>
        <v>U</v>
      </c>
      <c r="F99" s="294" t="str">
        <f t="shared" ca="1" si="54"/>
        <v>DU</v>
      </c>
      <c r="G99" s="294" t="str">
        <f t="shared" ca="1" si="55"/>
        <v>UDU</v>
      </c>
      <c r="H99" s="874" t="str">
        <f t="shared" ca="1" si="56"/>
        <v/>
      </c>
      <c r="J99" s="89" vm="370">
        <f ca="1"/>
        <v>45796</v>
      </c>
      <c r="K99" s="89" vm="371">
        <f ca="1"/>
        <v>265.45</v>
      </c>
      <c r="N99" s="874" t="str">
        <f ca="1">IF(F99=[2]Sheet1!O97,"","dif")</f>
        <v>dif</v>
      </c>
      <c r="Q99" s="1234" t="str">
        <f ca="1"/>
        <v>DD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0</v>
      </c>
      <c r="V99" s="874" cm="1">
        <f t="array" aca="1" ref="V99" ca="1">SUM( ($F$7:$F$212=$Q99) * ($F$6:$F$211=V$93) )</f>
        <v>7</v>
      </c>
      <c r="W99" s="874" cm="1">
        <f t="array" aca="1" ref="W99" ca="1">SUM( ($F$7:$F$212=$Q99) * ($F$6:$F$211=W$93) )</f>
        <v>8</v>
      </c>
      <c r="X99" s="874" cm="1">
        <f t="array" aca="1" ref="X99" ca="1">SUM( ($F$7:$F$212=$Q99) * ($F$6:$F$211=X$93) )</f>
        <v>0</v>
      </c>
      <c r="Y99" s="874" cm="1">
        <f t="array" aca="1" ref="Y99" ca="1">SUM( ($F$7:$F$212=$Q99) * ($F$6:$F$211=Y$93) )</f>
        <v>12</v>
      </c>
      <c r="Z99" s="1228" cm="1">
        <f t="array" aca="1" ref="Z99" ca="1">SUM( ($F$7:$F$212=$Q99) * ($F$6:$F$211=Z$93) )</f>
        <v>0</v>
      </c>
      <c r="AB99" s="1208" cm="1">
        <f t="array" aca="1" ref="AB99" ca="1">IFERROR(INDEX($AE99:$AM99,
       MATCH(TRUE,
             (($AD99=Y$87)*
              ($AE$92:$AM$92=$Y$88)*
              ($AE99:$AM99&gt;0))&gt;0,
       0)),0)</f>
        <v>0</v>
      </c>
      <c r="AC99" s="1305">
        <f t="shared" ca="1" si="74"/>
        <v>31</v>
      </c>
      <c r="AD99" s="1234" t="str">
        <f t="shared" ca="1" si="75"/>
        <v>UD</v>
      </c>
      <c r="AE99" s="1242">
        <f t="shared" ca="1" si="76"/>
        <v>0</v>
      </c>
      <c r="AF99" s="1243">
        <f t="shared" ca="1" si="77"/>
        <v>0</v>
      </c>
      <c r="AG99" s="1243">
        <f t="shared" ca="1" si="78"/>
        <v>0</v>
      </c>
      <c r="AH99" s="1243">
        <f t="shared" ca="1" si="79"/>
        <v>0</v>
      </c>
      <c r="AI99" s="1243">
        <f t="shared" ca="1" si="80"/>
        <v>0.22580645161290322</v>
      </c>
      <c r="AJ99" s="1243">
        <f t="shared" ca="1" si="81"/>
        <v>0.35483870967741937</v>
      </c>
      <c r="AK99" s="1243">
        <f t="shared" ca="1" si="82"/>
        <v>0</v>
      </c>
      <c r="AL99" s="1243">
        <f t="shared" ca="1" si="83"/>
        <v>0.41935483870967744</v>
      </c>
      <c r="AM99" s="1244">
        <f t="shared" ca="1" si="84"/>
        <v>0</v>
      </c>
      <c r="AP99" s="1305"/>
      <c r="AQ99" s="1249" t="str">
        <f t="shared" ca="1" si="85"/>
        <v>UD</v>
      </c>
      <c r="AR99" s="1242">
        <f t="shared" ca="1" si="108"/>
        <v>0</v>
      </c>
      <c r="AS99" s="1243">
        <f t="shared" ca="1" si="86"/>
        <v>0</v>
      </c>
      <c r="AT99" s="1243">
        <f t="shared" ca="1" si="87"/>
        <v>0</v>
      </c>
      <c r="AU99" s="1243">
        <f t="shared" ca="1" si="88"/>
        <v>0</v>
      </c>
      <c r="AV99" s="1243">
        <f t="shared" ca="1" si="89"/>
        <v>0.35119804400977994</v>
      </c>
      <c r="AW99" s="1243">
        <f t="shared" ca="1" si="90"/>
        <v>0.33094833147615976</v>
      </c>
      <c r="AX99" s="1243">
        <f t="shared" ca="1" si="91"/>
        <v>0</v>
      </c>
      <c r="AY99" s="1243">
        <f t="shared" ca="1" si="92"/>
        <v>0.32638379092644254</v>
      </c>
      <c r="AZ99" s="1244">
        <f t="shared" ca="1" si="93"/>
        <v>0</v>
      </c>
      <c r="BC99" s="874" t="str">
        <f t="shared" ca="1" si="94"/>
        <v>UD</v>
      </c>
      <c r="BD99" s="1242">
        <f ca="1"/>
        <v>0.39719715466910416</v>
      </c>
      <c r="BE99" s="1243">
        <f ca="1"/>
        <v>0</v>
      </c>
      <c r="BF99" s="1243">
        <f ca="1"/>
        <v>0</v>
      </c>
      <c r="BG99" s="1243">
        <f ca="1"/>
        <v>0</v>
      </c>
      <c r="BH99" s="1243">
        <f ca="1"/>
        <v>0.41477366306917712</v>
      </c>
      <c r="BI99" s="1243">
        <f ca="1"/>
        <v>0.41099582278423635</v>
      </c>
      <c r="BJ99" s="1243">
        <f ca="1"/>
        <v>0</v>
      </c>
      <c r="BK99" s="1243">
        <f ca="1"/>
        <v>0</v>
      </c>
      <c r="BL99" s="1244">
        <f ca="1"/>
        <v>0</v>
      </c>
      <c r="BM99" s="888">
        <f t="shared" ca="1" si="95"/>
        <v>1.2229666405225177</v>
      </c>
      <c r="BN99" s="1455" t="str">
        <f t="shared" ca="1" si="96"/>
        <v/>
      </c>
      <c r="BO99" s="1459">
        <f t="shared" ca="1" si="97"/>
        <v>0</v>
      </c>
      <c r="BT99" s="1305">
        <f t="shared" ca="1" si="109"/>
        <v>6</v>
      </c>
      <c r="BU99" s="1234" t="str">
        <f ca="1"/>
        <v>UD</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0</v>
      </c>
      <c r="CA99" s="874" cm="1">
        <f t="array" aca="1" ref="CA99" ca="1">SUM( ($F$7:$F$25=$Q100) * ($F$6:$F$24=CA$92) )</f>
        <v>2</v>
      </c>
      <c r="CB99" s="874" cm="1">
        <f t="array" aca="1" ref="CB99" ca="1">SUM( ($F$7:$F$25=$Q100) * ($F$6:$F$24=CB$92) )</f>
        <v>0</v>
      </c>
      <c r="CC99" s="874" cm="1">
        <f t="array" aca="1" ref="CC99" ca="1">SUM( ($F$7:$F$25=$Q100) * ($F$6:$F$24=CC$92) )</f>
        <v>4</v>
      </c>
      <c r="CD99" s="1228" cm="1">
        <f t="array" aca="1" ref="CD99" ca="1">SUM( ($F$7:$F$25=$Q100) * ($F$6:$F$24=CD$92) )</f>
        <v>0</v>
      </c>
      <c r="CG99" s="1208" cm="1">
        <f t="array" aca="1" ref="CG99" ca="1">IFERROR(INDEX($CJ99:$CR99,
       MATCH(TRUE,
             (($CI99=CH$88)*
              (_xlfn.ANCHORARRAY($CJ$92)=$CH$89)*
              ($CJ99:$CR99&gt;0))&gt;0,
       0)),0)</f>
        <v>0</v>
      </c>
      <c r="CH99" s="1305">
        <f t="shared" ca="1" si="98"/>
        <v>6</v>
      </c>
      <c r="CI99" s="1234" t="str">
        <f ca="1"/>
        <v>UD</v>
      </c>
      <c r="CJ99" s="1242">
        <f t="shared" ca="1" si="99"/>
        <v>0</v>
      </c>
      <c r="CK99" s="1243">
        <f t="shared" ca="1" si="100"/>
        <v>0</v>
      </c>
      <c r="CL99" s="1243">
        <f t="shared" ca="1" si="101"/>
        <v>0</v>
      </c>
      <c r="CM99" s="1243">
        <f t="shared" ca="1" si="102"/>
        <v>0</v>
      </c>
      <c r="CN99" s="1243">
        <f t="shared" ca="1" si="103"/>
        <v>0</v>
      </c>
      <c r="CO99" s="1243">
        <f t="shared" ca="1" si="104"/>
        <v>0.33333333333333331</v>
      </c>
      <c r="CP99" s="1243">
        <f t="shared" ca="1" si="105"/>
        <v>0</v>
      </c>
      <c r="CQ99" s="1243">
        <f t="shared" ca="1" si="106"/>
        <v>0.66666666666666663</v>
      </c>
      <c r="CR99" s="1244">
        <f t="shared" ca="1" si="107"/>
        <v>0</v>
      </c>
    </row>
    <row r="100" spans="2:98" x14ac:dyDescent="0.3">
      <c r="B100" s="89" vm="372">
        <f ca="1"/>
        <v>45842</v>
      </c>
      <c r="C100" s="89" vm="373">
        <f ca="1"/>
        <v>255.5</v>
      </c>
      <c r="D100" s="1225">
        <f t="shared" ca="1" si="51"/>
        <v>-1.0457010069713358E-2</v>
      </c>
      <c r="E100" s="294" t="str" cm="1">
        <f t="array" aca="1" ref="E100" ca="1">_xlfn.IFS(D100&gt;ZPercent,"U",D100&lt;=-ZPercent,"D",TRUE,"Z")</f>
        <v>D</v>
      </c>
      <c r="F100" s="294" t="str">
        <f t="shared" ca="1" si="54"/>
        <v>UD</v>
      </c>
      <c r="G100" s="294" t="str">
        <f t="shared" ca="1" si="55"/>
        <v>DUD</v>
      </c>
      <c r="H100" s="874" t="str">
        <f t="shared" ca="1" si="56"/>
        <v/>
      </c>
      <c r="J100" s="89" vm="374">
        <f ca="1"/>
        <v>45797</v>
      </c>
      <c r="K100" s="89" vm="375">
        <f ca="1"/>
        <v>265.10000000000002</v>
      </c>
      <c r="N100" s="874" t="str">
        <f ca="1">IF(F100=[2]Sheet1!O98,"","dif")</f>
        <v>dif</v>
      </c>
      <c r="Q100" s="1234" t="str">
        <f ca="1"/>
        <v>UD</v>
      </c>
      <c r="R100" s="1227" cm="1">
        <f t="array" aca="1" ref="R100" ca="1">SUM( ($F$7:$F$212=$Q100) * ($F$6:$F$211=R$93) )</f>
        <v>0</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7</v>
      </c>
      <c r="W100" s="874" cm="1">
        <f t="array" aca="1" ref="W100" ca="1">SUM( ($F$7:$F$212=$Q100) * ($F$6:$F$211=W$93) )</f>
        <v>11</v>
      </c>
      <c r="X100" s="874" cm="1">
        <f t="array" aca="1" ref="X100" ca="1">SUM( ($F$7:$F$212=$Q100) * ($F$6:$F$211=X$93) )</f>
        <v>0</v>
      </c>
      <c r="Y100" s="874" cm="1">
        <f t="array" aca="1" ref="Y100" ca="1">SUM( ($F$7:$F$212=$Q100) * ($F$6:$F$211=Y$93) )</f>
        <v>13</v>
      </c>
      <c r="Z100" s="1228" cm="1">
        <f t="array" aca="1" ref="Z100" ca="1">SUM( ($F$7:$F$212=$Q100) * ($F$6:$F$211=Z$93) )</f>
        <v>0</v>
      </c>
      <c r="AB100" s="1208" cm="1">
        <f t="array" aca="1" ref="AB100" ca="1">IFERROR(INDEX($AE100:$AM100,
       MATCH(TRUE,
             (($AD100=Y$87)*
              ($AE$92:$AM$92=$Y$88)*
              ($AE100:$AM100&gt;0))&gt;0,
       0)),0)</f>
        <v>0</v>
      </c>
      <c r="AC100" s="1305">
        <f t="shared" ca="1" si="74"/>
        <v>33</v>
      </c>
      <c r="AD100" s="1234" t="str">
        <f t="shared" ca="1" si="75"/>
        <v>DU</v>
      </c>
      <c r="AE100" s="1242">
        <f t="shared" ca="1" si="76"/>
        <v>0</v>
      </c>
      <c r="AF100" s="1243">
        <f t="shared" ca="1" si="77"/>
        <v>0.15151515151515152</v>
      </c>
      <c r="AG100" s="1243">
        <f t="shared" ca="1" si="78"/>
        <v>0</v>
      </c>
      <c r="AH100" s="1243">
        <f t="shared" ca="1" si="79"/>
        <v>0</v>
      </c>
      <c r="AI100" s="1243">
        <f t="shared" ca="1" si="80"/>
        <v>0</v>
      </c>
      <c r="AJ100" s="1243">
        <f t="shared" ca="1" si="81"/>
        <v>0</v>
      </c>
      <c r="AK100" s="1243">
        <f t="shared" ca="1" si="82"/>
        <v>0.48484848484848486</v>
      </c>
      <c r="AL100" s="1243">
        <f t="shared" ca="1" si="83"/>
        <v>0</v>
      </c>
      <c r="AM100" s="1244">
        <f t="shared" ca="1" si="84"/>
        <v>0.36363636363636365</v>
      </c>
      <c r="AP100" s="1305"/>
      <c r="AQ100" s="1249" t="str">
        <f t="shared" ca="1" si="85"/>
        <v>DU</v>
      </c>
      <c r="AR100" s="1242">
        <f t="shared" ca="1" si="108"/>
        <v>0</v>
      </c>
      <c r="AS100" s="1243">
        <f t="shared" ca="1" si="86"/>
        <v>0.17297047970479706</v>
      </c>
      <c r="AT100" s="1243">
        <f t="shared" ca="1" si="87"/>
        <v>0</v>
      </c>
      <c r="AU100" s="1243">
        <f t="shared" ca="1" si="88"/>
        <v>0</v>
      </c>
      <c r="AV100" s="1243">
        <f t="shared" ca="1" si="89"/>
        <v>0</v>
      </c>
      <c r="AW100" s="1243">
        <f t="shared" ca="1" si="90"/>
        <v>0</v>
      </c>
      <c r="AX100" s="1243">
        <f t="shared" ca="1" si="91"/>
        <v>0.41702867072111205</v>
      </c>
      <c r="AY100" s="1243">
        <f t="shared" ca="1" si="92"/>
        <v>0</v>
      </c>
      <c r="AZ100" s="1244">
        <f t="shared" ca="1" si="93"/>
        <v>0.37823072073965114</v>
      </c>
      <c r="BC100" s="874" t="str">
        <f t="shared" ca="1" si="94"/>
        <v>DU</v>
      </c>
      <c r="BD100" s="1242">
        <f ca="1"/>
        <v>0</v>
      </c>
      <c r="BE100" s="1243">
        <f ca="1"/>
        <v>0</v>
      </c>
      <c r="BF100" s="1243">
        <f ca="1"/>
        <v>0.24600580587714588</v>
      </c>
      <c r="BG100" s="1243">
        <f ca="1"/>
        <v>0</v>
      </c>
      <c r="BH100" s="1243">
        <f ca="1"/>
        <v>0</v>
      </c>
      <c r="BI100" s="1243">
        <f ca="1"/>
        <v>0</v>
      </c>
      <c r="BJ100" s="1243">
        <f ca="1"/>
        <v>0</v>
      </c>
      <c r="BK100" s="1243">
        <f ca="1"/>
        <v>0.51189580733943585</v>
      </c>
      <c r="BL100" s="1244">
        <f ca="1"/>
        <v>0.47548534222961752</v>
      </c>
      <c r="BM100" s="888">
        <f t="shared" ca="1" si="95"/>
        <v>1.2333869554461991</v>
      </c>
      <c r="BN100" s="1455" t="str">
        <f t="shared" ca="1" si="96"/>
        <v/>
      </c>
      <c r="BO100" s="1459">
        <f t="shared" ca="1" si="97"/>
        <v>0</v>
      </c>
      <c r="BT100" s="1305">
        <f t="shared" ca="1" si="109"/>
        <v>6</v>
      </c>
      <c r="BU100" s="1234" t="str">
        <f ca="1"/>
        <v>DU</v>
      </c>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5</v>
      </c>
      <c r="CC100" s="874" cm="1">
        <f t="array" aca="1" ref="CC100" ca="1">SUM( ($F$7:$F$25=$Q101) * ($F$6:$F$24=CC$92) )</f>
        <v>0</v>
      </c>
      <c r="CD100" s="1228" cm="1">
        <f t="array" aca="1" ref="CD100" ca="1">SUM( ($F$7:$F$25=$Q101) * ($F$6:$F$24=CD$92) )</f>
        <v>1</v>
      </c>
      <c r="CG100" s="1208" cm="1">
        <f t="array" aca="1" ref="CG100" ca="1">IFERROR(INDEX($CJ100:$CR100,
       MATCH(TRUE,
             (($CI100=CH$88)*
              (_xlfn.ANCHORARRAY($CJ$92)=$CH$89)*
              ($CJ100:$CR100&gt;0))&gt;0,
       0)),0)</f>
        <v>0</v>
      </c>
      <c r="CH100" s="1305">
        <f t="shared" ca="1" si="98"/>
        <v>6</v>
      </c>
      <c r="CI100" s="1234" t="str">
        <f ca="1"/>
        <v>DU</v>
      </c>
      <c r="CJ100" s="1242">
        <f t="shared" ca="1" si="99"/>
        <v>0</v>
      </c>
      <c r="CK100" s="1243">
        <f t="shared" ca="1" si="100"/>
        <v>0</v>
      </c>
      <c r="CL100" s="1243">
        <f t="shared" ca="1" si="101"/>
        <v>0</v>
      </c>
      <c r="CM100" s="1243">
        <f t="shared" ca="1" si="102"/>
        <v>0</v>
      </c>
      <c r="CN100" s="1243">
        <f t="shared" ca="1" si="103"/>
        <v>0</v>
      </c>
      <c r="CO100" s="1243">
        <f t="shared" ca="1" si="104"/>
        <v>0</v>
      </c>
      <c r="CP100" s="1243">
        <f t="shared" ca="1" si="105"/>
        <v>0.83333333333333337</v>
      </c>
      <c r="CQ100" s="1243">
        <f t="shared" ca="1" si="106"/>
        <v>0</v>
      </c>
      <c r="CR100" s="1244">
        <f t="shared" ca="1" si="107"/>
        <v>0.16666666666666666</v>
      </c>
    </row>
    <row r="101" spans="2:98" ht="23" thickBot="1" x14ac:dyDescent="0.35">
      <c r="B101" s="89" vm="376">
        <f ca="1"/>
        <v>45841</v>
      </c>
      <c r="C101" s="89" vm="377">
        <f ca="1"/>
        <v>258.2</v>
      </c>
      <c r="D101" s="1225">
        <f t="shared" ca="1" si="51"/>
        <v>2.0150138285262721E-2</v>
      </c>
      <c r="E101" s="294" t="str" cm="1">
        <f t="array" aca="1" ref="E101" ca="1">_xlfn.IFS(D101&gt;ZPercent,"U",D101&lt;=-ZPercent,"D",TRUE,"Z")</f>
        <v>U</v>
      </c>
      <c r="F101" s="294" t="str">
        <f t="shared" ca="1" si="54"/>
        <v>DU</v>
      </c>
      <c r="G101" s="294" t="str">
        <f t="shared" ca="1" si="55"/>
        <v>DDU</v>
      </c>
      <c r="H101" s="874" t="str">
        <f t="shared" ca="1" si="56"/>
        <v/>
      </c>
      <c r="J101" s="89" vm="378">
        <f ca="1"/>
        <v>45798</v>
      </c>
      <c r="K101" s="89" vm="338">
        <f ca="1"/>
        <v>265.8</v>
      </c>
      <c r="N101" s="874" t="str">
        <f ca="1">IF(F101=[2]Sheet1!O99,"","dif")</f>
        <v>dif</v>
      </c>
      <c r="Q101" s="1234" t="str">
        <f ca="1"/>
        <v>DU</v>
      </c>
      <c r="R101" s="1227" cm="1">
        <f t="array" aca="1" ref="R101" ca="1">SUM( ($F$7:$F$212=$Q101) * ($F$6:$F$211=R$93) )</f>
        <v>0</v>
      </c>
      <c r="S101" s="874" cm="1">
        <f t="array" aca="1" ref="S101" ca="1">SUM( ($F$7:$F$212=$Q101) * ($F$6:$F$211=S$93) )</f>
        <v>5</v>
      </c>
      <c r="T101" s="874" cm="1">
        <f t="array" aca="1" ref="T101" ca="1">SUM( ($F$7:$F$212=$Q101) * ($F$6:$F$211=T$93) )</f>
        <v>0</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16</v>
      </c>
      <c r="Y101" s="874" cm="1">
        <f t="array" aca="1" ref="Y101" ca="1">SUM( ($F$7:$F$212=$Q101) * ($F$6:$F$211=Y$93) )</f>
        <v>0</v>
      </c>
      <c r="Z101" s="1228" cm="1">
        <f t="array" aca="1" ref="Z101" ca="1">SUM( ($F$7:$F$212=$Q101) * ($F$6:$F$211=Z$93) )</f>
        <v>12</v>
      </c>
      <c r="AB101" s="1208" cm="1">
        <f t="array" aca="1" ref="AB101" ca="1">IFERROR(INDEX($AE101:$AM101,
       MATCH(TRUE,
             (($AD101=Y$87)*
              ($AE$92:$AM$92=$Y$88)*
              ($AE101:$AM101&gt;0))&gt;0,
       0)),0)</f>
        <v>0</v>
      </c>
      <c r="AC101" s="1305">
        <f t="shared" ca="1" si="74"/>
        <v>25</v>
      </c>
      <c r="AD101" s="1235" t="str">
        <f t="shared" ca="1" si="75"/>
        <v>UU</v>
      </c>
      <c r="AE101" s="1245">
        <f t="shared" ca="1" si="76"/>
        <v>0</v>
      </c>
      <c r="AF101" s="1246">
        <f t="shared" ca="1" si="77"/>
        <v>0.28000000000000003</v>
      </c>
      <c r="AG101" s="1246">
        <f t="shared" ca="1" si="78"/>
        <v>0</v>
      </c>
      <c r="AH101" s="1246">
        <f t="shared" ca="1" si="79"/>
        <v>0</v>
      </c>
      <c r="AI101" s="1246">
        <f t="shared" ca="1" si="80"/>
        <v>0</v>
      </c>
      <c r="AJ101" s="1246">
        <f t="shared" ca="1" si="81"/>
        <v>0</v>
      </c>
      <c r="AK101" s="1246">
        <f t="shared" ca="1" si="82"/>
        <v>0.4</v>
      </c>
      <c r="AL101" s="1246">
        <f t="shared" ca="1" si="83"/>
        <v>0</v>
      </c>
      <c r="AM101" s="1247">
        <f t="shared" ca="1" si="84"/>
        <v>0.32</v>
      </c>
      <c r="AP101" s="1305"/>
      <c r="AQ101" s="1250" t="str">
        <f t="shared" ca="1" si="85"/>
        <v>UU</v>
      </c>
      <c r="AR101" s="1245">
        <f t="shared" ca="1" si="108"/>
        <v>0</v>
      </c>
      <c r="AS101" s="1246">
        <f t="shared" ca="1" si="86"/>
        <v>0.31964944649446497</v>
      </c>
      <c r="AT101" s="1246">
        <f t="shared" ca="1" si="87"/>
        <v>0</v>
      </c>
      <c r="AU101" s="1246">
        <f t="shared" ca="1" si="88"/>
        <v>0</v>
      </c>
      <c r="AV101" s="1246">
        <f t="shared" ca="1" si="89"/>
        <v>0</v>
      </c>
      <c r="AW101" s="1246">
        <f t="shared" ca="1" si="90"/>
        <v>0</v>
      </c>
      <c r="AX101" s="1246">
        <f t="shared" ca="1" si="91"/>
        <v>0.34404865334491747</v>
      </c>
      <c r="AY101" s="1246">
        <f t="shared" ca="1" si="92"/>
        <v>0</v>
      </c>
      <c r="AZ101" s="1247">
        <f t="shared" ca="1" si="93"/>
        <v>0.33284303425089301</v>
      </c>
      <c r="BC101" s="874" t="str">
        <f t="shared" ca="1" si="94"/>
        <v>UU</v>
      </c>
      <c r="BD101" s="1245">
        <f ca="1"/>
        <v>0</v>
      </c>
      <c r="BE101" s="1246">
        <f ca="1"/>
        <v>0</v>
      </c>
      <c r="BF101" s="1246">
        <f ca="1"/>
        <v>0.34767822867946374</v>
      </c>
      <c r="BG101" s="1246">
        <f ca="1"/>
        <v>0</v>
      </c>
      <c r="BH101" s="1246">
        <f ca="1"/>
        <v>0</v>
      </c>
      <c r="BI101" s="1246">
        <f ca="1"/>
        <v>0</v>
      </c>
      <c r="BJ101" s="1246">
        <f ca="1"/>
        <v>0</v>
      </c>
      <c r="BK101" s="1246">
        <f ca="1"/>
        <v>0.3229726104315338</v>
      </c>
      <c r="BL101" s="1247">
        <f ca="1"/>
        <v>0.32</v>
      </c>
      <c r="BM101" s="888">
        <f t="shared" ca="1" si="95"/>
        <v>0.99065083911099761</v>
      </c>
      <c r="BN101" s="1456" t="str">
        <f t="shared" ca="1" si="96"/>
        <v/>
      </c>
      <c r="BO101" s="1460">
        <f t="shared" ca="1" si="97"/>
        <v>0</v>
      </c>
      <c r="BT101" s="1305">
        <f t="shared" ca="1" si="109"/>
        <v>1</v>
      </c>
      <c r="BU101" s="1235" t="str">
        <f ca="1"/>
        <v>UU</v>
      </c>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1</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1</v>
      </c>
      <c r="CI101" s="1235" t="str">
        <f ca="1"/>
        <v>UU</v>
      </c>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1</v>
      </c>
      <c r="CQ101" s="1246">
        <f t="shared" ca="1" si="106"/>
        <v>0</v>
      </c>
      <c r="CR101" s="1247">
        <f t="shared" ca="1" si="107"/>
        <v>0</v>
      </c>
    </row>
    <row r="102" spans="2:98" ht="23" thickBot="1" x14ac:dyDescent="0.35">
      <c r="B102" s="89" vm="379">
        <f ca="1"/>
        <v>45840</v>
      </c>
      <c r="C102" s="89" vm="380">
        <f ca="1"/>
        <v>253.1</v>
      </c>
      <c r="D102" s="1225">
        <f t="shared" ca="1" si="51"/>
        <v>-9.7809076682316125E-3</v>
      </c>
      <c r="E102" s="294" t="str" cm="1">
        <f t="array" aca="1" ref="E102" ca="1">_xlfn.IFS(D102&gt;ZPercent,"U",D102&lt;=-ZPercent,"D",TRUE,"Z")</f>
        <v>D</v>
      </c>
      <c r="F102" s="294" t="str">
        <f t="shared" ca="1" si="54"/>
        <v>DD</v>
      </c>
      <c r="G102" s="294" t="str">
        <f t="shared" ca="1" si="55"/>
        <v>ZDD</v>
      </c>
      <c r="H102" s="874" t="str">
        <f t="shared" ca="1" si="56"/>
        <v/>
      </c>
      <c r="J102" s="89" vm="381">
        <f ca="1"/>
        <v>45799</v>
      </c>
      <c r="K102" s="89" vm="361">
        <f ca="1"/>
        <v>265.5</v>
      </c>
      <c r="N102" s="874" t="str">
        <f ca="1">IF(F102=[2]Sheet1!O100,"","dif")</f>
        <v>dif</v>
      </c>
      <c r="Q102" s="1235" t="str">
        <f ca="1"/>
        <v>UU</v>
      </c>
      <c r="R102" s="880" cm="1">
        <f t="array" aca="1" ref="R102" ca="1">SUM( ($F$7:$F$212=$Q102) * ($F$6:$F$211=R$93) )</f>
        <v>0</v>
      </c>
      <c r="S102" s="1229" cm="1">
        <f t="array" aca="1" ref="S102" ca="1">SUM( ($F$7:$F$212=$Q102) * ($F$6:$F$211=S$93) )</f>
        <v>7</v>
      </c>
      <c r="T102" s="1229" cm="1">
        <f t="array" aca="1" ref="T102" ca="1">SUM( ($F$7:$F$212=$Q102) * ($F$6:$F$211=T$93) )</f>
        <v>0</v>
      </c>
      <c r="U102" s="1229" cm="1">
        <f t="array" aca="1" ref="U102" ca="1">SUM( ($F$7:$F$212=$Q102) * ($F$6:$F$211=U$93) )</f>
        <v>0</v>
      </c>
      <c r="V102" s="1229" cm="1">
        <f t="array" aca="1" ref="V102" ca="1">SUM( ($F$7:$F$212=$Q102) * ($F$6:$F$211=V$93) )</f>
        <v>0</v>
      </c>
      <c r="W102" s="1229" cm="1">
        <f t="array" aca="1" ref="W102" ca="1">SUM( ($F$7:$F$212=$Q102) * ($F$6:$F$211=W$93) )</f>
        <v>0</v>
      </c>
      <c r="X102" s="1229" cm="1">
        <f t="array" aca="1" ref="X102" ca="1">SUM( ($F$7:$F$212=$Q102) * ($F$6:$F$211=X$93) )</f>
        <v>10</v>
      </c>
      <c r="Y102" s="1229" cm="1">
        <f t="array" aca="1" ref="Y102" ca="1">SUM( ($F$7:$F$212=$Q102) * ($F$6:$F$211=Y$93) )</f>
        <v>0</v>
      </c>
      <c r="Z102" s="1230" cm="1">
        <f t="array" aca="1" ref="Z102" ca="1">SUM( ($F$7:$F$212=$Q102) * ($F$6:$F$211=Z$93) )</f>
        <v>8</v>
      </c>
      <c r="AC102" s="875"/>
      <c r="AD102" s="1396"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9.0406169990138105E-2</v>
      </c>
      <c r="AF102" s="1208">
        <f ca="1"/>
        <v>9.7947351085711731E-2</v>
      </c>
      <c r="AG102" s="1208">
        <f ca="1"/>
        <v>8.9544538167780754E-2</v>
      </c>
      <c r="AH102" s="1208">
        <f ca="1"/>
        <v>7.877033508842031E-2</v>
      </c>
      <c r="AI102" s="1208">
        <f ca="1"/>
        <v>8.2003357072207142E-2</v>
      </c>
      <c r="AJ102" s="1208">
        <f ca="1"/>
        <v>0.13004691115848138</v>
      </c>
      <c r="AK102" s="1208">
        <f ca="1"/>
        <v>0.15062825952872588</v>
      </c>
      <c r="AL102" s="1208">
        <f ca="1"/>
        <v>0.15903107244665687</v>
      </c>
      <c r="AM102" s="1208">
        <f ca="1"/>
        <v>0.12162200546187787</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82">
        <f ca="1"/>
        <v>45839</v>
      </c>
      <c r="C103" s="89" vm="383">
        <f ca="1"/>
        <v>255.6</v>
      </c>
      <c r="D103" s="1225">
        <f t="shared" ca="1" si="51"/>
        <v>-9.8779779198139971E-3</v>
      </c>
      <c r="E103" s="294" t="str" cm="1">
        <f t="array" aca="1" ref="E103" ca="1">_xlfn.IFS(D103&gt;ZPercent,"U",D103&lt;=-ZPercent,"D",TRUE,"Z")</f>
        <v>D</v>
      </c>
      <c r="F103" s="294" t="str">
        <f t="shared" ca="1" si="54"/>
        <v>ZD</v>
      </c>
      <c r="G103" s="294" t="str">
        <f t="shared" ca="1" si="55"/>
        <v>UZD</v>
      </c>
      <c r="H103" s="874" t="str">
        <f t="shared" ca="1" si="56"/>
        <v>ZZ</v>
      </c>
      <c r="J103" s="89" vm="384">
        <f ca="1"/>
        <v>45800</v>
      </c>
      <c r="K103" s="89" vm="385">
        <f ca="1"/>
        <v>260.55</v>
      </c>
      <c r="N103" s="874" t="str">
        <f ca="1">IF(F103=[2]Sheet1!O101,"","dif")</f>
        <v>dif</v>
      </c>
    </row>
    <row r="104" spans="2:98" ht="23" thickBot="1" x14ac:dyDescent="0.35">
      <c r="B104" s="89" vm="386">
        <f ca="1"/>
        <v>45838</v>
      </c>
      <c r="C104" s="89" vm="387">
        <f ca="1"/>
        <v>258.14999999999998</v>
      </c>
      <c r="D104" s="1225">
        <f t="shared" ca="1" si="51"/>
        <v>5.8139534883712115E-4</v>
      </c>
      <c r="E104" s="294" t="str" cm="1">
        <f t="array" aca="1" ref="E104" ca="1">_xlfn.IFS(D104&gt;ZPercent,"U",D104&lt;=-ZPercent,"D",TRUE,"Z")</f>
        <v>Z</v>
      </c>
      <c r="F104" s="294" t="str">
        <f t="shared" ca="1" si="54"/>
        <v>UZ</v>
      </c>
      <c r="G104" s="294" t="str">
        <f t="shared" ca="1" si="55"/>
        <v>ZUZ</v>
      </c>
      <c r="H104" s="874" t="str">
        <f t="shared" ca="1" si="56"/>
        <v/>
      </c>
      <c r="J104" s="89" vm="388">
        <f ca="1"/>
        <v>45803</v>
      </c>
      <c r="K104" s="89" vm="60">
        <f ca="1"/>
        <v>262.3</v>
      </c>
      <c r="N104" s="874" t="str">
        <f ca="1">IF(F104=[2]Sheet1!O102,"","dif")</f>
        <v>dif</v>
      </c>
    </row>
    <row r="105" spans="2:98" ht="23" thickBot="1" x14ac:dyDescent="0.35">
      <c r="B105" s="89" vm="389">
        <f ca="1"/>
        <v>45835</v>
      </c>
      <c r="C105" s="89" vm="359">
        <f ca="1"/>
        <v>258</v>
      </c>
      <c r="D105" s="1225">
        <f t="shared" ca="1" si="51"/>
        <v>2.5233459169481401E-2</v>
      </c>
      <c r="E105" s="294" t="str" cm="1">
        <f t="array" aca="1" ref="E105" ca="1">_xlfn.IFS(D105&gt;ZPercent,"U",D105&lt;=-ZPercent,"D",TRUE,"Z")</f>
        <v>U</v>
      </c>
      <c r="F105" s="294" t="str">
        <f t="shared" ca="1" si="54"/>
        <v>ZU</v>
      </c>
      <c r="G105" s="294" t="str">
        <f t="shared" ca="1" si="55"/>
        <v>DZU</v>
      </c>
      <c r="H105" s="874" t="str">
        <f t="shared" ca="1" si="56"/>
        <v/>
      </c>
      <c r="J105" s="89" vm="390">
        <f ca="1"/>
        <v>45804</v>
      </c>
      <c r="K105" s="89" vm="391">
        <f ca="1"/>
        <v>265.64999999999998</v>
      </c>
      <c r="N105" s="874" t="str">
        <f ca="1">IF(F105=[2]Sheet1!O103,"","dif")</f>
        <v>dif</v>
      </c>
      <c r="Q105" s="874"/>
      <c r="AB105" s="893" t="str">
        <f>J3</f>
        <v>SAP</v>
      </c>
      <c r="AC105" s="893" t="str">
        <f ca="1">E5</f>
        <v>D</v>
      </c>
      <c r="AD105" s="875" t="s">
        <v>1669</v>
      </c>
      <c r="AE105" s="874" t="s">
        <v>1670</v>
      </c>
      <c r="CG105" s="893" t="str">
        <f>AB105</f>
        <v>SAP</v>
      </c>
      <c r="CH105" s="893" t="str">
        <f ca="1">AC105</f>
        <v>D</v>
      </c>
      <c r="CI105" s="875" t="s">
        <v>1669</v>
      </c>
      <c r="CJ105" s="874" t="s">
        <v>1670</v>
      </c>
    </row>
    <row r="106" spans="2:98" ht="23" thickBot="1" x14ac:dyDescent="0.35">
      <c r="B106" s="89" vm="392">
        <f ca="1"/>
        <v>45834</v>
      </c>
      <c r="C106" s="89" vm="393">
        <f ca="1"/>
        <v>251.65</v>
      </c>
      <c r="D106" s="1225">
        <f t="shared" ca="1" si="51"/>
        <v>-3.3663366336633437E-3</v>
      </c>
      <c r="E106" s="294" t="str" cm="1">
        <f t="array" aca="1" ref="E106" ca="1">_xlfn.IFS(D106&gt;ZPercent,"U",D106&lt;=-ZPercent,"D",TRUE,"Z")</f>
        <v>Z</v>
      </c>
      <c r="F106" s="294" t="str">
        <f t="shared" ca="1" si="54"/>
        <v>DZ</v>
      </c>
      <c r="G106" s="294" t="str">
        <f t="shared" ca="1" si="55"/>
        <v>UDZ</v>
      </c>
      <c r="H106" s="874" t="str">
        <f t="shared" ca="1" si="56"/>
        <v/>
      </c>
      <c r="J106" s="89" vm="394">
        <f ca="1"/>
        <v>45805</v>
      </c>
      <c r="K106" s="89" vm="395">
        <f ca="1"/>
        <v>263.3</v>
      </c>
      <c r="N106" s="874" t="str">
        <f ca="1">IF(F106=[2]Sheet1!O104,"","dif")</f>
        <v>dif</v>
      </c>
      <c r="Q106" s="874"/>
      <c r="AB106" s="874" t="s">
        <v>2722</v>
      </c>
      <c r="AC106" s="1310" t="s">
        <v>2299</v>
      </c>
      <c r="AD106" s="1209">
        <f ca="1">IFERROR(_xlfn.MINIFS(AE110:AG112, AE110:AG112, "&gt;0", AE110:AG112, "&lt;1"), "")</f>
        <v>0.22077922077922077</v>
      </c>
      <c r="AE106" s="1210">
        <f ca="1">IFERROR(_xlfn.MAXIFS(AE110:AG112, AE110:AG112, "&gt;0", AE110:AG112, "&lt;1"), "")</f>
        <v>0.42857142857142855</v>
      </c>
      <c r="CG106" s="874" t="s">
        <v>2722</v>
      </c>
      <c r="CH106" s="1310" t="s">
        <v>2299</v>
      </c>
      <c r="CI106" s="1209">
        <f>IFERROR(_xlfn.MINIFS(BD111:BL118, BD111:BL118, "&gt;0", BD111:BL118, "&lt;1"), "")</f>
        <v>0</v>
      </c>
      <c r="CJ106" s="1210">
        <f>IFERROR(_xlfn.MAXIFS(BD111:BL118, BD111:BL118, "&gt;0", BD111:BL118, "&lt;1"), "")</f>
        <v>0</v>
      </c>
    </row>
    <row r="107" spans="2:98" x14ac:dyDescent="0.3">
      <c r="B107" s="89" vm="396">
        <f ca="1"/>
        <v>45833</v>
      </c>
      <c r="C107" s="89" vm="397">
        <f ca="1"/>
        <v>252.5</v>
      </c>
      <c r="D107" s="1225">
        <f t="shared" ca="1" si="51"/>
        <v>-9.6097273975288833E-3</v>
      </c>
      <c r="E107" s="294" t="str" cm="1">
        <f t="array" aca="1" ref="E107" ca="1">_xlfn.IFS(D107&gt;ZPercent,"U",D107&lt;=-ZPercent,"D",TRUE,"Z")</f>
        <v>D</v>
      </c>
      <c r="F107" s="294" t="str">
        <f t="shared" ca="1" si="54"/>
        <v>UD</v>
      </c>
      <c r="G107" s="294" t="str">
        <f t="shared" ca="1" si="55"/>
        <v>ZUD</v>
      </c>
      <c r="H107" s="874" t="str">
        <f t="shared" ca="1" si="56"/>
        <v/>
      </c>
      <c r="J107" s="89" vm="398">
        <f ca="1"/>
        <v>45806</v>
      </c>
      <c r="K107" s="89" vm="399">
        <f ca="1"/>
        <v>262.45</v>
      </c>
      <c r="N107" s="874" t="str">
        <f ca="1">IF(F107=[2]Sheet1!O105,"","dif")</f>
        <v>dif</v>
      </c>
      <c r="Q107" s="875" t="s">
        <v>2672</v>
      </c>
      <c r="AB107" s="1306" t="str">
        <f>IF(AC106=0,"No "&amp;AB106,"Up")</f>
        <v>Up</v>
      </c>
      <c r="AC107" s="1311">
        <f ca="1">MAX(AB110:AB112)</f>
        <v>0.42857142857142855</v>
      </c>
      <c r="AQ107" s="874" t="s">
        <v>2724</v>
      </c>
      <c r="BU107" s="874" t="s">
        <v>2725</v>
      </c>
      <c r="CG107" s="1306" t="str">
        <f>IF(CH106=0,"No "&amp;CG106,"Up")</f>
        <v>Up</v>
      </c>
      <c r="CH107" s="888">
        <f ca="1">MAX(CG111:CG113)</f>
        <v>0.62857142857142856</v>
      </c>
      <c r="CP107" s="874" t="s">
        <v>2724</v>
      </c>
    </row>
    <row r="108" spans="2:98" ht="23" thickBot="1" x14ac:dyDescent="0.35">
      <c r="B108" s="89" vm="400">
        <f ca="1"/>
        <v>45832</v>
      </c>
      <c r="C108" s="89" vm="401">
        <f ca="1"/>
        <v>254.95</v>
      </c>
      <c r="D108" s="1225">
        <f t="shared" ca="1" si="51"/>
        <v>2.0004000800160033E-2</v>
      </c>
      <c r="E108" s="294" t="str" cm="1">
        <f t="array" aca="1" ref="E108" ca="1">_xlfn.IFS(D108&gt;ZPercent,"U",D108&lt;=-ZPercent,"D",TRUE,"Z")</f>
        <v>U</v>
      </c>
      <c r="F108" s="294" t="str">
        <f t="shared" ca="1" si="54"/>
        <v>ZU</v>
      </c>
      <c r="G108" s="294" t="str">
        <f t="shared" ca="1" si="55"/>
        <v>UZU</v>
      </c>
      <c r="H108" s="874" t="str">
        <f t="shared" ca="1" si="56"/>
        <v/>
      </c>
      <c r="J108" s="89" vm="402">
        <f ca="1"/>
        <v>45807</v>
      </c>
      <c r="K108" s="89" vm="403">
        <f ca="1"/>
        <v>265.89999999999998</v>
      </c>
      <c r="N108" s="874" t="str">
        <f ca="1">IF(F108=[2]Sheet1!O106,"","dif")</f>
        <v>dif</v>
      </c>
      <c r="Q108" s="874"/>
      <c r="AC108" s="875"/>
      <c r="AE108" s="1257" t="str">
        <f ca="1">IF($AC$105=AE109,AE109,"")</f>
        <v>D</v>
      </c>
      <c r="AF108" s="1257" t="str">
        <f ca="1">IF($AC$105=AF109,AF109,"")</f>
        <v/>
      </c>
      <c r="AG108" s="1257" t="str">
        <f ca="1">IF($AC$105=AG109,AG109,"")</f>
        <v/>
      </c>
      <c r="AH108" s="930"/>
      <c r="AQ108" s="930"/>
      <c r="AR108" s="1257" t="str">
        <f ca="1">IF($AC$105=AR109,AR109,"")</f>
        <v>D</v>
      </c>
      <c r="AS108" s="1257" t="str">
        <f ca="1">IF($AC$105=AS109,AS109,"")</f>
        <v/>
      </c>
      <c r="AT108" s="1257" t="str">
        <f ca="1">IF($AC$105=AT109,AT109,"")</f>
        <v/>
      </c>
    </row>
    <row r="109" spans="2:98" ht="23" thickBot="1" x14ac:dyDescent="0.35">
      <c r="B109" s="89" vm="404">
        <f ca="1"/>
        <v>45831</v>
      </c>
      <c r="C109" s="89" vm="405">
        <f ca="1"/>
        <v>249.95</v>
      </c>
      <c r="D109" s="1225">
        <f t="shared" ca="1" si="51"/>
        <v>-4.778021102926606E-3</v>
      </c>
      <c r="E109" s="294" t="str" cm="1">
        <f t="array" aca="1" ref="E109" ca="1">_xlfn.IFS(D109&gt;ZPercent,"U",D109&lt;=-ZPercent,"D",TRUE,"Z")</f>
        <v>Z</v>
      </c>
      <c r="F109" s="294" t="str">
        <f t="shared" ca="1" si="54"/>
        <v>UZ</v>
      </c>
      <c r="G109" s="294" t="str">
        <f t="shared" ca="1" si="55"/>
        <v>DUZ</v>
      </c>
      <c r="H109" s="874" t="str">
        <f t="shared" ca="1" si="56"/>
        <v/>
      </c>
      <c r="J109" s="89" vm="406">
        <f ca="1"/>
        <v>45810</v>
      </c>
      <c r="K109" s="89" vm="407">
        <f ca="1"/>
        <v>264.3</v>
      </c>
      <c r="N109" s="874" t="str">
        <f ca="1">IF(F109=[2]Sheet1!O107,"","dif")</f>
        <v>dif</v>
      </c>
      <c r="Q109" s="1231"/>
      <c r="R109" s="1231" t="str" cm="1">
        <f t="array" aca="1" ref="R109:T109" ca="1">TRANSPOSE(Q110:Q112)</f>
        <v>D</v>
      </c>
      <c r="S109" s="1237" t="str">
        <f ca="1"/>
        <v>Z</v>
      </c>
      <c r="T109" s="1238" t="str">
        <f ca="1"/>
        <v>U</v>
      </c>
      <c r="AC109" s="875"/>
      <c r="AD109" s="1231">
        <f ca="1">ROWS(_xlfn.UNIQUE(G103:G105))</f>
        <v>3</v>
      </c>
      <c r="AE109" s="1231" t="str">
        <f ca="1">R109</f>
        <v>D</v>
      </c>
      <c r="AF109" s="1237" t="str">
        <f ca="1">S109</f>
        <v>Z</v>
      </c>
      <c r="AG109" s="1238" t="str">
        <f ca="1">T109</f>
        <v>U</v>
      </c>
      <c r="AH109" s="1217"/>
      <c r="AQ109" s="1231"/>
      <c r="AR109" s="1231" t="str">
        <f ca="1">AE109</f>
        <v>D</v>
      </c>
      <c r="AS109" s="1237" t="str">
        <f ca="1">AF109</f>
        <v>Z</v>
      </c>
      <c r="AT109" s="1238" t="str">
        <f ca="1">AG109</f>
        <v>U</v>
      </c>
      <c r="BT109" s="875"/>
      <c r="CH109" s="875"/>
      <c r="CJ109" s="1257" t="str">
        <f ca="1">IF($AC$105=CJ110,CJ110,"")</f>
        <v>D</v>
      </c>
      <c r="CK109" s="1257" t="str">
        <f ca="1">IF($AC$105=CK110,CK110,"")</f>
        <v/>
      </c>
      <c r="CL109" s="1257" t="str">
        <f ca="1">IF($AC$105=CL110,CL110,"")</f>
        <v/>
      </c>
      <c r="CM109" s="930"/>
      <c r="CP109" s="930"/>
      <c r="CQ109" s="1257" t="str">
        <f ca="1">IF($AC$105=CQ110,CQ110,"")</f>
        <v>D</v>
      </c>
      <c r="CR109" s="1257" t="str">
        <f ca="1">IF($AC$105=CR110,CR110,"")</f>
        <v/>
      </c>
      <c r="CT109" s="1311">
        <f>MAX(CT111:CT113)</f>
        <v>0</v>
      </c>
    </row>
    <row r="110" spans="2:98" ht="24" thickTop="1" thickBot="1" x14ac:dyDescent="0.35">
      <c r="B110" s="89" vm="408">
        <f ca="1"/>
        <v>45828</v>
      </c>
      <c r="C110" s="89" vm="409">
        <f ca="1"/>
        <v>251.15</v>
      </c>
      <c r="D110" s="1225">
        <f t="shared" ca="1" si="51"/>
        <v>1.3723511604439983E-2</v>
      </c>
      <c r="E110" s="294" t="str" cm="1">
        <f t="array" aca="1" ref="E110" ca="1">_xlfn.IFS(D110&gt;ZPercent,"U",D110&lt;=-ZPercent,"D",TRUE,"Z")</f>
        <v>U</v>
      </c>
      <c r="F110" s="294" t="str">
        <f t="shared" ca="1" si="54"/>
        <v>DU</v>
      </c>
      <c r="G110" s="294" t="str">
        <f t="shared" ca="1" si="55"/>
        <v>DDU</v>
      </c>
      <c r="H110" s="874" t="str">
        <f t="shared" ca="1" si="56"/>
        <v/>
      </c>
      <c r="J110" s="89" vm="410">
        <f ca="1"/>
        <v>45811</v>
      </c>
      <c r="K110" s="89" vm="411">
        <f ca="1"/>
        <v>269.55</v>
      </c>
      <c r="N110" s="874" t="str">
        <f ca="1">IF(F110=[2]Sheet1!O108,"","dif")</f>
        <v>dif</v>
      </c>
      <c r="P110" s="875"/>
      <c r="Q110" s="1249" t="str" cm="1">
        <f t="array" aca="1" ref="Q110:Q112" ca="1">_xlfn.UNIQUE(E5:E25)</f>
        <v>D</v>
      </c>
      <c r="R110" s="1253" cm="1">
        <f t="array" aca="1" ref="R110" ca="1">SUM( ($E$7:$E$212=$Q110) * ($E$6:$E$211=R$109) )</f>
        <v>27</v>
      </c>
      <c r="S110" s="1253" cm="1">
        <f t="array" aca="1" ref="S110" ca="1">SUM( ($E$7:$E$212=$Q110) * ($E$6:$E$211=S$109) )</f>
        <v>17</v>
      </c>
      <c r="T110" s="1254" cm="1">
        <f t="array" aca="1" ref="T110" ca="1">SUM( ($E$7:$E$212=$Q110) * ($E$6:$E$211=T$109) )</f>
        <v>33</v>
      </c>
      <c r="AB110" s="1208" cm="1">
        <f t="array" aca="1" ref="AB110" ca="1">IFERROR(INDEX($AE110:$AG110,
       MATCH(TRUE,
             (($AD110=AC$105)*
              ($AE$109:$AG$109=$AC$106)*
              ($AE110:$AG110&gt;0))&gt;0,
       0)),0)</f>
        <v>0.42857142857142855</v>
      </c>
      <c r="AC110" s="1305">
        <f ca="1">SUM(R110:T110)</f>
        <v>77</v>
      </c>
      <c r="AD110" s="1249" t="str">
        <f ca="1">Q110</f>
        <v>D</v>
      </c>
      <c r="AE110" s="1243">
        <f t="shared" ref="AE110:AG112" ca="1" si="111">R110/$AC110</f>
        <v>0.35064935064935066</v>
      </c>
      <c r="AF110" s="1243">
        <f t="shared" ca="1" si="111"/>
        <v>0.22077922077922077</v>
      </c>
      <c r="AG110" s="1244">
        <f t="shared" ca="1" si="111"/>
        <v>0.42857142857142855</v>
      </c>
      <c r="AQ110" s="1249" t="str">
        <f ca="1">AD110</f>
        <v>D</v>
      </c>
      <c r="AR110" s="1243">
        <f t="shared" ref="AR110:AT112" ca="1" si="112">AE110/SUM(AE$110:AE$112)</f>
        <v>0.31391089751915835</v>
      </c>
      <c r="AS110" s="1243">
        <f t="shared" ca="1" si="112"/>
        <v>0.28095253725464447</v>
      </c>
      <c r="AT110" s="1244">
        <f t="shared" ca="1" si="112"/>
        <v>0.39062550509132049</v>
      </c>
      <c r="BU110" s="1231"/>
      <c r="BV110" s="1231" t="str" cm="1">
        <f t="array" aca="1" ref="BV110:BX110" ca="1">TRANSPOSE(BU111:BU113)</f>
        <v>D</v>
      </c>
      <c r="BW110" s="1237" t="str">
        <f ca="1"/>
        <v>Z</v>
      </c>
      <c r="BX110" s="1238" t="str">
        <f ca="1"/>
        <v>U</v>
      </c>
      <c r="CH110" s="875"/>
      <c r="CI110" s="1231">
        <f>ROWS(_xlfn.UNIQUE(AH113:AH115))</f>
        <v>1</v>
      </c>
      <c r="CJ110" s="1231" t="str">
        <f ca="1">BV110</f>
        <v>D</v>
      </c>
      <c r="CK110" s="1237" t="str">
        <f ca="1">BW110</f>
        <v>Z</v>
      </c>
      <c r="CL110" s="1238" t="str">
        <f ca="1">BX110</f>
        <v>U</v>
      </c>
      <c r="CM110" s="1217"/>
      <c r="CP110" s="1231"/>
      <c r="CQ110" s="1231" t="str">
        <f ca="1">CJ110</f>
        <v>D</v>
      </c>
      <c r="CR110" s="1237" t="str">
        <f ca="1">CK110</f>
        <v>Z</v>
      </c>
      <c r="CS110" s="1238" t="str">
        <f ca="1">CL110</f>
        <v>U</v>
      </c>
    </row>
    <row r="111" spans="2:98" ht="23" thickTop="1" x14ac:dyDescent="0.3">
      <c r="B111" s="89" vm="412">
        <f ca="1"/>
        <v>45827</v>
      </c>
      <c r="C111" s="89" vm="413">
        <f ca="1"/>
        <v>247.75</v>
      </c>
      <c r="D111" s="1225">
        <f t="shared" ca="1" si="51"/>
        <v>-2.055742241549709E-2</v>
      </c>
      <c r="E111" s="294" t="str" cm="1">
        <f t="array" aca="1" ref="E111" ca="1">_xlfn.IFS(D111&gt;ZPercent,"U",D111&lt;=-ZPercent,"D",TRUE,"Z")</f>
        <v>D</v>
      </c>
      <c r="F111" s="294" t="str">
        <f t="shared" ca="1" si="54"/>
        <v>DD</v>
      </c>
      <c r="G111" s="294" t="str">
        <f t="shared" ca="1" si="55"/>
        <v>DDD</v>
      </c>
      <c r="H111" s="874" t="str">
        <f t="shared" ca="1" si="56"/>
        <v/>
      </c>
      <c r="J111" s="89" vm="414">
        <f ca="1"/>
        <v>45812</v>
      </c>
      <c r="K111" s="89" vm="415">
        <f ca="1"/>
        <v>271.3</v>
      </c>
      <c r="N111" s="874" t="str">
        <f ca="1">IF(F111=[2]Sheet1!O109,"","dif")</f>
        <v>dif</v>
      </c>
      <c r="P111" s="875"/>
      <c r="Q111" s="1249" t="str">
        <f ca="1"/>
        <v>Z</v>
      </c>
      <c r="R111" s="1253" cm="1">
        <f t="array" aca="1" ref="R111" ca="1">SUM( ($E$7:$E$212=$Q111) * ($E$6:$E$211=R$109) )</f>
        <v>19</v>
      </c>
      <c r="S111" s="1253" cm="1">
        <f t="array" aca="1" ref="S111" ca="1">SUM( ($E$7:$E$212=$Q111) * ($E$6:$E$211=S$109) )</f>
        <v>16</v>
      </c>
      <c r="T111" s="1254" cm="1">
        <f t="array" aca="1" ref="T111" ca="1">SUM( ($E$7:$E$212=$Q111) * ($E$6:$E$211=T$109) )</f>
        <v>18</v>
      </c>
      <c r="AB111" s="1208" cm="1">
        <f t="array" aca="1" ref="AB111" ca="1">IFERROR(INDEX($AE111:$AG111,
       MATCH(TRUE,
             (($AD111=AC$105)*
              ($AE$109:$AG$109=$AC$106)*
              ($AE111:$AG111&gt;0))&gt;0,
       0)),0)</f>
        <v>0</v>
      </c>
      <c r="AC111" s="1305">
        <f ca="1">SUM(R111:T111)</f>
        <v>53</v>
      </c>
      <c r="AD111" s="1249" t="str">
        <f ca="1">Q111</f>
        <v>Z</v>
      </c>
      <c r="AE111" s="1243">
        <f t="shared" ca="1" si="111"/>
        <v>0.35849056603773582</v>
      </c>
      <c r="AF111" s="1243">
        <f t="shared" ca="1" si="111"/>
        <v>0.30188679245283018</v>
      </c>
      <c r="AG111" s="1244">
        <f t="shared" ca="1" si="111"/>
        <v>0.33962264150943394</v>
      </c>
      <c r="AQ111" s="1249" t="str">
        <f ca="1">AD111</f>
        <v>Z</v>
      </c>
      <c r="AR111" s="1243">
        <f t="shared" ca="1" si="112"/>
        <v>0.32093056818345816</v>
      </c>
      <c r="AS111" s="1243">
        <f t="shared" ca="1" si="112"/>
        <v>0.38416595549136739</v>
      </c>
      <c r="AT111" s="1244">
        <f t="shared" ca="1" si="112"/>
        <v>0.30955228705349924</v>
      </c>
      <c r="BT111" s="1305">
        <f ca="1">SUM(BV111:BX111)</f>
        <v>35</v>
      </c>
      <c r="BU111" s="1249" t="str" cm="1">
        <f t="array" aca="1" ref="BU111:BU113" ca="1">_xlfn.UNIQUE(E5:E25)</f>
        <v>D</v>
      </c>
      <c r="BV111" s="1253" cm="1">
        <f t="array" aca="1" ref="BV111" ca="1">SUM( ($E$7:$E$25=$Q94) * ($E$6:$E$24=BV$92) )</f>
        <v>0</v>
      </c>
      <c r="BW111" s="1253" cm="1">
        <f t="array" aca="1" ref="BW111" ca="1">SUM( ($E$7:$E$155=$Q110) * ($E$6:$E$154=BW$110) )</f>
        <v>13</v>
      </c>
      <c r="BX111" s="1254" cm="1">
        <f t="array" aca="1" ref="BX111" ca="1">SUM( ($E$7:$E$155=$Q110) * ($E$6:$E$154=BX$110) )</f>
        <v>22</v>
      </c>
      <c r="CG111" s="1208" cm="1">
        <f t="array" aca="1" ref="CG111" ca="1">IFERROR(INDEX($CJ111:$CL111,
       MATCH(TRUE,
             (($CI111=CH$105)*
              ($CJ$110:$CL$110=$CH$106)*
              ($CJ111:$CL111&gt;0))&gt;0,
       0)),0)</f>
        <v>0.62857142857142856</v>
      </c>
      <c r="CI111" s="1249" t="str">
        <f ca="1">BU111</f>
        <v>D</v>
      </c>
      <c r="CJ111" s="1243">
        <f t="shared" ref="CJ111:CL113" ca="1" si="113">BV111/$BT111</f>
        <v>0</v>
      </c>
      <c r="CK111" s="1243">
        <f t="shared" ca="1" si="113"/>
        <v>0.37142857142857144</v>
      </c>
      <c r="CL111" s="1244">
        <f t="shared" ca="1" si="113"/>
        <v>0.62857142857142856</v>
      </c>
      <c r="CP111" s="1249" t="str">
        <f ca="1">CI111</f>
        <v>D</v>
      </c>
      <c r="CQ111" s="1243">
        <f t="shared" ref="CQ111:CS113" ca="1" si="114">CJ111/SUM(CJ$111:CJ$113)</f>
        <v>0</v>
      </c>
      <c r="CR111" s="1243">
        <f t="shared" ca="1" si="114"/>
        <v>0.38596491228070173</v>
      </c>
      <c r="CS111" s="1244">
        <f t="shared" ca="1" si="114"/>
        <v>0.47885233737323768</v>
      </c>
    </row>
    <row r="112" spans="2:98" ht="23" thickBot="1" x14ac:dyDescent="0.35">
      <c r="B112" s="89" vm="416">
        <f ca="1"/>
        <v>45826</v>
      </c>
      <c r="C112" s="89" vm="417">
        <f ca="1"/>
        <v>252.95</v>
      </c>
      <c r="D112" s="1225">
        <f t="shared" ca="1" si="51"/>
        <v>-1.2107010349541194E-2</v>
      </c>
      <c r="E112" s="294" t="str" cm="1">
        <f t="array" aca="1" ref="E112" ca="1">_xlfn.IFS(D112&gt;ZPercent,"U",D112&lt;=-ZPercent,"D",TRUE,"Z")</f>
        <v>D</v>
      </c>
      <c r="F112" s="294" t="str">
        <f t="shared" ca="1" si="54"/>
        <v>DD</v>
      </c>
      <c r="G112" s="294" t="str">
        <f t="shared" ca="1" si="55"/>
        <v>UDD</v>
      </c>
      <c r="H112" s="874" t="str">
        <f t="shared" ca="1" si="56"/>
        <v/>
      </c>
      <c r="J112" s="89" vm="418">
        <f ca="1"/>
        <v>45813</v>
      </c>
      <c r="K112" s="89" vm="419">
        <f ca="1"/>
        <v>270.95</v>
      </c>
      <c r="N112" s="874" t="str">
        <f ca="1">IF(F112=[2]Sheet1!O110,"","dif")</f>
        <v>dif</v>
      </c>
      <c r="P112" s="875"/>
      <c r="Q112" s="1250" t="str">
        <f ca="1"/>
        <v>U</v>
      </c>
      <c r="R112" s="1255" cm="1">
        <f t="array" aca="1" ref="R112" ca="1">SUM( ($E$7:$E$212=$Q112) * ($E$6:$E$211=R$109) )</f>
        <v>31</v>
      </c>
      <c r="S112" s="1255" cm="1">
        <f t="array" aca="1" ref="S112" ca="1">SUM( ($E$7:$E$212=$Q112) * ($E$6:$E$211=S$109) )</f>
        <v>20</v>
      </c>
      <c r="T112" s="1256" cm="1">
        <f t="array" aca="1" ref="T112" ca="1">SUM( ($E$7:$E$212=$Q112) * ($E$6:$E$211=T$109) )</f>
        <v>25</v>
      </c>
      <c r="AB112" s="1208" cm="1">
        <f t="array" aca="1" ref="AB112" ca="1">IFERROR(INDEX($AE112:$AG112,
       MATCH(TRUE,
             (($AD112=AC$105)*
              ($AE$109:$AG$109=$AC$106)*
              ($AE112:$AG112&gt;0))&gt;0,
       0)),0)</f>
        <v>0</v>
      </c>
      <c r="AC112" s="1305">
        <f ca="1">SUM(R112:T112)</f>
        <v>76</v>
      </c>
      <c r="AD112" s="1250" t="str">
        <f ca="1">Q112</f>
        <v>U</v>
      </c>
      <c r="AE112" s="1246">
        <f t="shared" ca="1" si="111"/>
        <v>0.40789473684210525</v>
      </c>
      <c r="AF112" s="1246">
        <f t="shared" ca="1" si="111"/>
        <v>0.26315789473684209</v>
      </c>
      <c r="AG112" s="1247">
        <f t="shared" ca="1" si="111"/>
        <v>0.32894736842105265</v>
      </c>
      <c r="AQ112" s="1250" t="str">
        <f ca="1">AD112</f>
        <v>U</v>
      </c>
      <c r="AR112" s="1246">
        <f t="shared" ca="1" si="112"/>
        <v>0.36515853429738349</v>
      </c>
      <c r="AS112" s="1246">
        <f t="shared" ca="1" si="112"/>
        <v>0.33488150725398802</v>
      </c>
      <c r="AT112" s="1247">
        <f t="shared" ca="1" si="112"/>
        <v>0.29982220785518027</v>
      </c>
      <c r="BT112" s="1305">
        <f ca="1">SUM(BV112:BX112)</f>
        <v>40</v>
      </c>
      <c r="BU112" s="1249" t="str">
        <f ca="1"/>
        <v>Z</v>
      </c>
      <c r="BV112" s="1253" cm="1">
        <f t="array" aca="1" ref="BV112" ca="1">SUM( ($E$7:$E$155=$Q111) * ($E$6:$E$154=BV$110) )</f>
        <v>13</v>
      </c>
      <c r="BW112" s="1253" cm="1">
        <f t="array" aca="1" ref="BW112" ca="1">SUM( ($E$7:$E$155=$Q111) * ($E$6:$E$154=BW$110) )</f>
        <v>12</v>
      </c>
      <c r="BX112" s="1254" cm="1">
        <f t="array" aca="1" ref="BX112" ca="1">SUM( ($E$7:$E$155=$Q111) * ($E$6:$E$154=BX$110) )</f>
        <v>15</v>
      </c>
      <c r="CG112" s="1208" cm="1">
        <f t="array" aca="1" ref="CG112" ca="1">IFERROR(INDEX($CJ112:$CL112,
       MATCH(TRUE,
             (($CI112=CH$105)*
              ($CJ$110:$CL$110=$CH$106)*
              ($CJ112:$CL112&gt;0))&gt;0,
       0)),0)</f>
        <v>0</v>
      </c>
      <c r="CI112" s="1249" t="str">
        <f ca="1">BU112</f>
        <v>Z</v>
      </c>
      <c r="CJ112" s="1243">
        <f t="shared" ca="1" si="113"/>
        <v>0.32500000000000001</v>
      </c>
      <c r="CK112" s="1243">
        <f t="shared" ca="1" si="113"/>
        <v>0.3</v>
      </c>
      <c r="CL112" s="1244">
        <f t="shared" ca="1" si="113"/>
        <v>0.375</v>
      </c>
      <c r="CP112" s="1249" t="str">
        <f ca="1">CI112</f>
        <v>Z</v>
      </c>
      <c r="CQ112" s="1243">
        <f t="shared" ca="1" si="114"/>
        <v>0.44827586206896547</v>
      </c>
      <c r="CR112" s="1243">
        <f t="shared" ca="1" si="114"/>
        <v>0.31174089068825911</v>
      </c>
      <c r="CS112" s="1244">
        <f t="shared" ca="1" si="114"/>
        <v>0.2856789512738066</v>
      </c>
    </row>
    <row r="113" spans="2:97" ht="23" thickBot="1" x14ac:dyDescent="0.35">
      <c r="B113" s="89" vm="420">
        <f ca="1"/>
        <v>45825</v>
      </c>
      <c r="C113" s="89" vm="421">
        <f ca="1"/>
        <v>256.05</v>
      </c>
      <c r="D113" s="1225">
        <f t="shared" ca="1" si="51"/>
        <v>-5.4379491163331801E-3</v>
      </c>
      <c r="E113" s="294" t="str" cm="1">
        <f t="array" aca="1" ref="E113" ca="1">_xlfn.IFS(D113&gt;ZPercent,"U",D113&lt;=-ZPercent,"D",TRUE,"Z")</f>
        <v>D</v>
      </c>
      <c r="F113" s="294" t="str">
        <f t="shared" ca="1" si="54"/>
        <v>UD</v>
      </c>
      <c r="G113" s="294" t="str">
        <f t="shared" ca="1" si="55"/>
        <v>DUD</v>
      </c>
      <c r="H113" s="874" t="str">
        <f t="shared" ca="1" si="56"/>
        <v/>
      </c>
      <c r="J113" s="89" vm="422">
        <f ca="1"/>
        <v>45814</v>
      </c>
      <c r="K113" s="89" vm="423">
        <f ca="1"/>
        <v>272.35000000000002</v>
      </c>
      <c r="N113" s="874" t="str">
        <f ca="1">IF(F113=[2]Sheet1!O111,"","dif")</f>
        <v>dif</v>
      </c>
      <c r="AC113" s="875"/>
      <c r="AD113" s="1396" t="s">
        <v>2736</v>
      </c>
      <c r="AE113" s="874">
        <v>0.38786090647190596</v>
      </c>
      <c r="AF113" s="874">
        <v>0.26722571712731896</v>
      </c>
      <c r="AG113" s="874">
        <v>0.34491337640077513</v>
      </c>
      <c r="AQ113" s="1396" t="s">
        <v>2736</v>
      </c>
      <c r="AR113" s="874">
        <v>0.33359290047434614</v>
      </c>
      <c r="AS113" s="874">
        <v>0.33312884953579752</v>
      </c>
      <c r="AT113" s="874">
        <v>0.33327824998985628</v>
      </c>
      <c r="BT113" s="1305">
        <f ca="1">SUM(BV113:BX113)</f>
        <v>55</v>
      </c>
      <c r="BU113" s="1250" t="str">
        <f ca="1"/>
        <v>U</v>
      </c>
      <c r="BV113" s="1255" cm="1">
        <f t="array" aca="1" ref="BV113" ca="1">SUM( ($E$7:$E$155=$Q112) * ($E$6:$E$154=BV$110) )</f>
        <v>22</v>
      </c>
      <c r="BW113" s="1255" cm="1">
        <f t="array" aca="1" ref="BW113" ca="1">SUM( ($E$7:$E$155=$Q112) * ($E$6:$E$154=BW$110) )</f>
        <v>16</v>
      </c>
      <c r="BX113" s="1256" cm="1">
        <f t="array" aca="1" ref="BX113" ca="1">SUM( ($E$7:$E$155=$Q112) * ($E$6:$E$154=BX$110) )</f>
        <v>17</v>
      </c>
      <c r="CG113" s="1208" cm="1">
        <f t="array" aca="1" ref="CG113" ca="1">IFERROR(INDEX($CJ113:$CL113,
       MATCH(TRUE,
             (($CI113=CH$105)*
              ($CJ$110:$CL$110=$CH$106)*
              ($CJ113:$CL113&gt;0))&gt;0,
       0)),0)</f>
        <v>0</v>
      </c>
      <c r="CI113" s="1250" t="str">
        <f ca="1">BU113</f>
        <v>U</v>
      </c>
      <c r="CJ113" s="1246">
        <f t="shared" ca="1" si="113"/>
        <v>0.4</v>
      </c>
      <c r="CK113" s="1246">
        <f t="shared" ca="1" si="113"/>
        <v>0.29090909090909089</v>
      </c>
      <c r="CL113" s="1247">
        <f t="shared" ca="1" si="113"/>
        <v>0.30909090909090908</v>
      </c>
      <c r="CP113" s="1250" t="str">
        <f ca="1">CI113</f>
        <v>U</v>
      </c>
      <c r="CQ113" s="1246">
        <f t="shared" ca="1" si="114"/>
        <v>0.55172413793103448</v>
      </c>
      <c r="CR113" s="1246">
        <f t="shared" ca="1" si="114"/>
        <v>0.3022941970310391</v>
      </c>
      <c r="CS113" s="1247">
        <f t="shared" ca="1" si="114"/>
        <v>0.23546871135295572</v>
      </c>
    </row>
    <row r="114" spans="2:97" x14ac:dyDescent="0.3">
      <c r="B114" s="89" vm="424">
        <f ca="1"/>
        <v>45824</v>
      </c>
      <c r="C114" s="89" vm="425">
        <f ca="1"/>
        <v>257.45</v>
      </c>
      <c r="D114" s="1225">
        <f t="shared" ca="1" si="51"/>
        <v>1.0598626104023508E-2</v>
      </c>
      <c r="E114" s="294" t="str" cm="1">
        <f t="array" aca="1" ref="E114" ca="1">_xlfn.IFS(D114&gt;ZPercent,"U",D114&lt;=-ZPercent,"D",TRUE,"Z")</f>
        <v>U</v>
      </c>
      <c r="F114" s="294" t="str">
        <f t="shared" ca="1" si="54"/>
        <v>DU</v>
      </c>
      <c r="G114" s="294" t="str">
        <f t="shared" ca="1" si="55"/>
        <v>DDU</v>
      </c>
      <c r="H114" s="874" t="str">
        <f t="shared" ca="1" si="56"/>
        <v/>
      </c>
      <c r="J114" s="89" vm="426">
        <f ca="1"/>
        <v>45817</v>
      </c>
      <c r="K114" s="89" vm="427">
        <f ca="1"/>
        <v>267.60000000000002</v>
      </c>
      <c r="N114" s="874" t="str">
        <f ca="1">IF(F114=[2]Sheet1!O112,"","dif")</f>
        <v/>
      </c>
    </row>
    <row r="115" spans="2:97" x14ac:dyDescent="0.3">
      <c r="B115" s="89" vm="428">
        <f ca="1"/>
        <v>45821</v>
      </c>
      <c r="C115" s="89" vm="280">
        <f ca="1"/>
        <v>254.75</v>
      </c>
      <c r="D115" s="1225">
        <f t="shared" ca="1" si="51"/>
        <v>-2.4506988320888292E-2</v>
      </c>
      <c r="E115" s="294" t="str" cm="1">
        <f t="array" aca="1" ref="E115" ca="1">_xlfn.IFS(D115&gt;ZPercent,"U",D115&lt;=-ZPercent,"D",TRUE,"Z")</f>
        <v>D</v>
      </c>
      <c r="F115" s="294" t="str">
        <f t="shared" ca="1" si="54"/>
        <v>DD</v>
      </c>
      <c r="G115" s="294" t="str">
        <f t="shared" ca="1" si="55"/>
        <v>DDD</v>
      </c>
      <c r="H115" s="874" t="str">
        <f t="shared" ca="1" si="56"/>
        <v/>
      </c>
      <c r="J115" s="89" vm="429">
        <f ca="1"/>
        <v>45818</v>
      </c>
      <c r="K115" s="89" vm="430">
        <f ca="1"/>
        <v>265.7</v>
      </c>
      <c r="N115" s="874" t="str">
        <f ca="1">IF(F115=[2]Sheet1!O113,"","dif")</f>
        <v>dif</v>
      </c>
    </row>
    <row r="116" spans="2:97" x14ac:dyDescent="0.3">
      <c r="B116" s="89" vm="431">
        <f ca="1"/>
        <v>45820</v>
      </c>
      <c r="C116" s="89" vm="369">
        <f ca="1"/>
        <v>261.14999999999998</v>
      </c>
      <c r="D116" s="1225">
        <f t="shared" ca="1" si="51"/>
        <v>-7.600228006840206E-3</v>
      </c>
      <c r="E116" s="294" t="str" cm="1">
        <f t="array" aca="1" ref="E116" ca="1">_xlfn.IFS(D116&gt;ZPercent,"U",D116&lt;=-ZPercent,"D",TRUE,"Z")</f>
        <v>D</v>
      </c>
      <c r="F116" s="294" t="str">
        <f t="shared" ca="1" si="54"/>
        <v>DD</v>
      </c>
      <c r="G116" s="294" t="str">
        <f t="shared" ca="1" si="55"/>
        <v>DDD</v>
      </c>
      <c r="H116" s="874" t="str">
        <f t="shared" ca="1" si="56"/>
        <v/>
      </c>
      <c r="J116" s="89" vm="432">
        <f ca="1"/>
        <v>45819</v>
      </c>
      <c r="K116" s="89" vm="92">
        <f ca="1"/>
        <v>263.14999999999998</v>
      </c>
      <c r="N116" s="874" t="str">
        <f ca="1">IF(F116=[2]Sheet1!O114,"","dif")</f>
        <v>dif</v>
      </c>
    </row>
    <row r="117" spans="2:97" x14ac:dyDescent="0.3">
      <c r="B117" s="89" vm="432">
        <f ca="1"/>
        <v>45819</v>
      </c>
      <c r="C117" s="89" vm="92">
        <f ca="1"/>
        <v>263.14999999999998</v>
      </c>
      <c r="D117" s="1225">
        <f t="shared" ca="1" si="51"/>
        <v>-9.5972901768912738E-3</v>
      </c>
      <c r="E117" s="294" t="str" cm="1">
        <f t="array" aca="1" ref="E117" ca="1">_xlfn.IFS(D117&gt;ZPercent,"U",D117&lt;=-ZPercent,"D",TRUE,"Z")</f>
        <v>D</v>
      </c>
      <c r="F117" s="294" t="str">
        <f t="shared" ca="1" si="54"/>
        <v>DD</v>
      </c>
      <c r="G117" s="294" t="str">
        <f t="shared" ca="1" si="55"/>
        <v>DDD</v>
      </c>
      <c r="H117" s="874" t="str">
        <f t="shared" ca="1" si="56"/>
        <v/>
      </c>
      <c r="J117" s="89" vm="431">
        <f ca="1"/>
        <v>45820</v>
      </c>
      <c r="K117" s="89" vm="369">
        <f ca="1"/>
        <v>261.14999999999998</v>
      </c>
      <c r="N117" s="874" t="str">
        <f ca="1">IF(F117=[2]Sheet1!O115,"","dif")</f>
        <v/>
      </c>
    </row>
    <row r="118" spans="2:97" x14ac:dyDescent="0.3">
      <c r="B118" s="89" vm="429">
        <f ca="1"/>
        <v>45818</v>
      </c>
      <c r="C118" s="89" vm="430">
        <f ca="1"/>
        <v>265.7</v>
      </c>
      <c r="D118" s="1225">
        <f t="shared" ca="1" si="51"/>
        <v>-7.1001494768312178E-3</v>
      </c>
      <c r="E118" s="294" t="str" cm="1">
        <f t="array" aca="1" ref="E118" ca="1">_xlfn.IFS(D118&gt;ZPercent,"U",D118&lt;=-ZPercent,"D",TRUE,"Z")</f>
        <v>D</v>
      </c>
      <c r="F118" s="294" t="str">
        <f t="shared" ca="1" si="54"/>
        <v>DD</v>
      </c>
      <c r="G118" s="294" t="str">
        <f t="shared" ca="1" si="55"/>
        <v>UDD</v>
      </c>
      <c r="H118" s="874" t="str">
        <f t="shared" ca="1" si="56"/>
        <v/>
      </c>
      <c r="J118" s="89" vm="428">
        <f ca="1"/>
        <v>45821</v>
      </c>
      <c r="K118" s="89" vm="280">
        <f ca="1"/>
        <v>254.75</v>
      </c>
      <c r="N118" s="874" t="str">
        <f ca="1">IF(F118=[2]Sheet1!O116,"","dif")</f>
        <v>dif</v>
      </c>
    </row>
    <row r="119" spans="2:97" ht="27" x14ac:dyDescent="0.35">
      <c r="B119" s="89" vm="426">
        <f ca="1"/>
        <v>45817</v>
      </c>
      <c r="C119" s="89" vm="427">
        <f ca="1"/>
        <v>267.60000000000002</v>
      </c>
      <c r="D119" s="1225">
        <f t="shared" ca="1" si="51"/>
        <v>-1.7440793097117678E-2</v>
      </c>
      <c r="E119" s="294" t="str" cm="1">
        <f t="array" aca="1" ref="E119" ca="1">_xlfn.IFS(D119&gt;ZPercent,"U",D119&lt;=-ZPercent,"D",TRUE,"Z")</f>
        <v>D</v>
      </c>
      <c r="F119" s="294" t="str">
        <f t="shared" ca="1" si="54"/>
        <v>UD</v>
      </c>
      <c r="G119" s="294" t="str">
        <f t="shared" ca="1" si="55"/>
        <v>ZUD</v>
      </c>
      <c r="H119" s="874" t="str">
        <f t="shared" ca="1" si="56"/>
        <v/>
      </c>
      <c r="J119" s="89" vm="424">
        <f ca="1"/>
        <v>45824</v>
      </c>
      <c r="K119" s="89" vm="425">
        <f ca="1"/>
        <v>257.45</v>
      </c>
      <c r="N119" s="874" t="str">
        <f ca="1">IF(F119=[2]Sheet1!O117,"","dif")</f>
        <v>dif</v>
      </c>
      <c r="BD119" s="1450" t="s">
        <v>2769</v>
      </c>
    </row>
    <row r="120" spans="2:97" x14ac:dyDescent="0.3">
      <c r="B120" s="89" vm="422">
        <f ca="1"/>
        <v>45814</v>
      </c>
      <c r="C120" s="89" vm="423">
        <f ca="1"/>
        <v>272.35000000000002</v>
      </c>
      <c r="D120" s="1225">
        <f t="shared" ca="1" si="51"/>
        <v>5.1670049824692164E-3</v>
      </c>
      <c r="E120" s="294" t="str" cm="1">
        <f t="array" aca="1" ref="E120" ca="1">_xlfn.IFS(D120&gt;ZPercent,"U",D120&lt;=-ZPercent,"D",TRUE,"Z")</f>
        <v>U</v>
      </c>
      <c r="F120" s="294" t="str">
        <f t="shared" ca="1" si="54"/>
        <v>ZU</v>
      </c>
      <c r="G120" s="294" t="str">
        <f t="shared" ca="1" si="55"/>
        <v>UZU</v>
      </c>
      <c r="H120" s="874" t="str">
        <f t="shared" ca="1" si="56"/>
        <v/>
      </c>
      <c r="J120" s="89" vm="420">
        <f ca="1"/>
        <v>45825</v>
      </c>
      <c r="K120" s="89" vm="421">
        <f ca="1"/>
        <v>256.05</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18">
        <f ca="1"/>
        <v>45813</v>
      </c>
      <c r="C121" s="89" vm="419">
        <f ca="1"/>
        <v>270.95</v>
      </c>
      <c r="D121" s="1225">
        <f t="shared" ca="1" si="51"/>
        <v>-1.2900847769997152E-3</v>
      </c>
      <c r="E121" s="294" t="str" cm="1">
        <f t="array" aca="1" ref="E121" ca="1">_xlfn.IFS(D121&gt;ZPercent,"U",D121&lt;=-ZPercent,"D",TRUE,"Z")</f>
        <v>Z</v>
      </c>
      <c r="F121" s="294" t="str">
        <f t="shared" ca="1" si="54"/>
        <v>UZ</v>
      </c>
      <c r="G121" s="294" t="str">
        <f t="shared" ca="1" si="55"/>
        <v>UUZ</v>
      </c>
      <c r="H121" s="874" t="str">
        <f t="shared" ca="1" si="56"/>
        <v/>
      </c>
      <c r="J121" s="89" vm="416">
        <f ca="1"/>
        <v>45826</v>
      </c>
      <c r="K121" s="89" vm="417">
        <f ca="1"/>
        <v>252.95</v>
      </c>
      <c r="N121" s="874" t="str">
        <f ca="1">IF(F121=[2]Sheet1!O119,"","dif")</f>
        <v>dif</v>
      </c>
      <c r="BG121" s="1457"/>
    </row>
    <row r="122" spans="2:97" ht="23" thickBot="1" x14ac:dyDescent="0.35">
      <c r="B122" s="89" vm="414">
        <f ca="1"/>
        <v>45812</v>
      </c>
      <c r="C122" s="89" vm="415">
        <f ca="1"/>
        <v>271.3</v>
      </c>
      <c r="D122" s="1225">
        <f t="shared" ca="1" si="51"/>
        <v>6.4923019847894633E-3</v>
      </c>
      <c r="E122" s="294" t="str" cm="1">
        <f t="array" aca="1" ref="E122" ca="1">_xlfn.IFS(D122&gt;ZPercent,"U",D122&lt;=-ZPercent,"D",TRUE,"Z")</f>
        <v>U</v>
      </c>
      <c r="F122" s="294" t="str">
        <f t="shared" ca="1" si="54"/>
        <v>UU</v>
      </c>
      <c r="G122" s="294" t="str">
        <f t="shared" ca="1" si="55"/>
        <v>DUU</v>
      </c>
      <c r="H122" s="874" t="str">
        <f t="shared" ca="1" si="56"/>
        <v/>
      </c>
      <c r="J122" s="89" vm="412">
        <f ca="1"/>
        <v>45827</v>
      </c>
      <c r="K122" s="89" vm="413">
        <f ca="1"/>
        <v>247.75</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410">
        <f ca="1"/>
        <v>45811</v>
      </c>
      <c r="C123" s="89" vm="411">
        <f ca="1"/>
        <v>269.55</v>
      </c>
      <c r="D123" s="1225">
        <f t="shared" ca="1" si="51"/>
        <v>1.9863791146424517E-2</v>
      </c>
      <c r="E123" s="294" t="str" cm="1">
        <f t="array" aca="1" ref="E123" ca="1">_xlfn.IFS(D123&gt;ZPercent,"U",D123&lt;=-ZPercent,"D",TRUE,"Z")</f>
        <v>U</v>
      </c>
      <c r="F123" s="294" t="str">
        <f t="shared" ca="1" si="54"/>
        <v>DU</v>
      </c>
      <c r="G123" s="294" t="str">
        <f t="shared" ca="1" si="55"/>
        <v>UDU</v>
      </c>
      <c r="H123" s="874" t="str">
        <f t="shared" ca="1" si="56"/>
        <v/>
      </c>
      <c r="J123" s="89" vm="408">
        <f ca="1"/>
        <v>45828</v>
      </c>
      <c r="K123" s="89" vm="409">
        <f ca="1"/>
        <v>251.15</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4" t="str">
        <f t="shared" ref="BN123:BN131" ca="1" si="117">IF(MarkCurr=BC123,_xlfn.XLOOKUP(MAX(BD123:BL123),BD123:BL123,BD123:BL123),"")</f>
        <v/>
      </c>
      <c r="BP123" s="874">
        <f t="shared" ref="BP123:BP131" ca="1" si="118">MATCH(MarkCurr,BC$123:BC$131,0)</f>
        <v>2</v>
      </c>
      <c r="BQ123" s="874">
        <f t="shared" ref="BQ123:BQ131" ca="1" si="119">MATCH(RIGHT(MarkCurr,1)&amp;"U",$BD$122:$BL$122,0)</f>
        <v>1</v>
      </c>
    </row>
    <row r="124" spans="2:97" x14ac:dyDescent="0.3">
      <c r="B124" s="89" vm="406">
        <f ca="1"/>
        <v>45810</v>
      </c>
      <c r="C124" s="89" vm="407">
        <f ca="1"/>
        <v>264.3</v>
      </c>
      <c r="D124" s="1225">
        <f t="shared" ca="1" si="51"/>
        <v>-6.0172997367430089E-3</v>
      </c>
      <c r="E124" s="294" t="str" cm="1">
        <f t="array" aca="1" ref="E124" ca="1">_xlfn.IFS(D124&gt;ZPercent,"U",D124&lt;=-ZPercent,"D",TRUE,"Z")</f>
        <v>D</v>
      </c>
      <c r="F124" s="294" t="str">
        <f t="shared" ca="1" si="54"/>
        <v>UD</v>
      </c>
      <c r="G124" s="294" t="str">
        <f t="shared" ca="1" si="55"/>
        <v>ZUD</v>
      </c>
      <c r="H124" s="874" t="str">
        <f t="shared" ca="1" si="56"/>
        <v/>
      </c>
      <c r="J124" s="89" vm="404">
        <f ca="1"/>
        <v>45831</v>
      </c>
      <c r="K124" s="89" vm="405">
        <f ca="1"/>
        <v>249.95</v>
      </c>
      <c r="N124" s="874" t="str">
        <f ca="1">IF(F124=[2]Sheet1!O122,"","dif")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5">
        <f t="shared" ca="1" si="117"/>
        <v>0.61538461538461542</v>
      </c>
      <c r="BP124" s="874">
        <f t="shared" ca="1" si="118"/>
        <v>2</v>
      </c>
      <c r="BQ124" s="874">
        <f t="shared" ca="1" si="119"/>
        <v>1</v>
      </c>
    </row>
    <row r="125" spans="2:97" x14ac:dyDescent="0.3">
      <c r="B125" s="89" vm="402">
        <f ca="1"/>
        <v>45807</v>
      </c>
      <c r="C125" s="89" vm="403">
        <f ca="1"/>
        <v>265.89999999999998</v>
      </c>
      <c r="D125" s="1225">
        <f t="shared" ca="1" si="51"/>
        <v>1.3145361021146842E-2</v>
      </c>
      <c r="E125" s="294" t="str" cm="1">
        <f t="array" aca="1" ref="E125" ca="1">_xlfn.IFS(D125&gt;ZPercent,"U",D125&lt;=-ZPercent,"D",TRUE,"Z")</f>
        <v>U</v>
      </c>
      <c r="F125" s="294" t="str">
        <f t="shared" ca="1" si="54"/>
        <v>ZU</v>
      </c>
      <c r="G125" s="294" t="str">
        <f t="shared" ca="1" si="55"/>
        <v>DZU</v>
      </c>
      <c r="H125" s="874" t="str">
        <f t="shared" ca="1" si="56"/>
        <v/>
      </c>
      <c r="J125" s="89" vm="400">
        <f ca="1"/>
        <v>45832</v>
      </c>
      <c r="K125" s="89" vm="401">
        <f ca="1"/>
        <v>254.95</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5" t="str">
        <f t="shared" ca="1" si="117"/>
        <v/>
      </c>
      <c r="BO125" s="874" t="str">
        <f ca="1">IF(MarkCurr=BC125,_xlfn.XLOOKUP(MAX(BD125:BL125),BD125:BL125,BD125:BL125),"")</f>
        <v/>
      </c>
      <c r="BP125" s="874">
        <f t="shared" ca="1" si="118"/>
        <v>2</v>
      </c>
      <c r="BQ125" s="874">
        <f t="shared" ca="1" si="119"/>
        <v>1</v>
      </c>
    </row>
    <row r="126" spans="2:97" x14ac:dyDescent="0.3">
      <c r="B126" s="89" vm="398">
        <f ca="1"/>
        <v>45806</v>
      </c>
      <c r="C126" s="89" vm="399">
        <f ca="1"/>
        <v>262.45</v>
      </c>
      <c r="D126" s="1225">
        <f t="shared" ca="1" si="51"/>
        <v>-3.2282567413597519E-3</v>
      </c>
      <c r="E126" s="294" t="str" cm="1">
        <f t="array" aca="1" ref="E126" ca="1">_xlfn.IFS(D126&gt;ZPercent,"U",D126&lt;=-ZPercent,"D",TRUE,"Z")</f>
        <v>Z</v>
      </c>
      <c r="F126" s="294" t="str">
        <f t="shared" ca="1" si="54"/>
        <v>DZ</v>
      </c>
      <c r="G126" s="294" t="str">
        <f t="shared" ca="1" si="55"/>
        <v>UDZ</v>
      </c>
      <c r="H126" s="874" t="str">
        <f t="shared" ca="1" si="56"/>
        <v/>
      </c>
      <c r="J126" s="89" vm="396">
        <f ca="1"/>
        <v>45833</v>
      </c>
      <c r="K126" s="89" vm="397">
        <f ca="1"/>
        <v>252.5</v>
      </c>
      <c r="N126" s="874" t="str">
        <f ca="1">IF(F126=[2]Sheet1!O124,"","dif")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5" t="str">
        <f t="shared" ca="1" si="117"/>
        <v/>
      </c>
      <c r="BP126" s="874">
        <f t="shared" ca="1" si="118"/>
        <v>2</v>
      </c>
      <c r="BQ126" s="874">
        <f t="shared" ca="1" si="119"/>
        <v>1</v>
      </c>
    </row>
    <row r="127" spans="2:97" x14ac:dyDescent="0.3">
      <c r="B127" s="89" vm="394">
        <f ca="1"/>
        <v>45805</v>
      </c>
      <c r="C127" s="89" vm="395">
        <f ca="1"/>
        <v>263.3</v>
      </c>
      <c r="D127" s="1225">
        <f t="shared" ca="1" si="51"/>
        <v>-8.8462262375304575E-3</v>
      </c>
      <c r="E127" s="294" t="str" cm="1">
        <f t="array" aca="1" ref="E127" ca="1">_xlfn.IFS(D127&gt;ZPercent,"U",D127&lt;=-ZPercent,"D",TRUE,"Z")</f>
        <v>D</v>
      </c>
      <c r="F127" s="294" t="str">
        <f t="shared" ca="1" si="54"/>
        <v>UD</v>
      </c>
      <c r="G127" s="294" t="str">
        <f t="shared" ca="1" si="55"/>
        <v>UUD</v>
      </c>
      <c r="H127" s="874" t="str">
        <f t="shared" ca="1" si="56"/>
        <v/>
      </c>
      <c r="J127" s="89" vm="392">
        <f ca="1"/>
        <v>45834</v>
      </c>
      <c r="K127" s="89" vm="393">
        <f ca="1"/>
        <v>251.65</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5" t="str">
        <f t="shared" ca="1" si="117"/>
        <v/>
      </c>
      <c r="BP127" s="874">
        <f t="shared" ca="1" si="118"/>
        <v>2</v>
      </c>
      <c r="BQ127" s="874">
        <f t="shared" ca="1" si="119"/>
        <v>1</v>
      </c>
    </row>
    <row r="128" spans="2:97" x14ac:dyDescent="0.3">
      <c r="B128" s="89" vm="390">
        <f ca="1"/>
        <v>45804</v>
      </c>
      <c r="C128" s="89" vm="391">
        <f ca="1"/>
        <v>265.64999999999998</v>
      </c>
      <c r="D128" s="1225">
        <f t="shared" ca="1" si="51"/>
        <v>1.2771635531833648E-2</v>
      </c>
      <c r="E128" s="294" t="str" cm="1">
        <f t="array" aca="1" ref="E128" ca="1">_xlfn.IFS(D128&gt;ZPercent,"U",D128&lt;=-ZPercent,"D",TRUE,"Z")</f>
        <v>U</v>
      </c>
      <c r="F128" s="294" t="str">
        <f t="shared" ca="1" si="54"/>
        <v>UU</v>
      </c>
      <c r="G128" s="294" t="str">
        <f t="shared" ca="1" si="55"/>
        <v>DUU</v>
      </c>
      <c r="H128" s="874" t="str">
        <f t="shared" ca="1" si="56"/>
        <v/>
      </c>
      <c r="J128" s="89" vm="389">
        <f ca="1"/>
        <v>45835</v>
      </c>
      <c r="K128" s="89" vm="359">
        <f ca="1"/>
        <v>258</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5" t="str">
        <f t="shared" ca="1" si="117"/>
        <v/>
      </c>
      <c r="BP128" s="874">
        <f t="shared" ca="1" si="118"/>
        <v>2</v>
      </c>
      <c r="BQ128" s="874">
        <f t="shared" ca="1" si="119"/>
        <v>1</v>
      </c>
    </row>
    <row r="129" spans="2:69" x14ac:dyDescent="0.3">
      <c r="B129" s="89" vm="388">
        <f ca="1"/>
        <v>45803</v>
      </c>
      <c r="C129" s="89" vm="60">
        <f ca="1"/>
        <v>262.3</v>
      </c>
      <c r="D129" s="1225">
        <f t="shared" ca="1" si="51"/>
        <v>6.7165611207061979E-3</v>
      </c>
      <c r="E129" s="294" t="str" cm="1">
        <f t="array" aca="1" ref="E129" ca="1">_xlfn.IFS(D129&gt;ZPercent,"U",D129&lt;=-ZPercent,"D",TRUE,"Z")</f>
        <v>U</v>
      </c>
      <c r="F129" s="294" t="str">
        <f t="shared" ca="1" si="54"/>
        <v>DU</v>
      </c>
      <c r="G129" s="294" t="str">
        <f t="shared" ca="1" si="55"/>
        <v>ZDU</v>
      </c>
      <c r="H129" s="874" t="str">
        <f t="shared" ca="1" si="56"/>
        <v/>
      </c>
      <c r="J129" s="89" vm="386">
        <f ca="1"/>
        <v>45838</v>
      </c>
      <c r="K129" s="89" vm="387">
        <f ca="1"/>
        <v>258.14999999999998</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5" t="str">
        <f t="shared" ca="1" si="117"/>
        <v/>
      </c>
      <c r="BP129" s="874">
        <f t="shared" ca="1" si="118"/>
        <v>2</v>
      </c>
      <c r="BQ129" s="874">
        <f t="shared" ca="1" si="119"/>
        <v>1</v>
      </c>
    </row>
    <row r="130" spans="2:69" x14ac:dyDescent="0.3">
      <c r="B130" s="89" vm="384">
        <f ca="1"/>
        <v>45800</v>
      </c>
      <c r="C130" s="89" vm="385">
        <f ca="1"/>
        <v>260.55</v>
      </c>
      <c r="D130" s="1225">
        <f t="shared" ca="1" si="51"/>
        <v>-1.8644067796610125E-2</v>
      </c>
      <c r="E130" s="294" t="str" cm="1">
        <f t="array" aca="1" ref="E130" ca="1">_xlfn.IFS(D130&gt;ZPercent,"U",D130&lt;=-ZPercent,"D",TRUE,"Z")</f>
        <v>D</v>
      </c>
      <c r="F130" s="294" t="str">
        <f t="shared" ca="1" si="54"/>
        <v>ZD</v>
      </c>
      <c r="G130" s="294" t="str">
        <f t="shared" ca="1" si="55"/>
        <v>ZZD</v>
      </c>
      <c r="H130" s="874" t="str">
        <f t="shared" ca="1" si="56"/>
        <v>ZZ</v>
      </c>
      <c r="J130" s="89" vm="382">
        <f ca="1"/>
        <v>45839</v>
      </c>
      <c r="K130" s="89" vm="383">
        <f ca="1"/>
        <v>255.6</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5" t="str">
        <f t="shared" ca="1" si="117"/>
        <v/>
      </c>
      <c r="BP130" s="874">
        <f t="shared" ca="1" si="118"/>
        <v>2</v>
      </c>
      <c r="BQ130" s="874">
        <f t="shared" ca="1" si="119"/>
        <v>1</v>
      </c>
    </row>
    <row r="131" spans="2:69" ht="23" thickBot="1" x14ac:dyDescent="0.35">
      <c r="B131" s="89" vm="381">
        <f ca="1"/>
        <v>45799</v>
      </c>
      <c r="C131" s="89" vm="361">
        <f ca="1"/>
        <v>265.5</v>
      </c>
      <c r="D131" s="1225">
        <f t="shared" ca="1" si="51"/>
        <v>-1.1286681715576047E-3</v>
      </c>
      <c r="E131" s="294" t="str" cm="1">
        <f t="array" aca="1" ref="E131" ca="1">_xlfn.IFS(D131&gt;ZPercent,"U",D131&lt;=-ZPercent,"D",TRUE,"Z")</f>
        <v>Z</v>
      </c>
      <c r="F131" s="294" t="str">
        <f t="shared" ca="1" si="54"/>
        <v>ZZ</v>
      </c>
      <c r="G131" s="294" t="str">
        <f t="shared" ca="1" si="55"/>
        <v>ZZZ</v>
      </c>
      <c r="H131" s="874" t="str">
        <f t="shared" ca="1" si="56"/>
        <v/>
      </c>
      <c r="J131" s="89" vm="379">
        <f ca="1"/>
        <v>45840</v>
      </c>
      <c r="K131" s="89" vm="380">
        <f ca="1"/>
        <v>253.1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6" t="str">
        <f t="shared" ca="1" si="117"/>
        <v/>
      </c>
      <c r="BP131" s="874">
        <f t="shared" ca="1" si="118"/>
        <v>2</v>
      </c>
      <c r="BQ131" s="874">
        <f t="shared" ca="1" si="119"/>
        <v>1</v>
      </c>
    </row>
    <row r="132" spans="2:69" x14ac:dyDescent="0.3">
      <c r="B132" s="89" vm="378">
        <f ca="1"/>
        <v>45798</v>
      </c>
      <c r="C132" s="89" vm="338">
        <f ca="1"/>
        <v>265.8</v>
      </c>
      <c r="D132" s="1225">
        <f t="shared" ca="1" si="51"/>
        <v>2.6405130139569542E-3</v>
      </c>
      <c r="E132" s="294" t="str" cm="1">
        <f t="array" aca="1" ref="E132" ca="1">_xlfn.IFS(D132&gt;ZPercent,"U",D132&lt;=-ZPercent,"D",TRUE,"Z")</f>
        <v>Z</v>
      </c>
      <c r="F132" s="294" t="str">
        <f t="shared" ca="1" si="54"/>
        <v>ZZ</v>
      </c>
      <c r="G132" s="294" t="str">
        <f t="shared" ca="1" si="55"/>
        <v>ZZZ</v>
      </c>
      <c r="H132" s="874" t="str">
        <f t="shared" ca="1" si="56"/>
        <v/>
      </c>
      <c r="J132" s="89" vm="376">
        <f ca="1"/>
        <v>45841</v>
      </c>
      <c r="K132" s="89" vm="377">
        <f ca="1"/>
        <v>258.2</v>
      </c>
      <c r="N132" s="874" t="str">
        <f ca="1">IF(F132=[2]Sheet1!O130,"","dif")</f>
        <v>dif</v>
      </c>
      <c r="BC132" s="1396"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9.0406169990138105E-2</v>
      </c>
      <c r="BE132" s="1208">
        <f ca="1"/>
        <v>9.7947351085711731E-2</v>
      </c>
      <c r="BF132" s="1208">
        <f ca="1"/>
        <v>8.9544538167780754E-2</v>
      </c>
      <c r="BG132" s="1208">
        <f ca="1"/>
        <v>7.877033508842031E-2</v>
      </c>
      <c r="BH132" s="1208">
        <f ca="1"/>
        <v>8.2003357072207142E-2</v>
      </c>
      <c r="BI132" s="1208">
        <f ca="1"/>
        <v>0.13004691115848138</v>
      </c>
      <c r="BJ132" s="1208">
        <f ca="1"/>
        <v>0.15062825952872588</v>
      </c>
      <c r="BK132" s="1208">
        <f ca="1"/>
        <v>0.15903107244665687</v>
      </c>
      <c r="BL132" s="1208">
        <f ca="1"/>
        <v>0.12162200546187787</v>
      </c>
    </row>
    <row r="133" spans="2:69" x14ac:dyDescent="0.3">
      <c r="B133" s="89" vm="374">
        <f ca="1"/>
        <v>45797</v>
      </c>
      <c r="C133" s="89" vm="375">
        <f ca="1"/>
        <v>265.10000000000002</v>
      </c>
      <c r="D133" s="1225">
        <f t="shared" ref="D133:D159" ca="1" si="120">IFERROR((C133-C134)/C134,0)</f>
        <v>-1.3185157280089128E-3</v>
      </c>
      <c r="E133" s="294" t="str" cm="1">
        <f t="array" aca="1" ref="E133" ca="1">_xlfn.IFS(D133&gt;ZPercent,"U",D133&lt;=-ZPercent,"D",TRUE,"Z")</f>
        <v>Z</v>
      </c>
      <c r="F133" s="294" t="str">
        <f t="shared" ca="1" si="54"/>
        <v>ZZ</v>
      </c>
      <c r="G133" s="294" t="str">
        <f t="shared" ca="1" si="55"/>
        <v>UZZ</v>
      </c>
      <c r="H133" s="874" t="str">
        <f t="shared" ca="1" si="56"/>
        <v/>
      </c>
      <c r="J133" s="89" vm="372">
        <f ca="1"/>
        <v>45842</v>
      </c>
      <c r="K133" s="89" vm="373">
        <f ca="1"/>
        <v>255.5</v>
      </c>
      <c r="N133" s="874" t="str">
        <f ca="1">IF(F133=[2]Sheet1!O131,"","dif")</f>
        <v>dif</v>
      </c>
    </row>
    <row r="134" spans="2:69" x14ac:dyDescent="0.3">
      <c r="B134" s="89" vm="370">
        <f ca="1"/>
        <v>45796</v>
      </c>
      <c r="C134" s="89" vm="371">
        <f ca="1"/>
        <v>265.45</v>
      </c>
      <c r="D134" s="1225">
        <f t="shared" ca="1" si="120"/>
        <v>-3.0046948356807937E-3</v>
      </c>
      <c r="E134" s="294" t="str" cm="1">
        <f t="array" aca="1" ref="E134" ca="1">_xlfn.IFS(D134&gt;ZPercent,"U",D134&lt;=-ZPercent,"D",TRUE,"Z")</f>
        <v>Z</v>
      </c>
      <c r="F134" s="294" t="str">
        <f t="shared" ref="F134:F159" ca="1" si="121">_xlfn.CONCAT(E135,E134)</f>
        <v>UZ</v>
      </c>
      <c r="G134" s="294" t="str">
        <f t="shared" ref="G134:G159" ca="1" si="122">_xlfn.CONCAT(E136,E135,E134)</f>
        <v>UUZ</v>
      </c>
      <c r="H134" s="874" t="str">
        <f t="shared" ref="H134:H197" ca="1" si="123">IF(AND(E134="D",E135="Z"),"ZZ","")</f>
        <v/>
      </c>
      <c r="J134" s="89" vm="368">
        <f ca="1"/>
        <v>45845</v>
      </c>
      <c r="K134" s="89" vm="369">
        <f ca="1"/>
        <v>261.14999999999998</v>
      </c>
      <c r="N134" s="874" t="str">
        <f ca="1">IF(F134=[2]Sheet1!O132,"","dif")</f>
        <v>dif</v>
      </c>
    </row>
    <row r="135" spans="2:69" x14ac:dyDescent="0.3">
      <c r="B135" s="89" vm="366">
        <f ca="1"/>
        <v>45793</v>
      </c>
      <c r="C135" s="89" vm="367">
        <f ca="1"/>
        <v>266.25</v>
      </c>
      <c r="D135" s="1225">
        <f t="shared" ca="1" si="120"/>
        <v>1.1588145896656578E-2</v>
      </c>
      <c r="E135" s="294" t="str" cm="1">
        <f t="array" aca="1" ref="E135" ca="1">_xlfn.IFS(D135&gt;ZPercent,"U",D135&lt;=-ZPercent,"D",TRUE,"Z")</f>
        <v>U</v>
      </c>
      <c r="F135" s="294" t="str">
        <f t="shared" ca="1" si="121"/>
        <v>UU</v>
      </c>
      <c r="G135" s="294" t="str">
        <f t="shared" ca="1" si="122"/>
        <v>DUU</v>
      </c>
      <c r="H135" s="874" t="str">
        <f t="shared" ca="1" si="123"/>
        <v/>
      </c>
      <c r="J135" s="89" vm="364">
        <f ca="1"/>
        <v>45846</v>
      </c>
      <c r="K135" s="89" vm="365">
        <f ca="1"/>
        <v>264.14999999999998</v>
      </c>
      <c r="N135" s="874" t="str">
        <f ca="1">IF(F135=[2]Sheet1!O133,"","dif")</f>
        <v>dif</v>
      </c>
    </row>
    <row r="136" spans="2:69" x14ac:dyDescent="0.3">
      <c r="B136" s="89" vm="362">
        <f ca="1"/>
        <v>45792</v>
      </c>
      <c r="C136" s="89" vm="363">
        <f ca="1"/>
        <v>263.2</v>
      </c>
      <c r="D136" s="1225">
        <f t="shared" ca="1" si="120"/>
        <v>2.0155038759689877E-2</v>
      </c>
      <c r="E136" s="294" t="str" cm="1">
        <f t="array" aca="1" ref="E136" ca="1">_xlfn.IFS(D136&gt;ZPercent,"U",D136&lt;=-ZPercent,"D",TRUE,"Z")</f>
        <v>U</v>
      </c>
      <c r="F136" s="294" t="str">
        <f t="shared" ca="1" si="121"/>
        <v>DU</v>
      </c>
      <c r="G136" s="294" t="str">
        <f t="shared" ca="1" si="122"/>
        <v>ZDU</v>
      </c>
      <c r="H136" s="874" t="str">
        <f t="shared" ca="1" si="123"/>
        <v/>
      </c>
      <c r="J136" s="89" vm="360">
        <f ca="1"/>
        <v>45847</v>
      </c>
      <c r="K136" s="89" vm="361">
        <f ca="1"/>
        <v>265.5</v>
      </c>
      <c r="N136" s="874" t="str">
        <f ca="1">IF(F136=[2]Sheet1!O134,"","dif")</f>
        <v>dif</v>
      </c>
    </row>
    <row r="137" spans="2:69" x14ac:dyDescent="0.3">
      <c r="B137" s="89" vm="358">
        <f ca="1"/>
        <v>45791</v>
      </c>
      <c r="C137" s="89" vm="359">
        <f ca="1"/>
        <v>258</v>
      </c>
      <c r="D137" s="1225">
        <f t="shared" ca="1" si="120"/>
        <v>-1.6580903373356288E-2</v>
      </c>
      <c r="E137" s="294" t="str" cm="1">
        <f t="array" aca="1" ref="E137" ca="1">_xlfn.IFS(D137&gt;ZPercent,"U",D137&lt;=-ZPercent,"D",TRUE,"Z")</f>
        <v>D</v>
      </c>
      <c r="F137" s="294" t="str">
        <f t="shared" ca="1" si="121"/>
        <v>ZD</v>
      </c>
      <c r="G137" s="294" t="str">
        <f t="shared" ca="1" si="122"/>
        <v>ZZD</v>
      </c>
      <c r="H137" s="874" t="str">
        <f t="shared" ca="1" si="123"/>
        <v>ZZ</v>
      </c>
      <c r="J137" s="89" vm="356">
        <f ca="1"/>
        <v>45848</v>
      </c>
      <c r="K137" s="89" vm="357">
        <f ca="1"/>
        <v>263.10000000000002</v>
      </c>
      <c r="N137" s="874" t="str">
        <f ca="1">IF(F137=[2]Sheet1!O135,"","dif")</f>
        <v>dif</v>
      </c>
    </row>
    <row r="138" spans="2:69" x14ac:dyDescent="0.3">
      <c r="B138" s="89" vm="354">
        <f ca="1"/>
        <v>45790</v>
      </c>
      <c r="C138" s="89" vm="355">
        <f ca="1"/>
        <v>262.35000000000002</v>
      </c>
      <c r="D138" s="1225">
        <f t="shared" ca="1" si="120"/>
        <v>-5.7142857142848484E-4</v>
      </c>
      <c r="E138" s="294" t="str" cm="1">
        <f t="array" aca="1" ref="E138" ca="1">_xlfn.IFS(D138&gt;ZPercent,"U",D138&lt;=-ZPercent,"D",TRUE,"Z")</f>
        <v>Z</v>
      </c>
      <c r="F138" s="294" t="str">
        <f t="shared" ca="1" si="121"/>
        <v>ZZ</v>
      </c>
      <c r="G138" s="294" t="str">
        <f t="shared" ca="1" si="122"/>
        <v>ZZZ</v>
      </c>
      <c r="H138" s="874" t="str">
        <f t="shared" ca="1" si="123"/>
        <v/>
      </c>
      <c r="J138" s="89" vm="353">
        <f ca="1"/>
        <v>45849</v>
      </c>
      <c r="K138" s="89" vm="233">
        <f ca="1"/>
        <v>258.75</v>
      </c>
      <c r="N138" s="874" t="str">
        <f ca="1">IF(F138=[2]Sheet1!O136,"","dif")</f>
        <v>dif</v>
      </c>
    </row>
    <row r="139" spans="2:69" x14ac:dyDescent="0.3">
      <c r="B139" s="89" vm="351">
        <f ca="1"/>
        <v>45789</v>
      </c>
      <c r="C139" s="89" vm="352">
        <f ca="1"/>
        <v>262.5</v>
      </c>
      <c r="D139" s="1225">
        <f t="shared" ca="1" si="120"/>
        <v>3.2486145614371215E-3</v>
      </c>
      <c r="E139" s="294" t="str" cm="1">
        <f t="array" aca="1" ref="E139" ca="1">_xlfn.IFS(D139&gt;ZPercent,"U",D139&lt;=-ZPercent,"D",TRUE,"Z")</f>
        <v>Z</v>
      </c>
      <c r="F139" s="294" t="str">
        <f t="shared" ca="1" si="121"/>
        <v>ZZ</v>
      </c>
      <c r="G139" s="294" t="str">
        <f t="shared" ca="1" si="122"/>
        <v>ZZZ</v>
      </c>
      <c r="H139" s="874" t="str">
        <f t="shared" ca="1" si="123"/>
        <v/>
      </c>
      <c r="J139" s="89" vm="349">
        <f ca="1"/>
        <v>45852</v>
      </c>
      <c r="K139" s="89" vm="350">
        <f ca="1"/>
        <v>258.05</v>
      </c>
      <c r="N139" s="874" t="str">
        <f ca="1">IF(F139=[2]Sheet1!O137,"","dif")</f>
        <v>dif</v>
      </c>
    </row>
    <row r="140" spans="2:69" x14ac:dyDescent="0.3">
      <c r="B140" s="89" vm="347">
        <f ca="1"/>
        <v>45786</v>
      </c>
      <c r="C140" s="89" vm="348">
        <f ca="1"/>
        <v>261.64999999999998</v>
      </c>
      <c r="D140" s="1225">
        <f t="shared" ca="1" si="120"/>
        <v>-4.3759512937596428E-3</v>
      </c>
      <c r="E140" s="294" t="str" cm="1">
        <f t="array" aca="1" ref="E140" ca="1">_xlfn.IFS(D140&gt;ZPercent,"U",D140&lt;=-ZPercent,"D",TRUE,"Z")</f>
        <v>Z</v>
      </c>
      <c r="F140" s="294" t="str">
        <f t="shared" ca="1" si="121"/>
        <v>ZZ</v>
      </c>
      <c r="G140" s="294" t="str">
        <f t="shared" ca="1" si="122"/>
        <v>DZZ</v>
      </c>
      <c r="H140" s="874" t="str">
        <f t="shared" ca="1" si="123"/>
        <v/>
      </c>
      <c r="J140" s="89" vm="345">
        <f ca="1"/>
        <v>45853</v>
      </c>
      <c r="K140" s="89" vm="346">
        <f ca="1"/>
        <v>259.8</v>
      </c>
      <c r="N140" s="874" t="str">
        <f ca="1">IF(F140=[2]Sheet1!O138,"","dif")</f>
        <v>dif</v>
      </c>
    </row>
    <row r="141" spans="2:69" x14ac:dyDescent="0.3">
      <c r="B141" s="89" vm="343">
        <f ca="1"/>
        <v>45785</v>
      </c>
      <c r="C141" s="89" vm="344">
        <f ca="1"/>
        <v>262.8</v>
      </c>
      <c r="D141" s="1225">
        <f t="shared" ca="1" si="120"/>
        <v>4.9713193116635232E-3</v>
      </c>
      <c r="E141" s="294" t="str" cm="1">
        <f t="array" aca="1" ref="E141" ca="1">_xlfn.IFS(D141&gt;ZPercent,"U",D141&lt;=-ZPercent,"D",TRUE,"Z")</f>
        <v>Z</v>
      </c>
      <c r="F141" s="294" t="str">
        <f t="shared" ca="1" si="121"/>
        <v>DZ</v>
      </c>
      <c r="G141" s="294" t="str">
        <f t="shared" ca="1" si="122"/>
        <v>DDZ</v>
      </c>
      <c r="H141" s="874" t="str">
        <f t="shared" ca="1" si="123"/>
        <v/>
      </c>
      <c r="J141" s="89" vm="341">
        <f ca="1"/>
        <v>45854</v>
      </c>
      <c r="K141" s="89" vm="342">
        <f ca="1"/>
        <v>259.95</v>
      </c>
      <c r="N141" s="874" t="str">
        <f ca="1">IF(F141=[2]Sheet1!O139,"","dif")</f>
        <v>dif</v>
      </c>
    </row>
    <row r="142" spans="2:69" x14ac:dyDescent="0.3">
      <c r="B142" s="89" vm="339">
        <f ca="1"/>
        <v>45784</v>
      </c>
      <c r="C142" s="89" vm="340">
        <f ca="1"/>
        <v>261.5</v>
      </c>
      <c r="D142" s="1225">
        <f t="shared" ca="1" si="120"/>
        <v>-1.0781161339133809E-2</v>
      </c>
      <c r="E142" s="294" t="str" cm="1">
        <f t="array" aca="1" ref="E142" ca="1">_xlfn.IFS(D142&gt;ZPercent,"U",D142&lt;=-ZPercent,"D",TRUE,"Z")</f>
        <v>D</v>
      </c>
      <c r="F142" s="294" t="str">
        <f t="shared" ca="1" si="121"/>
        <v>DD</v>
      </c>
      <c r="G142" s="294" t="str">
        <f t="shared" ca="1" si="122"/>
        <v>ZDD</v>
      </c>
      <c r="H142" s="874" t="str">
        <f t="shared" ca="1" si="123"/>
        <v/>
      </c>
      <c r="J142" s="89" vm="337">
        <f ca="1"/>
        <v>45855</v>
      </c>
      <c r="K142" s="89" vm="338">
        <f ca="1"/>
        <v>265.8</v>
      </c>
      <c r="N142" s="874" t="str">
        <f ca="1">IF(F142=[2]Sheet1!O140,"","dif")</f>
        <v>dif</v>
      </c>
    </row>
    <row r="143" spans="2:69" x14ac:dyDescent="0.3">
      <c r="B143" s="89" vm="335">
        <f ca="1"/>
        <v>45783</v>
      </c>
      <c r="C143" s="89" vm="336">
        <f ca="1"/>
        <v>264.35000000000002</v>
      </c>
      <c r="D143" s="1225">
        <f t="shared" ca="1" si="120"/>
        <v>-1.1221245558256966E-2</v>
      </c>
      <c r="E143" s="294" t="str" cm="1">
        <f t="array" aca="1" ref="E143" ca="1">_xlfn.IFS(D143&gt;ZPercent,"U",D143&lt;=-ZPercent,"D",TRUE,"Z")</f>
        <v>D</v>
      </c>
      <c r="F143" s="294" t="str">
        <f t="shared" ca="1" si="121"/>
        <v>ZD</v>
      </c>
      <c r="G143" s="294" t="str">
        <f t="shared" ca="1" si="122"/>
        <v>UZD</v>
      </c>
      <c r="H143" s="874" t="str">
        <f t="shared" ca="1" si="123"/>
        <v>ZZ</v>
      </c>
      <c r="J143" s="89" vm="333">
        <f ca="1"/>
        <v>45856</v>
      </c>
      <c r="K143" s="89" vm="334">
        <f ca="1"/>
        <v>264.05</v>
      </c>
      <c r="N143" s="874" t="str">
        <f ca="1">IF(F143=[2]Sheet1!O141,"","dif")</f>
        <v>dif</v>
      </c>
    </row>
    <row r="144" spans="2:69" x14ac:dyDescent="0.3">
      <c r="B144" s="89" vm="331">
        <f ca="1"/>
        <v>45782</v>
      </c>
      <c r="C144" s="89" vm="332">
        <f ca="1"/>
        <v>267.35000000000002</v>
      </c>
      <c r="D144" s="1225">
        <f t="shared" ca="1" si="120"/>
        <v>3.9429215170860357E-3</v>
      </c>
      <c r="E144" s="294" t="str" cm="1">
        <f t="array" aca="1" ref="E144" ca="1">_xlfn.IFS(D144&gt;ZPercent,"U",D144&lt;=-ZPercent,"D",TRUE,"Z")</f>
        <v>Z</v>
      </c>
      <c r="F144" s="294" t="str">
        <f t="shared" ca="1" si="121"/>
        <v>UZ</v>
      </c>
      <c r="G144" s="294" t="str">
        <f t="shared" ca="1" si="122"/>
        <v>ZUZ</v>
      </c>
      <c r="H144" s="874" t="str">
        <f t="shared" ca="1" si="123"/>
        <v/>
      </c>
      <c r="J144" s="89" vm="329">
        <f ca="1"/>
        <v>45859</v>
      </c>
      <c r="K144" s="89" vm="330">
        <f ca="1"/>
        <v>263.45</v>
      </c>
      <c r="N144" s="874" t="str">
        <f ca="1">IF(F144=[2]Sheet1!O142,"","dif")</f>
        <v>dif</v>
      </c>
    </row>
    <row r="145" spans="2:64" x14ac:dyDescent="0.3">
      <c r="B145" s="89" vm="327">
        <f ca="1"/>
        <v>45779</v>
      </c>
      <c r="C145" s="89" vm="328">
        <f ca="1"/>
        <v>266.3</v>
      </c>
      <c r="D145" s="1225">
        <f t="shared" ca="1" si="120"/>
        <v>4.3086564825695256E-2</v>
      </c>
      <c r="E145" s="294" t="str" cm="1">
        <f t="array" aca="1" ref="E145" ca="1">_xlfn.IFS(D145&gt;ZPercent,"U",D145&lt;=-ZPercent,"D",TRUE,"Z")</f>
        <v>U</v>
      </c>
      <c r="F145" s="294" t="str">
        <f t="shared" ca="1" si="121"/>
        <v>ZU</v>
      </c>
      <c r="G145" s="294" t="str">
        <f t="shared" ca="1" si="122"/>
        <v>UZU</v>
      </c>
      <c r="H145" s="874" t="str">
        <f t="shared" ca="1" si="123"/>
        <v/>
      </c>
      <c r="J145" s="89" vm="325">
        <f ca="1"/>
        <v>45860</v>
      </c>
      <c r="K145" s="89" vm="326">
        <f ca="1"/>
        <v>259.5</v>
      </c>
      <c r="N145" s="874" t="str">
        <f ca="1">IF(F145=[2]Sheet1!O143,"","dif")</f>
        <v>dif</v>
      </c>
    </row>
    <row r="146" spans="2:64" x14ac:dyDescent="0.3">
      <c r="B146" s="89" vm="323">
        <f ca="1"/>
        <v>45777</v>
      </c>
      <c r="C146" s="89" vm="324">
        <f ca="1"/>
        <v>255.3</v>
      </c>
      <c r="D146" s="1225">
        <f t="shared" ca="1" si="120"/>
        <v>2.7494108405342384E-3</v>
      </c>
      <c r="E146" s="294" t="str" cm="1">
        <f t="array" aca="1" ref="E146" ca="1">_xlfn.IFS(D146&gt;ZPercent,"U",D146&lt;=-ZPercent,"D",TRUE,"Z")</f>
        <v>Z</v>
      </c>
      <c r="F146" s="294" t="str">
        <f t="shared" ca="1" si="121"/>
        <v>UZ</v>
      </c>
      <c r="G146" s="294" t="str">
        <f t="shared" ca="1" si="122"/>
        <v>UUZ</v>
      </c>
      <c r="H146" s="874" t="str">
        <f t="shared" ca="1" si="123"/>
        <v/>
      </c>
      <c r="J146" s="89" vm="322">
        <f ca="1"/>
        <v>45861</v>
      </c>
      <c r="K146" s="89" vm="284">
        <f ca="1"/>
        <v>248.85</v>
      </c>
      <c r="N146" s="874" t="str">
        <f ca="1">IF(F146=[2]Sheet1!O144,"","dif")</f>
        <v>dif</v>
      </c>
    </row>
    <row r="147" spans="2:64" x14ac:dyDescent="0.3">
      <c r="B147" s="89" vm="320">
        <f ca="1"/>
        <v>45776</v>
      </c>
      <c r="C147" s="89" vm="321">
        <f ca="1"/>
        <v>254.6</v>
      </c>
      <c r="D147" s="1225">
        <f t="shared" ca="1" si="120"/>
        <v>2.3311897106109255E-2</v>
      </c>
      <c r="E147" s="294" t="str" cm="1">
        <f t="array" aca="1" ref="E147" ca="1">_xlfn.IFS(D147&gt;ZPercent,"U",D147&lt;=-ZPercent,"D",TRUE,"Z")</f>
        <v>U</v>
      </c>
      <c r="F147" s="294" t="str">
        <f t="shared" ca="1" si="121"/>
        <v>UU</v>
      </c>
      <c r="G147" s="294" t="str">
        <f t="shared" ca="1" si="122"/>
        <v>UUU</v>
      </c>
      <c r="H147" s="874" t="str">
        <f t="shared" ca="1" si="123"/>
        <v/>
      </c>
      <c r="J147" s="89" vm="318">
        <f ca="1"/>
        <v>45862</v>
      </c>
      <c r="K147" s="89" vm="319">
        <f ca="1"/>
        <v>246.1</v>
      </c>
      <c r="N147" s="874" t="str">
        <f ca="1">IF(F147=[2]Sheet1!O145,"","dif")</f>
        <v>dif</v>
      </c>
      <c r="BD147" s="1208"/>
      <c r="BE147" s="1208"/>
      <c r="BF147" s="1208"/>
      <c r="BG147" s="1208"/>
      <c r="BH147" s="1208"/>
      <c r="BI147" s="1208"/>
      <c r="BJ147" s="1208"/>
      <c r="BK147" s="1208"/>
      <c r="BL147" s="1208"/>
    </row>
    <row r="148" spans="2:64" x14ac:dyDescent="0.3">
      <c r="B148" s="89" vm="316">
        <f ca="1"/>
        <v>45775</v>
      </c>
      <c r="C148" s="89" vm="317">
        <f ca="1"/>
        <v>248.8</v>
      </c>
      <c r="D148" s="1225">
        <f t="shared" ca="1" si="120"/>
        <v>1.675521046179004E-2</v>
      </c>
      <c r="E148" s="294" t="str" cm="1">
        <f t="array" aca="1" ref="E148" ca="1">_xlfn.IFS(D148&gt;ZPercent,"U",D148&lt;=-ZPercent,"D",TRUE,"Z")</f>
        <v>U</v>
      </c>
      <c r="F148" s="294" t="str">
        <f t="shared" ca="1" si="121"/>
        <v>UU</v>
      </c>
      <c r="G148" s="294" t="str">
        <f t="shared" ca="1" si="122"/>
        <v>ZUU</v>
      </c>
      <c r="H148" s="874" t="str">
        <f t="shared" ca="1" si="123"/>
        <v/>
      </c>
      <c r="J148" s="89" vm="314">
        <f ca="1"/>
        <v>45863</v>
      </c>
      <c r="K148" s="89" vm="315">
        <f ca="1"/>
        <v>245</v>
      </c>
      <c r="N148" s="874" t="str">
        <f ca="1">IF(F148=[2]Sheet1!O146,"","dif")</f>
        <v>dif</v>
      </c>
    </row>
    <row r="149" spans="2:64" x14ac:dyDescent="0.3">
      <c r="B149" s="89" vm="312">
        <f ca="1"/>
        <v>45772</v>
      </c>
      <c r="C149" s="89" vm="313">
        <f ca="1"/>
        <v>244.7</v>
      </c>
      <c r="D149" s="1225">
        <f t="shared" ca="1" si="120"/>
        <v>1.4721127928675028E-2</v>
      </c>
      <c r="E149" s="294" t="str" cm="1">
        <f t="array" aca="1" ref="E149" ca="1">_xlfn.IFS(D149&gt;ZPercent,"U",D149&lt;=-ZPercent,"D",TRUE,"Z")</f>
        <v>U</v>
      </c>
      <c r="F149" s="294" t="str">
        <f t="shared" ca="1" si="121"/>
        <v>ZU</v>
      </c>
      <c r="G149" s="294" t="str">
        <f t="shared" ca="1" si="122"/>
        <v>UZU</v>
      </c>
      <c r="H149" s="874" t="str">
        <f t="shared" ca="1" si="123"/>
        <v/>
      </c>
      <c r="J149" s="89" vm="310">
        <f ca="1"/>
        <v>45866</v>
      </c>
      <c r="K149" s="89" vm="311">
        <f ca="1"/>
        <v>244.05</v>
      </c>
      <c r="N149" s="874" t="str">
        <f ca="1">IF(F149=[2]Sheet1!O147,"","dif")</f>
        <v>dif</v>
      </c>
    </row>
    <row r="150" spans="2:64" x14ac:dyDescent="0.3">
      <c r="B150" s="89" vm="308">
        <f ca="1"/>
        <v>45771</v>
      </c>
      <c r="C150" s="89" vm="309">
        <f ca="1"/>
        <v>241.15</v>
      </c>
      <c r="D150" s="1225">
        <f t="shared" ca="1" si="120"/>
        <v>-2.275548200248171E-3</v>
      </c>
      <c r="E150" s="294" t="str" cm="1">
        <f t="array" aca="1" ref="E150" ca="1">_xlfn.IFS(D150&gt;ZPercent,"U",D150&lt;=-ZPercent,"D",TRUE,"Z")</f>
        <v>Z</v>
      </c>
      <c r="F150" s="294" t="str">
        <f t="shared" ca="1" si="121"/>
        <v>UZ</v>
      </c>
      <c r="G150" s="294" t="str">
        <f t="shared" ca="1" si="122"/>
        <v>DUZ</v>
      </c>
      <c r="H150" s="874" t="str">
        <f t="shared" ca="1" si="123"/>
        <v/>
      </c>
      <c r="J150" s="89" vm="306">
        <f ca="1"/>
        <v>45867</v>
      </c>
      <c r="K150" s="89" vm="307">
        <f ca="1"/>
        <v>248.45</v>
      </c>
      <c r="N150" s="874" t="str">
        <f ca="1">IF(F150=[2]Sheet1!O148,"","dif")</f>
        <v>dif</v>
      </c>
    </row>
    <row r="151" spans="2:64" x14ac:dyDescent="0.3">
      <c r="B151" s="89" vm="304">
        <f ca="1"/>
        <v>45770</v>
      </c>
      <c r="C151" s="89" vm="305">
        <f ca="1"/>
        <v>241.7</v>
      </c>
      <c r="D151" s="1225">
        <f t="shared" ca="1" si="120"/>
        <v>0.10617848970251711</v>
      </c>
      <c r="E151" s="294" t="str" cm="1">
        <f t="array" aca="1" ref="E151" ca="1">_xlfn.IFS(D151&gt;ZPercent,"U",D151&lt;=-ZPercent,"D",TRUE,"Z")</f>
        <v>U</v>
      </c>
      <c r="F151" s="294" t="str">
        <f t="shared" ca="1" si="121"/>
        <v>DU</v>
      </c>
      <c r="G151" s="294" t="str">
        <f t="shared" ca="1" si="122"/>
        <v>DDU</v>
      </c>
      <c r="H151" s="874" t="str">
        <f t="shared" ca="1" si="123"/>
        <v/>
      </c>
      <c r="J151" s="89" vm="302">
        <f ca="1"/>
        <v>45868</v>
      </c>
      <c r="K151" s="89" vm="303">
        <f ca="1"/>
        <v>253</v>
      </c>
      <c r="N151" s="874" t="str">
        <f ca="1">IF(F151=[2]Sheet1!O149,"","dif")</f>
        <v>dif</v>
      </c>
    </row>
    <row r="152" spans="2:64" x14ac:dyDescent="0.3">
      <c r="B152" s="89" vm="300">
        <f ca="1"/>
        <v>45769</v>
      </c>
      <c r="C152" s="89" vm="301">
        <f ca="1"/>
        <v>218.5</v>
      </c>
      <c r="D152" s="1225">
        <f t="shared" ca="1" si="120"/>
        <v>-3.3185840707964605E-2</v>
      </c>
      <c r="E152" s="294" t="str" cm="1">
        <f t="array" aca="1" ref="E152" ca="1">_xlfn.IFS(D152&gt;ZPercent,"U",D152&lt;=-ZPercent,"D",TRUE,"Z")</f>
        <v>D</v>
      </c>
      <c r="F152" s="294" t="str">
        <f t="shared" ca="1" si="121"/>
        <v>DD</v>
      </c>
      <c r="G152" s="294" t="str">
        <f t="shared" ca="1" si="122"/>
        <v>ZDD</v>
      </c>
      <c r="H152" s="874" t="str">
        <f t="shared" ca="1" si="123"/>
        <v/>
      </c>
      <c r="J152" s="89" vm="298">
        <f ca="1"/>
        <v>45869</v>
      </c>
      <c r="K152" s="89" vm="299">
        <f ca="1"/>
        <v>250.8</v>
      </c>
      <c r="N152" s="874" t="str">
        <f ca="1">IF(F152=[2]Sheet1!O150,"","dif")</f>
        <v>dif</v>
      </c>
    </row>
    <row r="153" spans="2:64" x14ac:dyDescent="0.3">
      <c r="B153" s="89" vm="296">
        <f ca="1"/>
        <v>45764</v>
      </c>
      <c r="C153" s="89" vm="297">
        <f ca="1"/>
        <v>226</v>
      </c>
      <c r="D153" s="1225">
        <f t="shared" ca="1" si="120"/>
        <v>-2.7329459866580565E-2</v>
      </c>
      <c r="E153" s="294" t="str" cm="1">
        <f t="array" aca="1" ref="E153" ca="1">_xlfn.IFS(D153&gt;ZPercent,"U",D153&lt;=-ZPercent,"D",TRUE,"Z")</f>
        <v>D</v>
      </c>
      <c r="F153" s="294" t="str">
        <f t="shared" ca="1" si="121"/>
        <v>ZD</v>
      </c>
      <c r="G153" s="294" t="str">
        <f t="shared" ca="1" si="122"/>
        <v>UZD</v>
      </c>
      <c r="H153" s="874" t="str">
        <f t="shared" ca="1" si="123"/>
        <v>ZZ</v>
      </c>
      <c r="J153" s="89" vm="294">
        <f ca="1"/>
        <v>45870</v>
      </c>
      <c r="K153" s="89" vm="295">
        <f ca="1"/>
        <v>244.65</v>
      </c>
      <c r="N153" s="874" t="str">
        <f ca="1">IF(F153=[2]Sheet1!O151,"","dif")</f>
        <v>dif</v>
      </c>
    </row>
    <row r="154" spans="2:64" x14ac:dyDescent="0.3">
      <c r="B154" s="89" vm="292">
        <f ca="1"/>
        <v>45763</v>
      </c>
      <c r="C154" s="89" vm="293">
        <f ca="1"/>
        <v>232.35</v>
      </c>
      <c r="D154" s="1225">
        <f t="shared" ca="1" si="120"/>
        <v>-1.2894906511928276E-3</v>
      </c>
      <c r="E154" s="294" t="str" cm="1">
        <f t="array" aca="1" ref="E154" ca="1">_xlfn.IFS(D154&gt;ZPercent,"U",D154&lt;=-ZPercent,"D",TRUE,"Z")</f>
        <v>Z</v>
      </c>
      <c r="F154" s="294" t="str">
        <f t="shared" ca="1" si="121"/>
        <v>UZ</v>
      </c>
      <c r="G154" s="294" t="str">
        <f t="shared" ca="1" si="122"/>
        <v>UUZ</v>
      </c>
      <c r="H154" s="874" t="str">
        <f t="shared" ca="1" si="123"/>
        <v/>
      </c>
      <c r="J154" s="89" vm="291">
        <f ca="1"/>
        <v>45873</v>
      </c>
      <c r="K154" s="89" vm="20">
        <f ca="1"/>
        <v>244.75</v>
      </c>
      <c r="N154" s="874" t="str">
        <f ca="1">IF(F154=[2]Sheet1!O152,"","dif")</f>
        <v>dif</v>
      </c>
    </row>
    <row r="155" spans="2:64" x14ac:dyDescent="0.3">
      <c r="B155" s="89" vm="289">
        <f ca="1"/>
        <v>45762</v>
      </c>
      <c r="C155" s="89" vm="290">
        <f ca="1"/>
        <v>232.65</v>
      </c>
      <c r="D155" s="1225">
        <f t="shared" ca="1" si="120"/>
        <v>1.6826923076923052E-2</v>
      </c>
      <c r="E155" s="294" t="str" cm="1">
        <f t="array" aca="1" ref="E155" ca="1">_xlfn.IFS(D155&gt;ZPercent,"U",D155&lt;=-ZPercent,"D",TRUE,"Z")</f>
        <v>U</v>
      </c>
      <c r="F155" s="294" t="str">
        <f t="shared" ca="1" si="121"/>
        <v>UU</v>
      </c>
      <c r="G155" s="294" t="str">
        <f t="shared" ca="1" si="122"/>
        <v>DUU</v>
      </c>
      <c r="H155" s="874" t="str">
        <f t="shared" ca="1" si="123"/>
        <v/>
      </c>
      <c r="J155" s="89" vm="287">
        <f ca="1"/>
        <v>45874</v>
      </c>
      <c r="K155" s="89" vm="288">
        <f ca="1"/>
        <v>246.65</v>
      </c>
      <c r="N155" s="874" t="str">
        <f ca="1">IF(F155=[2]Sheet1!O153,"","dif")</f>
        <v/>
      </c>
    </row>
    <row r="156" spans="2:64" x14ac:dyDescent="0.3">
      <c r="B156" s="89" vm="285">
        <f ca="1"/>
        <v>45761</v>
      </c>
      <c r="C156" s="89" vm="286">
        <f ca="1"/>
        <v>228.8</v>
      </c>
      <c r="D156" s="1225">
        <f t="shared" ca="1" si="120"/>
        <v>1.779359430604982E-2</v>
      </c>
      <c r="E156" s="294" t="str" cm="1">
        <f t="array" aca="1" ref="E156" ca="1">_xlfn.IFS(D156&gt;ZPercent,"U",D156&lt;=-ZPercent,"D",TRUE,"Z")</f>
        <v>U</v>
      </c>
      <c r="F156" s="294" t="str">
        <f t="shared" ca="1" si="121"/>
        <v>DU</v>
      </c>
      <c r="G156" s="294" t="str">
        <f t="shared" ca="1" si="122"/>
        <v>UDU</v>
      </c>
      <c r="H156" s="874" t="str">
        <f t="shared" ca="1" si="123"/>
        <v/>
      </c>
      <c r="J156" s="89" vm="283">
        <f ca="1"/>
        <v>45875</v>
      </c>
      <c r="K156" s="89" vm="284">
        <f ca="1"/>
        <v>248.85</v>
      </c>
      <c r="N156" s="874" t="str">
        <f ca="1">IF(F156=[2]Sheet1!O154,"","dif")</f>
        <v>dif</v>
      </c>
    </row>
    <row r="157" spans="2:64" x14ac:dyDescent="0.3">
      <c r="B157" s="89" vm="281">
        <f ca="1"/>
        <v>45758</v>
      </c>
      <c r="C157" s="89" vm="282">
        <f ca="1"/>
        <v>224.8</v>
      </c>
      <c r="D157" s="1225">
        <f t="shared" ca="1" si="120"/>
        <v>-2.2608695652173865E-2</v>
      </c>
      <c r="E157" s="294" t="str" cm="1">
        <f t="array" aca="1" ref="E157" ca="1">_xlfn.IFS(D157&gt;ZPercent,"U",D157&lt;=-ZPercent,"D",TRUE,"Z")</f>
        <v>D</v>
      </c>
      <c r="F157" s="294" t="str">
        <f t="shared" ca="1" si="121"/>
        <v>UD</v>
      </c>
      <c r="G157" s="294" t="str">
        <f t="shared" ca="1" si="122"/>
        <v>DUD</v>
      </c>
      <c r="H157" s="874" t="str">
        <f t="shared" ca="1" si="123"/>
        <v/>
      </c>
      <c r="J157" s="89" vm="279">
        <f ca="1"/>
        <v>45876</v>
      </c>
      <c r="K157" s="89" vm="280">
        <f ca="1"/>
        <v>254.75</v>
      </c>
      <c r="N157" s="874" t="str">
        <f ca="1">IF(F157=[2]Sheet1!O155,"","dif")</f>
        <v>dif</v>
      </c>
    </row>
    <row r="158" spans="2:64" x14ac:dyDescent="0.3">
      <c r="B158" s="89" vm="277">
        <f ca="1"/>
        <v>45757</v>
      </c>
      <c r="C158" s="89" vm="278">
        <f ca="1"/>
        <v>230</v>
      </c>
      <c r="D158" s="1225">
        <f t="shared" ca="1" si="120"/>
        <v>7.276119402985072E-2</v>
      </c>
      <c r="E158" s="294" t="str" cm="1">
        <f t="array" aca="1" ref="E158" ca="1">_xlfn.IFS(D158&gt;ZPercent,"U",D158&lt;=-ZPercent,"D",TRUE,"Z")</f>
        <v>U</v>
      </c>
      <c r="F158" s="294" t="str">
        <f t="shared" ca="1" si="121"/>
        <v>DU</v>
      </c>
      <c r="G158" s="294" t="str">
        <f t="shared" ca="1" si="122"/>
        <v>UDU</v>
      </c>
      <c r="H158" s="874" t="str">
        <f t="shared" ca="1" si="123"/>
        <v/>
      </c>
      <c r="J158" s="89" vm="276">
        <f ca="1"/>
        <v>45877</v>
      </c>
      <c r="K158" s="89" vm="237">
        <f ca="1"/>
        <v>250.1</v>
      </c>
      <c r="N158" s="874" t="str">
        <f ca="1">IF(F158=[2]Sheet1!O156,"","dif")</f>
        <v>dif</v>
      </c>
    </row>
    <row r="159" spans="2:64" x14ac:dyDescent="0.3">
      <c r="B159" s="89" vm="274">
        <f ca="1"/>
        <v>45756</v>
      </c>
      <c r="C159" s="89" vm="275">
        <f ca="1"/>
        <v>214.4</v>
      </c>
      <c r="D159" s="1225">
        <f t="shared" ca="1" si="120"/>
        <v>-4.2001787310098328E-2</v>
      </c>
      <c r="E159" s="294" t="str" cm="1">
        <f t="array" aca="1" ref="E159" ca="1">_xlfn.IFS(D159&gt;ZPercent,"U",D159&lt;=-ZPercent,"D",TRUE,"Z")</f>
        <v>D</v>
      </c>
      <c r="F159" s="294" t="str">
        <f t="shared" ca="1" si="121"/>
        <v>UD</v>
      </c>
      <c r="G159" s="294" t="str">
        <f t="shared" ca="1" si="122"/>
        <v>DUD</v>
      </c>
      <c r="H159" s="874" t="str">
        <f t="shared" ca="1" si="123"/>
        <v/>
      </c>
      <c r="J159" s="89" vm="272">
        <f ca="1"/>
        <v>45880</v>
      </c>
      <c r="K159" s="89" vm="273">
        <f ca="1"/>
        <v>249.35</v>
      </c>
      <c r="N159" s="874" t="str">
        <f ca="1">IF(F159=[2]Sheet1!O157,"","dif")</f>
        <v>dif</v>
      </c>
    </row>
    <row r="160" spans="2:64" x14ac:dyDescent="0.3">
      <c r="B160" s="89" vm="270">
        <f ca="1"/>
        <v>45755</v>
      </c>
      <c r="C160" s="89" vm="271">
        <f ca="1"/>
        <v>223.8</v>
      </c>
      <c r="D160" s="1225">
        <f t="shared" ref="D160:D164" ca="1" si="124">IFERROR((C160-C161)/C161,0)</f>
        <v>1.0840108401084037E-2</v>
      </c>
      <c r="E160" s="294" t="str" cm="1">
        <f t="array" aca="1" ref="E160" ca="1">_xlfn.IFS(D160&gt;ZPercent,"U",D160&lt;=-ZPercent,"D",TRUE,"Z")</f>
        <v>U</v>
      </c>
      <c r="F160" s="294" t="str">
        <f t="shared" ref="F160:F164" ca="1" si="125">_xlfn.CONCAT(E161,E160)</f>
        <v>DU</v>
      </c>
      <c r="G160" s="294" t="str">
        <f t="shared" ref="G160:G164" ca="1" si="126">_xlfn.CONCAT(E162,E161,E160)</f>
        <v>DDU</v>
      </c>
      <c r="H160" s="874" t="str">
        <f t="shared" ca="1" si="123"/>
        <v/>
      </c>
      <c r="J160" s="89" vm="268">
        <f ca="1"/>
        <v>45881</v>
      </c>
      <c r="K160" s="89" vm="269">
        <f ca="1"/>
        <v>232</v>
      </c>
      <c r="N160" s="874" t="str">
        <f ca="1">IF(F160=[2]Sheet1!O158,"","dif")</f>
        <v>dif</v>
      </c>
    </row>
    <row r="161" spans="2:14" x14ac:dyDescent="0.3">
      <c r="B161" s="89" vm="266">
        <f ca="1"/>
        <v>45754</v>
      </c>
      <c r="C161" s="89" vm="267">
        <f ca="1"/>
        <v>221.4</v>
      </c>
      <c r="D161" s="1225">
        <f t="shared" ca="1" si="124"/>
        <v>-4.2387543252595083E-2</v>
      </c>
      <c r="E161" s="294" t="str" cm="1">
        <f t="array" aca="1" ref="E161" ca="1">_xlfn.IFS(D161&gt;ZPercent,"U",D161&lt;=-ZPercent,"D",TRUE,"Z")</f>
        <v>D</v>
      </c>
      <c r="F161" s="294" t="str">
        <f t="shared" ca="1" si="125"/>
        <v>DD</v>
      </c>
      <c r="G161" s="294" t="str">
        <f t="shared" ca="1" si="126"/>
        <v>DDD</v>
      </c>
      <c r="H161" s="874" t="str">
        <f t="shared" ca="1" si="123"/>
        <v/>
      </c>
      <c r="J161" s="89" vm="264">
        <f ca="1"/>
        <v>45882</v>
      </c>
      <c r="K161" s="89" vm="265">
        <f ca="1"/>
        <v>239</v>
      </c>
      <c r="N161" s="874" t="str">
        <f ca="1">IF(F161=[2]Sheet1!O159,"","dif")</f>
        <v>dif</v>
      </c>
    </row>
    <row r="162" spans="2:14" x14ac:dyDescent="0.3">
      <c r="B162" s="89" vm="262">
        <f ca="1"/>
        <v>45751</v>
      </c>
      <c r="C162" s="89" vm="263">
        <f ca="1"/>
        <v>231.2</v>
      </c>
      <c r="D162" s="1225">
        <f t="shared" ca="1" si="124"/>
        <v>-3.2433563507009835E-2</v>
      </c>
      <c r="E162" s="294" t="str" cm="1">
        <f t="array" aca="1" ref="E162" ca="1">_xlfn.IFS(D162&gt;ZPercent,"U",D162&lt;=-ZPercent,"D",TRUE,"Z")</f>
        <v>D</v>
      </c>
      <c r="F162" s="294" t="str">
        <f t="shared" ca="1" si="125"/>
        <v>DD</v>
      </c>
      <c r="G162" s="294" t="str">
        <f t="shared" ca="1" si="126"/>
        <v>ZDD</v>
      </c>
      <c r="H162" s="874" t="str">
        <f t="shared" ca="1" si="123"/>
        <v/>
      </c>
      <c r="J162" s="89" vm="260">
        <f ca="1"/>
        <v>45883</v>
      </c>
      <c r="K162" s="89" vm="261">
        <f ca="1"/>
        <v>239.65</v>
      </c>
      <c r="N162" s="874" t="str">
        <f ca="1">IF(F162=[2]Sheet1!O160,"","dif")</f>
        <v>dif</v>
      </c>
    </row>
    <row r="163" spans="2:14" x14ac:dyDescent="0.3">
      <c r="B163" s="89" vm="258">
        <f ca="1"/>
        <v>45750</v>
      </c>
      <c r="C163" s="89" vm="259">
        <f ca="1"/>
        <v>238.95</v>
      </c>
      <c r="D163" s="1225">
        <f t="shared" ca="1" si="124"/>
        <v>-4.07466880770775E-2</v>
      </c>
      <c r="E163" s="294" t="str" cm="1">
        <f t="array" aca="1" ref="E163" ca="1">_xlfn.IFS(D163&gt;ZPercent,"U",D163&lt;=-ZPercent,"D",TRUE,"Z")</f>
        <v>D</v>
      </c>
      <c r="F163" s="294" t="str">
        <f t="shared" ca="1" si="125"/>
        <v>ZD</v>
      </c>
      <c r="G163" s="294" t="str">
        <f t="shared" ca="1" si="126"/>
        <v>UZD</v>
      </c>
      <c r="H163" s="874" t="str">
        <f t="shared" ca="1" si="123"/>
        <v>ZZ</v>
      </c>
      <c r="J163" s="89" vm="256">
        <f ca="1"/>
        <v>45884</v>
      </c>
      <c r="K163" s="89" vm="257">
        <f ca="1"/>
        <v>237</v>
      </c>
      <c r="N163" s="874" t="str">
        <f ca="1">IF(F163=[2]Sheet1!O161,"","dif")</f>
        <v>dif</v>
      </c>
    </row>
    <row r="164" spans="2:14" x14ac:dyDescent="0.3">
      <c r="B164" s="89" vm="254">
        <f ca="1"/>
        <v>45749</v>
      </c>
      <c r="C164" s="89" vm="255">
        <f ca="1"/>
        <v>249.1</v>
      </c>
      <c r="D164" s="1225">
        <f t="shared" ca="1" si="124"/>
        <v>-4.1974815110933893E-3</v>
      </c>
      <c r="E164" s="294" t="str" cm="1">
        <f t="array" aca="1" ref="E164" ca="1">_xlfn.IFS(D164&gt;ZPercent,"U",D164&lt;=-ZPercent,"D",TRUE,"Z")</f>
        <v>Z</v>
      </c>
      <c r="F164" s="294" t="str">
        <f t="shared" ca="1" si="125"/>
        <v>UZ</v>
      </c>
      <c r="G164" s="294" t="str">
        <f t="shared" ca="1" si="126"/>
        <v>DUZ</v>
      </c>
      <c r="H164" s="874" t="str">
        <f t="shared" ca="1" si="123"/>
        <v/>
      </c>
      <c r="J164" s="89" vm="252">
        <f ca="1"/>
        <v>45887</v>
      </c>
      <c r="K164" s="89" vm="253">
        <f ca="1"/>
        <v>236.65</v>
      </c>
      <c r="N164" s="874" t="str">
        <f ca="1">IF(F164=[2]Sheet1!O162,"","dif")</f>
        <v>dif</v>
      </c>
    </row>
    <row r="165" spans="2:14" x14ac:dyDescent="0.3">
      <c r="B165" s="89" vm="251">
        <f ca="1"/>
        <v>45748</v>
      </c>
      <c r="C165" s="89" vm="221">
        <f ca="1"/>
        <v>250.15</v>
      </c>
      <c r="D165" s="1225">
        <f t="shared" ref="D165:D201" ca="1" si="127">IFERROR((C165-C166)/C166,0)</f>
        <v>2.3527004909983634E-2</v>
      </c>
      <c r="E165" s="294" t="str" cm="1">
        <f t="array" aca="1" ref="E165" ca="1">_xlfn.IFS(D165&gt;ZPercent,"U",D165&lt;=-ZPercent,"D",TRUE,"Z")</f>
        <v>U</v>
      </c>
      <c r="F165" s="294" t="str">
        <f t="shared" ref="F165:F201" ca="1" si="128">_xlfn.CONCAT(E166,E165)</f>
        <v>DU</v>
      </c>
      <c r="G165" s="294" t="str">
        <f t="shared" ref="G165:G201" ca="1" si="129">_xlfn.CONCAT(E167,E166,E165)</f>
        <v>DDU</v>
      </c>
      <c r="H165" s="874" t="str">
        <f t="shared" ca="1" si="123"/>
        <v/>
      </c>
      <c r="J165" s="89" vm="250">
        <f ca="1"/>
        <v>45888</v>
      </c>
      <c r="K165" s="89" vm="203">
        <f ca="1"/>
        <v>236.9</v>
      </c>
      <c r="N165" s="874" t="str">
        <f ca="1">IF(F165=[2]Sheet1!O163,"","dif")</f>
        <v>dif</v>
      </c>
    </row>
    <row r="166" spans="2:14" x14ac:dyDescent="0.3">
      <c r="B166" s="89" vm="248">
        <f ca="1"/>
        <v>45747</v>
      </c>
      <c r="C166" s="89" vm="249">
        <f ca="1"/>
        <v>244.4</v>
      </c>
      <c r="D166" s="1225">
        <f t="shared" ca="1" si="127"/>
        <v>-9.5238095238095004E-3</v>
      </c>
      <c r="E166" s="294" t="str" cm="1">
        <f t="array" aca="1" ref="E166" ca="1">_xlfn.IFS(D166&gt;ZPercent,"U",D166&lt;=-ZPercent,"D",TRUE,"Z")</f>
        <v>D</v>
      </c>
      <c r="F166" s="294" t="str">
        <f t="shared" ca="1" si="128"/>
        <v>DD</v>
      </c>
      <c r="G166" s="294" t="str">
        <f t="shared" ca="1" si="129"/>
        <v>ZDD</v>
      </c>
      <c r="H166" s="874" t="str">
        <f t="shared" ca="1" si="123"/>
        <v/>
      </c>
      <c r="J166" s="89" vm="246">
        <f ca="1"/>
        <v>45889</v>
      </c>
      <c r="K166" s="89" vm="247">
        <f ca="1"/>
        <v>233.75</v>
      </c>
      <c r="N166" s="874" t="str">
        <f ca="1">IF(F166=[2]Sheet1!O164,"","dif")</f>
        <v>dif</v>
      </c>
    </row>
    <row r="167" spans="2:14" x14ac:dyDescent="0.3">
      <c r="B167" s="89" vm="244">
        <f ca="1"/>
        <v>45744</v>
      </c>
      <c r="C167" s="89" vm="245">
        <f ca="1"/>
        <v>246.75</v>
      </c>
      <c r="D167" s="1225">
        <f t="shared" ca="1" si="127"/>
        <v>-1.0030090270812437E-2</v>
      </c>
      <c r="E167" s="294" t="str" cm="1">
        <f t="array" aca="1" ref="E167" ca="1">_xlfn.IFS(D167&gt;ZPercent,"U",D167&lt;=-ZPercent,"D",TRUE,"Z")</f>
        <v>D</v>
      </c>
      <c r="F167" s="294" t="str">
        <f t="shared" ca="1" si="128"/>
        <v>ZD</v>
      </c>
      <c r="G167" s="294" t="str">
        <f t="shared" ca="1" si="129"/>
        <v>DZD</v>
      </c>
      <c r="H167" s="874" t="str">
        <f t="shared" ca="1" si="123"/>
        <v>ZZ</v>
      </c>
      <c r="J167" s="89" vm="242">
        <f ca="1"/>
        <v>45890</v>
      </c>
      <c r="K167" s="89" vm="243">
        <f ca="1"/>
        <v>232.15</v>
      </c>
      <c r="N167" s="874" t="str">
        <f ca="1">IF(F167=[2]Sheet1!O165,"","dif")</f>
        <v>dif</v>
      </c>
    </row>
    <row r="168" spans="2:14" x14ac:dyDescent="0.3">
      <c r="B168" s="89" vm="240">
        <f ca="1"/>
        <v>45743</v>
      </c>
      <c r="C168" s="89" vm="241">
        <f ca="1"/>
        <v>249.25</v>
      </c>
      <c r="D168" s="1225">
        <f t="shared" ca="1" si="127"/>
        <v>-3.3986405437824645E-3</v>
      </c>
      <c r="E168" s="294" t="str" cm="1">
        <f t="array" aca="1" ref="E168" ca="1">_xlfn.IFS(D168&gt;ZPercent,"U",D168&lt;=-ZPercent,"D",TRUE,"Z")</f>
        <v>Z</v>
      </c>
      <c r="F168" s="294" t="str">
        <f t="shared" ca="1" si="128"/>
        <v>DZ</v>
      </c>
      <c r="G168" s="294" t="str">
        <f t="shared" ca="1" si="129"/>
        <v>UDZ</v>
      </c>
      <c r="H168" s="874" t="str">
        <f t="shared" ca="1" si="123"/>
        <v/>
      </c>
      <c r="J168" s="89" vm="238">
        <f ca="1"/>
        <v>45891</v>
      </c>
      <c r="K168" s="89" vm="239">
        <f ca="1"/>
        <v>232.6</v>
      </c>
      <c r="N168" s="874" t="str">
        <f ca="1">IF(F168=[2]Sheet1!O166,"","dif")</f>
        <v>dif</v>
      </c>
    </row>
    <row r="169" spans="2:14" x14ac:dyDescent="0.3">
      <c r="B169" s="89" vm="236">
        <f ca="1"/>
        <v>45742</v>
      </c>
      <c r="C169" s="89" vm="237">
        <f ca="1"/>
        <v>250.1</v>
      </c>
      <c r="D169" s="1225">
        <f t="shared" ca="1" si="127"/>
        <v>-3.3429951690821275E-2</v>
      </c>
      <c r="E169" s="294" t="str" cm="1">
        <f t="array" aca="1" ref="E169" ca="1">_xlfn.IFS(D169&gt;ZPercent,"U",D169&lt;=-ZPercent,"D",TRUE,"Z")</f>
        <v>D</v>
      </c>
      <c r="F169" s="294" t="str">
        <f t="shared" ca="1" si="128"/>
        <v>UD</v>
      </c>
      <c r="G169" s="294" t="str">
        <f t="shared" ca="1" si="129"/>
        <v>UUD</v>
      </c>
      <c r="H169" s="874" t="str">
        <f t="shared" ca="1" si="123"/>
        <v/>
      </c>
      <c r="J169" s="89" vm="234">
        <f ca="1"/>
        <v>45894</v>
      </c>
      <c r="K169" s="89" vm="235">
        <f ca="1"/>
        <v>233</v>
      </c>
      <c r="N169" s="874" t="str">
        <f ca="1">IF(F169=[2]Sheet1!O167,"","dif")</f>
        <v>dif</v>
      </c>
    </row>
    <row r="170" spans="2:14" x14ac:dyDescent="0.3">
      <c r="B170" s="89" vm="232">
        <f ca="1"/>
        <v>45741</v>
      </c>
      <c r="C170" s="89" vm="233">
        <f ca="1"/>
        <v>258.75</v>
      </c>
      <c r="D170" s="1225">
        <f t="shared" ca="1" si="127"/>
        <v>1.3315057763853557E-2</v>
      </c>
      <c r="E170" s="294" t="str" cm="1">
        <f t="array" aca="1" ref="E170" ca="1">_xlfn.IFS(D170&gt;ZPercent,"U",D170&lt;=-ZPercent,"D",TRUE,"Z")</f>
        <v>U</v>
      </c>
      <c r="F170" s="294" t="str">
        <f t="shared" ca="1" si="128"/>
        <v>UU</v>
      </c>
      <c r="G170" s="294" t="str">
        <f t="shared" ca="1" si="129"/>
        <v>UUU</v>
      </c>
      <c r="H170" s="874" t="str">
        <f t="shared" ca="1" si="123"/>
        <v/>
      </c>
      <c r="J170" s="89" vm="230">
        <f ca="1"/>
        <v>45895</v>
      </c>
      <c r="K170" s="89" vm="231">
        <f ca="1"/>
        <v>231.85</v>
      </c>
      <c r="N170" s="874" t="str">
        <f ca="1">IF(F170=[2]Sheet1!O168,"","dif")</f>
        <v>dif</v>
      </c>
    </row>
    <row r="171" spans="2:14" x14ac:dyDescent="0.3">
      <c r="B171" s="89" vm="228">
        <f ca="1"/>
        <v>45740</v>
      </c>
      <c r="C171" s="89" vm="229">
        <f ca="1"/>
        <v>255.35</v>
      </c>
      <c r="D171" s="1225">
        <f t="shared" ca="1" si="127"/>
        <v>1.3494741020043683E-2</v>
      </c>
      <c r="E171" s="294" t="str" cm="1">
        <f t="array" aca="1" ref="E171" ca="1">_xlfn.IFS(D171&gt;ZPercent,"U",D171&lt;=-ZPercent,"D",TRUE,"Z")</f>
        <v>U</v>
      </c>
      <c r="F171" s="294" t="str">
        <f t="shared" ca="1" si="128"/>
        <v>UU</v>
      </c>
      <c r="G171" s="294" t="str">
        <f t="shared" ca="1" si="129"/>
        <v>UUU</v>
      </c>
      <c r="H171" s="874" t="str">
        <f t="shared" ca="1" si="123"/>
        <v/>
      </c>
      <c r="J171" s="89" vm="226">
        <f ca="1"/>
        <v>45896</v>
      </c>
      <c r="K171" s="89" vm="227">
        <f ca="1"/>
        <v>236.4</v>
      </c>
      <c r="N171" s="874" t="str">
        <f ca="1">IF(F171=[2]Sheet1!O169,"","dif")</f>
        <v>dif</v>
      </c>
    </row>
    <row r="172" spans="2:14" x14ac:dyDescent="0.3">
      <c r="B172" s="89" vm="224">
        <f ca="1"/>
        <v>45737</v>
      </c>
      <c r="C172" s="89" vm="225">
        <f ca="1"/>
        <v>251.95</v>
      </c>
      <c r="D172" s="1225">
        <f t="shared" ca="1" si="127"/>
        <v>7.1956825904456638E-3</v>
      </c>
      <c r="E172" s="294" t="str" cm="1">
        <f t="array" aca="1" ref="E172" ca="1">_xlfn.IFS(D172&gt;ZPercent,"U",D172&lt;=-ZPercent,"D",TRUE,"Z")</f>
        <v>U</v>
      </c>
      <c r="F172" s="294" t="str">
        <f t="shared" ca="1" si="128"/>
        <v>UU</v>
      </c>
      <c r="G172" s="294" t="str">
        <f t="shared" ca="1" si="129"/>
        <v>UUU</v>
      </c>
      <c r="H172" s="874" t="str">
        <f t="shared" ca="1" si="123"/>
        <v/>
      </c>
      <c r="J172" s="89" vm="222">
        <f ca="1"/>
        <v>45897</v>
      </c>
      <c r="K172" s="89" vm="223">
        <f ca="1"/>
        <v>236.35</v>
      </c>
      <c r="N172" s="874" t="str">
        <f ca="1">IF(F172=[2]Sheet1!O170,"","dif")</f>
        <v>dif</v>
      </c>
    </row>
    <row r="173" spans="2:14" x14ac:dyDescent="0.3">
      <c r="B173" s="89" vm="220">
        <f ca="1"/>
        <v>45736</v>
      </c>
      <c r="C173" s="89" vm="221">
        <f ca="1"/>
        <v>250.15</v>
      </c>
      <c r="D173" s="1225">
        <f t="shared" ca="1" si="127"/>
        <v>7.2478357157238224E-3</v>
      </c>
      <c r="E173" s="294" t="str" cm="1">
        <f t="array" aca="1" ref="E173" ca="1">_xlfn.IFS(D173&gt;ZPercent,"U",D173&lt;=-ZPercent,"D",TRUE,"Z")</f>
        <v>U</v>
      </c>
      <c r="F173" s="294" t="str">
        <f t="shared" ca="1" si="128"/>
        <v>UU</v>
      </c>
      <c r="G173" s="294" t="str">
        <f t="shared" ca="1" si="129"/>
        <v>ZUU</v>
      </c>
      <c r="H173" s="874" t="str">
        <f t="shared" ca="1" si="123"/>
        <v/>
      </c>
      <c r="J173" s="89" vm="218">
        <f ca="1"/>
        <v>45898</v>
      </c>
      <c r="K173" s="89" vm="219">
        <f ca="1"/>
        <v>231.7</v>
      </c>
      <c r="N173" s="874" t="str">
        <f ca="1">IF(F173=[2]Sheet1!O171,"","dif")</f>
        <v>dif</v>
      </c>
    </row>
    <row r="174" spans="2:14" x14ac:dyDescent="0.3">
      <c r="B174" s="89" vm="216">
        <f ca="1"/>
        <v>45735</v>
      </c>
      <c r="C174" s="89" vm="217">
        <f ca="1"/>
        <v>248.35</v>
      </c>
      <c r="D174" s="1225">
        <f t="shared" ca="1" si="127"/>
        <v>6.6882853668423416E-3</v>
      </c>
      <c r="E174" s="294" t="str" cm="1">
        <f t="array" aca="1" ref="E174" ca="1">_xlfn.IFS(D174&gt;ZPercent,"U",D174&lt;=-ZPercent,"D",TRUE,"Z")</f>
        <v>U</v>
      </c>
      <c r="F174" s="294" t="str">
        <f t="shared" ca="1" si="128"/>
        <v>ZU</v>
      </c>
      <c r="G174" s="294" t="str">
        <f t="shared" ca="1" si="129"/>
        <v>UZU</v>
      </c>
      <c r="H174" s="874" t="str">
        <f t="shared" ca="1" si="123"/>
        <v/>
      </c>
      <c r="J174" s="89" vm="214">
        <f ca="1"/>
        <v>45901</v>
      </c>
      <c r="K174" s="89" vm="215">
        <f ca="1"/>
        <v>233.9</v>
      </c>
      <c r="N174" s="874" t="str">
        <f ca="1">IF(F174=[2]Sheet1!O172,"","dif")</f>
        <v>dif</v>
      </c>
    </row>
    <row r="175" spans="2:14" x14ac:dyDescent="0.3">
      <c r="B175" s="89" vm="213">
        <f ca="1"/>
        <v>45734</v>
      </c>
      <c r="C175" s="89" vm="210">
        <f ca="1"/>
        <v>246.7</v>
      </c>
      <c r="D175" s="1225">
        <f t="shared" ca="1" si="127"/>
        <v>0</v>
      </c>
      <c r="E175" s="294" t="str" cm="1">
        <f t="array" aca="1" ref="E175" ca="1">_xlfn.IFS(D175&gt;ZPercent,"U",D175&lt;=-ZPercent,"D",TRUE,"Z")</f>
        <v>Z</v>
      </c>
      <c r="F175" s="294" t="str">
        <f t="shared" ca="1" si="128"/>
        <v>UZ</v>
      </c>
      <c r="G175" s="294" t="str">
        <f t="shared" ca="1" si="129"/>
        <v>UUZ</v>
      </c>
      <c r="H175" s="874" t="str">
        <f t="shared" ca="1" si="123"/>
        <v/>
      </c>
      <c r="J175" s="89" vm="211">
        <f ca="1"/>
        <v>45902</v>
      </c>
      <c r="K175" s="89" vm="212">
        <f ca="1"/>
        <v>227.25</v>
      </c>
      <c r="N175" s="874" t="str">
        <f ca="1">IF(F175=[2]Sheet1!O173,"","dif")</f>
        <v>dif</v>
      </c>
    </row>
    <row r="176" spans="2:14" x14ac:dyDescent="0.3">
      <c r="B176" s="89" vm="209">
        <f ca="1"/>
        <v>45733</v>
      </c>
      <c r="C176" s="89" vm="210">
        <f ca="1"/>
        <v>246.7</v>
      </c>
      <c r="D176" s="1225">
        <f t="shared" ca="1" si="127"/>
        <v>1.6900247320692476E-2</v>
      </c>
      <c r="E176" s="294" t="str" cm="1">
        <f t="array" aca="1" ref="E176" ca="1">_xlfn.IFS(D176&gt;ZPercent,"U",D176&lt;=-ZPercent,"D",TRUE,"Z")</f>
        <v>U</v>
      </c>
      <c r="F176" s="294" t="str">
        <f t="shared" ca="1" si="128"/>
        <v>UU</v>
      </c>
      <c r="G176" s="294" t="str">
        <f t="shared" ca="1" si="129"/>
        <v>DUU</v>
      </c>
      <c r="H176" s="874" t="str">
        <f t="shared" ca="1" si="123"/>
        <v/>
      </c>
      <c r="J176" s="89" vm="207">
        <f ca="1"/>
        <v>45903</v>
      </c>
      <c r="K176" s="89" vm="208">
        <f ca="1"/>
        <v>231.35</v>
      </c>
      <c r="N176" s="874" t="str">
        <f ca="1">IF(F176=[2]Sheet1!O174,"","dif")</f>
        <v>dif</v>
      </c>
    </row>
    <row r="177" spans="2:14" x14ac:dyDescent="0.3">
      <c r="B177" s="89" vm="205">
        <f ca="1"/>
        <v>45730</v>
      </c>
      <c r="C177" s="89" vm="206">
        <f ca="1"/>
        <v>242.6</v>
      </c>
      <c r="D177" s="1225">
        <f t="shared" ca="1" si="127"/>
        <v>2.4060785141409829E-2</v>
      </c>
      <c r="E177" s="294" t="str" cm="1">
        <f t="array" aca="1" ref="E177" ca="1">_xlfn.IFS(D177&gt;ZPercent,"U",D177&lt;=-ZPercent,"D",TRUE,"Z")</f>
        <v>U</v>
      </c>
      <c r="F177" s="294" t="str">
        <f t="shared" ca="1" si="128"/>
        <v>DU</v>
      </c>
      <c r="G177" s="294" t="str">
        <f t="shared" ca="1" si="129"/>
        <v>UDU</v>
      </c>
      <c r="H177" s="874" t="str">
        <f t="shared" ca="1" si="123"/>
        <v/>
      </c>
      <c r="J177" s="89" vm="204">
        <f ca="1"/>
        <v>45904</v>
      </c>
      <c r="K177" s="89" vm="86">
        <f ca="1"/>
        <v>233.2</v>
      </c>
      <c r="N177" s="874" t="str">
        <f ca="1">IF(F177=[2]Sheet1!O175,"","dif")</f>
        <v>dif</v>
      </c>
    </row>
    <row r="178" spans="2:14" x14ac:dyDescent="0.3">
      <c r="B178" s="89" vm="202">
        <f ca="1"/>
        <v>45729</v>
      </c>
      <c r="C178" s="89" vm="203">
        <f ca="1"/>
        <v>236.9</v>
      </c>
      <c r="D178" s="1225">
        <f t="shared" ca="1" si="127"/>
        <v>-2.3294166151309029E-2</v>
      </c>
      <c r="E178" s="294" t="str" cm="1">
        <f t="array" aca="1" ref="E178" ca="1">_xlfn.IFS(D178&gt;ZPercent,"U",D178&lt;=-ZPercent,"D",TRUE,"Z")</f>
        <v>D</v>
      </c>
      <c r="F178" s="294" t="str">
        <f t="shared" ca="1" si="128"/>
        <v>UD</v>
      </c>
      <c r="G178" s="294" t="str">
        <f t="shared" ca="1" si="129"/>
        <v>DUD</v>
      </c>
      <c r="H178" s="874" t="str">
        <f t="shared" ca="1" si="123"/>
        <v/>
      </c>
      <c r="J178" s="89" vm="200">
        <f ca="1"/>
        <v>45905</v>
      </c>
      <c r="K178" s="89" vm="201">
        <f ca="1"/>
        <v>228.25</v>
      </c>
      <c r="N178" s="874" t="str">
        <f ca="1">IF(F178=[2]Sheet1!O176,"","dif")</f>
        <v>dif</v>
      </c>
    </row>
    <row r="179" spans="2:14" x14ac:dyDescent="0.3">
      <c r="B179" s="89" vm="198">
        <f ca="1"/>
        <v>45728</v>
      </c>
      <c r="C179" s="89" vm="199">
        <f ca="1"/>
        <v>242.55</v>
      </c>
      <c r="D179" s="1225">
        <f t="shared" ca="1" si="127"/>
        <v>1.6341923318667528E-2</v>
      </c>
      <c r="E179" s="294" t="str" cm="1">
        <f t="array" aca="1" ref="E179" ca="1">_xlfn.IFS(D179&gt;ZPercent,"U",D179&lt;=-ZPercent,"D",TRUE,"Z")</f>
        <v>U</v>
      </c>
      <c r="F179" s="294" t="str">
        <f t="shared" ca="1" si="128"/>
        <v>DU</v>
      </c>
      <c r="G179" s="294" t="str">
        <f t="shared" ca="1" si="129"/>
        <v>DDU</v>
      </c>
      <c r="H179" s="874" t="str">
        <f t="shared" ca="1" si="123"/>
        <v/>
      </c>
      <c r="J179" s="89" vm="196">
        <f ca="1"/>
        <v>45908</v>
      </c>
      <c r="K179" s="89" vm="197">
        <f ca="1"/>
        <v>230.45</v>
      </c>
      <c r="N179" s="874" t="str">
        <f ca="1">IF(F179=[2]Sheet1!O177,"","dif")</f>
        <v>dif</v>
      </c>
    </row>
    <row r="180" spans="2:14" x14ac:dyDescent="0.3">
      <c r="B180" s="89" vm="194">
        <f ca="1"/>
        <v>45727</v>
      </c>
      <c r="C180" s="89" vm="195">
        <f ca="1"/>
        <v>238.65</v>
      </c>
      <c r="D180" s="1225">
        <f t="shared" ca="1" si="127"/>
        <v>-1.4657308009909097E-2</v>
      </c>
      <c r="E180" s="294" t="str" cm="1">
        <f t="array" aca="1" ref="E180" ca="1">_xlfn.IFS(D180&gt;ZPercent,"U",D180&lt;=-ZPercent,"D",TRUE,"Z")</f>
        <v>D</v>
      </c>
      <c r="F180" s="294" t="str">
        <f t="shared" ca="1" si="128"/>
        <v>DD</v>
      </c>
      <c r="G180" s="294" t="str">
        <f t="shared" ca="1" si="129"/>
        <v>DDD</v>
      </c>
      <c r="H180" s="874" t="str">
        <f t="shared" ca="1" si="123"/>
        <v/>
      </c>
      <c r="J180" s="89" vm="192">
        <f ca="1"/>
        <v>45909</v>
      </c>
      <c r="K180" s="89" vm="193">
        <f ca="1"/>
        <v>230.3</v>
      </c>
      <c r="N180" s="874" t="str">
        <f ca="1">IF(F180=[2]Sheet1!O178,"","dif")</f>
        <v>dif</v>
      </c>
    </row>
    <row r="181" spans="2:14" x14ac:dyDescent="0.3">
      <c r="B181" s="89" vm="190">
        <f ca="1"/>
        <v>45726</v>
      </c>
      <c r="C181" s="89" vm="191">
        <f ca="1"/>
        <v>242.2</v>
      </c>
      <c r="D181" s="1225">
        <f t="shared" ca="1" si="127"/>
        <v>-4.7768822488696704E-2</v>
      </c>
      <c r="E181" s="294" t="str" cm="1">
        <f t="array" aca="1" ref="E181" ca="1">_xlfn.IFS(D181&gt;ZPercent,"U",D181&lt;=-ZPercent,"D",TRUE,"Z")</f>
        <v>D</v>
      </c>
      <c r="F181" s="294" t="str">
        <f t="shared" ca="1" si="128"/>
        <v>DD</v>
      </c>
      <c r="G181" s="294" t="str">
        <f t="shared" ca="1" si="129"/>
        <v>DDD</v>
      </c>
      <c r="H181" s="874" t="str">
        <f t="shared" ca="1" si="123"/>
        <v/>
      </c>
      <c r="J181" s="89" vm="188">
        <f ca="1"/>
        <v>45910</v>
      </c>
      <c r="K181" s="89" vm="189">
        <f ca="1"/>
        <v>223.7</v>
      </c>
      <c r="N181" s="874" t="str">
        <f ca="1">IF(F181=[2]Sheet1!O179,"","dif")</f>
        <v>dif</v>
      </c>
    </row>
    <row r="182" spans="2:14" x14ac:dyDescent="0.3">
      <c r="B182" s="89" vm="186">
        <f ca="1"/>
        <v>45723</v>
      </c>
      <c r="C182" s="89" vm="187">
        <f ca="1"/>
        <v>254.35</v>
      </c>
      <c r="D182" s="1225">
        <f t="shared" ca="1" si="127"/>
        <v>-2.6784006122058647E-2</v>
      </c>
      <c r="E182" s="294" t="str" cm="1">
        <f t="array" aca="1" ref="E182" ca="1">_xlfn.IFS(D182&gt;ZPercent,"U",D182&lt;=-ZPercent,"D",TRUE,"Z")</f>
        <v>D</v>
      </c>
      <c r="F182" s="294" t="str">
        <f t="shared" ca="1" si="128"/>
        <v>DD</v>
      </c>
      <c r="G182" s="294" t="str">
        <f t="shared" ca="1" si="129"/>
        <v>UDD</v>
      </c>
      <c r="H182" s="874" t="str">
        <f t="shared" ca="1" si="123"/>
        <v/>
      </c>
      <c r="J182" s="89" vm="184">
        <f ca="1"/>
        <v>45911</v>
      </c>
      <c r="K182" s="89" vm="185">
        <f ca="1"/>
        <v>219.8</v>
      </c>
      <c r="N182" s="874" t="str">
        <f ca="1">IF(F182=[2]Sheet1!O180,"","dif")</f>
        <v>dif</v>
      </c>
    </row>
    <row r="183" spans="2:14" x14ac:dyDescent="0.3">
      <c r="B183" s="89" vm="182">
        <f ca="1"/>
        <v>45722</v>
      </c>
      <c r="C183" s="89" vm="183">
        <f ca="1"/>
        <v>261.35000000000002</v>
      </c>
      <c r="D183" s="1225">
        <f t="shared" ca="1" si="127"/>
        <v>-1.2655836796373124E-2</v>
      </c>
      <c r="E183" s="294" t="str" cm="1">
        <f t="array" aca="1" ref="E183" ca="1">_xlfn.IFS(D183&gt;ZPercent,"U",D183&lt;=-ZPercent,"D",TRUE,"Z")</f>
        <v>D</v>
      </c>
      <c r="F183" s="294" t="str">
        <f t="shared" ca="1" si="128"/>
        <v>UD</v>
      </c>
      <c r="G183" s="294" t="str">
        <f t="shared" ca="1" si="129"/>
        <v>DUD</v>
      </c>
      <c r="H183" s="874" t="str">
        <f t="shared" ca="1" si="123"/>
        <v/>
      </c>
      <c r="J183" s="89" vm="180">
        <f ca="1"/>
        <v>45912</v>
      </c>
      <c r="K183" s="89" vm="181">
        <f ca="1"/>
        <v>220.9</v>
      </c>
      <c r="N183" s="874" t="str">
        <f ca="1">IF(F183=[2]Sheet1!O181,"","dif")</f>
        <v>dif</v>
      </c>
    </row>
    <row r="184" spans="2:14" x14ac:dyDescent="0.3">
      <c r="B184" s="89" vm="178">
        <f ca="1"/>
        <v>45721</v>
      </c>
      <c r="C184" s="89" vm="179">
        <f ca="1"/>
        <v>264.7</v>
      </c>
      <c r="D184" s="1225">
        <f t="shared" ca="1" si="127"/>
        <v>2.2205058891677933E-2</v>
      </c>
      <c r="E184" s="294" t="str" cm="1">
        <f t="array" aca="1" ref="E184" ca="1">_xlfn.IFS(D184&gt;ZPercent,"U",D184&lt;=-ZPercent,"D",TRUE,"Z")</f>
        <v>U</v>
      </c>
      <c r="F184" s="294" t="str">
        <f t="shared" ca="1" si="128"/>
        <v>DU</v>
      </c>
      <c r="G184" s="294" t="str">
        <f t="shared" ca="1" si="129"/>
        <v>UDU</v>
      </c>
      <c r="H184" s="874" t="str">
        <f t="shared" ca="1" si="123"/>
        <v/>
      </c>
      <c r="J184" s="89" vm="176">
        <f ca="1"/>
        <v>45915</v>
      </c>
      <c r="K184" s="89" vm="177">
        <f ca="1"/>
        <v>214.65</v>
      </c>
      <c r="N184" s="874" t="str">
        <f ca="1">IF(F184=[2]Sheet1!O182,"","dif")</f>
        <v>dif</v>
      </c>
    </row>
    <row r="185" spans="2:14" x14ac:dyDescent="0.3">
      <c r="B185" s="89" vm="174">
        <f ca="1"/>
        <v>45720</v>
      </c>
      <c r="C185" s="89" vm="175">
        <f ca="1"/>
        <v>258.95</v>
      </c>
      <c r="D185" s="1225">
        <f t="shared" ca="1" si="127"/>
        <v>-4.6400294605045196E-2</v>
      </c>
      <c r="E185" s="294" t="str" cm="1">
        <f t="array" aca="1" ref="E185" ca="1">_xlfn.IFS(D185&gt;ZPercent,"U",D185&lt;=-ZPercent,"D",TRUE,"Z")</f>
        <v>D</v>
      </c>
      <c r="F185" s="294" t="str">
        <f t="shared" ca="1" si="128"/>
        <v>UD</v>
      </c>
      <c r="G185" s="294" t="str">
        <f t="shared" ca="1" si="129"/>
        <v>DUD</v>
      </c>
      <c r="H185" s="874" t="str">
        <f t="shared" ca="1" si="123"/>
        <v/>
      </c>
      <c r="J185" s="89" vm="172">
        <f ca="1"/>
        <v>45916</v>
      </c>
      <c r="K185" s="89" vm="173">
        <f ca="1"/>
        <v>210.95</v>
      </c>
      <c r="N185" s="874" t="str">
        <f ca="1">IF(F185=[2]Sheet1!O183,"","dif")</f>
        <v>dif</v>
      </c>
    </row>
    <row r="186" spans="2:14" x14ac:dyDescent="0.3">
      <c r="B186" s="89" vm="170">
        <f ca="1"/>
        <v>45719</v>
      </c>
      <c r="C186" s="89" vm="171">
        <f ca="1"/>
        <v>271.55</v>
      </c>
      <c r="D186" s="1225">
        <f t="shared" ca="1" si="127"/>
        <v>2.3558235959291369E-2</v>
      </c>
      <c r="E186" s="294" t="str" cm="1">
        <f t="array" aca="1" ref="E186" ca="1">_xlfn.IFS(D186&gt;ZPercent,"U",D186&lt;=-ZPercent,"D",TRUE,"Z")</f>
        <v>U</v>
      </c>
      <c r="F186" s="294" t="str">
        <f t="shared" ca="1" si="128"/>
        <v>DU</v>
      </c>
      <c r="G186" s="294" t="str">
        <f t="shared" ca="1" si="129"/>
        <v>DDU</v>
      </c>
      <c r="H186" s="874" t="str">
        <f t="shared" ca="1" si="123"/>
        <v/>
      </c>
      <c r="J186" s="89" vm="168">
        <f ca="1"/>
        <v>45917</v>
      </c>
      <c r="K186" s="89" vm="169">
        <f ca="1"/>
        <v>217.7</v>
      </c>
      <c r="N186" s="874" t="str">
        <f ca="1">IF(F186=[2]Sheet1!O184,"","dif")</f>
        <v>dif</v>
      </c>
    </row>
    <row r="187" spans="2:14" x14ac:dyDescent="0.3">
      <c r="B187" s="89" vm="166">
        <f ca="1"/>
        <v>45716</v>
      </c>
      <c r="C187" s="89" vm="167">
        <f ca="1"/>
        <v>265.3</v>
      </c>
      <c r="D187" s="1225">
        <f t="shared" ca="1" si="127"/>
        <v>-8.2242990654205188E-3</v>
      </c>
      <c r="E187" s="294" t="str" cm="1">
        <f t="array" aca="1" ref="E187" ca="1">_xlfn.IFS(D187&gt;ZPercent,"U",D187&lt;=-ZPercent,"D",TRUE,"Z")</f>
        <v>D</v>
      </c>
      <c r="F187" s="294" t="str">
        <f t="shared" ca="1" si="128"/>
        <v>DD</v>
      </c>
      <c r="G187" s="294" t="str">
        <f t="shared" ca="1" si="129"/>
        <v>UDD</v>
      </c>
      <c r="H187" s="874" t="str">
        <f t="shared" ca="1" si="123"/>
        <v/>
      </c>
      <c r="J187" s="89" vm="164">
        <f ca="1"/>
        <v>45918</v>
      </c>
      <c r="K187" s="89" vm="165">
        <f ca="1"/>
        <v>229.5</v>
      </c>
      <c r="N187" s="874" t="str">
        <f ca="1">IF(F187=[2]Sheet1!O185,"","dif")</f>
        <v>dif</v>
      </c>
    </row>
    <row r="188" spans="2:14" x14ac:dyDescent="0.3">
      <c r="B188" s="89" vm="162">
        <f ca="1"/>
        <v>45715</v>
      </c>
      <c r="C188" s="89" vm="163">
        <f ca="1"/>
        <v>267.5</v>
      </c>
      <c r="D188" s="1225">
        <f t="shared" ca="1" si="127"/>
        <v>-2.7979651162790657E-2</v>
      </c>
      <c r="E188" s="294" t="str" cm="1">
        <f t="array" aca="1" ref="E188" ca="1">_xlfn.IFS(D188&gt;ZPercent,"U",D188&lt;=-ZPercent,"D",TRUE,"Z")</f>
        <v>D</v>
      </c>
      <c r="F188" s="294" t="str">
        <f t="shared" ca="1" si="128"/>
        <v>UD</v>
      </c>
      <c r="G188" s="294" t="str">
        <f t="shared" ca="1" si="129"/>
        <v>DUD</v>
      </c>
      <c r="H188" s="874" t="str">
        <f t="shared" ca="1" si="123"/>
        <v/>
      </c>
      <c r="J188" s="89" vm="160">
        <f ca="1"/>
        <v>45919</v>
      </c>
      <c r="K188" s="89" vm="161">
        <f ca="1"/>
        <v>227.55</v>
      </c>
      <c r="N188" s="874" t="str">
        <f ca="1">IF(F188=[2]Sheet1!O186,"","dif")</f>
        <v>dif</v>
      </c>
    </row>
    <row r="189" spans="2:14" x14ac:dyDescent="0.3">
      <c r="B189" s="89" vm="158">
        <f ca="1"/>
        <v>45714</v>
      </c>
      <c r="C189" s="89" vm="159">
        <f ca="1"/>
        <v>275.2</v>
      </c>
      <c r="D189" s="1225">
        <f t="shared" ca="1" si="127"/>
        <v>1.0279001468428825E-2</v>
      </c>
      <c r="E189" s="294" t="str" cm="1">
        <f t="array" aca="1" ref="E189" ca="1">_xlfn.IFS(D189&gt;ZPercent,"U",D189&lt;=-ZPercent,"D",TRUE,"Z")</f>
        <v>U</v>
      </c>
      <c r="F189" s="294" t="str">
        <f t="shared" ca="1" si="128"/>
        <v>DU</v>
      </c>
      <c r="G189" s="294" t="str">
        <f t="shared" ca="1" si="129"/>
        <v>ZDU</v>
      </c>
      <c r="H189" s="874" t="str">
        <f t="shared" ca="1" si="123"/>
        <v/>
      </c>
      <c r="J189" s="89" vm="156">
        <f ca="1"/>
        <v>45922</v>
      </c>
      <c r="K189" s="89" vm="157">
        <f ca="1"/>
        <v>224.7</v>
      </c>
      <c r="N189" s="874" t="str">
        <f ca="1">IF(F189=[2]Sheet1!O187,"","dif")</f>
        <v>dif</v>
      </c>
    </row>
    <row r="190" spans="2:14" x14ac:dyDescent="0.3">
      <c r="B190" s="89" vm="154">
        <f ca="1"/>
        <v>45713</v>
      </c>
      <c r="C190" s="89" vm="155">
        <f ca="1"/>
        <v>272.39999999999998</v>
      </c>
      <c r="D190" s="1225">
        <f t="shared" ca="1" si="127"/>
        <v>-6.926722566533117E-3</v>
      </c>
      <c r="E190" s="294" t="str" cm="1">
        <f t="array" aca="1" ref="E190" ca="1">_xlfn.IFS(D190&gt;ZPercent,"U",D190&lt;=-ZPercent,"D",TRUE,"Z")</f>
        <v>D</v>
      </c>
      <c r="F190" s="294" t="str">
        <f t="shared" ca="1" si="128"/>
        <v>ZD</v>
      </c>
      <c r="G190" s="294" t="str">
        <f t="shared" ca="1" si="129"/>
        <v>ZZD</v>
      </c>
      <c r="H190" s="874" t="str">
        <f t="shared" ca="1" si="123"/>
        <v>ZZ</v>
      </c>
      <c r="J190" s="89" vm="152">
        <f ca="1"/>
        <v>45923</v>
      </c>
      <c r="K190" s="89" vm="153">
        <f ca="1"/>
        <v>226.2</v>
      </c>
      <c r="N190" s="874" t="str">
        <f ca="1">IF(F190=[2]Sheet1!O188,"","dif")</f>
        <v>dif</v>
      </c>
    </row>
    <row r="191" spans="2:14" x14ac:dyDescent="0.3">
      <c r="B191" s="89" vm="150">
        <f ca="1"/>
        <v>45712</v>
      </c>
      <c r="C191" s="89" vm="151">
        <f ca="1"/>
        <v>274.3</v>
      </c>
      <c r="D191" s="1225">
        <f t="shared" ca="1" si="127"/>
        <v>2.5584795321637009E-3</v>
      </c>
      <c r="E191" s="294" t="str" cm="1">
        <f t="array" aca="1" ref="E191" ca="1">_xlfn.IFS(D191&gt;ZPercent,"U",D191&lt;=-ZPercent,"D",TRUE,"Z")</f>
        <v>Z</v>
      </c>
      <c r="F191" s="294" t="str">
        <f t="shared" ca="1" si="128"/>
        <v>ZZ</v>
      </c>
      <c r="G191" s="294" t="str">
        <f t="shared" ca="1" si="129"/>
        <v>ZZZ</v>
      </c>
      <c r="H191" s="874" t="str">
        <f t="shared" ca="1" si="123"/>
        <v/>
      </c>
      <c r="J191" s="89" vm="148">
        <f ca="1"/>
        <v>45924</v>
      </c>
      <c r="K191" s="89" vm="149">
        <f ca="1"/>
        <v>228</v>
      </c>
      <c r="N191" s="874" t="str">
        <f ca="1">IF(F191=[2]Sheet1!O189,"","dif")</f>
        <v>dif</v>
      </c>
    </row>
    <row r="192" spans="2:14" x14ac:dyDescent="0.3">
      <c r="B192" s="89" vm="146">
        <f ca="1"/>
        <v>45709</v>
      </c>
      <c r="C192" s="89" vm="147">
        <f ca="1"/>
        <v>273.60000000000002</v>
      </c>
      <c r="D192" s="1225">
        <f t="shared" ca="1" si="127"/>
        <v>-4.9099836333877647E-3</v>
      </c>
      <c r="E192" s="294" t="str" cm="1">
        <f t="array" aca="1" ref="E192" ca="1">_xlfn.IFS(D192&gt;ZPercent,"U",D192&lt;=-ZPercent,"D",TRUE,"Z")</f>
        <v>Z</v>
      </c>
      <c r="F192" s="294" t="str">
        <f t="shared" ca="1" si="128"/>
        <v>ZZ</v>
      </c>
      <c r="G192" s="294" t="str">
        <f t="shared" ca="1" si="129"/>
        <v>DZZ</v>
      </c>
      <c r="H192" s="874" t="str">
        <f t="shared" ca="1" si="123"/>
        <v/>
      </c>
      <c r="J192" s="89" vm="144">
        <f ca="1"/>
        <v>45925</v>
      </c>
      <c r="K192" s="89" vm="145">
        <f ca="1"/>
        <v>225.2</v>
      </c>
      <c r="N192" s="874" t="str">
        <f ca="1">IF(F192=[2]Sheet1!O190,"","dif")</f>
        <v>dif</v>
      </c>
    </row>
    <row r="193" spans="2:14" x14ac:dyDescent="0.3">
      <c r="B193" s="89" vm="142">
        <f ca="1"/>
        <v>45708</v>
      </c>
      <c r="C193" s="89" vm="143">
        <f ca="1"/>
        <v>274.95</v>
      </c>
      <c r="D193" s="1225">
        <f t="shared" ca="1" si="127"/>
        <v>-4.8859934853421015E-3</v>
      </c>
      <c r="E193" s="294" t="str" cm="1">
        <f t="array" aca="1" ref="E193" ca="1">_xlfn.IFS(D193&gt;ZPercent,"U",D193&lt;=-ZPercent,"D",TRUE,"Z")</f>
        <v>Z</v>
      </c>
      <c r="F193" s="294" t="str">
        <f t="shared" ca="1" si="128"/>
        <v>DZ</v>
      </c>
      <c r="G193" s="294" t="str">
        <f t="shared" ca="1" si="129"/>
        <v>DDZ</v>
      </c>
      <c r="H193" s="874" t="str">
        <f t="shared" ca="1" si="123"/>
        <v/>
      </c>
      <c r="J193" s="89" vm="140">
        <f ca="1"/>
        <v>45926</v>
      </c>
      <c r="K193" s="89" vm="141">
        <f ca="1"/>
        <v>225.15</v>
      </c>
      <c r="N193" s="874" t="str">
        <f ca="1">IF(F193=[2]Sheet1!O191,"","dif")</f>
        <v>dif</v>
      </c>
    </row>
    <row r="194" spans="2:14" x14ac:dyDescent="0.3">
      <c r="B194" s="89" vm="138">
        <f ca="1"/>
        <v>45707</v>
      </c>
      <c r="C194" s="89" vm="139">
        <f ca="1"/>
        <v>276.3</v>
      </c>
      <c r="D194" s="1225">
        <f t="shared" ca="1" si="127"/>
        <v>-7.3648284533860651E-3</v>
      </c>
      <c r="E194" s="294" t="str" cm="1">
        <f t="array" aca="1" ref="E194" ca="1">_xlfn.IFS(D194&gt;ZPercent,"U",D194&lt;=-ZPercent,"D",TRUE,"Z")</f>
        <v>D</v>
      </c>
      <c r="F194" s="294" t="str">
        <f t="shared" ca="1" si="128"/>
        <v>DD</v>
      </c>
      <c r="G194" s="294" t="str">
        <f t="shared" ca="1" si="129"/>
        <v>UDD</v>
      </c>
      <c r="H194" s="874" t="str">
        <f t="shared" ca="1" si="123"/>
        <v/>
      </c>
      <c r="J194" s="89" vm="136">
        <f ca="1"/>
        <v>45929</v>
      </c>
      <c r="K194" s="89" vm="137">
        <f ca="1"/>
        <v>225.55</v>
      </c>
      <c r="N194" s="874" t="str">
        <f ca="1">IF(F194=[2]Sheet1!O192,"","dif")</f>
        <v>dif</v>
      </c>
    </row>
    <row r="195" spans="2:14" x14ac:dyDescent="0.3">
      <c r="B195" s="89" vm="135">
        <f ca="1"/>
        <v>45706</v>
      </c>
      <c r="C195" s="89" vm="116">
        <f ca="1"/>
        <v>278.35000000000002</v>
      </c>
      <c r="D195" s="1225">
        <f t="shared" ca="1" si="127"/>
        <v>-6.247768654052124E-3</v>
      </c>
      <c r="E195" s="294" t="str" cm="1">
        <f t="array" aca="1" ref="E195" ca="1">_xlfn.IFS(D195&gt;ZPercent,"U",D195&lt;=-ZPercent,"D",TRUE,"Z")</f>
        <v>D</v>
      </c>
      <c r="F195" s="294" t="str">
        <f t="shared" ca="1" si="128"/>
        <v>UD</v>
      </c>
      <c r="G195" s="294" t="str">
        <f t="shared" ca="1" si="129"/>
        <v>DUD</v>
      </c>
      <c r="H195" s="874" t="str">
        <f t="shared" ca="1" si="123"/>
        <v/>
      </c>
      <c r="J195" s="89" vm="133">
        <f ca="1"/>
        <v>45930</v>
      </c>
      <c r="K195" s="89" vm="134">
        <f ca="1"/>
        <v>227.9</v>
      </c>
      <c r="N195" s="874" t="str">
        <f ca="1">IF(F195=[2]Sheet1!O193,"","dif")</f>
        <v>dif</v>
      </c>
    </row>
    <row r="196" spans="2:14" x14ac:dyDescent="0.3">
      <c r="B196" s="89" vm="131">
        <f ca="1"/>
        <v>45705</v>
      </c>
      <c r="C196" s="89" vm="132">
        <f ca="1"/>
        <v>280.10000000000002</v>
      </c>
      <c r="D196" s="1225">
        <f t="shared" ca="1" si="127"/>
        <v>1.137389420473022E-2</v>
      </c>
      <c r="E196" s="294" t="str" cm="1">
        <f t="array" aca="1" ref="E196" ca="1">_xlfn.IFS(D196&gt;ZPercent,"U",D196&lt;=-ZPercent,"D",TRUE,"Z")</f>
        <v>U</v>
      </c>
      <c r="F196" s="294" t="str">
        <f t="shared" ca="1" si="128"/>
        <v>DU</v>
      </c>
      <c r="G196" s="294" t="str">
        <f t="shared" ca="1" si="129"/>
        <v>ZDU</v>
      </c>
      <c r="H196" s="874" t="str">
        <f t="shared" ca="1" si="123"/>
        <v/>
      </c>
      <c r="J196" s="89" vm="129">
        <f ca="1"/>
        <v>45931</v>
      </c>
      <c r="K196" s="89" vm="130">
        <f ca="1"/>
        <v>227.8</v>
      </c>
      <c r="N196" s="874" t="str">
        <f ca="1">IF(F196=[2]Sheet1!O194,"","dif")</f>
        <v>dif</v>
      </c>
    </row>
    <row r="197" spans="2:14" x14ac:dyDescent="0.3">
      <c r="B197" s="89" vm="127">
        <f ca="1"/>
        <v>45702</v>
      </c>
      <c r="C197" s="89" vm="128">
        <f ca="1"/>
        <v>276.95</v>
      </c>
      <c r="D197" s="1225">
        <f t="shared" ca="1" si="127"/>
        <v>-1.1951480556546637E-2</v>
      </c>
      <c r="E197" s="294" t="str" cm="1">
        <f t="array" aca="1" ref="E197" ca="1">_xlfn.IFS(D197&gt;ZPercent,"U",D197&lt;=-ZPercent,"D",TRUE,"Z")</f>
        <v>D</v>
      </c>
      <c r="F197" s="294" t="str">
        <f t="shared" ca="1" si="128"/>
        <v>ZD</v>
      </c>
      <c r="G197" s="294" t="str">
        <f t="shared" ca="1" si="129"/>
        <v>ZZD</v>
      </c>
      <c r="H197" s="874" t="str">
        <f t="shared" ca="1" si="123"/>
        <v>ZZ</v>
      </c>
      <c r="J197" s="89" vm="125">
        <f ca="1"/>
        <v>45932</v>
      </c>
      <c r="K197" s="89" vm="126">
        <f ca="1"/>
        <v>232.1</v>
      </c>
      <c r="N197" s="874" t="str">
        <f ca="1">IF(F197=[2]Sheet1!O195,"","dif")</f>
        <v>dif</v>
      </c>
    </row>
    <row r="198" spans="2:14" x14ac:dyDescent="0.3">
      <c r="B198" s="89" vm="123">
        <f ca="1"/>
        <v>45701</v>
      </c>
      <c r="C198" s="89" vm="124">
        <f ca="1"/>
        <v>280.3</v>
      </c>
      <c r="D198" s="1225">
        <f t="shared" ca="1" si="127"/>
        <v>4.1196489342648548E-3</v>
      </c>
      <c r="E198" s="294" t="str" cm="1">
        <f t="array" aca="1" ref="E198" ca="1">_xlfn.IFS(D198&gt;ZPercent,"U",D198&lt;=-ZPercent,"D",TRUE,"Z")</f>
        <v>Z</v>
      </c>
      <c r="F198" s="294" t="str">
        <f t="shared" ca="1" si="128"/>
        <v>ZZ</v>
      </c>
      <c r="G198" s="294" t="str">
        <f t="shared" ca="1" si="129"/>
        <v>UZZ</v>
      </c>
      <c r="H198" s="874" t="str">
        <f t="shared" ref="H198:H212" ca="1" si="130">IF(AND(E198="D",E199="Z"),"ZZ","")</f>
        <v/>
      </c>
      <c r="J198" s="89" vm="121">
        <f ca="1"/>
        <v>45933</v>
      </c>
      <c r="K198" s="89" vm="122">
        <f ca="1"/>
        <v>230.15</v>
      </c>
      <c r="N198" s="874" t="str">
        <f ca="1">IF(F198=[2]Sheet1!O196,"","dif")</f>
        <v>dif</v>
      </c>
    </row>
    <row r="199" spans="2:14" x14ac:dyDescent="0.3">
      <c r="B199" s="89" vm="119">
        <f ca="1"/>
        <v>45700</v>
      </c>
      <c r="C199" s="89" vm="120">
        <f ca="1"/>
        <v>279.14999999999998</v>
      </c>
      <c r="D199" s="1225">
        <f t="shared" ca="1" si="127"/>
        <v>2.8740793964431633E-3</v>
      </c>
      <c r="E199" s="294" t="str" cm="1">
        <f t="array" aca="1" ref="E199" ca="1">_xlfn.IFS(D199&gt;ZPercent,"U",D199&lt;=-ZPercent,"D",TRUE,"Z")</f>
        <v>Z</v>
      </c>
      <c r="F199" s="294" t="str">
        <f t="shared" ca="1" si="128"/>
        <v>UZ</v>
      </c>
      <c r="G199" s="294" t="str">
        <f t="shared" ca="1" si="129"/>
        <v>ZUZ</v>
      </c>
      <c r="H199" s="874" t="str">
        <f t="shared" ca="1" si="130"/>
        <v/>
      </c>
      <c r="J199" s="89" vm="117">
        <f ca="1"/>
        <v>45936</v>
      </c>
      <c r="K199" s="89" vm="118">
        <f ca="1"/>
        <v>231.6</v>
      </c>
      <c r="N199" s="874" t="str">
        <f ca="1">IF(F199=[2]Sheet1!O197,"","dif")</f>
        <v>dif</v>
      </c>
    </row>
    <row r="200" spans="2:14" x14ac:dyDescent="0.3">
      <c r="B200" s="89" vm="115">
        <f ca="1"/>
        <v>45699</v>
      </c>
      <c r="C200" s="89" vm="116">
        <f ca="1"/>
        <v>278.35000000000002</v>
      </c>
      <c r="D200" s="1225">
        <f t="shared" ca="1" si="127"/>
        <v>2.4098601913171491E-2</v>
      </c>
      <c r="E200" s="294" t="str" cm="1">
        <f t="array" aca="1" ref="E200" ca="1">_xlfn.IFS(D200&gt;ZPercent,"U",D200&lt;=-ZPercent,"D",TRUE,"Z")</f>
        <v>U</v>
      </c>
      <c r="F200" s="294" t="str">
        <f t="shared" ca="1" si="128"/>
        <v>ZU</v>
      </c>
      <c r="G200" s="294" t="str">
        <f t="shared" ca="1" si="129"/>
        <v>DZU</v>
      </c>
      <c r="H200" s="874" t="str">
        <f t="shared" ca="1" si="130"/>
        <v/>
      </c>
      <c r="J200" s="89" vm="113">
        <f ca="1"/>
        <v>45937</v>
      </c>
      <c r="K200" s="89" vm="114">
        <f ca="1"/>
        <v>235</v>
      </c>
      <c r="N200" s="874" t="str">
        <f ca="1">IF(F200=[2]Sheet1!O198,"","dif")</f>
        <v>dif</v>
      </c>
    </row>
    <row r="201" spans="2:14" x14ac:dyDescent="0.3">
      <c r="B201" s="89" vm="111">
        <f ca="1"/>
        <v>45698</v>
      </c>
      <c r="C201" s="89" vm="112">
        <f ca="1"/>
        <v>271.8</v>
      </c>
      <c r="D201" s="1225">
        <f t="shared" ca="1" si="127"/>
        <v>2.9520295202952449E-3</v>
      </c>
      <c r="E201" s="294" t="str" cm="1">
        <f t="array" aca="1" ref="E201" ca="1">_xlfn.IFS(D201&gt;ZPercent,"U",D201&lt;=-ZPercent,"D",TRUE,"Z")</f>
        <v>Z</v>
      </c>
      <c r="F201" s="294" t="str">
        <f t="shared" ca="1" si="128"/>
        <v>DZ</v>
      </c>
      <c r="G201" s="294" t="str">
        <f t="shared" ca="1" si="129"/>
        <v>UDZ</v>
      </c>
      <c r="H201" s="874" t="str">
        <f t="shared" ca="1" si="130"/>
        <v/>
      </c>
      <c r="J201" s="89" vm="109">
        <f ca="1"/>
        <v>45938</v>
      </c>
      <c r="K201" s="89" vm="110">
        <f ca="1"/>
        <v>237.2</v>
      </c>
      <c r="N201" s="874" t="str">
        <f ca="1">IF(F201=[2]Sheet1!O199,"","dif")</f>
        <v>dif</v>
      </c>
    </row>
    <row r="202" spans="2:14" x14ac:dyDescent="0.3">
      <c r="B202" s="1394" vm="107">
        <f ca="1"/>
        <v>45695</v>
      </c>
      <c r="C202" s="1395" vm="108">
        <f ca="1"/>
        <v>271</v>
      </c>
      <c r="D202" s="1225">
        <f t="shared" ref="D202:D212" ca="1" si="131">IFERROR((C202-C203)/C203,0)</f>
        <v>-9.6839027955416684E-3</v>
      </c>
      <c r="E202" s="294" t="str" cm="1">
        <f t="array" aca="1" ref="E202" ca="1">_xlfn.IFS(D202&gt;ZPercent,"U",D202&lt;=-ZPercent,"D",TRUE,"Z")</f>
        <v>D</v>
      </c>
      <c r="F202" s="294" t="str">
        <f t="shared" ref="F202:F212" ca="1" si="132">_xlfn.CONCAT(E203,E202)</f>
        <v>UD</v>
      </c>
      <c r="G202" s="294" t="str">
        <f t="shared" ref="G202:G212" ca="1" si="133">_xlfn.CONCAT(E204,E203,E202)</f>
        <v>UUD</v>
      </c>
      <c r="H202" s="874" t="str">
        <f t="shared" ca="1" si="130"/>
        <v/>
      </c>
      <c r="J202" s="89" vm="105">
        <f ca="1"/>
        <v>45939</v>
      </c>
      <c r="K202" s="89" vm="106">
        <f ca="1"/>
        <v>237.8</v>
      </c>
      <c r="N202" s="874" t="str">
        <f ca="1">IF(F202=[2]Sheet1!O200,"","dif")</f>
        <v>dif</v>
      </c>
    </row>
    <row r="203" spans="2:14" x14ac:dyDescent="0.3">
      <c r="B203" s="1394" vm="103">
        <f ca="1"/>
        <v>45694</v>
      </c>
      <c r="C203" s="1395" vm="104">
        <f ca="1"/>
        <v>273.64999999999998</v>
      </c>
      <c r="D203" s="1225">
        <f t="shared" ca="1" si="131"/>
        <v>1.0524372230428234E-2</v>
      </c>
      <c r="E203" s="294" t="str" cm="1">
        <f t="array" aca="1" ref="E203" ca="1">_xlfn.IFS(D203&gt;ZPercent,"U",D203&lt;=-ZPercent,"D",TRUE,"Z")</f>
        <v>U</v>
      </c>
      <c r="F203" s="294" t="str">
        <f t="shared" ca="1" si="132"/>
        <v>UU</v>
      </c>
      <c r="G203" s="294" t="str">
        <f t="shared" ca="1" si="133"/>
        <v>UUU</v>
      </c>
      <c r="H203" s="874" t="str">
        <f t="shared" ca="1" si="130"/>
        <v/>
      </c>
      <c r="J203" s="89" vm="101">
        <f ca="1"/>
        <v>45940</v>
      </c>
      <c r="K203" s="89" vm="102">
        <f ca="1"/>
        <v>230.55</v>
      </c>
      <c r="N203" s="874" t="str">
        <f ca="1">IF(F203=[2]Sheet1!O201,"","dif")</f>
        <v>dif</v>
      </c>
    </row>
    <row r="204" spans="2:14" x14ac:dyDescent="0.3">
      <c r="B204" s="1394" vm="99">
        <f ca="1"/>
        <v>45693</v>
      </c>
      <c r="C204" s="1395" vm="100">
        <f ca="1"/>
        <v>270.8</v>
      </c>
      <c r="D204" s="1225">
        <f t="shared" ca="1" si="131"/>
        <v>1.3093901982790871E-2</v>
      </c>
      <c r="E204" s="294" t="str" cm="1">
        <f t="array" aca="1" ref="E204" ca="1">_xlfn.IFS(D204&gt;ZPercent,"U",D204&lt;=-ZPercent,"D",TRUE,"Z")</f>
        <v>U</v>
      </c>
      <c r="F204" s="294" t="str">
        <f t="shared" ca="1" si="132"/>
        <v>UU</v>
      </c>
      <c r="G204" s="294" t="str">
        <f t="shared" ca="1" si="133"/>
        <v>DUU</v>
      </c>
      <c r="H204" s="874" t="str">
        <f t="shared" ca="1" si="130"/>
        <v/>
      </c>
      <c r="J204" s="89" vm="97">
        <f ca="1"/>
        <v>45943</v>
      </c>
      <c r="K204" s="89" vm="98">
        <f ca="1"/>
        <v>231.4</v>
      </c>
      <c r="N204" s="874" t="str">
        <f ca="1">IF(F204=[2]Sheet1!O202,"","dif")</f>
        <v/>
      </c>
    </row>
    <row r="205" spans="2:14" x14ac:dyDescent="0.3">
      <c r="B205" s="1394" vm="95">
        <f ca="1"/>
        <v>45692</v>
      </c>
      <c r="C205" s="1395" vm="96">
        <f ca="1"/>
        <v>267.3</v>
      </c>
      <c r="D205" s="1225">
        <f t="shared" ca="1" si="131"/>
        <v>1.5770473114193558E-2</v>
      </c>
      <c r="E205" s="294" t="str" cm="1">
        <f t="array" aca="1" ref="E205" ca="1">_xlfn.IFS(D205&gt;ZPercent,"U",D205&lt;=-ZPercent,"D",TRUE,"Z")</f>
        <v>U</v>
      </c>
      <c r="F205" s="294" t="str">
        <f t="shared" ca="1" si="132"/>
        <v>DU</v>
      </c>
      <c r="G205" s="294" t="str">
        <f t="shared" ca="1" si="133"/>
        <v>ZDU</v>
      </c>
      <c r="H205" s="874" t="str">
        <f t="shared" ca="1" si="130"/>
        <v/>
      </c>
      <c r="J205" s="89" vm="93">
        <f ca="1"/>
        <v>45944</v>
      </c>
      <c r="K205" s="89" vm="94">
        <f ca="1"/>
        <v>232.7</v>
      </c>
      <c r="N205" s="874" t="str">
        <f ca="1">IF(F205=[2]Sheet1!O203,"","dif")</f>
        <v>dif</v>
      </c>
    </row>
    <row r="206" spans="2:14" x14ac:dyDescent="0.3">
      <c r="B206" s="1394" vm="91">
        <f ca="1"/>
        <v>45691</v>
      </c>
      <c r="C206" s="1395" vm="92">
        <f ca="1"/>
        <v>263.14999999999998</v>
      </c>
      <c r="D206" s="1225">
        <f t="shared" ca="1" si="131"/>
        <v>-1.9925512104283137E-2</v>
      </c>
      <c r="E206" s="294" t="str" cm="1">
        <f t="array" aca="1" ref="E206" ca="1">_xlfn.IFS(D206&gt;ZPercent,"U",D206&lt;=-ZPercent,"D",TRUE,"Z")</f>
        <v>D</v>
      </c>
      <c r="F206" s="294" t="str">
        <f t="shared" ca="1" si="132"/>
        <v>ZD</v>
      </c>
      <c r="G206" s="294" t="str">
        <f t="shared" ca="1" si="133"/>
        <v>ZZD</v>
      </c>
      <c r="H206" s="874" t="str">
        <f t="shared" ca="1" si="130"/>
        <v>ZZ</v>
      </c>
      <c r="J206" s="89" vm="89">
        <f ca="1"/>
        <v>45945</v>
      </c>
      <c r="K206" s="89" vm="90">
        <f ca="1"/>
        <v>234.2</v>
      </c>
      <c r="N206" s="874" t="str">
        <f ca="1">IF(F206=[2]Sheet1!O204,"","dif")</f>
        <v>dif</v>
      </c>
    </row>
    <row r="207" spans="2:14" x14ac:dyDescent="0.3">
      <c r="B207" s="1394" vm="87">
        <f ca="1"/>
        <v>45688</v>
      </c>
      <c r="C207" s="1395" vm="88">
        <f ca="1"/>
        <v>268.5</v>
      </c>
      <c r="D207" s="1225">
        <f t="shared" ca="1" si="131"/>
        <v>1.678791270285352E-3</v>
      </c>
      <c r="E207" s="294" t="str" cm="1">
        <f t="array" aca="1" ref="E207" ca="1">_xlfn.IFS(D207&gt;ZPercent,"U",D207&lt;=-ZPercent,"D",TRUE,"Z")</f>
        <v>Z</v>
      </c>
      <c r="F207" s="294" t="str">
        <f t="shared" ca="1" si="132"/>
        <v>ZZ</v>
      </c>
      <c r="G207" s="294" t="str">
        <f t="shared" ca="1" si="133"/>
        <v>UZZ</v>
      </c>
      <c r="H207" s="874" t="str">
        <f t="shared" ca="1" si="130"/>
        <v/>
      </c>
      <c r="J207" s="1394" vm="85">
        <f ca="1"/>
        <v>45946</v>
      </c>
      <c r="K207" s="1395" vm="86">
        <f ca="1"/>
        <v>233.2</v>
      </c>
      <c r="N207" s="874" t="str">
        <f ca="1">IF(F207=[2]Sheet1!O205,"","dif")</f>
        <v>dif</v>
      </c>
    </row>
    <row r="208" spans="2:14" x14ac:dyDescent="0.3">
      <c r="B208" s="1394" vm="83">
        <f ca="1"/>
        <v>45687</v>
      </c>
      <c r="C208" s="1395" vm="84">
        <f ca="1"/>
        <v>268.05</v>
      </c>
      <c r="D208" s="1225">
        <f t="shared" ca="1" si="131"/>
        <v>3.1811377245509836E-3</v>
      </c>
      <c r="E208" s="294" t="str" cm="1">
        <f t="array" aca="1" ref="E208" ca="1">_xlfn.IFS(D208&gt;ZPercent,"U",D208&lt;=-ZPercent,"D",TRUE,"Z")</f>
        <v>Z</v>
      </c>
      <c r="F208" s="294" t="str">
        <f t="shared" ca="1" si="132"/>
        <v>UZ</v>
      </c>
      <c r="G208" s="294" t="str">
        <f t="shared" ca="1" si="133"/>
        <v>ZUZ</v>
      </c>
      <c r="H208" s="874" t="str">
        <f t="shared" ca="1" si="130"/>
        <v/>
      </c>
      <c r="J208" s="1394" vm="81">
        <f ca="1"/>
        <v>45947</v>
      </c>
      <c r="K208" s="1395" vm="82">
        <f ca="1"/>
        <v>230.95</v>
      </c>
      <c r="N208" s="874" t="str">
        <f ca="1">IF(F208=[2]Sheet1!O206,"","dif")</f>
        <v>dif</v>
      </c>
    </row>
    <row r="209" spans="2:14" x14ac:dyDescent="0.3">
      <c r="B209" s="1394" vm="79">
        <f ca="1"/>
        <v>45686</v>
      </c>
      <c r="C209" s="1395" vm="80">
        <f ca="1"/>
        <v>267.2</v>
      </c>
      <c r="D209" s="1225">
        <f t="shared" ca="1" si="131"/>
        <v>1.7517136329017385E-2</v>
      </c>
      <c r="E209" s="294" t="str" cm="1">
        <f t="array" aca="1" ref="E209" ca="1">_xlfn.IFS(D209&gt;ZPercent,"U",D209&lt;=-ZPercent,"D",TRUE,"Z")</f>
        <v>U</v>
      </c>
      <c r="F209" s="294" t="str">
        <f t="shared" ca="1" si="132"/>
        <v>ZU</v>
      </c>
      <c r="G209" s="294" t="str">
        <f t="shared" ca="1" si="133"/>
        <v>DZU</v>
      </c>
      <c r="H209" s="874" t="str">
        <f t="shared" ca="1" si="130"/>
        <v/>
      </c>
      <c r="J209" s="1394" vm="77">
        <f ca="1"/>
        <v>45950</v>
      </c>
      <c r="K209" s="1395" vm="78">
        <f ca="1"/>
        <v>238.6</v>
      </c>
      <c r="N209" s="874" t="str">
        <f ca="1">IF(F209=[2]Sheet1!O207,"","dif")</f>
        <v>dif</v>
      </c>
    </row>
    <row r="210" spans="2:14" x14ac:dyDescent="0.3">
      <c r="B210" s="1394" vm="75">
        <f ca="1"/>
        <v>45685</v>
      </c>
      <c r="C210" s="1395" vm="76">
        <f ca="1"/>
        <v>262.60000000000002</v>
      </c>
      <c r="D210" s="1225">
        <f t="shared" ca="1" si="131"/>
        <v>4.5906656465189198E-3</v>
      </c>
      <c r="E210" s="294" t="str" cm="1">
        <f t="array" aca="1" ref="E210" ca="1">_xlfn.IFS(D210&gt;ZPercent,"U",D210&lt;=-ZPercent,"D",TRUE,"Z")</f>
        <v>Z</v>
      </c>
      <c r="F210" s="294" t="str">
        <f t="shared" ca="1" si="132"/>
        <v>DZ</v>
      </c>
      <c r="G210" s="294" t="str">
        <f t="shared" ca="1" si="133"/>
        <v>ZDZ</v>
      </c>
      <c r="H210" s="874" t="str">
        <f t="shared" ca="1" si="130"/>
        <v/>
      </c>
      <c r="J210" s="1394" vm="73">
        <f ca="1"/>
        <v>45951</v>
      </c>
      <c r="K210" s="1395" vm="74">
        <f ca="1"/>
        <v>240.4</v>
      </c>
      <c r="N210" s="874" t="str">
        <f ca="1">IF(F210=[2]Sheet1!O208,"","dif")</f>
        <v>dif</v>
      </c>
    </row>
    <row r="211" spans="2:14" x14ac:dyDescent="0.3">
      <c r="B211" s="1394" vm="71">
        <f ca="1"/>
        <v>45684</v>
      </c>
      <c r="C211" s="1395" vm="72">
        <f ca="1"/>
        <v>261.39999999999998</v>
      </c>
      <c r="D211" s="1225">
        <f t="shared" ca="1" si="131"/>
        <v>-8.1578448112313937E-3</v>
      </c>
      <c r="E211" s="294" t="str" cm="1">
        <f t="array" aca="1" ref="E211" ca="1">_xlfn.IFS(D211&gt;ZPercent,"U",D211&lt;=-ZPercent,"D",TRUE,"Z")</f>
        <v>D</v>
      </c>
      <c r="F211" s="294" t="str">
        <f t="shared" ca="1" si="132"/>
        <v>ZD</v>
      </c>
      <c r="G211" s="294" t="str">
        <f t="shared" ca="1" si="133"/>
        <v>ZD</v>
      </c>
      <c r="H211" s="874" t="str">
        <f t="shared" ca="1" si="130"/>
        <v>ZZ</v>
      </c>
      <c r="J211" s="1394" vm="69">
        <f ca="1"/>
        <v>45952</v>
      </c>
      <c r="K211" s="1395" vm="70">
        <f ca="1"/>
        <v>236.85</v>
      </c>
      <c r="N211" s="874" t="str">
        <f ca="1">IF(F211=[2]Sheet1!O209,"","dif")</f>
        <v>dif</v>
      </c>
    </row>
    <row r="212" spans="2:14" x14ac:dyDescent="0.3">
      <c r="B212" s="1394" vm="67">
        <f ca="1"/>
        <v>45681</v>
      </c>
      <c r="C212" s="1395" vm="68">
        <f ca="1"/>
        <v>263.55</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4" vm="65">
        <f ca="1"/>
        <v>45953</v>
      </c>
      <c r="K212" s="1395" vm="66">
        <f ca="1"/>
        <v>242</v>
      </c>
      <c r="N212" s="874" t="str" cm="1">
        <f t="array" aca="1" ref="N212" ca="1">IF(LastMark2=[2]!Last2,"","dif")</f>
        <v>dif</v>
      </c>
    </row>
    <row r="213" spans="2:14" x14ac:dyDescent="0.3">
      <c r="J213" s="874" vm="61">
        <f ca="1"/>
        <v>45954</v>
      </c>
      <c r="K213" s="874" vm="62">
        <f ca="1"/>
        <v>233.35</v>
      </c>
    </row>
    <row r="214" spans="2:14" x14ac:dyDescent="0.3">
      <c r="J214" s="874" vm="57">
        <f ca="1"/>
        <v>45957</v>
      </c>
      <c r="K214" s="874" vm="58">
        <f ca="1"/>
        <v>235.55</v>
      </c>
    </row>
    <row r="215" spans="2:14" x14ac:dyDescent="0.3">
      <c r="J215" s="874" vm="53">
        <f ca="1"/>
        <v>45958</v>
      </c>
      <c r="K215" s="874" vm="54">
        <f ca="1"/>
        <v>234.1</v>
      </c>
    </row>
    <row r="216" spans="2:14" x14ac:dyDescent="0.3">
      <c r="J216" s="874" vm="49">
        <f ca="1"/>
        <v>45959</v>
      </c>
      <c r="K216" s="874" vm="50">
        <f ca="1"/>
        <v>224.3</v>
      </c>
    </row>
    <row r="217" spans="2:14" x14ac:dyDescent="0.3">
      <c r="J217" s="874" vm="45">
        <f ca="1"/>
        <v>45960</v>
      </c>
      <c r="K217" s="874" vm="46">
        <f ca="1"/>
        <v>225.85</v>
      </c>
    </row>
    <row r="218" spans="2:14" x14ac:dyDescent="0.3">
      <c r="J218" s="874" vm="41">
        <f ca="1"/>
        <v>45961</v>
      </c>
      <c r="K218" s="874" vm="42">
        <f ca="1"/>
        <v>224.45</v>
      </c>
    </row>
    <row r="219" spans="2:14" x14ac:dyDescent="0.3">
      <c r="J219" s="874" vm="37">
        <f ca="1"/>
        <v>45964</v>
      </c>
      <c r="K219" s="874" vm="38">
        <f ca="1"/>
        <v>228.85</v>
      </c>
    </row>
    <row r="220" spans="2:14" x14ac:dyDescent="0.3">
      <c r="J220" s="874" vm="33">
        <f ca="1"/>
        <v>45965</v>
      </c>
      <c r="K220" s="874" vm="34">
        <f ca="1"/>
        <v>226.05</v>
      </c>
    </row>
    <row r="221" spans="2:14" x14ac:dyDescent="0.3">
      <c r="J221" s="874" vm="29">
        <f ca="1"/>
        <v>45966</v>
      </c>
      <c r="K221" s="874" vm="30">
        <f ca="1"/>
        <v>227.95</v>
      </c>
    </row>
    <row r="222" spans="2:14" x14ac:dyDescent="0.3">
      <c r="J222" s="874" vm="25">
        <f ca="1"/>
        <v>45967</v>
      </c>
      <c r="K222" s="874" vm="26">
        <f ca="1"/>
        <v>217.95</v>
      </c>
    </row>
    <row r="223" spans="2:14" x14ac:dyDescent="0.3">
      <c r="J223" s="874" vm="21">
        <f ca="1"/>
        <v>45968</v>
      </c>
      <c r="K223" s="874" vm="22">
        <f ca="1"/>
        <v>215.65</v>
      </c>
    </row>
    <row r="224" spans="2:14" x14ac:dyDescent="0.3">
      <c r="J224" s="874" vm="17">
        <f ca="1"/>
        <v>45971</v>
      </c>
      <c r="K224" s="874" vm="18">
        <f ca="1"/>
        <v>216.25</v>
      </c>
    </row>
    <row r="225" spans="10:11" x14ac:dyDescent="0.3">
      <c r="J225" s="874" vm="13">
        <f ca="1"/>
        <v>45972</v>
      </c>
      <c r="K225" s="874" vm="14">
        <f ca="1"/>
        <v>217.05</v>
      </c>
    </row>
    <row r="226" spans="10:11" x14ac:dyDescent="0.3">
      <c r="J226" s="874" vm="9">
        <f ca="1"/>
        <v>45973</v>
      </c>
      <c r="K226" s="874" vm="10">
        <f ca="1"/>
        <v>218.4</v>
      </c>
    </row>
    <row r="227" spans="10:11" x14ac:dyDescent="0.3">
      <c r="J227" s="874" vm="5">
        <f ca="1"/>
        <v>45974</v>
      </c>
      <c r="K227" s="874" vm="6">
        <f ca="1"/>
        <v>218.1</v>
      </c>
    </row>
    <row r="228" spans="10:11" x14ac:dyDescent="0.3">
      <c r="J228" s="874" vm="1">
        <f ca="1"/>
        <v>45975</v>
      </c>
      <c r="K228" s="874" vm="2">
        <f ca="1"/>
        <v>211.1</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1" priority="3026">
      <formula>$BC123=$BB$88</formula>
    </cfRule>
  </conditionalFormatting>
  <conditionalFormatting sqref="BN93:BN101">
    <cfRule type="expression" dxfId="292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3"/>
  <sheetViews>
    <sheetView showZeros="0" topLeftCell="W31" zoomScale="130" zoomScaleNormal="130" workbookViewId="0">
      <selection activeCell="AF22" sqref="AF22:AF2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5" t="s">
        <v>2352</v>
      </c>
      <c r="M1" s="1475"/>
      <c r="N1" s="1475"/>
      <c r="O1" s="1475"/>
      <c r="W1" s="222" t="s">
        <v>1837</v>
      </c>
      <c r="Y1" t="s">
        <v>2806</v>
      </c>
    </row>
    <row r="2" spans="1:32" ht="23" thickBot="1" x14ac:dyDescent="0.35">
      <c r="A2" s="627" t="str">
        <f ca="1">TEXT(_xlfn.XLOOKUP(ID_Currency,BankCheck!F2:F7,BankCheck!D2:D7),"#,#0")&amp;" "&amp;ID_Currency</f>
        <v>2,134,152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[1]DataRT!$A$1</f>
        <v>45978.450810185182</v>
      </c>
      <c r="L3" s="837" t="str" cm="1">
        <f t="array" aca="1" ref="L3:M7" ca="1">_xlfn._xlws.FILTER(CHOOSE({1,2}, TabTRADER[ClickTick], TabTRADER[Sell_Advice]), (TabTRADER[Cur] = ID_Currency) * (TabTRADER[Sell_Advice]&lt;&gt;""),"No Match")</f>
        <v>ASML</v>
      </c>
      <c r="M3" s="835" t="str">
        <f ca="1"/>
        <v>87/3,100=75,774</v>
      </c>
      <c r="N3" s="838" t="str" cm="1">
        <f t="array" aca="1" ref="N3:O4" ca="1">_xlfn._xlws.FILTER(CHOOSE({1,2}, TabTRADER[ClickTick], TabTRADER[Buy_Advice]), (TabTRADER[Cur] = ID_Currency) * (TabTRADER[Buy_Advice]&lt;&gt;""),"No Match")</f>
        <v>ASML</v>
      </c>
      <c r="O3" s="836" t="str">
        <f ca="1"/>
        <v>BUY  129</v>
      </c>
      <c r="R3" s="1"/>
    </row>
    <row r="4" spans="1:32" ht="23" thickBot="1" x14ac:dyDescent="0.35">
      <c r="C4" s="881"/>
      <c r="D4" s="881"/>
      <c r="E4" s="894"/>
      <c r="F4" s="881"/>
      <c r="G4" s="881"/>
      <c r="H4" s="882"/>
      <c r="K4" s="591" t="s">
        <v>1844</v>
      </c>
      <c r="L4" s="839" t="str">
        <f ca="1"/>
        <v>MVEENI</v>
      </c>
      <c r="M4" s="611" t="str">
        <f ca="1"/>
        <v>1,416/36,000=23,357</v>
      </c>
      <c r="N4" s="840" t="str">
        <f ca="1"/>
        <v>JBEOAN</v>
      </c>
      <c r="O4" s="841" t="str">
        <f ca="1"/>
        <v>BUY  5,376</v>
      </c>
    </row>
    <row r="5" spans="1:32" ht="27" x14ac:dyDescent="0.35">
      <c r="A5" s="643" t="s">
        <v>1864</v>
      </c>
      <c r="B5" s="603" t="s">
        <v>1866</v>
      </c>
      <c r="C5" s="878"/>
      <c r="D5" s="883"/>
      <c r="E5" s="884"/>
      <c r="F5" s="878"/>
      <c r="G5" s="883"/>
      <c r="H5" s="884"/>
      <c r="K5" s="630">
        <f ca="1">_xlfn.XLOOKUP(IDTICKER,[1]!RTData[Ticker_Symbol],[1]!RTData[M_Price])</f>
        <v>210.2</v>
      </c>
      <c r="L5" s="839" t="str">
        <f ca="1"/>
        <v>SAFASML</v>
      </c>
      <c r="M5" s="611" t="str">
        <f ca="1"/>
        <v>18/250=15,770</v>
      </c>
      <c r="N5" s="840"/>
      <c r="O5" s="841"/>
      <c r="R5" s="115"/>
    </row>
    <row r="6" spans="1:32" ht="23" thickBot="1" x14ac:dyDescent="0.35">
      <c r="A6" s="626" t="str" cm="1">
        <f t="array" aca="1" ref="A6" ca="1">_xlfn.IFS(H16&gt;0,"Free Stock",StockNow*ID_M&lt;ABS(H16),"n/a",H16&lt;=0,TEXT(-H16/ID_M/GBpScale,"#,#0"))</f>
        <v>n/a</v>
      </c>
      <c r="B6" s="625">
        <f ca="1">_xlfn.XLOOKUP(IDTICKER,[1]!RTData[Ticker_Symbol],[1]!RTData[1YT])</f>
        <v>288.66680000000002</v>
      </c>
      <c r="C6" s="879"/>
      <c r="D6" s="885"/>
      <c r="E6" s="887"/>
      <c r="F6" s="879"/>
      <c r="G6" s="886"/>
      <c r="H6" s="887"/>
      <c r="K6" s="592" t="str">
        <f ca="1">_xlfn.XLOOKUP(K7,[1]!RTData[Ticker_Symbol],[1]!RTData[Currency])</f>
        <v>EUR</v>
      </c>
      <c r="L6" s="839" t="str">
        <f ca="1"/>
        <v>ENI</v>
      </c>
      <c r="M6" s="611" t="str">
        <f ca="1"/>
        <v>3,086/17,000=50,895</v>
      </c>
      <c r="N6" s="840"/>
      <c r="O6" s="841"/>
    </row>
    <row r="7" spans="1:32" ht="28" thickBot="1" x14ac:dyDescent="0.4">
      <c r="A7" s="603" t="str">
        <f ca="1">IF(A8&gt;0,"Sell-to-Cash (GL=0)","Hold")</f>
        <v>Hold</v>
      </c>
      <c r="B7" s="676">
        <f ca="1">GBpScale*((StockNow+_xlfn.XLOOKUP(IDTICKER,TabTRADER[ClickTick],TabTRADER[L_Sn]))*_xlfn.XLOOKUP(IDTICKER,TabTRADER[ClickTick],TabTRADER[Agiotage]))-CurrentValue</f>
        <v>-798131.27994390356</v>
      </c>
      <c r="C7" s="1476" t="str">
        <f ca="1">"Short Term Up:"&amp;TEXT(100*ID_Up20,"#")&amp;"/"&amp;TEXT(100*$C$10,"#")&amp;"/"&amp;TEXT($C$11,"#%")</f>
        <v>Short Term Up:/100/63%</v>
      </c>
      <c r="D7" s="1477"/>
      <c r="E7" s="1324"/>
      <c r="F7" s="1324" t="str">
        <f ca="1">"Long Term Up:"&amp;TEXT(100*ID_Up150,"#")&amp;"/"&amp;TEXT(100*F10,"#")&amp;"/"&amp;TEXT(F11,"#%")</f>
        <v>Long Term Up:22/42/43%</v>
      </c>
      <c r="G7" s="1324"/>
      <c r="H7" s="1330"/>
      <c r="I7" s="7" t="s">
        <v>2698</v>
      </c>
      <c r="J7" s="1"/>
      <c r="K7" s="1063" t="s">
        <v>38</v>
      </c>
      <c r="L7" s="839" t="str">
        <f ca="1"/>
        <v>JBASML</v>
      </c>
      <c r="M7" s="611" t="str">
        <f ca="1"/>
        <v>34/200=29,507</v>
      </c>
      <c r="N7" s="840"/>
      <c r="O7" s="841"/>
    </row>
    <row r="8" spans="1:32" ht="23" thickBot="1" x14ac:dyDescent="0.35">
      <c r="A8" s="599">
        <f ca="1">INT(GL_Now/ID_M)</f>
        <v>-237</v>
      </c>
      <c r="B8" s="676">
        <f ca="1">GBpScale*(StockNow*_xlfn.XLOOKUP(IDTICKER,TabTRADER[ClickTick],TabTRADER[Agiotage]))-CurrentValue</f>
        <v>-798162.71594670846</v>
      </c>
      <c r="C8" s="1331" t="s">
        <v>2803</v>
      </c>
      <c r="E8" s="881"/>
      <c r="F8" s="1331" t="s">
        <v>2727</v>
      </c>
      <c r="G8" s="875"/>
      <c r="H8" s="877"/>
      <c r="I8" s="1089">
        <f ca="1">_xlfn.XLOOKUP(IDTICKER,TabCalc[Ticker],TabCalc[Rev(MinStock)])</f>
        <v>-11075.000000000004</v>
      </c>
      <c r="J8" s="1410"/>
      <c r="K8" s="1064" t="str">
        <f>IDTICKER&amp;1</f>
        <v>SAP1</v>
      </c>
      <c r="L8" s="839"/>
      <c r="M8" s="611"/>
      <c r="N8" s="840"/>
      <c r="O8" s="841"/>
    </row>
    <row r="9" spans="1:32" ht="23" thickBot="1" x14ac:dyDescent="0.35">
      <c r="B9" s="677">
        <f ca="1">(B7-B8)/(_xlfn.XLOOKUP(IDTICKER,TabTRADER[ClickTick],TabTRADER[L_Sn])*ID_M*GBpScale)</f>
        <v>7.4776410097282889E-4</v>
      </c>
      <c r="C9" s="1314">
        <f ca="1">Markov!CQ45</f>
        <v>0</v>
      </c>
      <c r="E9" s="1325"/>
      <c r="F9" s="1314">
        <f ca="1">UpPercent</f>
        <v>0.22222222222222221</v>
      </c>
      <c r="G9" s="877"/>
      <c r="H9" s="889"/>
      <c r="I9" s="1326">
        <f ca="1">_xlfn.XLOOKUP(IDTICKER,TabCalc[Ticker],TabCalc[ReverseB])</f>
        <v>5520.0000000000045</v>
      </c>
      <c r="J9" s="1411"/>
      <c r="K9" s="1065" t="str">
        <f>IDTICKER&amp;2</f>
        <v>SAP2</v>
      </c>
      <c r="L9" s="839"/>
      <c r="M9" s="611"/>
      <c r="N9" s="840"/>
      <c r="O9" s="841"/>
    </row>
    <row r="10" spans="1:32" ht="23" thickBot="1" x14ac:dyDescent="0.35">
      <c r="A10" s="91">
        <f ca="1">(B7-B8)/(B10*GBpScale)-1</f>
        <v>-0.99925223589902712</v>
      </c>
      <c r="B10" s="676">
        <f ca="1">_xlfn.XLOOKUP(IDTICKER,TabTRADER[ClickTick],TabTRADER[L_Sn])*ID_M</f>
        <v>42040</v>
      </c>
      <c r="C10" s="1315">
        <f ca="1">Markov!CH90</f>
        <v>1</v>
      </c>
      <c r="E10" s="1325"/>
      <c r="F10" s="1315">
        <f ca="1">Markov!Y89</f>
        <v>0.42105263157894735</v>
      </c>
      <c r="G10" s="877"/>
      <c r="H10" s="1329"/>
      <c r="I10" s="1327" t="s">
        <v>694</v>
      </c>
      <c r="J10" s="1412"/>
      <c r="K10" s="956">
        <f ca="1">IF(ID_Currency="GBp",0.01,1)</f>
        <v>1</v>
      </c>
      <c r="L10" s="839"/>
      <c r="M10" s="611"/>
      <c r="N10" s="840"/>
      <c r="O10" s="841"/>
    </row>
    <row r="11" spans="1:32" ht="23" thickBot="1" x14ac:dyDescent="0.35">
      <c r="A11" s="633" t="s">
        <v>1875</v>
      </c>
      <c r="B11" s="603" t="s">
        <v>1865</v>
      </c>
      <c r="C11" s="1316">
        <f ca="1">Markov!CH107</f>
        <v>0.62857142857142856</v>
      </c>
      <c r="E11" s="881"/>
      <c r="F11" s="1316">
        <f ca="1">Markov!AC107</f>
        <v>0.42857142857142855</v>
      </c>
      <c r="G11" s="875"/>
      <c r="H11" s="1328"/>
      <c r="I11" s="955">
        <f ca="1">_xlfn.XLOOKUP(IDTICKER,[1]!RTData[Ticker_Symbol],[1]!RTData[RepDiv])*ID_M_Value</f>
        <v>8386.9800000000014</v>
      </c>
      <c r="J11" s="1410"/>
      <c r="K11" s="1162" t="str" cm="1">
        <f t="array" aca="1" ref="K11" ca="1">"High "&amp;TEXT(_xlfn.XLOOKUP(IDTICKER,ListTickers,Tab1High[High20]),"#,#0.00")</f>
        <v>High 211.80</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253.60330565903391</v>
      </c>
      <c r="C12" s="886"/>
      <c r="D12" s="886"/>
      <c r="E12" s="898"/>
      <c r="F12" s="891"/>
      <c r="G12" s="886"/>
      <c r="H12" s="892"/>
      <c r="I12" s="677">
        <f ca="1">_xlfn.XLOOKUP(IDTICKER,[1]!RTData[Ticker_Symbol],[1]!RTData[RepDiv])</f>
        <v>1.0500000000000001E-2</v>
      </c>
      <c r="J12" s="677"/>
      <c r="K12" s="1163" t="str" cm="1">
        <f t="array" aca="1" ref="K12" ca="1">"Low. "&amp;_xlfn.XLOOKUP(IDTICKER,ListTickers,Tab1Low[Low20])</f>
        <v>Low. 209.9</v>
      </c>
      <c r="L12" s="839"/>
      <c r="M12" s="611"/>
      <c r="N12" s="840"/>
      <c r="O12" s="841"/>
      <c r="P12" s="91" cm="1">
        <f t="array" aca="1" ref="P12" ca="1">_xlfn.XLOOKUP(IDTICKER,ListTickers,Tab1ChangePercent[Change%15])</f>
        <v>6.9099999999999995E-3</v>
      </c>
      <c r="Q12" s="91" cm="1">
        <f t="array" aca="1" ref="Q12" ca="1">_xlfn.XLOOKUP(IDTICKER,ListTickers,Tab1ChangePercent[Change%16])</f>
        <v>-1.2235000000000001E-2</v>
      </c>
      <c r="R12" s="91" cm="1">
        <f t="array" aca="1" ref="R12" ca="1">_xlfn.XLOOKUP(IDTICKER,ListTickers,Tab1ChangePercent[Change%17])</f>
        <v>8.405000000000001E-3</v>
      </c>
      <c r="S12" s="91" cm="1">
        <f t="array" aca="1" ref="S12" ca="1">_xlfn.XLOOKUP(IDTICKER,ListTickers,Tab1ChangePercent[Change%18])</f>
        <v>-4.3868999999999998E-2</v>
      </c>
      <c r="T12" s="91" cm="1">
        <f t="array" aca="1" ref="T12" ca="1">_xlfn.XLOOKUP(IDTICKER,ListTickers,Tab1ChangePercent[Change%19])</f>
        <v>-1.0553E-2</v>
      </c>
      <c r="U12" s="91" cm="1">
        <f t="array" aca="1" ref="U12" ca="1">_xlfn.XLOOKUP(IDTICKER,ListTickers,Tab1ChangePercent[Change%20])</f>
        <v>-4.2630000000000003E-3</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192,775</v>
      </c>
      <c r="L13" s="839"/>
      <c r="M13" s="611"/>
      <c r="N13" s="840"/>
      <c r="O13" s="841"/>
      <c r="P13" s="1279">
        <f ca="1">DataShift!U103</f>
        <v>45971</v>
      </c>
      <c r="Q13" s="1279">
        <f ca="1">DataShift!V103</f>
        <v>45972</v>
      </c>
      <c r="R13" s="1279">
        <f ca="1">DataShift!W103</f>
        <v>45973</v>
      </c>
      <c r="S13" s="1279">
        <f ca="1">DataShift!X103</f>
        <v>45974</v>
      </c>
      <c r="T13" s="1279">
        <f ca="1">DataShift!Y103</f>
        <v>45975</v>
      </c>
      <c r="U13" s="1279">
        <f ca="1">DataShift!Z103</f>
        <v>45978</v>
      </c>
    </row>
    <row r="14" spans="1:32" ht="23" thickBot="1" x14ac:dyDescent="0.35">
      <c r="A14" s="597" t="s">
        <v>1915</v>
      </c>
      <c r="B14" s="598" t="s">
        <v>1856</v>
      </c>
      <c r="C14" s="613" t="s">
        <v>1834</v>
      </c>
      <c r="D14" s="966" t="s">
        <v>2143</v>
      </c>
      <c r="E14" s="618" t="s">
        <v>1858</v>
      </c>
      <c r="F14" s="619">
        <f ca="1">SUM(F15:F16)</f>
        <v>914025.45</v>
      </c>
      <c r="G14" s="619">
        <f ca="1">SUM(G15:G16)</f>
        <v>798760</v>
      </c>
      <c r="H14" s="667" t="s">
        <v>1867</v>
      </c>
      <c r="I14" s="69"/>
      <c r="K14" s="970" t="s">
        <v>1852</v>
      </c>
      <c r="L14" s="839"/>
      <c r="M14" s="611"/>
      <c r="N14" s="840"/>
      <c r="O14" s="841"/>
      <c r="P14" s="91" cm="1">
        <f t="array" aca="1" ref="P14" ca="1">_xlfn.XLOOKUP(IDTICKER,ListTickers,Tab2SumChangePercent[AVGChan15])</f>
        <v>-7.5156428571428562E-3</v>
      </c>
      <c r="Q14" s="91" cm="1">
        <f t="array" aca="1" ref="Q14" ca="1">_xlfn.XLOOKUP(IDTICKER,ListTickers,Tab2SumChangePercent[AVGChan16])</f>
        <v>-7.1802023809523809E-3</v>
      </c>
      <c r="R14" s="91" cm="1">
        <f t="array" aca="1" ref="R14" ca="1">_xlfn.XLOOKUP(IDTICKER,ListTickers,Tab2SumChangePercent[AVGChan17])</f>
        <v>-5.3927559523809518E-3</v>
      </c>
      <c r="S14" s="91" cm="1">
        <f t="array" aca="1" ref="S14" ca="1">_xlfn.XLOOKUP(IDTICKER,ListTickers,Tab2SumChangePercent[AVGChan18])</f>
        <v>-3.9183630952380972E-3</v>
      </c>
      <c r="T14" s="91" cm="1">
        <f t="array" aca="1" ref="T14" ca="1">_xlfn.XLOOKUP(IDTICKER,ListTickers,Tab2SumChangePercent[AVGChan19])</f>
        <v>-4.5009821428571442E-3</v>
      </c>
      <c r="U14" s="91" cm="1">
        <f t="array" aca="1" ref="U14" ca="1">_xlfn.XLOOKUP(IDTICKER,ListTickers,Tab2SumChangePercent[AVGChan20])</f>
        <v>-6.2882142857142867E-4</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-13.070292501139186</v>
      </c>
      <c r="D15" s="969" t="str">
        <f ca="1">"M&gt;"&amp;TEXT(ID_A+GLperShare,"#,#0.00")</f>
        <v>M&gt;-253.60</v>
      </c>
      <c r="E15" s="706" cm="1">
        <f t="array" ref="E15">SUM((TabFIFO[Price]&lt;=ID_A)*(TabFIFO[Remaining]))</f>
        <v>1801</v>
      </c>
      <c r="F15" s="615" cm="1">
        <f t="array" aca="1" ref="F15" ca="1">ABS(SUMPRODUCT((TabFIFO[Price]&lt;ID_A)*TabFIFO[Price],TabFIFO[Remaining])*GBpScale)</f>
        <v>454307.9</v>
      </c>
      <c r="G15" s="616" cm="1">
        <f t="array" aca="1" ref="G15" ca="1">SUMPRODUCT((TabFIFO[Price]&lt;ID_A)*ID_M,TabFIFO[Remaining])*GBpScale</f>
        <v>378570.2</v>
      </c>
      <c r="H15" s="623">
        <f ca="1">FirstLot*BeginCost*GBpScale</f>
        <v>-139573.04999999999</v>
      </c>
      <c r="I15" s="624">
        <f ca="1">FirstLot*ID_M*GBpScale+H15</f>
        <v>175726.95</v>
      </c>
      <c r="J15" s="685"/>
      <c r="K15" s="971">
        <f ca="1">_xlfn.XLOOKUP(IDTICKER,[1]!RTData[Ticker_Symbol],[1]!RTData[Ddate])</f>
        <v>45791</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914025.45</v>
      </c>
      <c r="B16" s="595" cm="1">
        <f t="array" aca="1" ref="B16" ca="1">SUMPRODUCT((ABS(TabFIFO[Price])&gt;ID_M)*ID_M,TabFIFO[Remaining])*GBpScale</f>
        <v>798760</v>
      </c>
      <c r="C16" s="962" t="str">
        <f ca="1">TEXT(V20*K5*GBpScale,"#,#0")&amp;" / "&amp;TEXT(V20*C15*GBpScale,"#,#0")</f>
        <v>0 / 0</v>
      </c>
      <c r="D16" s="969">
        <f ca="1">ID_M+ID_A</f>
        <v>-30.333013157894726</v>
      </c>
      <c r="E16" s="964" cm="1">
        <f t="array" ref="E16">SUM((TabFIFO[Price]&gt;ID_A)*(TabFIFO[Remaining]))</f>
        <v>1999</v>
      </c>
      <c r="F16" s="587" cm="1">
        <f t="array" aca="1" ref="F16" ca="1">ABS(SUMPRODUCT((TabFIFO[Price]&gt;ID_A)*TabFIFO[Price],TabFIFO[Remaining])*GBpScale)</f>
        <v>459717.55</v>
      </c>
      <c r="G16" s="575" cm="1">
        <f t="array" aca="1" ref="G16" ca="1">SUMPRODUCT((TabFIFO[Price]&gt;ID_A)*ID_M,TabFIFO[Remaining])*GBpScale</f>
        <v>420189.8</v>
      </c>
      <c r="H16" s="961">
        <f ca="1">TotalCost+TradeIncome</f>
        <v>-848427.1115043289</v>
      </c>
      <c r="I16" s="590">
        <f ca="1">SUM(G19:I19)</f>
        <v>-49667.111504328903</v>
      </c>
      <c r="J16" s="685"/>
      <c r="K16" s="842" t="str">
        <f ca="1">_xlfn.LET(_xlpm.div,_xlfn.XLOOKUP(IDTICKER,[1]!RTData[Ticker_Symbol],[1]!RTData[RepDiv]),TEXT(_xlpm.div,"#0.0%")&amp;"="&amp;TEXT(_xlpm.div*CurrentValue,"#,#0"))</f>
        <v>1.1%=8,387</v>
      </c>
      <c r="L16" s="839"/>
      <c r="M16" s="611"/>
      <c r="N16" s="840"/>
      <c r="O16" s="841"/>
      <c r="P16" s="90" cm="1">
        <f t="array" aca="1" ref="P16" ca="1">_xlfn.XLOOKUP(IDTICKER,ListTickers,Tab2Agiotage[XAgio15])</f>
        <v>0.8612364119469329</v>
      </c>
      <c r="Q16" s="90" cm="1">
        <f t="array" aca="1" ref="Q16" ca="1">_xlfn.XLOOKUP(IDTICKER,ListTickers,Tab2Agiotage[XAgio16])</f>
        <v>0.61165650280024886</v>
      </c>
      <c r="R16" s="90" cm="1">
        <f t="array" aca="1" ref="R16" ca="1">_xlfn.XLOOKUP(IDTICKER,ListTickers,Tab2Agiotage[XAgio17])</f>
        <v>0.60507338761860219</v>
      </c>
      <c r="S16" s="90" cm="1">
        <f t="array" aca="1" ref="S16" ca="1">_xlfn.XLOOKUP(IDTICKER,ListTickers,Tab2Agiotage[XAgio18])</f>
        <v>0.85338166536039561</v>
      </c>
      <c r="T16" s="90" cm="1">
        <f t="array" aca="1" ref="T16" ca="1">_xlfn.XLOOKUP(IDTICKER,ListTickers,Tab2Agiotage[XAgio19])</f>
        <v>1.1597733249552002</v>
      </c>
      <c r="U16" s="90" cm="1">
        <f t="array" aca="1" ref="U16" ca="1">_xlfn.XLOOKUP(IDTICKER,ListTickers,Tab2Agiotage[XAgio20])</f>
        <v>0.15718001402410189</v>
      </c>
      <c r="AC16" s="1478" t="str">
        <f>IDTICKER</f>
        <v>SAP</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288.67</v>
      </c>
      <c r="L17" s="839"/>
      <c r="M17" s="1015"/>
      <c r="N17" s="840"/>
      <c r="O17" s="841"/>
      <c r="P17" s="221">
        <v>1</v>
      </c>
      <c r="Q17" s="90">
        <v>1</v>
      </c>
      <c r="R17" s="221">
        <v>1</v>
      </c>
      <c r="S17" s="90">
        <v>1</v>
      </c>
      <c r="T17" s="221">
        <v>1</v>
      </c>
      <c r="U17" s="90">
        <v>1</v>
      </c>
      <c r="AC17" s="1478"/>
      <c r="AD17" s="725">
        <f ca="1">_xlfn.XLOOKUP(IDTICKER,TabCalc[Ticker],TabCalc[ValueBegin])</f>
        <v>-139573.04999999999</v>
      </c>
      <c r="AE17" s="1427">
        <f ca="1">CurrentValue</f>
        <v>798760</v>
      </c>
      <c r="AF17" s="1427">
        <f ca="1">GL_Now</f>
        <v>-49667.111504328903</v>
      </c>
      <c r="AG17" s="948">
        <f>StockNow</f>
        <v>3800</v>
      </c>
    </row>
    <row r="18" spans="1:36" ht="23" thickBot="1" x14ac:dyDescent="0.35">
      <c r="B18" s="576" t="s">
        <v>1859</v>
      </c>
      <c r="C18" s="617" t="s">
        <v>1849</v>
      </c>
      <c r="D18" s="967" t="s">
        <v>1579</v>
      </c>
      <c r="E18" s="604">
        <f ca="1">StockNow*ID_M*GBpScale</f>
        <v>798760</v>
      </c>
      <c r="F18" s="576" t="s">
        <v>2804</v>
      </c>
      <c r="G18" s="603" t="s">
        <v>1000</v>
      </c>
      <c r="H18" s="603" t="s">
        <v>1847</v>
      </c>
      <c r="I18" s="603" t="s">
        <v>1842</v>
      </c>
      <c r="J18" s="353"/>
      <c r="L18" s="839"/>
      <c r="M18" s="611"/>
      <c r="N18" s="840"/>
      <c r="O18" s="912"/>
      <c r="P18" t="str">
        <f>IDTICKER&amp;": Last 5 Day Fl_Avg.Ch,Agio)"</f>
        <v>SAP: Last 5 Day Fl_Avg.Ch,Agio)</v>
      </c>
      <c r="AC18" s="1468" t="s">
        <v>2799</v>
      </c>
      <c r="AD18" s="1469"/>
      <c r="AE18" s="1469"/>
      <c r="AF18" s="1470"/>
      <c r="AG18" s="1467" t="s">
        <v>2802</v>
      </c>
      <c r="AH18" s="1465"/>
      <c r="AI18" s="1465"/>
      <c r="AJ18" s="1466"/>
    </row>
    <row r="19" spans="1:36" ht="23" thickBot="1" x14ac:dyDescent="0.35">
      <c r="A19" s="612" t="s">
        <v>1833</v>
      </c>
      <c r="B19" s="602" cm="1">
        <f t="array" aca="1" ref="B19" ca="1">SUM((ABS(TabFIFO[Price])&lt;ID_M)*(TabFIFO[Remaining]))</f>
        <v>0</v>
      </c>
      <c r="C19" s="614">
        <f ca="1">_xlfn.XLOOKUP(IDTICKER,[1]!RTData[Ticker_Symbol],[1]!RTData[RepDiv])*ID_M</f>
        <v>2.2071000000000001</v>
      </c>
      <c r="D19" s="968">
        <f>IFERROR(SUMPRODUCT(TabFIFO[Price],TabFIFO[Remaining])/StockNow,0)</f>
        <v>-240.53301315789471</v>
      </c>
      <c r="E19" s="605">
        <f>TabFIFO[[#Totals],[Remaining]]</f>
        <v>3800</v>
      </c>
      <c r="F19" s="608">
        <f ca="1">TabFIFO[[#Totals],[Profit/Loss]]*GBpScale-(TradeIncome-TotalCost)*Commission</f>
        <v>75620.414328796745</v>
      </c>
      <c r="G19" s="607">
        <f ca="1">TabFIFO[[#Totals],[Income]]*(1-Commission)</f>
        <v>1506365.419479223</v>
      </c>
      <c r="H19" s="610">
        <f ca="1">TabFIFO[[#Totals],[Cost]]*(1+Commission)</f>
        <v>-2354792.5309835519</v>
      </c>
      <c r="I19" s="607">
        <f ca="1">TabFIFO[[#Totals],[M-VALUE Now]]</f>
        <v>798760</v>
      </c>
      <c r="J19" s="1413"/>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210.2</v>
      </c>
      <c r="AE19" s="593" t="s">
        <v>2767</v>
      </c>
      <c r="AF19" s="1471"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210.2</v>
      </c>
      <c r="R20" s="568"/>
      <c r="S20" s="568"/>
      <c r="T20" s="867">
        <f>S21</f>
        <v>1000</v>
      </c>
      <c r="U20" s="489" cm="1">
        <f t="array" aca="1" ref="U20:X99" ca="1">_xlfn._xlws.SORT(Q20:T99)</f>
        <v>93.048699999999997</v>
      </c>
      <c r="V20" s="82">
        <f ca="1"/>
        <v>0</v>
      </c>
      <c r="W20" s="82">
        <f ca="1"/>
        <v>0</v>
      </c>
      <c r="X20" s="82">
        <f ca="1"/>
        <v>0</v>
      </c>
      <c r="Y20" s="83">
        <f ca="1">U20</f>
        <v>93.048699999999997</v>
      </c>
      <c r="Z20" s="845">
        <f ca="1">Q20</f>
        <v>210.2</v>
      </c>
      <c r="AA20" s="845">
        <v>9.9999999999999995E-7</v>
      </c>
      <c r="AB20" s="569" t="s">
        <v>2801</v>
      </c>
      <c r="AC20" s="745">
        <f>ID_A</f>
        <v>-240.53301315789471</v>
      </c>
      <c r="AD20" s="1427">
        <f>SUM(AD22:AD99)</f>
        <v>3800</v>
      </c>
      <c r="AE20" s="1427">
        <f ca="1">SUM(AE22:AE99)</f>
        <v>798760</v>
      </c>
      <c r="AF20" s="1427">
        <f ca="1">SUM(AF22:AF99)</f>
        <v>-115265.45000000004</v>
      </c>
      <c r="AG20" s="725">
        <f>SUM(AG22:AG99)</f>
        <v>7669</v>
      </c>
      <c r="AH20" s="666"/>
      <c r="AI20" s="725">
        <f ca="1">SUM(AI22:AI99)</f>
        <v>1612023.8</v>
      </c>
      <c r="AJ20" s="725">
        <f ca="1">SUM(AJ22:AJ99)</f>
        <v>-97794.624999999971</v>
      </c>
    </row>
    <row r="21" spans="1:36" ht="23" thickBot="1" x14ac:dyDescent="0.35">
      <c r="A21" s="1022" t="s">
        <v>2479</v>
      </c>
      <c r="B21" s="1019">
        <f ca="1">SUMIFS(TabFIFO[Remaining], TabFIFO[Price], "&lt;" &amp; -ID_M*(1-NeutralZoneM))</f>
        <v>3800</v>
      </c>
      <c r="C21" s="574">
        <v>1500</v>
      </c>
      <c r="D21" s="571">
        <v>-93.048699999999997</v>
      </c>
      <c r="E21" s="570">
        <v>0</v>
      </c>
      <c r="F21" s="821">
        <v>0</v>
      </c>
      <c r="G21" s="572">
        <f ca="1">IF(TabFIFO[[#This Row],[Price]]&gt;0,TabFIFO[[#This Row],[Number]]*TabFIFO[[#This Row],[Price]],0)*(1-Commission)*GBpScale</f>
        <v>0</v>
      </c>
      <c r="H21" s="572">
        <f ca="1">IF(TabFIFO[[#This Row],[Price]]&lt;0,TabFIFO[[#This Row],[Number]]*TabFIFO[[#This Row],[Price]],0)*(1+Commission)*GBpScale</f>
        <v>-139935.93992999999</v>
      </c>
      <c r="I21" s="822">
        <f ca="1">TabFIFO[[#This Row],[Remaining]]*ID_M*GBpScale</f>
        <v>0</v>
      </c>
      <c r="J21" s="1414"/>
      <c r="L21" s="839"/>
      <c r="M21" s="611"/>
      <c r="N21" s="840"/>
      <c r="O21" s="913"/>
      <c r="P21" s="1417" t="s">
        <v>1579</v>
      </c>
      <c r="Q21" s="1418">
        <f>ABS(ID_A)</f>
        <v>240.53301315789471</v>
      </c>
      <c r="R21" s="1419"/>
      <c r="S21" s="1420">
        <f>MAX(R22:R99)</f>
        <v>1000</v>
      </c>
      <c r="T21" s="1419"/>
      <c r="U21" s="1421">
        <f ca="1"/>
        <v>134.02000000000001</v>
      </c>
      <c r="V21" s="1422">
        <f ca="1"/>
        <v>0</v>
      </c>
      <c r="W21" s="1422">
        <f ca="1"/>
        <v>0</v>
      </c>
      <c r="X21" s="1422">
        <f ca="1"/>
        <v>0</v>
      </c>
      <c r="Y21" s="1423">
        <f t="shared" ref="Y21:Y50" ca="1" si="0">U21</f>
        <v>134.02000000000001</v>
      </c>
      <c r="Z21" s="1424">
        <f>ABS(ID_A)</f>
        <v>240.53301315789471</v>
      </c>
      <c r="AA21" s="1424">
        <v>9.9999999999999995E-7</v>
      </c>
      <c r="AB21" s="831"/>
      <c r="AF21" s="1472">
        <f ca="1">AF20/AE20</f>
        <v>-0.14430548600330517</v>
      </c>
      <c r="AJ21" s="1472">
        <f ca="1">AJ20/AI20</f>
        <v>-6.0665745133539575E-2</v>
      </c>
    </row>
    <row r="22" spans="1:36" ht="23" thickTop="1" x14ac:dyDescent="0.3">
      <c r="A22" s="1023" t="s">
        <v>2480</v>
      </c>
      <c r="B22" s="1020">
        <f ca="1">SUMIFS(TabFIFO[Remaining], TabFIFO[Price], "&gt;" &amp; -(ID_M*(1-NeutralZoneM)))</f>
        <v>0</v>
      </c>
      <c r="C22" s="574">
        <v>1300</v>
      </c>
      <c r="D22" s="571">
        <v>107.8</v>
      </c>
      <c r="E22" s="570"/>
      <c r="F22" s="821">
        <v>19176.690000000002</v>
      </c>
      <c r="G22" s="572">
        <f ca="1">IF(TabFIFO[[#This Row],[Price]]&gt;0,TabFIFO[[#This Row],[Number]]*TabFIFO[[#This Row],[Price]],0)*(1-Commission)*GBpScale</f>
        <v>139775.636</v>
      </c>
      <c r="H22" s="572">
        <f ca="1">IF(TabFIFO[[#This Row],[Price]]&lt;0,TabFIFO[[#This Row],[Number]]*TabFIFO[[#This Row],[Price]],0)*(1+Commission)*GBpScale</f>
        <v>0</v>
      </c>
      <c r="I22" s="579">
        <f ca="1">TabFIFO[[#This Row],[Remaining]]*ID_M*GBpScale</f>
        <v>0</v>
      </c>
      <c r="J22" s="1415"/>
      <c r="L22" s="839"/>
      <c r="M22" s="611"/>
      <c r="N22" s="840"/>
      <c r="O22" s="913"/>
      <c r="P22" s="1416" t="s">
        <v>1873</v>
      </c>
      <c r="Q22" s="828" cm="1">
        <f t="array" ref="Q22:Q36">ABS(_xlfn._xlws.FILTER(TabFIFO[Price],TabFIFO[Price]&lt;0,NA()))</f>
        <v>93.048699999999997</v>
      </c>
      <c r="R22" s="1221" cm="1">
        <f t="array" ref="R22:R36">ABS(_xlfn._xlws.FILTER(TabFIFO[Remaining],TabFIFO[Price]&lt;0,0))</f>
        <v>0</v>
      </c>
      <c r="S22" s="1222"/>
      <c r="T22" s="1222"/>
      <c r="U22" s="1223">
        <f ca="1"/>
        <v>147.12</v>
      </c>
      <c r="V22" s="829">
        <f ca="1"/>
        <v>0</v>
      </c>
      <c r="W22" s="829">
        <f ca="1"/>
        <v>0</v>
      </c>
      <c r="X22" s="829">
        <f ca="1"/>
        <v>0</v>
      </c>
      <c r="Y22" s="828">
        <f t="shared" ca="1" si="0"/>
        <v>147.12</v>
      </c>
      <c r="Z22" s="362" cm="1">
        <f t="array" ref="Z22:AA99">_xlfn._xlws.SORT(_xlfn._xlws.FILTER(Q22:R99, R22:R99 &gt;=0), 1, 1)</f>
        <v>93.048699999999997</v>
      </c>
      <c r="AA22" s="829">
        <v>0</v>
      </c>
      <c r="AB22" s="719"/>
      <c r="AC22" s="1430" cm="1">
        <f t="array" ref="AC22:AD27">IFERROR(_xlfn._xlws.SORT(
    _xlfn._xlws.FILTER(TabFIFO[[Price]:[Remaining]], (TabFIFO[Price]&lt;0)*(TabFIFO[Remaining]&gt;0)),
    1, -1
),"Market price LT all purchase prices")</f>
        <v>-227.55</v>
      </c>
      <c r="AD22" s="1431">
        <v>1000</v>
      </c>
      <c r="AE22" s="1436">
        <f t="shared" ref="AE22:AE42" ca="1" si="1">AD22*ID_M*GBpScale</f>
        <v>210200</v>
      </c>
      <c r="AF22" s="1437">
        <f t="shared" ref="AF22:AF42" ca="1" si="2">IFERROR(AD22*(ID_M+AC22)*GBpScale,0)</f>
        <v>-17350.000000000022</v>
      </c>
      <c r="AG22" s="1442" cm="1">
        <f t="array" ref="AG22:AH33">IFERROR(_xlfn._xlws.SORT(
    _xlfn._xlws.FILTER(TabFIFO[[Number]:[Price]], (TabFIFO[Price]&gt;0)*(TabFIFO[Remaining]=0)),
    2, -1
),"Market price GT all sale prices")</f>
        <v>499</v>
      </c>
      <c r="AH22" s="1443">
        <v>275.52499999999998</v>
      </c>
      <c r="AI22" s="1446">
        <f t="shared" ref="AI22:AI41" ca="1" si="3">IFERROR(AG22*ID_M*GBpScale,AG22)</f>
        <v>104889.79999999999</v>
      </c>
      <c r="AJ22" s="1447">
        <f t="shared" ref="AJ22:AJ41" ca="1" si="4">IFERROR(AG22*(AH22-ID_M)*GBpScale,0)</f>
        <v>32597.174999999996</v>
      </c>
    </row>
    <row r="23" spans="1:36" ht="23" thickBot="1" x14ac:dyDescent="0.35">
      <c r="A23" s="1024" t="s">
        <v>2481</v>
      </c>
      <c r="B23" s="1021">
        <f ca="1">StockNow-B22-B21</f>
        <v>0</v>
      </c>
      <c r="C23" s="574">
        <v>200</v>
      </c>
      <c r="D23" s="571">
        <v>113.02</v>
      </c>
      <c r="E23" s="570"/>
      <c r="F23" s="821">
        <v>3994.260000000002</v>
      </c>
      <c r="G23" s="572">
        <f ca="1">IF(TabFIFO[[#This Row],[Price]]&gt;0,TabFIFO[[#This Row],[Number]]*TabFIFO[[#This Row],[Price]],0)*(1-Commission)*GBpScale</f>
        <v>22545.229599999999</v>
      </c>
      <c r="H23" s="572">
        <f ca="1">IF(TabFIFO[[#This Row],[Price]]&lt;0,TabFIFO[[#This Row],[Number]]*TabFIFO[[#This Row],[Price]],0)*(1+Commission)*GBpScale</f>
        <v>0</v>
      </c>
      <c r="I23" s="579">
        <f ca="1">TabFIFO[[#This Row],[Remaining]]*ID_M*GBpScale</f>
        <v>0</v>
      </c>
      <c r="J23" s="1415"/>
      <c r="L23" s="839"/>
      <c r="M23" s="911"/>
      <c r="N23" s="840"/>
      <c r="O23" s="913"/>
      <c r="P23" s="1219" t="s">
        <v>1874</v>
      </c>
      <c r="Q23" s="828">
        <v>134.02000000000001</v>
      </c>
      <c r="R23" s="1221">
        <v>0</v>
      </c>
      <c r="S23" s="1222"/>
      <c r="T23" s="1222">
        <f t="shared" ref="T23:T37" si="5">S23</f>
        <v>0</v>
      </c>
      <c r="U23" s="1223">
        <f ca="1"/>
        <v>167.9</v>
      </c>
      <c r="V23" s="829">
        <f ca="1"/>
        <v>0</v>
      </c>
      <c r="W23" s="829">
        <f ca="1"/>
        <v>0</v>
      </c>
      <c r="X23" s="829">
        <f ca="1"/>
        <v>0</v>
      </c>
      <c r="Y23" s="828">
        <f t="shared" ca="1" si="0"/>
        <v>167.9</v>
      </c>
      <c r="Z23" s="362">
        <v>134.02000000000001</v>
      </c>
      <c r="AA23" s="829">
        <v>0</v>
      </c>
      <c r="AB23" s="719"/>
      <c r="AC23" s="1432">
        <v>-232.35</v>
      </c>
      <c r="AD23" s="1433">
        <v>500</v>
      </c>
      <c r="AE23" s="1438">
        <f t="shared" ca="1" si="1"/>
        <v>105100</v>
      </c>
      <c r="AF23" s="1439">
        <f t="shared" ca="1" si="2"/>
        <v>-11075.000000000004</v>
      </c>
      <c r="AG23" s="1444">
        <v>500</v>
      </c>
      <c r="AH23" s="1445">
        <v>273.14999999999998</v>
      </c>
      <c r="AI23" s="1448">
        <f t="shared" ca="1" si="3"/>
        <v>105100</v>
      </c>
      <c r="AJ23" s="1449">
        <f t="shared" ca="1" si="4"/>
        <v>31474.999999999993</v>
      </c>
    </row>
    <row r="24" spans="1:36" x14ac:dyDescent="0.3">
      <c r="A24" s="82"/>
      <c r="C24" s="574">
        <v>120</v>
      </c>
      <c r="D24" s="571">
        <v>-134.02000000000001</v>
      </c>
      <c r="E24" s="570">
        <v>0</v>
      </c>
      <c r="F24" s="821">
        <v>0</v>
      </c>
      <c r="G24" s="572">
        <f ca="1">IF(TabFIFO[[#This Row],[Price]]&gt;0,TabFIFO[[#This Row],[Number]]*TabFIFO[[#This Row],[Price]],0)*(1-Commission)*GBpScale</f>
        <v>0</v>
      </c>
      <c r="H24" s="572">
        <f ca="1">IF(TabFIFO[[#This Row],[Price]]&lt;0,TabFIFO[[#This Row],[Number]]*TabFIFO[[#This Row],[Price]],0)*(1+Commission)*GBpScale</f>
        <v>-16124.214240000001</v>
      </c>
      <c r="I24" s="579">
        <f ca="1">TabFIFO[[#This Row],[Remaining]]*ID_M*GBpScale</f>
        <v>0</v>
      </c>
      <c r="J24" s="1415"/>
      <c r="L24" s="839"/>
      <c r="M24" s="911"/>
      <c r="N24" s="840"/>
      <c r="O24" s="913"/>
      <c r="P24" s="362"/>
      <c r="Q24" s="828">
        <v>147.12</v>
      </c>
      <c r="R24" s="1221">
        <v>0</v>
      </c>
      <c r="S24" s="1222"/>
      <c r="T24" s="1222">
        <f t="shared" si="5"/>
        <v>0</v>
      </c>
      <c r="U24" s="1223">
        <f ca="1"/>
        <v>184.04</v>
      </c>
      <c r="V24" s="829">
        <f ca="1"/>
        <v>0</v>
      </c>
      <c r="W24" s="829">
        <f ca="1"/>
        <v>0</v>
      </c>
      <c r="X24" s="829">
        <f ca="1"/>
        <v>0</v>
      </c>
      <c r="Y24" s="828">
        <f t="shared" ca="1" si="0"/>
        <v>184.04</v>
      </c>
      <c r="Z24" s="362">
        <v>147.12</v>
      </c>
      <c r="AA24" s="829">
        <v>0</v>
      </c>
      <c r="AB24" s="719"/>
      <c r="AC24" s="1432">
        <v>-232.45</v>
      </c>
      <c r="AD24" s="1433">
        <v>499</v>
      </c>
      <c r="AE24" s="1438">
        <f t="shared" ca="1" si="1"/>
        <v>104889.79999999999</v>
      </c>
      <c r="AF24" s="1439">
        <f t="shared" ca="1" si="2"/>
        <v>-11102.75</v>
      </c>
      <c r="AG24" s="1444">
        <v>500</v>
      </c>
      <c r="AH24" s="1445">
        <v>265.64999999999998</v>
      </c>
      <c r="AI24" s="1448">
        <f t="shared" ca="1" si="3"/>
        <v>105100</v>
      </c>
      <c r="AJ24" s="1449">
        <f t="shared" ca="1" si="4"/>
        <v>27724.999999999993</v>
      </c>
    </row>
    <row r="25" spans="1:36" x14ac:dyDescent="0.3">
      <c r="A25" s="82"/>
      <c r="B25" s="82"/>
      <c r="C25" s="574">
        <v>880</v>
      </c>
      <c r="D25" s="571">
        <v>-147.12</v>
      </c>
      <c r="E25" s="570">
        <v>0</v>
      </c>
      <c r="F25" s="821">
        <v>0</v>
      </c>
      <c r="G25" s="572">
        <f ca="1">IF(TabFIFO[[#This Row],[Price]]&gt;0,TabFIFO[[#This Row],[Number]]*TabFIFO[[#This Row],[Price]],0)*(1-Commission)*GBpScale</f>
        <v>0</v>
      </c>
      <c r="H25" s="572">
        <f ca="1">IF(TabFIFO[[#This Row],[Price]]&lt;0,TabFIFO[[#This Row],[Number]]*TabFIFO[[#This Row],[Price]],0)*(1+Commission)*GBpScale</f>
        <v>-129802.21055999999</v>
      </c>
      <c r="I25" s="579">
        <f ca="1">TabFIFO[[#This Row],[Remaining]]*ID_M*GBpScale</f>
        <v>0</v>
      </c>
      <c r="J25" s="1415"/>
      <c r="L25" s="839"/>
      <c r="M25" s="911"/>
      <c r="N25" s="840"/>
      <c r="O25" s="913"/>
      <c r="P25" s="362"/>
      <c r="Q25" s="828">
        <v>167.9</v>
      </c>
      <c r="R25" s="1221">
        <v>0</v>
      </c>
      <c r="S25" s="1222"/>
      <c r="T25" s="1222">
        <f t="shared" si="5"/>
        <v>0</v>
      </c>
      <c r="U25" s="1223">
        <f ca="1"/>
        <v>196</v>
      </c>
      <c r="V25" s="829">
        <f ca="1"/>
        <v>0</v>
      </c>
      <c r="W25" s="829">
        <f ca="1"/>
        <v>0</v>
      </c>
      <c r="X25" s="829">
        <f ca="1"/>
        <v>0</v>
      </c>
      <c r="Y25" s="828">
        <f t="shared" ca="1" si="0"/>
        <v>196</v>
      </c>
      <c r="Z25" s="362">
        <v>167.9</v>
      </c>
      <c r="AA25" s="829">
        <v>0</v>
      </c>
      <c r="AB25" s="719"/>
      <c r="AC25" s="1432">
        <v>-249.75</v>
      </c>
      <c r="AD25" s="1433">
        <v>1000</v>
      </c>
      <c r="AE25" s="1438">
        <f t="shared" ca="1" si="1"/>
        <v>210200</v>
      </c>
      <c r="AF25" s="1439">
        <f t="shared" ca="1" si="2"/>
        <v>-39550.000000000015</v>
      </c>
      <c r="AG25" s="1444">
        <v>500</v>
      </c>
      <c r="AH25" s="1445">
        <v>265.05</v>
      </c>
      <c r="AI25" s="1448">
        <f t="shared" ca="1" si="3"/>
        <v>105100</v>
      </c>
      <c r="AJ25" s="1449">
        <f t="shared" ca="1" si="4"/>
        <v>27425.000000000011</v>
      </c>
    </row>
    <row r="26" spans="1:36" x14ac:dyDescent="0.3">
      <c r="A26" s="82"/>
      <c r="B26" s="82"/>
      <c r="C26" s="574">
        <v>800</v>
      </c>
      <c r="D26" s="571">
        <v>160.74</v>
      </c>
      <c r="E26" s="570"/>
      <c r="F26" s="821">
        <v>12468</v>
      </c>
      <c r="G26" s="572">
        <f ca="1">IF(TabFIFO[[#This Row],[Price]]&gt;0,TabFIFO[[#This Row],[Number]]*TabFIFO[[#This Row],[Price]],0)*(1-Commission)*GBpScale</f>
        <v>128257.6608</v>
      </c>
      <c r="H26" s="572">
        <f ca="1">IF(TabFIFO[[#This Row],[Price]]&lt;0,TabFIFO[[#This Row],[Number]]*TabFIFO[[#This Row],[Price]],0)*(1+Commission)*GBpScale</f>
        <v>0</v>
      </c>
      <c r="I26" s="579">
        <f ca="1">TabFIFO[[#This Row],[Remaining]]*ID_M*GBpScale</f>
        <v>0</v>
      </c>
      <c r="J26" s="1415"/>
      <c r="L26" s="839"/>
      <c r="M26" s="911"/>
      <c r="N26" s="840"/>
      <c r="O26" s="913"/>
      <c r="P26" s="362"/>
      <c r="Q26" s="828">
        <v>184.04</v>
      </c>
      <c r="R26" s="1221">
        <v>0</v>
      </c>
      <c r="S26" s="1222"/>
      <c r="T26" s="1222">
        <f t="shared" si="5"/>
        <v>0</v>
      </c>
      <c r="U26" s="1223">
        <f ca="1"/>
        <v>210.2</v>
      </c>
      <c r="V26" s="829">
        <f ca="1"/>
        <v>0</v>
      </c>
      <c r="W26" s="829">
        <f ca="1"/>
        <v>0</v>
      </c>
      <c r="X26" s="829">
        <f ca="1"/>
        <v>1000</v>
      </c>
      <c r="Y26" s="828">
        <f t="shared" ca="1" si="0"/>
        <v>210.2</v>
      </c>
      <c r="Z26" s="362">
        <v>184.04</v>
      </c>
      <c r="AA26" s="829">
        <v>0</v>
      </c>
      <c r="AB26" s="719"/>
      <c r="AC26" s="1432">
        <v>-250.85</v>
      </c>
      <c r="AD26" s="1433">
        <v>500</v>
      </c>
      <c r="AE26" s="1438">
        <f t="shared" ca="1" si="1"/>
        <v>105100</v>
      </c>
      <c r="AF26" s="1439">
        <f t="shared" ca="1" si="2"/>
        <v>-20325.000000000004</v>
      </c>
      <c r="AG26" s="1444">
        <v>500</v>
      </c>
      <c r="AH26" s="1445">
        <v>263.875</v>
      </c>
      <c r="AI26" s="1448">
        <f t="shared" ca="1" si="3"/>
        <v>105100</v>
      </c>
      <c r="AJ26" s="1449">
        <f t="shared" ca="1" si="4"/>
        <v>26837.500000000007</v>
      </c>
    </row>
    <row r="27" spans="1:36" x14ac:dyDescent="0.3">
      <c r="A27" s="82"/>
      <c r="B27" s="82"/>
      <c r="C27" s="574">
        <v>500</v>
      </c>
      <c r="D27" s="571">
        <v>-167.9</v>
      </c>
      <c r="E27" s="570">
        <v>0</v>
      </c>
      <c r="F27" s="821">
        <v>0</v>
      </c>
      <c r="G27" s="572">
        <f ca="1">IF(TabFIFO[[#This Row],[Price]]&gt;0,TabFIFO[[#This Row],[Number]]*TabFIFO[[#This Row],[Price]],0)*(1-Commission)*GBpScale</f>
        <v>0</v>
      </c>
      <c r="H27" s="572">
        <f ca="1">IF(TabFIFO[[#This Row],[Price]]&lt;0,TabFIFO[[#This Row],[Number]]*TabFIFO[[#This Row],[Price]],0)*(1+Commission)*GBpScale</f>
        <v>-84168.26999999999</v>
      </c>
      <c r="I27" s="579">
        <f ca="1">TabFIFO[[#This Row],[Remaining]]*ID_M*GBpScale</f>
        <v>0</v>
      </c>
      <c r="J27" s="1415"/>
      <c r="L27" s="839"/>
      <c r="M27" s="911"/>
      <c r="N27" s="840"/>
      <c r="O27" s="913"/>
      <c r="P27" s="362"/>
      <c r="Q27" s="828">
        <v>196</v>
      </c>
      <c r="R27" s="1221">
        <v>0</v>
      </c>
      <c r="S27" s="1222"/>
      <c r="T27" s="1222">
        <f t="shared" si="5"/>
        <v>0</v>
      </c>
      <c r="U27" s="1223">
        <f ca="1"/>
        <v>227.55</v>
      </c>
      <c r="V27" s="829">
        <f ca="1"/>
        <v>1000</v>
      </c>
      <c r="W27" s="829">
        <f ca="1"/>
        <v>0</v>
      </c>
      <c r="X27" s="829">
        <f ca="1"/>
        <v>0</v>
      </c>
      <c r="Y27" s="828">
        <f t="shared" ca="1" si="0"/>
        <v>227.55</v>
      </c>
      <c r="Z27" s="362">
        <v>196</v>
      </c>
      <c r="AA27" s="829">
        <v>0</v>
      </c>
      <c r="AB27" s="719"/>
      <c r="AC27" s="1432">
        <v>-262.89999999999998</v>
      </c>
      <c r="AD27" s="1433">
        <v>301</v>
      </c>
      <c r="AE27" s="1438">
        <f t="shared" ca="1" si="1"/>
        <v>63270.2</v>
      </c>
      <c r="AF27" s="1439">
        <f t="shared" ca="1" si="2"/>
        <v>-15862.699999999997</v>
      </c>
      <c r="AG27" s="1444">
        <v>200</v>
      </c>
      <c r="AH27" s="1445">
        <v>237.8</v>
      </c>
      <c r="AI27" s="1448">
        <f t="shared" ca="1" si="3"/>
        <v>42040</v>
      </c>
      <c r="AJ27" s="1449">
        <f t="shared" ca="1" si="4"/>
        <v>5520.0000000000045</v>
      </c>
    </row>
    <row r="28" spans="1:36" x14ac:dyDescent="0.3">
      <c r="A28" s="82"/>
      <c r="B28" s="82"/>
      <c r="C28" s="574">
        <v>690</v>
      </c>
      <c r="D28" s="571">
        <v>173.04</v>
      </c>
      <c r="E28" s="570"/>
      <c r="F28" s="821">
        <v>7702.5999999999913</v>
      </c>
      <c r="G28" s="572">
        <f ca="1">IF(TabFIFO[[#This Row],[Price]]&gt;0,TabFIFO[[#This Row],[Number]]*TabFIFO[[#This Row],[Price]],0)*(1-Commission)*GBpScale</f>
        <v>119087.16623999999</v>
      </c>
      <c r="H28" s="572">
        <f ca="1">IF(TabFIFO[[#This Row],[Price]]&lt;0,TabFIFO[[#This Row],[Number]]*TabFIFO[[#This Row],[Price]],0)*(1+Commission)*GBpScale</f>
        <v>0</v>
      </c>
      <c r="I28" s="579">
        <f ca="1">TabFIFO[[#This Row],[Remaining]]*ID_M*GBpScale</f>
        <v>0</v>
      </c>
      <c r="J28" s="1415"/>
      <c r="L28" s="839"/>
      <c r="M28" s="911"/>
      <c r="N28" s="840"/>
      <c r="O28" s="913"/>
      <c r="P28" s="362"/>
      <c r="Q28" s="828">
        <v>242.8</v>
      </c>
      <c r="R28" s="1221">
        <v>0</v>
      </c>
      <c r="S28" s="1222"/>
      <c r="T28" s="1222">
        <f t="shared" si="5"/>
        <v>0</v>
      </c>
      <c r="U28" s="1223">
        <f ca="1"/>
        <v>232.35</v>
      </c>
      <c r="V28" s="829">
        <f ca="1"/>
        <v>500</v>
      </c>
      <c r="W28" s="829">
        <f ca="1"/>
        <v>0</v>
      </c>
      <c r="X28" s="829">
        <f ca="1"/>
        <v>0</v>
      </c>
      <c r="Y28" s="828">
        <f t="shared" ca="1" si="0"/>
        <v>232.35</v>
      </c>
      <c r="Z28" s="362">
        <v>227.55</v>
      </c>
      <c r="AA28" s="829">
        <v>1000</v>
      </c>
      <c r="AB28" s="719"/>
      <c r="AC28" s="1432"/>
      <c r="AD28" s="1433"/>
      <c r="AE28" s="1438">
        <f t="shared" ca="1" si="1"/>
        <v>0</v>
      </c>
      <c r="AF28" s="1439">
        <f t="shared" ca="1" si="2"/>
        <v>0</v>
      </c>
      <c r="AG28" s="1444">
        <v>490</v>
      </c>
      <c r="AH28" s="1445">
        <v>211.25</v>
      </c>
      <c r="AI28" s="1448">
        <f t="shared" ca="1" si="3"/>
        <v>102998</v>
      </c>
      <c r="AJ28" s="1449">
        <f t="shared" ca="1" si="4"/>
        <v>514.50000000000557</v>
      </c>
    </row>
    <row r="29" spans="1:36" x14ac:dyDescent="0.3">
      <c r="A29" s="82"/>
      <c r="B29" s="82"/>
      <c r="C29" s="574">
        <v>490</v>
      </c>
      <c r="D29" s="571">
        <v>-184.04</v>
      </c>
      <c r="E29" s="570">
        <v>0</v>
      </c>
      <c r="F29" s="821">
        <v>0</v>
      </c>
      <c r="G29" s="572">
        <f ca="1">IF(TabFIFO[[#This Row],[Price]]&gt;0,TabFIFO[[#This Row],[Number]]*TabFIFO[[#This Row],[Price]],0)*(1-Commission)*GBpScale</f>
        <v>0</v>
      </c>
      <c r="H29" s="572">
        <f ca="1">IF(TabFIFO[[#This Row],[Price]]&lt;0,TabFIFO[[#This Row],[Number]]*TabFIFO[[#This Row],[Price]],0)*(1+Commission)*GBpScale</f>
        <v>-90414.066959999982</v>
      </c>
      <c r="I29" s="579">
        <f ca="1">TabFIFO[[#This Row],[Remaining]]*ID_M*GBpScale</f>
        <v>0</v>
      </c>
      <c r="J29" s="1415"/>
      <c r="L29" s="839"/>
      <c r="M29" s="911"/>
      <c r="N29" s="840"/>
      <c r="O29" s="913"/>
      <c r="P29" s="362"/>
      <c r="Q29" s="828">
        <v>250.8</v>
      </c>
      <c r="R29" s="1221">
        <v>0</v>
      </c>
      <c r="S29" s="1222"/>
      <c r="T29" s="1222">
        <f t="shared" si="5"/>
        <v>0</v>
      </c>
      <c r="U29" s="1223">
        <f ca="1"/>
        <v>232.45</v>
      </c>
      <c r="V29" s="829">
        <f ca="1"/>
        <v>499</v>
      </c>
      <c r="W29" s="829">
        <f ca="1"/>
        <v>0</v>
      </c>
      <c r="X29" s="829">
        <f ca="1"/>
        <v>0</v>
      </c>
      <c r="Y29" s="828">
        <f t="shared" ca="1" si="0"/>
        <v>232.45</v>
      </c>
      <c r="Z29" s="362">
        <v>232.35</v>
      </c>
      <c r="AA29" s="829">
        <v>500</v>
      </c>
      <c r="AB29" s="719"/>
      <c r="AC29" s="1432"/>
      <c r="AD29" s="1433"/>
      <c r="AE29" s="1438">
        <f t="shared" ca="1" si="1"/>
        <v>0</v>
      </c>
      <c r="AF29" s="1439">
        <f t="shared" ca="1" si="2"/>
        <v>0</v>
      </c>
      <c r="AG29" s="1444">
        <v>1490</v>
      </c>
      <c r="AH29" s="1445">
        <v>188.64</v>
      </c>
      <c r="AI29" s="1448">
        <f t="shared" ca="1" si="3"/>
        <v>313198</v>
      </c>
      <c r="AJ29" s="1449">
        <f t="shared" ca="1" si="4"/>
        <v>-32124.400000000005</v>
      </c>
    </row>
    <row r="30" spans="1:36" x14ac:dyDescent="0.3">
      <c r="A30" s="82"/>
      <c r="B30" s="82"/>
      <c r="C30" s="574">
        <v>1490</v>
      </c>
      <c r="D30" s="571">
        <v>-196</v>
      </c>
      <c r="E30" s="570">
        <v>0</v>
      </c>
      <c r="F30" s="821">
        <v>0</v>
      </c>
      <c r="G30" s="572">
        <f ca="1">IF(TabFIFO[[#This Row],[Price]]&gt;0,TabFIFO[[#This Row],[Number]]*TabFIFO[[#This Row],[Price]],0)*(1-Commission)*GBpScale</f>
        <v>0</v>
      </c>
      <c r="H30" s="572">
        <f ca="1">IF(TabFIFO[[#This Row],[Price]]&lt;0,TabFIFO[[#This Row],[Number]]*TabFIFO[[#This Row],[Price]],0)*(1+Commission)*GBpScale</f>
        <v>-292799.304</v>
      </c>
      <c r="I30" s="579">
        <f ca="1">TabFIFO[[#This Row],[Remaining]]*ID_M*GBpScale</f>
        <v>0</v>
      </c>
      <c r="J30" s="1415"/>
      <c r="L30" s="839"/>
      <c r="M30" s="911"/>
      <c r="N30" s="840"/>
      <c r="O30" s="913"/>
      <c r="P30" s="362"/>
      <c r="Q30" s="828">
        <v>255.19</v>
      </c>
      <c r="R30" s="1221">
        <v>0</v>
      </c>
      <c r="S30" s="1222"/>
      <c r="T30" s="1222">
        <f t="shared" si="5"/>
        <v>0</v>
      </c>
      <c r="U30" s="1223">
        <f ca="1"/>
        <v>240.53301315789471</v>
      </c>
      <c r="V30" s="829">
        <f ca="1"/>
        <v>0</v>
      </c>
      <c r="W30" s="829">
        <f ca="1"/>
        <v>1000</v>
      </c>
      <c r="X30" s="829">
        <f ca="1"/>
        <v>0</v>
      </c>
      <c r="Y30" s="828">
        <f t="shared" ca="1" si="0"/>
        <v>240.53301315789471</v>
      </c>
      <c r="Z30" s="362">
        <v>232.45</v>
      </c>
      <c r="AA30" s="829">
        <v>499</v>
      </c>
      <c r="AB30" s="719"/>
      <c r="AC30" s="1432"/>
      <c r="AD30" s="1433"/>
      <c r="AE30" s="1438">
        <f t="shared" ca="1" si="1"/>
        <v>0</v>
      </c>
      <c r="AF30" s="1439">
        <f t="shared" ca="1" si="2"/>
        <v>0</v>
      </c>
      <c r="AG30" s="1444">
        <v>690</v>
      </c>
      <c r="AH30" s="1445">
        <v>173.04</v>
      </c>
      <c r="AI30" s="1448">
        <f t="shared" ca="1" si="3"/>
        <v>145038</v>
      </c>
      <c r="AJ30" s="1449">
        <f t="shared" ca="1" si="4"/>
        <v>-25640.399999999998</v>
      </c>
    </row>
    <row r="31" spans="1:36" x14ac:dyDescent="0.3">
      <c r="A31" s="82"/>
      <c r="B31" s="82"/>
      <c r="C31" s="574">
        <v>1490</v>
      </c>
      <c r="D31" s="571">
        <v>188.64</v>
      </c>
      <c r="E31" s="570"/>
      <c r="F31" s="821">
        <v>-4825</v>
      </c>
      <c r="G31" s="572">
        <f ca="1">IF(TabFIFO[[#This Row],[Price]]&gt;0,TabFIFO[[#This Row],[Number]]*TabFIFO[[#This Row],[Price]],0)*(1-Commission)*GBpScale</f>
        <v>280342.80863999994</v>
      </c>
      <c r="H31" s="572">
        <f ca="1">IF(TabFIFO[[#This Row],[Price]]&lt;0,TabFIFO[[#This Row],[Number]]*TabFIFO[[#This Row],[Price]],0)*(1+Commission)*GBpScale</f>
        <v>0</v>
      </c>
      <c r="I31" s="579">
        <f ca="1">TabFIFO[[#This Row],[Remaining]]*ID_M*GBpScale</f>
        <v>0</v>
      </c>
      <c r="J31" s="1415"/>
      <c r="L31" s="839"/>
      <c r="M31" s="911"/>
      <c r="N31" s="840"/>
      <c r="O31" s="913"/>
      <c r="P31" s="362"/>
      <c r="Q31" s="828">
        <v>262.89999999999998</v>
      </c>
      <c r="R31" s="1221">
        <v>301</v>
      </c>
      <c r="S31" s="1222"/>
      <c r="T31" s="1222">
        <f t="shared" si="5"/>
        <v>0</v>
      </c>
      <c r="U31" s="1223">
        <f ca="1"/>
        <v>242.8</v>
      </c>
      <c r="V31" s="829">
        <f ca="1"/>
        <v>0</v>
      </c>
      <c r="W31" s="829">
        <f ca="1"/>
        <v>0</v>
      </c>
      <c r="X31" s="829">
        <f ca="1"/>
        <v>0</v>
      </c>
      <c r="Y31" s="828">
        <f t="shared" ca="1" si="0"/>
        <v>242.8</v>
      </c>
      <c r="Z31" s="362">
        <v>242.8</v>
      </c>
      <c r="AA31" s="829">
        <v>0</v>
      </c>
      <c r="AB31" s="719"/>
      <c r="AC31" s="1432"/>
      <c r="AD31" s="1433"/>
      <c r="AE31" s="1438">
        <f t="shared" ca="1" si="1"/>
        <v>0</v>
      </c>
      <c r="AF31" s="1439">
        <f t="shared" ca="1" si="2"/>
        <v>0</v>
      </c>
      <c r="AG31" s="1444">
        <v>800</v>
      </c>
      <c r="AH31" s="1445">
        <v>160.74</v>
      </c>
      <c r="AI31" s="1448">
        <f t="shared" ca="1" si="3"/>
        <v>168160</v>
      </c>
      <c r="AJ31" s="1449">
        <f t="shared" ca="1" si="4"/>
        <v>-39567.999999999985</v>
      </c>
    </row>
    <row r="32" spans="1:36" x14ac:dyDescent="0.3">
      <c r="A32" s="82"/>
      <c r="B32" s="82"/>
      <c r="C32" s="574">
        <v>490</v>
      </c>
      <c r="D32" s="571">
        <v>211.25</v>
      </c>
      <c r="E32" s="570"/>
      <c r="F32" s="821">
        <v>7472.5</v>
      </c>
      <c r="G32" s="572">
        <f ca="1">IF(TabFIFO[[#This Row],[Price]]&gt;0,TabFIFO[[#This Row],[Number]]*TabFIFO[[#This Row],[Price]],0)*(1-Commission)*GBpScale</f>
        <v>103243.36749999999</v>
      </c>
      <c r="H32" s="572">
        <f ca="1">IF(TabFIFO[[#This Row],[Price]]&lt;0,TabFIFO[[#This Row],[Number]]*TabFIFO[[#This Row],[Price]],0)*(1+Commission)*GBpScale</f>
        <v>0</v>
      </c>
      <c r="I32" s="579">
        <f ca="1">TabFIFO[[#This Row],[Remaining]]*ID_M*GBpScale</f>
        <v>0</v>
      </c>
      <c r="J32" s="1415"/>
      <c r="L32" s="914"/>
      <c r="M32" s="915"/>
      <c r="N32" s="840"/>
      <c r="O32" s="913"/>
      <c r="P32" s="362"/>
      <c r="Q32" s="828">
        <v>249.75</v>
      </c>
      <c r="R32" s="1221">
        <v>1000</v>
      </c>
      <c r="S32" s="1222"/>
      <c r="T32" s="1222">
        <f t="shared" si="5"/>
        <v>0</v>
      </c>
      <c r="U32" s="1223">
        <f ca="1"/>
        <v>249.75</v>
      </c>
      <c r="V32" s="829">
        <f ca="1"/>
        <v>1000</v>
      </c>
      <c r="W32" s="829">
        <f ca="1"/>
        <v>0</v>
      </c>
      <c r="X32" s="829">
        <f ca="1"/>
        <v>0</v>
      </c>
      <c r="Y32" s="828">
        <f t="shared" ca="1" si="0"/>
        <v>249.75</v>
      </c>
      <c r="Z32" s="362">
        <v>249.75</v>
      </c>
      <c r="AA32" s="829">
        <v>1000</v>
      </c>
      <c r="AB32" s="719"/>
      <c r="AC32" s="1432"/>
      <c r="AD32" s="1433"/>
      <c r="AE32" s="1438">
        <f t="shared" ca="1" si="1"/>
        <v>0</v>
      </c>
      <c r="AF32" s="1439">
        <f t="shared" ca="1" si="2"/>
        <v>0</v>
      </c>
      <c r="AG32" s="1444">
        <v>200</v>
      </c>
      <c r="AH32" s="1445">
        <v>113.02</v>
      </c>
      <c r="AI32" s="1448">
        <f t="shared" ca="1" si="3"/>
        <v>42040</v>
      </c>
      <c r="AJ32" s="1449">
        <f t="shared" ca="1" si="4"/>
        <v>-19436</v>
      </c>
    </row>
    <row r="33" spans="1:36" x14ac:dyDescent="0.3">
      <c r="A33" s="82"/>
      <c r="B33" s="82"/>
      <c r="C33" s="574">
        <v>490</v>
      </c>
      <c r="D33" s="571">
        <v>-242.8</v>
      </c>
      <c r="E33" s="570">
        <v>0</v>
      </c>
      <c r="F33" s="821">
        <v>0</v>
      </c>
      <c r="G33" s="572">
        <f ca="1">IF(TabFIFO[[#This Row],[Price]]&gt;0,TabFIFO[[#This Row],[Number]]*TabFIFO[[#This Row],[Price]],0)*(1-Commission)*GBpScale</f>
        <v>0</v>
      </c>
      <c r="H33" s="572">
        <f ca="1">IF(TabFIFO[[#This Row],[Price]]&lt;0,TabFIFO[[#This Row],[Number]]*TabFIFO[[#This Row],[Price]],0)*(1+Commission)*GBpScale</f>
        <v>-119281.32719999999</v>
      </c>
      <c r="I33" s="579">
        <f ca="1">TabFIFO[[#This Row],[Remaining]]*ID_M*GBpScale</f>
        <v>0</v>
      </c>
      <c r="J33" s="1415"/>
      <c r="L33" s="914"/>
      <c r="M33" s="915"/>
      <c r="N33" s="840"/>
      <c r="O33" s="913"/>
      <c r="P33" s="362"/>
      <c r="Q33" s="828">
        <v>250.85</v>
      </c>
      <c r="R33" s="1221">
        <v>500</v>
      </c>
      <c r="S33" s="1222"/>
      <c r="T33" s="1222">
        <f t="shared" si="5"/>
        <v>0</v>
      </c>
      <c r="U33" s="1223">
        <f ca="1"/>
        <v>250.8</v>
      </c>
      <c r="V33" s="829">
        <f ca="1"/>
        <v>0</v>
      </c>
      <c r="W33" s="829">
        <f ca="1"/>
        <v>0</v>
      </c>
      <c r="X33" s="829">
        <f ca="1"/>
        <v>0</v>
      </c>
      <c r="Y33" s="828">
        <f t="shared" ca="1" si="0"/>
        <v>250.8</v>
      </c>
      <c r="Z33" s="362">
        <v>250.8</v>
      </c>
      <c r="AA33" s="829">
        <v>0</v>
      </c>
      <c r="AB33" s="719"/>
      <c r="AC33" s="1432"/>
      <c r="AD33" s="1433"/>
      <c r="AE33" s="1438">
        <f t="shared" ca="1" si="1"/>
        <v>0</v>
      </c>
      <c r="AF33" s="1439">
        <f t="shared" ca="1" si="2"/>
        <v>0</v>
      </c>
      <c r="AG33" s="1444">
        <v>1300</v>
      </c>
      <c r="AH33" s="1445">
        <v>107.8</v>
      </c>
      <c r="AI33" s="1448">
        <f t="shared" ca="1" si="3"/>
        <v>273260</v>
      </c>
      <c r="AJ33" s="1449">
        <f t="shared" ca="1" si="4"/>
        <v>-133120</v>
      </c>
    </row>
    <row r="34" spans="1:36" x14ac:dyDescent="0.3">
      <c r="A34" s="82"/>
      <c r="B34" s="82"/>
      <c r="C34" s="574">
        <v>499</v>
      </c>
      <c r="D34" s="571">
        <v>275.52499999999998</v>
      </c>
      <c r="E34" s="570"/>
      <c r="F34" s="821">
        <v>16797.774999999965</v>
      </c>
      <c r="G34" s="572">
        <f ca="1">IF(TabFIFO[[#This Row],[Price]]&gt;0,TabFIFO[[#This Row],[Number]]*TabFIFO[[#This Row],[Price]],0)*(1-Commission)*GBpScale</f>
        <v>137129.50886499998</v>
      </c>
      <c r="H34" s="572">
        <f ca="1">IF(TabFIFO[[#This Row],[Price]]&lt;0,TabFIFO[[#This Row],[Number]]*TabFIFO[[#This Row],[Price]],0)*(1+Commission)*GBpScale</f>
        <v>0</v>
      </c>
      <c r="I34" s="579">
        <f ca="1">TabFIFO[[#This Row],[Remaining]]*ID_M*GBpScale</f>
        <v>0</v>
      </c>
      <c r="J34" s="1415"/>
      <c r="L34" s="914"/>
      <c r="M34" s="915"/>
      <c r="N34" s="840"/>
      <c r="O34" s="913"/>
      <c r="P34" s="362"/>
      <c r="Q34" s="828">
        <v>232.45</v>
      </c>
      <c r="R34" s="1221">
        <v>499</v>
      </c>
      <c r="S34" s="1222"/>
      <c r="T34" s="1222">
        <f t="shared" si="5"/>
        <v>0</v>
      </c>
      <c r="U34" s="1223">
        <f ca="1"/>
        <v>250.85</v>
      </c>
      <c r="V34" s="829">
        <f ca="1"/>
        <v>500</v>
      </c>
      <c r="W34" s="829">
        <f ca="1"/>
        <v>0</v>
      </c>
      <c r="X34" s="829">
        <f ca="1"/>
        <v>0</v>
      </c>
      <c r="Y34" s="828">
        <f t="shared" ca="1" si="0"/>
        <v>250.85</v>
      </c>
      <c r="Z34" s="362">
        <v>250.85</v>
      </c>
      <c r="AA34" s="829">
        <v>500</v>
      </c>
      <c r="AB34" s="719"/>
      <c r="AC34" s="1432"/>
      <c r="AD34" s="1433"/>
      <c r="AE34" s="1438">
        <f t="shared" ca="1" si="1"/>
        <v>0</v>
      </c>
      <c r="AF34" s="1439">
        <f t="shared" ca="1" si="2"/>
        <v>0</v>
      </c>
      <c r="AG34" s="1444"/>
      <c r="AH34" s="1445"/>
      <c r="AI34" s="1448">
        <f t="shared" ca="1" si="3"/>
        <v>0</v>
      </c>
      <c r="AJ34" s="1449">
        <f t="shared" ca="1" si="4"/>
        <v>0</v>
      </c>
    </row>
    <row r="35" spans="1:36" x14ac:dyDescent="0.3">
      <c r="A35" s="82"/>
      <c r="B35" s="82"/>
      <c r="C35" s="574">
        <v>1000</v>
      </c>
      <c r="D35" s="571">
        <v>-250.8</v>
      </c>
      <c r="E35" s="570">
        <v>0</v>
      </c>
      <c r="F35" s="821">
        <v>0</v>
      </c>
      <c r="G35" s="572">
        <f ca="1">IF(TabFIFO[[#This Row],[Price]]&gt;0,TabFIFO[[#This Row],[Number]]*TabFIFO[[#This Row],[Price]],0)*(1-Commission)*GBpScale</f>
        <v>0</v>
      </c>
      <c r="H35" s="572">
        <f ca="1">IF(TabFIFO[[#This Row],[Price]]&lt;0,TabFIFO[[#This Row],[Number]]*TabFIFO[[#This Row],[Price]],0)*(1+Commission)*GBpScale</f>
        <v>-251452.08</v>
      </c>
      <c r="I35" s="579">
        <f ca="1">TabFIFO[[#This Row],[Remaining]]*ID_M*GBpScale</f>
        <v>0</v>
      </c>
      <c r="J35" s="1415"/>
      <c r="L35" s="914"/>
      <c r="M35" s="915"/>
      <c r="N35" s="840"/>
      <c r="O35" s="913"/>
      <c r="P35" s="362"/>
      <c r="Q35" s="828">
        <v>227.55</v>
      </c>
      <c r="R35" s="362">
        <v>1000</v>
      </c>
      <c r="S35" s="1222"/>
      <c r="T35" s="1222">
        <f t="shared" si="5"/>
        <v>0</v>
      </c>
      <c r="U35" s="1223">
        <f ca="1"/>
        <v>255.19</v>
      </c>
      <c r="V35" s="829">
        <f ca="1"/>
        <v>0</v>
      </c>
      <c r="W35" s="829">
        <f ca="1"/>
        <v>0</v>
      </c>
      <c r="X35" s="829">
        <f ca="1"/>
        <v>0</v>
      </c>
      <c r="Y35" s="828">
        <f t="shared" ca="1" si="0"/>
        <v>255.19</v>
      </c>
      <c r="Z35" s="362">
        <v>255.19</v>
      </c>
      <c r="AA35" s="829">
        <v>0</v>
      </c>
      <c r="AB35" s="719"/>
      <c r="AC35" s="1432"/>
      <c r="AD35" s="1433"/>
      <c r="AE35" s="1438">
        <f t="shared" ca="1" si="1"/>
        <v>0</v>
      </c>
      <c r="AF35" s="1439">
        <f t="shared" ca="1" si="2"/>
        <v>0</v>
      </c>
      <c r="AG35" s="1444"/>
      <c r="AH35" s="1445"/>
      <c r="AI35" s="1448">
        <f t="shared" ca="1" si="3"/>
        <v>0</v>
      </c>
      <c r="AJ35" s="1449">
        <f t="shared" ca="1" si="4"/>
        <v>0</v>
      </c>
    </row>
    <row r="36" spans="1:36" x14ac:dyDescent="0.3">
      <c r="A36" s="82"/>
      <c r="B36" s="82"/>
      <c r="C36" s="574">
        <v>1000</v>
      </c>
      <c r="D36" s="571">
        <v>-255.19</v>
      </c>
      <c r="E36" s="570">
        <v>0</v>
      </c>
      <c r="F36" s="821">
        <v>0</v>
      </c>
      <c r="G36" s="572">
        <f ca="1">IF(TabFIFO[[#This Row],[Price]]&gt;0,TabFIFO[[#This Row],[Number]]*TabFIFO[[#This Row],[Price]],0)*(1-Commission)*GBpScale</f>
        <v>0</v>
      </c>
      <c r="H36" s="572">
        <f ca="1">IF(TabFIFO[[#This Row],[Price]]&lt;0,TabFIFO[[#This Row],[Number]]*TabFIFO[[#This Row],[Price]],0)*(1+Commission)*GBpScale</f>
        <v>-255853.49399999998</v>
      </c>
      <c r="I36" s="579">
        <f ca="1">TabFIFO[[#This Row],[Remaining]]*ID_M*GBpScale</f>
        <v>0</v>
      </c>
      <c r="J36" s="82"/>
      <c r="L36" s="914"/>
      <c r="M36" s="915"/>
      <c r="N36" s="840"/>
      <c r="O36" s="913"/>
      <c r="P36" s="362"/>
      <c r="Q36" s="828">
        <v>232.35</v>
      </c>
      <c r="R36" s="1221">
        <v>500</v>
      </c>
      <c r="S36" s="1222"/>
      <c r="T36" s="1222">
        <f t="shared" si="5"/>
        <v>0</v>
      </c>
      <c r="U36" s="1223">
        <f ca="1"/>
        <v>262.89999999999998</v>
      </c>
      <c r="V36" s="829">
        <f ca="1"/>
        <v>301</v>
      </c>
      <c r="W36" s="829">
        <f ca="1"/>
        <v>0</v>
      </c>
      <c r="X36" s="829">
        <f ca="1"/>
        <v>0</v>
      </c>
      <c r="Y36" s="828">
        <f t="shared" ca="1" si="0"/>
        <v>262.89999999999998</v>
      </c>
      <c r="Z36" s="362">
        <v>262.89999999999998</v>
      </c>
      <c r="AA36" s="829">
        <v>301</v>
      </c>
      <c r="AB36" s="719"/>
      <c r="AC36" s="1432"/>
      <c r="AD36" s="1433"/>
      <c r="AE36" s="1438">
        <f t="shared" ca="1" si="1"/>
        <v>0</v>
      </c>
      <c r="AF36" s="1439">
        <f t="shared" ca="1" si="2"/>
        <v>0</v>
      </c>
      <c r="AG36" s="1444"/>
      <c r="AH36" s="1445"/>
      <c r="AI36" s="1448">
        <f t="shared" ca="1" si="3"/>
        <v>0</v>
      </c>
      <c r="AJ36" s="1449">
        <f t="shared" ca="1" si="4"/>
        <v>0</v>
      </c>
    </row>
    <row r="37" spans="1:36" x14ac:dyDescent="0.3">
      <c r="A37" s="82"/>
      <c r="B37" s="82"/>
      <c r="C37" s="574">
        <v>500</v>
      </c>
      <c r="D37" s="571">
        <v>-262.89999999999998</v>
      </c>
      <c r="E37" s="570">
        <v>301</v>
      </c>
      <c r="F37" s="821">
        <v>0</v>
      </c>
      <c r="G37" s="572">
        <f ca="1">IF(TabFIFO[[#This Row],[Price]]&gt;0,TabFIFO[[#This Row],[Number]]*TabFIFO[[#This Row],[Price]],0)*(1-Commission)*GBpScale</f>
        <v>0</v>
      </c>
      <c r="H37" s="572">
        <f ca="1">IF(TabFIFO[[#This Row],[Price]]&lt;0,TabFIFO[[#This Row],[Number]]*TabFIFO[[#This Row],[Price]],0)*(1+Commission)*GBpScale</f>
        <v>-131791.76999999999</v>
      </c>
      <c r="I37" s="579">
        <f ca="1">TabFIFO[[#This Row],[Remaining]]*ID_M*GBpScale</f>
        <v>63270.2</v>
      </c>
      <c r="L37" s="914"/>
      <c r="M37" s="915"/>
      <c r="N37" s="840"/>
      <c r="O37" s="913"/>
      <c r="P37" s="362"/>
      <c r="Q37" s="828"/>
      <c r="R37" s="1221"/>
      <c r="S37" s="1222"/>
      <c r="T37" s="1222">
        <f t="shared" si="5"/>
        <v>0</v>
      </c>
      <c r="U37" s="1223">
        <f ca="1"/>
        <v>0</v>
      </c>
      <c r="V37" s="829">
        <f ca="1"/>
        <v>0</v>
      </c>
      <c r="W37" s="829">
        <f ca="1"/>
        <v>0</v>
      </c>
      <c r="X37" s="829">
        <f ca="1"/>
        <v>0</v>
      </c>
      <c r="Y37" s="828">
        <f t="shared" ca="1" si="0"/>
        <v>0</v>
      </c>
      <c r="Z37" s="362">
        <v>0</v>
      </c>
      <c r="AA37" s="829">
        <v>0</v>
      </c>
      <c r="AB37" s="719"/>
      <c r="AC37" s="1432"/>
      <c r="AD37" s="1433"/>
      <c r="AE37" s="1438">
        <f t="shared" ca="1" si="1"/>
        <v>0</v>
      </c>
      <c r="AF37" s="1439">
        <f t="shared" ca="1" si="2"/>
        <v>0</v>
      </c>
      <c r="AG37" s="1444"/>
      <c r="AH37" s="1445"/>
      <c r="AI37" s="1448">
        <f t="shared" ca="1" si="3"/>
        <v>0</v>
      </c>
      <c r="AJ37" s="1449">
        <f t="shared" ca="1" si="4"/>
        <v>0</v>
      </c>
    </row>
    <row r="38" spans="1:36" x14ac:dyDescent="0.3">
      <c r="A38" s="82"/>
      <c r="B38" s="82"/>
      <c r="C38" s="574">
        <v>500</v>
      </c>
      <c r="D38" s="571">
        <v>265.64999999999998</v>
      </c>
      <c r="E38" s="570"/>
      <c r="F38" s="821">
        <v>7432.9999999999854</v>
      </c>
      <c r="G38" s="572">
        <f ca="1">IF(TabFIFO[[#This Row],[Price]]&gt;0,TabFIFO[[#This Row],[Number]]*TabFIFO[[#This Row],[Price]],0)*(1-Commission)*GBpScale</f>
        <v>132479.655</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32"/>
      <c r="AD38" s="1433"/>
      <c r="AE38" s="1438">
        <f t="shared" ca="1" si="1"/>
        <v>0</v>
      </c>
      <c r="AF38" s="1439">
        <f t="shared" ca="1" si="2"/>
        <v>0</v>
      </c>
      <c r="AG38" s="1444"/>
      <c r="AH38" s="1445"/>
      <c r="AI38" s="1448">
        <f t="shared" ca="1" si="3"/>
        <v>0</v>
      </c>
      <c r="AJ38" s="1449">
        <f t="shared" ca="1" si="4"/>
        <v>0</v>
      </c>
    </row>
    <row r="39" spans="1:36" x14ac:dyDescent="0.3">
      <c r="A39" s="82"/>
      <c r="B39" s="82"/>
      <c r="C39" s="574">
        <v>500</v>
      </c>
      <c r="D39" s="571">
        <v>263.875</v>
      </c>
      <c r="E39" s="570"/>
      <c r="F39" s="821">
        <v>6537.5</v>
      </c>
      <c r="G39" s="572">
        <f ca="1">IF(TabFIFO[[#This Row],[Price]]&gt;0,TabFIFO[[#This Row],[Number]]*TabFIFO[[#This Row],[Price]],0)*(1-Commission)*GBpScale</f>
        <v>131594.46249999999</v>
      </c>
      <c r="H39" s="572">
        <f ca="1">IF(TabFIFO[[#This Row],[Price]]&lt;0,TabFIFO[[#This Row],[Number]]*TabFIFO[[#This Row],[Price]],0)*(1+Commission)*GBpScale</f>
        <v>0</v>
      </c>
      <c r="I39" s="579">
        <f ca="1">TabFIFO[[#This Row],[Remaining]]*ID_M*GBpScale</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32"/>
      <c r="AD39" s="1433"/>
      <c r="AE39" s="1438">
        <f t="shared" ca="1" si="1"/>
        <v>0</v>
      </c>
      <c r="AF39" s="1439">
        <f t="shared" ca="1" si="2"/>
        <v>0</v>
      </c>
      <c r="AG39" s="1444"/>
      <c r="AH39" s="1445"/>
      <c r="AI39" s="1448">
        <f t="shared" ca="1" si="3"/>
        <v>0</v>
      </c>
      <c r="AJ39" s="1449">
        <f t="shared" ca="1" si="4"/>
        <v>0</v>
      </c>
    </row>
    <row r="40" spans="1:36" x14ac:dyDescent="0.3">
      <c r="A40" s="82"/>
      <c r="B40" s="82"/>
      <c r="C40" s="574">
        <v>500</v>
      </c>
      <c r="D40" s="571">
        <v>273.14999999999998</v>
      </c>
      <c r="E40" s="570"/>
      <c r="F40" s="821">
        <v>8984.39</v>
      </c>
      <c r="G40" s="572">
        <f ca="1">IF(TabFIFO[[#This Row],[Price]]&gt;0,TabFIFO[[#This Row],[Number]]*TabFIFO[[#This Row],[Price]],0)*(1-Commission)*GBpScale</f>
        <v>136219.905</v>
      </c>
      <c r="H40" s="572">
        <f ca="1">IF(TabFIFO[[#This Row],[Price]]&lt;0,TabFIFO[[#This Row],[Number]]*TabFIFO[[#This Row],[Price]],0)*(1+Commission)*GBpScale</f>
        <v>0</v>
      </c>
      <c r="I40" s="579">
        <f ca="1">TabFIFO[[#This Row],[Remaining]]*ID_M*GBpScale</f>
        <v>0</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32"/>
      <c r="AD40" s="1433"/>
      <c r="AE40" s="1438">
        <f t="shared" ca="1" si="1"/>
        <v>0</v>
      </c>
      <c r="AF40" s="1439">
        <f t="shared" ca="1" si="2"/>
        <v>0</v>
      </c>
      <c r="AG40" s="1444"/>
      <c r="AH40" s="1445"/>
      <c r="AI40" s="1448">
        <f t="shared" ca="1" si="3"/>
        <v>0</v>
      </c>
      <c r="AJ40" s="1449">
        <f t="shared" ca="1" si="4"/>
        <v>0</v>
      </c>
    </row>
    <row r="41" spans="1:36" x14ac:dyDescent="0.3">
      <c r="A41" s="82"/>
      <c r="B41" s="82"/>
      <c r="C41" s="574">
        <v>1000</v>
      </c>
      <c r="D41" s="571">
        <v>-249.75</v>
      </c>
      <c r="E41" s="570">
        <v>1000</v>
      </c>
      <c r="F41" s="821">
        <v>0</v>
      </c>
      <c r="G41" s="572">
        <f ca="1">IF(TabFIFO[[#This Row],[Price]]&gt;0,TabFIFO[[#This Row],[Number]]*TabFIFO[[#This Row],[Price]],0)*(1-Commission)*GBpScale</f>
        <v>0</v>
      </c>
      <c r="H41" s="572">
        <f ca="1">IF(TabFIFO[[#This Row],[Price]]&lt;0,TabFIFO[[#This Row],[Number]]*TabFIFO[[#This Row],[Price]],0)*(1+Commission)*GBpScale</f>
        <v>-250399.34999999998</v>
      </c>
      <c r="I41" s="579">
        <f ca="1">TabFIFO[[#This Row],[Remaining]]*ID_M*GBpScale</f>
        <v>210200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32"/>
      <c r="AD41" s="1433"/>
      <c r="AE41" s="1438">
        <f t="shared" ca="1" si="1"/>
        <v>0</v>
      </c>
      <c r="AF41" s="1439">
        <f t="shared" ca="1" si="2"/>
        <v>0</v>
      </c>
      <c r="AG41" s="1444"/>
      <c r="AH41" s="1445"/>
      <c r="AI41" s="1448">
        <f t="shared" ca="1" si="3"/>
        <v>0</v>
      </c>
      <c r="AJ41" s="1449">
        <f t="shared" ca="1" si="4"/>
        <v>0</v>
      </c>
    </row>
    <row r="42" spans="1:36" ht="23" thickBot="1" x14ac:dyDescent="0.35">
      <c r="A42" s="82"/>
      <c r="B42" s="82"/>
      <c r="C42" s="574">
        <v>500</v>
      </c>
      <c r="D42" s="571">
        <v>265.05</v>
      </c>
      <c r="E42" s="570"/>
      <c r="F42" s="821">
        <v>4930</v>
      </c>
      <c r="G42" s="572">
        <f ca="1">IF(TabFIFO[[#This Row],[Price]]&gt;0,TabFIFO[[#This Row],[Number]]*TabFIFO[[#This Row],[Price]],0)*(1-Commission)*GBpScale</f>
        <v>132180.435</v>
      </c>
      <c r="H42" s="572">
        <f ca="1">IF(TabFIFO[[#This Row],[Price]]&lt;0,TabFIFO[[#This Row],[Number]]*TabFIFO[[#This Row],[Price]],0)*(1+Commission)*GBpScale</f>
        <v>0</v>
      </c>
      <c r="I42" s="579">
        <f ca="1">TabFIFO[[#This Row],[Remaining]]*ID_M*GBpScale</f>
        <v>0</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4"/>
      <c r="AD42" s="1435"/>
      <c r="AE42" s="1440">
        <f t="shared" ca="1" si="1"/>
        <v>0</v>
      </c>
      <c r="AF42" s="1441">
        <f t="shared" ca="1" si="2"/>
        <v>0</v>
      </c>
      <c r="AG42" s="1444"/>
      <c r="AH42" s="1445"/>
      <c r="AI42" s="1448">
        <f t="shared" ref="AI42:AI44" ca="1" si="6">IFERROR(AG42*ID_M*GBpScale,AG42)</f>
        <v>0</v>
      </c>
      <c r="AJ42" s="1449">
        <f t="shared" ref="AJ42:AJ44" ca="1" si="7">IFERROR(AG42*(AH42-ID_M)*GBpScale,0)</f>
        <v>0</v>
      </c>
    </row>
    <row r="43" spans="1:36" x14ac:dyDescent="0.3">
      <c r="A43" s="82"/>
      <c r="B43" s="82"/>
      <c r="C43" s="574">
        <v>500</v>
      </c>
      <c r="D43" s="571">
        <v>-250.85</v>
      </c>
      <c r="E43" s="570">
        <v>500</v>
      </c>
      <c r="F43" s="821">
        <v>0</v>
      </c>
      <c r="G43" s="572">
        <f ca="1">IF(TabFIFO[[#This Row],[Price]]&gt;0,TabFIFO[[#This Row],[Number]]*TabFIFO[[#This Row],[Price]],0)*(1-Commission)*GBpScale</f>
        <v>0</v>
      </c>
      <c r="H43" s="572">
        <f ca="1">IF(TabFIFO[[#This Row],[Price]]&lt;0,TabFIFO[[#This Row],[Number]]*TabFIFO[[#This Row],[Price]],0)*(1+Commission)*GBpScale</f>
        <v>-125751.105</v>
      </c>
      <c r="I43" s="579">
        <f ca="1">TabFIFO[[#This Row],[Remaining]]*ID_M*GBpScale</f>
        <v>105100</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5">
        <f t="shared" ref="AF43:AF54" ca="1" si="9">AD43*(ID_M+AC43)</f>
        <v>0</v>
      </c>
      <c r="AG43" s="1444"/>
      <c r="AH43" s="1445"/>
      <c r="AI43" s="1448">
        <f t="shared" ca="1" si="6"/>
        <v>0</v>
      </c>
      <c r="AJ43" s="1449">
        <f t="shared" ca="1" si="7"/>
        <v>0</v>
      </c>
    </row>
    <row r="44" spans="1:36" x14ac:dyDescent="0.3">
      <c r="A44" s="82"/>
      <c r="B44" s="82"/>
      <c r="C44" s="574">
        <v>499</v>
      </c>
      <c r="D44" s="571">
        <v>-232.45</v>
      </c>
      <c r="E44" s="570">
        <v>499</v>
      </c>
      <c r="F44" s="821">
        <v>0</v>
      </c>
      <c r="G44" s="572">
        <f ca="1">IF(TabFIFO[[#This Row],[Price]]&gt;0,TabFIFO[[#This Row],[Number]]*TabFIFO[[#This Row],[Price]],0)*(1-Commission)*GBpScale</f>
        <v>0</v>
      </c>
      <c r="H44" s="572">
        <f ca="1">IF(TabFIFO[[#This Row],[Price]]&lt;0,TabFIFO[[#This Row],[Number]]*TabFIFO[[#This Row],[Price]],0)*(1+Commission)*GBpScale</f>
        <v>-116294.13062999999</v>
      </c>
      <c r="I44" s="579">
        <f ca="1">TabFIFO[[#This Row],[Remaining]]*ID_M*GBpScale</f>
        <v>104889.79999999999</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5">
        <f t="shared" ca="1" si="9"/>
        <v>0</v>
      </c>
      <c r="AG44" s="1444"/>
      <c r="AH44" s="1445"/>
      <c r="AI44" s="1448">
        <f t="shared" ca="1" si="6"/>
        <v>0</v>
      </c>
      <c r="AJ44" s="1449">
        <f t="shared" ca="1" si="7"/>
        <v>0</v>
      </c>
    </row>
    <row r="45" spans="1:36" x14ac:dyDescent="0.3">
      <c r="A45" s="82"/>
      <c r="B45" s="82"/>
      <c r="C45" s="574">
        <v>1000</v>
      </c>
      <c r="D45" s="571">
        <v>-227.55</v>
      </c>
      <c r="E45" s="570">
        <v>1000</v>
      </c>
      <c r="F45" s="821">
        <v>0</v>
      </c>
      <c r="G45" s="572">
        <f ca="1">IF(TabFIFO[[#This Row],[Price]]&gt;0,TabFIFO[[#This Row],[Number]]*TabFIFO[[#This Row],[Price]],0)*(1-Commission)*GBpScale</f>
        <v>0</v>
      </c>
      <c r="H45" s="572">
        <f ca="1">IF(TabFIFO[[#This Row],[Price]]&lt;0,TabFIFO[[#This Row],[Number]]*TabFIFO[[#This Row],[Price]],0)*(1+Commission)*GBpScale</f>
        <v>-228141.62999999998</v>
      </c>
      <c r="I45" s="579">
        <f ca="1">TabFIFO[[#This Row],[Remaining]]*ID_M*GBpScale</f>
        <v>210200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5">
        <f t="shared" ca="1" si="9"/>
        <v>0</v>
      </c>
      <c r="AG45" s="1444"/>
      <c r="AH45" s="1445"/>
      <c r="AI45" s="1448">
        <f t="shared" ref="AI45:AI53" ca="1" si="10">AH45*ID_M</f>
        <v>0</v>
      </c>
      <c r="AJ45" s="1449">
        <f t="shared" ref="AJ45:AJ54" ca="1" si="11">AG45*(ID_M-AH45)</f>
        <v>0</v>
      </c>
    </row>
    <row r="46" spans="1:36" x14ac:dyDescent="0.3">
      <c r="A46" s="82"/>
      <c r="C46" s="574">
        <v>500</v>
      </c>
      <c r="D46" s="571">
        <v>-232.35</v>
      </c>
      <c r="E46" s="570">
        <v>500</v>
      </c>
      <c r="F46" s="821">
        <v>0</v>
      </c>
      <c r="G46" s="572">
        <f ca="1">IF(TabFIFO[[#This Row],[Price]]&gt;0,TabFIFO[[#This Row],[Number]]*TabFIFO[[#This Row],[Price]],0)*(1-Commission)*GBpScale</f>
        <v>0</v>
      </c>
      <c r="H46" s="572">
        <f ca="1">IF(TabFIFO[[#This Row],[Price]]&lt;0,TabFIFO[[#This Row],[Number]]*TabFIFO[[#This Row],[Price]],0)*(1+Commission)*GBpScale</f>
        <v>-116477.05499999999</v>
      </c>
      <c r="I46" s="579">
        <f ca="1">TabFIFO[[#This Row],[Remaining]]*ID_M*GBpScale</f>
        <v>105100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5">
        <f t="shared" ca="1" si="9"/>
        <v>0</v>
      </c>
      <c r="AG46" s="1444"/>
      <c r="AH46" s="1445"/>
      <c r="AI46" s="1448">
        <f t="shared" ca="1" si="10"/>
        <v>0</v>
      </c>
      <c r="AJ46" s="1449">
        <f t="shared" ca="1" si="11"/>
        <v>0</v>
      </c>
    </row>
    <row r="47" spans="1:36" ht="23" thickBot="1" x14ac:dyDescent="0.35">
      <c r="A47" s="82"/>
      <c r="B47" s="82"/>
      <c r="C47" s="574">
        <v>200</v>
      </c>
      <c r="D47" s="571">
        <v>237.8</v>
      </c>
      <c r="E47" s="570"/>
      <c r="F47" s="821">
        <v>-5012.2900000000009</v>
      </c>
      <c r="G47" s="572">
        <f ca="1">IF(TabFIFO[[#This Row],[Price]]&gt;0,TabFIFO[[#This Row],[Number]]*TabFIFO[[#This Row],[Price]],0)*(1-Commission)*GBpScale</f>
        <v>47436.343999999997</v>
      </c>
      <c r="H47" s="572">
        <f ca="1">IF(TabFIFO[[#This Row],[Price]]&lt;0,TabFIFO[[#This Row],[Number]]*TabFIFO[[#This Row],[Price]],0)*(1+Commission)*GBpScale</f>
        <v>0</v>
      </c>
      <c r="I47" s="579">
        <f ca="1">TabFIFO[[#This Row],[Remaining]]*ID_M*GBpScale</f>
        <v>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5">
        <f t="shared" ca="1" si="9"/>
        <v>0</v>
      </c>
      <c r="AG47" s="1444"/>
      <c r="AH47" s="1445"/>
      <c r="AI47" s="1448">
        <f t="shared" ca="1" si="10"/>
        <v>0</v>
      </c>
      <c r="AJ47" s="1449">
        <f t="shared" ca="1" si="11"/>
        <v>0</v>
      </c>
    </row>
    <row r="48" spans="1:36" x14ac:dyDescent="0.3">
      <c r="A48" s="82"/>
      <c r="B48" s="82"/>
      <c r="C48" s="823">
        <f>SUBTOTAL(109,TabFIFO[Number])</f>
        <v>19138</v>
      </c>
      <c r="D48" s="573"/>
      <c r="E48" s="578">
        <f>SUBTOTAL(109,TabFIFO[Remaining])</f>
        <v>3800</v>
      </c>
      <c r="F48" s="257">
        <f>SUBTOTAL(109,TabFIFO[Profit/Loss])</f>
        <v>85659.424999999959</v>
      </c>
      <c r="G48" s="257">
        <f ca="1">SUBTOTAL(109,TabFIFO[Income])</f>
        <v>1510292.1791449999</v>
      </c>
      <c r="H48" s="257">
        <f ca="1">SUBTOTAL(109,TabFIFO[Cost])</f>
        <v>-2348685.9475199999</v>
      </c>
      <c r="I48" s="257">
        <f ca="1">SUBTOTAL(109,TabFIFO[M-VALUE Now])</f>
        <v>798760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5">
        <f t="shared" ca="1" si="9"/>
        <v>0</v>
      </c>
      <c r="AG48" s="1444"/>
      <c r="AH48" s="1445"/>
      <c r="AI48" s="1448">
        <f t="shared" ca="1" si="10"/>
        <v>0</v>
      </c>
      <c r="AJ48" s="1449">
        <f t="shared" ca="1" si="11"/>
        <v>0</v>
      </c>
    </row>
    <row r="49" spans="1:36" x14ac:dyDescent="0.3">
      <c r="A49" s="82"/>
      <c r="E49" s="574"/>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5">
        <f t="shared" ca="1" si="9"/>
        <v>0</v>
      </c>
      <c r="AG49" s="1444"/>
      <c r="AH49" s="1445"/>
      <c r="AI49" s="1448">
        <f t="shared" ca="1" si="10"/>
        <v>0</v>
      </c>
      <c r="AJ49" s="1449">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5">
        <f t="shared" ca="1" si="9"/>
        <v>0</v>
      </c>
      <c r="AG50" s="1444"/>
      <c r="AH50" s="1445"/>
      <c r="AI50" s="1448">
        <f t="shared" ca="1" si="10"/>
        <v>0</v>
      </c>
      <c r="AJ50" s="1449">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5">
        <f t="shared" ca="1" si="9"/>
        <v>0</v>
      </c>
      <c r="AG51" s="1444"/>
      <c r="AH51" s="1445"/>
      <c r="AI51" s="1448">
        <f t="shared" ca="1" si="10"/>
        <v>0</v>
      </c>
      <c r="AJ51" s="1449">
        <f t="shared" ca="1" si="11"/>
        <v>0</v>
      </c>
    </row>
    <row r="52" spans="1:36" x14ac:dyDescent="0.3">
      <c r="F52">
        <v>0</v>
      </c>
      <c r="P52" s="16"/>
      <c r="R52" s="1220"/>
      <c r="S52" s="1220"/>
      <c r="T52" s="1220"/>
      <c r="U52">
        <f ca="1"/>
        <v>0</v>
      </c>
      <c r="V52">
        <f ca="1"/>
        <v>0</v>
      </c>
      <c r="W52">
        <f ca="1"/>
        <v>0</v>
      </c>
      <c r="X52">
        <f ca="1"/>
        <v>0</v>
      </c>
      <c r="Z52">
        <v>0</v>
      </c>
      <c r="AA52">
        <v>0</v>
      </c>
      <c r="AB52" s="719"/>
      <c r="AE52" s="719">
        <f t="shared" ca="1" si="8"/>
        <v>0</v>
      </c>
      <c r="AF52" s="1425">
        <f t="shared" ca="1" si="9"/>
        <v>0</v>
      </c>
      <c r="AG52" s="1444"/>
      <c r="AH52" s="1445"/>
      <c r="AI52" s="1448">
        <f t="shared" ca="1" si="10"/>
        <v>0</v>
      </c>
      <c r="AJ52" s="1449">
        <f t="shared" ca="1" si="11"/>
        <v>0</v>
      </c>
    </row>
    <row r="53" spans="1:36" x14ac:dyDescent="0.3">
      <c r="D53" cm="1">
        <f t="array" ref="D53">COUNT(_xlfn._xlws.FILTER(TabFIFO[Price], TabFIFO[Price]&lt;0))</f>
        <v>15</v>
      </c>
      <c r="F53">
        <v>0</v>
      </c>
      <c r="H53" s="815"/>
      <c r="P53" s="16"/>
      <c r="R53" s="816"/>
      <c r="S53" s="816"/>
      <c r="T53" s="816"/>
      <c r="U53">
        <f ca="1"/>
        <v>0</v>
      </c>
      <c r="V53">
        <f ca="1"/>
        <v>0</v>
      </c>
      <c r="W53">
        <f ca="1"/>
        <v>0</v>
      </c>
      <c r="X53">
        <f ca="1"/>
        <v>0</v>
      </c>
      <c r="Z53">
        <v>0</v>
      </c>
      <c r="AA53">
        <v>0</v>
      </c>
      <c r="AB53" s="719"/>
      <c r="AE53" s="719">
        <f t="shared" ca="1" si="8"/>
        <v>0</v>
      </c>
      <c r="AF53" s="1425">
        <f t="shared" ca="1" si="9"/>
        <v>0</v>
      </c>
      <c r="AG53" s="1444"/>
      <c r="AH53" s="1445"/>
      <c r="AI53" s="1448">
        <f t="shared" ca="1" si="10"/>
        <v>0</v>
      </c>
      <c r="AJ53" s="1449">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5">
        <f t="shared" ca="1" si="9"/>
        <v>0</v>
      </c>
      <c r="AG54" s="1444"/>
      <c r="AH54" s="1445"/>
      <c r="AI54" s="1448">
        <f t="shared" ref="AI54:AI85" ca="1" si="13">AH54*ID_M</f>
        <v>0</v>
      </c>
      <c r="AJ54" s="1449">
        <f t="shared" ca="1" si="11"/>
        <v>0</v>
      </c>
    </row>
    <row r="55" spans="1:36" x14ac:dyDescent="0.3">
      <c r="F55">
        <v>0</v>
      </c>
      <c r="P55" s="16"/>
      <c r="R55" s="816"/>
      <c r="S55" s="816"/>
      <c r="T55" s="816"/>
      <c r="U55">
        <f ca="1"/>
        <v>0</v>
      </c>
      <c r="V55">
        <f ca="1"/>
        <v>0</v>
      </c>
      <c r="W55">
        <f ca="1"/>
        <v>0</v>
      </c>
      <c r="X55">
        <f ca="1"/>
        <v>0</v>
      </c>
      <c r="Z55">
        <v>0</v>
      </c>
      <c r="AA55">
        <v>0</v>
      </c>
      <c r="AB55" s="719"/>
      <c r="AE55" s="719">
        <f t="shared" ca="1" si="12"/>
        <v>0</v>
      </c>
      <c r="AF55" s="1425">
        <f t="shared" ref="AF55:AF86" ca="1" si="14">AD55*(ID_M+AC55)</f>
        <v>0</v>
      </c>
      <c r="AG55" s="1444"/>
      <c r="AH55" s="1445"/>
      <c r="AI55" s="1448">
        <f t="shared" ca="1" si="13"/>
        <v>0</v>
      </c>
      <c r="AJ55" s="1449">
        <f t="shared" ref="AJ55:AJ86" ca="1" si="15">AG55*(ID_M-AH55)</f>
        <v>0</v>
      </c>
    </row>
    <row r="56" spans="1:36" x14ac:dyDescent="0.3">
      <c r="F56">
        <v>0</v>
      </c>
      <c r="P56" s="16"/>
      <c r="R56" s="816"/>
      <c r="S56" s="816"/>
      <c r="T56" s="816"/>
      <c r="U56">
        <f ca="1"/>
        <v>0</v>
      </c>
      <c r="V56">
        <f ca="1"/>
        <v>0</v>
      </c>
      <c r="W56">
        <f ca="1"/>
        <v>0</v>
      </c>
      <c r="X56">
        <f ca="1"/>
        <v>0</v>
      </c>
      <c r="Z56">
        <v>0</v>
      </c>
      <c r="AA56">
        <v>0</v>
      </c>
      <c r="AB56" s="719"/>
      <c r="AE56" s="719">
        <f t="shared" ca="1" si="12"/>
        <v>0</v>
      </c>
      <c r="AF56" s="1425">
        <f t="shared" ca="1" si="14"/>
        <v>0</v>
      </c>
      <c r="AG56" s="1444"/>
      <c r="AH56" s="1445"/>
      <c r="AI56" s="1448">
        <f t="shared" ca="1" si="13"/>
        <v>0</v>
      </c>
      <c r="AJ56" s="1449">
        <f t="shared" ca="1" si="15"/>
        <v>0</v>
      </c>
    </row>
    <row r="57" spans="1:36" x14ac:dyDescent="0.3">
      <c r="F57">
        <v>0</v>
      </c>
      <c r="K57" s="815"/>
      <c r="P57" s="16"/>
      <c r="R57" s="816"/>
      <c r="S57" s="816"/>
      <c r="T57" s="816"/>
      <c r="U57">
        <f ca="1"/>
        <v>0</v>
      </c>
      <c r="V57">
        <f ca="1"/>
        <v>0</v>
      </c>
      <c r="W57">
        <f ca="1"/>
        <v>0</v>
      </c>
      <c r="X57">
        <f ca="1"/>
        <v>0</v>
      </c>
      <c r="Z57">
        <v>0</v>
      </c>
      <c r="AA57">
        <v>0</v>
      </c>
      <c r="AB57" s="719"/>
      <c r="AE57" s="719">
        <f t="shared" ca="1" si="12"/>
        <v>0</v>
      </c>
      <c r="AF57" s="1425">
        <f t="shared" ca="1" si="14"/>
        <v>0</v>
      </c>
      <c r="AG57" s="1444"/>
      <c r="AH57" s="1445"/>
      <c r="AI57" s="1448">
        <f t="shared" ca="1" si="13"/>
        <v>0</v>
      </c>
      <c r="AJ57" s="1449">
        <f t="shared" ca="1" si="15"/>
        <v>0</v>
      </c>
    </row>
    <row r="58" spans="1:36" x14ac:dyDescent="0.3">
      <c r="F58">
        <v>0</v>
      </c>
      <c r="K58" s="815"/>
      <c r="P58" s="16"/>
      <c r="R58" s="816"/>
      <c r="S58" s="816"/>
      <c r="T58" s="816"/>
      <c r="U58">
        <f ca="1"/>
        <v>0</v>
      </c>
      <c r="V58">
        <f ca="1"/>
        <v>0</v>
      </c>
      <c r="W58">
        <f ca="1"/>
        <v>0</v>
      </c>
      <c r="X58">
        <f ca="1"/>
        <v>0</v>
      </c>
      <c r="Z58">
        <v>0</v>
      </c>
      <c r="AA58">
        <v>0</v>
      </c>
      <c r="AB58" s="719"/>
      <c r="AE58" s="719">
        <f t="shared" ca="1" si="12"/>
        <v>0</v>
      </c>
      <c r="AF58" s="1425">
        <f t="shared" ca="1" si="14"/>
        <v>0</v>
      </c>
      <c r="AG58" s="1444"/>
      <c r="AH58" s="1445"/>
      <c r="AI58" s="1448">
        <f t="shared" ca="1" si="13"/>
        <v>0</v>
      </c>
      <c r="AJ58" s="1449">
        <f t="shared" ca="1" si="15"/>
        <v>0</v>
      </c>
    </row>
    <row r="59" spans="1:36" x14ac:dyDescent="0.3">
      <c r="F59">
        <v>0</v>
      </c>
      <c r="K59" s="815"/>
      <c r="P59" s="16"/>
      <c r="R59" s="816"/>
      <c r="S59" s="816"/>
      <c r="T59" s="816"/>
      <c r="U59">
        <f ca="1"/>
        <v>0</v>
      </c>
      <c r="V59">
        <f ca="1"/>
        <v>0</v>
      </c>
      <c r="W59">
        <f ca="1"/>
        <v>0</v>
      </c>
      <c r="X59">
        <f ca="1"/>
        <v>0</v>
      </c>
      <c r="Z59">
        <v>0</v>
      </c>
      <c r="AA59">
        <v>0</v>
      </c>
      <c r="AB59" s="719"/>
      <c r="AE59" s="719">
        <f t="shared" ca="1" si="12"/>
        <v>0</v>
      </c>
      <c r="AF59" s="1425">
        <f t="shared" ca="1" si="14"/>
        <v>0</v>
      </c>
      <c r="AG59" s="1444"/>
      <c r="AH59" s="1445"/>
      <c r="AI59" s="1448">
        <f t="shared" ca="1" si="13"/>
        <v>0</v>
      </c>
      <c r="AJ59" s="1449">
        <f t="shared" ca="1" si="15"/>
        <v>0</v>
      </c>
    </row>
    <row r="60" spans="1:36" x14ac:dyDescent="0.3">
      <c r="F60">
        <v>0</v>
      </c>
      <c r="K60" s="815"/>
      <c r="P60" s="16"/>
      <c r="R60" s="816"/>
      <c r="S60" s="816"/>
      <c r="T60" s="816"/>
      <c r="U60">
        <f ca="1"/>
        <v>0</v>
      </c>
      <c r="V60">
        <f ca="1"/>
        <v>0</v>
      </c>
      <c r="W60">
        <f ca="1"/>
        <v>0</v>
      </c>
      <c r="X60">
        <f ca="1"/>
        <v>0</v>
      </c>
      <c r="Z60">
        <v>0</v>
      </c>
      <c r="AA60">
        <v>0</v>
      </c>
      <c r="AB60" s="719"/>
      <c r="AE60" s="719">
        <f t="shared" ca="1" si="12"/>
        <v>0</v>
      </c>
      <c r="AF60" s="1425">
        <f t="shared" ca="1" si="14"/>
        <v>0</v>
      </c>
      <c r="AG60" s="1444"/>
      <c r="AH60" s="1445"/>
      <c r="AI60" s="1448">
        <f t="shared" ca="1" si="13"/>
        <v>0</v>
      </c>
      <c r="AJ60" s="1449">
        <f t="shared" ca="1" si="15"/>
        <v>0</v>
      </c>
    </row>
    <row r="61" spans="1:36" x14ac:dyDescent="0.3">
      <c r="F61">
        <v>0</v>
      </c>
      <c r="K61" s="815"/>
      <c r="P61" s="16"/>
      <c r="R61" s="816"/>
      <c r="S61" s="816"/>
      <c r="T61" s="816"/>
      <c r="U61">
        <f ca="1"/>
        <v>0</v>
      </c>
      <c r="V61">
        <f ca="1"/>
        <v>0</v>
      </c>
      <c r="W61">
        <f ca="1"/>
        <v>0</v>
      </c>
      <c r="X61">
        <f ca="1"/>
        <v>0</v>
      </c>
      <c r="Z61">
        <v>0</v>
      </c>
      <c r="AA61">
        <v>0</v>
      </c>
      <c r="AB61" s="719"/>
      <c r="AE61" s="719">
        <f t="shared" ca="1" si="12"/>
        <v>0</v>
      </c>
      <c r="AF61" s="1425">
        <f t="shared" ca="1" si="14"/>
        <v>0</v>
      </c>
      <c r="AG61" s="1444"/>
      <c r="AH61" s="1445"/>
      <c r="AI61" s="1448">
        <f t="shared" ca="1" si="13"/>
        <v>0</v>
      </c>
      <c r="AJ61" s="1449">
        <f t="shared" ca="1" si="15"/>
        <v>0</v>
      </c>
    </row>
    <row r="62" spans="1:36" x14ac:dyDescent="0.3">
      <c r="F62">
        <v>0</v>
      </c>
      <c r="K62" s="815"/>
      <c r="P62" s="16"/>
      <c r="R62" s="816"/>
      <c r="S62" s="816"/>
      <c r="T62" s="816"/>
      <c r="U62">
        <f ca="1"/>
        <v>0</v>
      </c>
      <c r="V62">
        <f ca="1"/>
        <v>0</v>
      </c>
      <c r="W62">
        <f ca="1"/>
        <v>0</v>
      </c>
      <c r="X62">
        <f ca="1"/>
        <v>0</v>
      </c>
      <c r="Z62">
        <v>0</v>
      </c>
      <c r="AA62">
        <v>0</v>
      </c>
      <c r="AB62" s="719"/>
      <c r="AE62" s="719">
        <f t="shared" ca="1" si="12"/>
        <v>0</v>
      </c>
      <c r="AF62" s="1425">
        <f t="shared" ca="1" si="14"/>
        <v>0</v>
      </c>
      <c r="AG62" s="1444"/>
      <c r="AH62" s="1445"/>
      <c r="AI62" s="1448">
        <f t="shared" ca="1" si="13"/>
        <v>0</v>
      </c>
      <c r="AJ62" s="1449">
        <f t="shared" ca="1" si="15"/>
        <v>0</v>
      </c>
    </row>
    <row r="63" spans="1:36" x14ac:dyDescent="0.3">
      <c r="F63">
        <v>0</v>
      </c>
      <c r="K63" s="815"/>
      <c r="P63" s="16"/>
      <c r="R63" s="816"/>
      <c r="S63" s="816"/>
      <c r="T63" s="816"/>
      <c r="U63">
        <f ca="1"/>
        <v>0</v>
      </c>
      <c r="V63">
        <f ca="1"/>
        <v>0</v>
      </c>
      <c r="W63">
        <f ca="1"/>
        <v>0</v>
      </c>
      <c r="X63">
        <f ca="1"/>
        <v>0</v>
      </c>
      <c r="Z63">
        <v>0</v>
      </c>
      <c r="AA63">
        <v>0</v>
      </c>
      <c r="AB63" s="719"/>
      <c r="AE63" s="719">
        <f t="shared" ca="1" si="12"/>
        <v>0</v>
      </c>
      <c r="AF63" s="1425">
        <f t="shared" ca="1" si="14"/>
        <v>0</v>
      </c>
      <c r="AG63" s="1444"/>
      <c r="AH63" s="1445"/>
      <c r="AI63" s="1448">
        <f t="shared" ca="1" si="13"/>
        <v>0</v>
      </c>
      <c r="AJ63" s="1449">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5">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5">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5">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5">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5">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5">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5">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5">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5">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5">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5">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5">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5">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5">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5">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5">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5">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5">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5">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5">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5">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5">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5">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5">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5">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5">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5">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5">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5">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5">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5">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5">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5">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25">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25">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5">
        <f t="shared" ca="1" si="18"/>
        <v>0</v>
      </c>
      <c r="AI99" s="719">
        <f t="shared" ca="1" si="17"/>
        <v>0</v>
      </c>
      <c r="AJ99" s="719">
        <f t="shared" ca="1" si="19"/>
        <v>0</v>
      </c>
    </row>
    <row r="100" spans="16:36" ht="23" thickTop="1" x14ac:dyDescent="0.3">
      <c r="AF100" s="1426"/>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row r="133" spans="3:4" x14ac:dyDescent="0.3">
      <c r="C133" s="88"/>
      <c r="D133" s="82"/>
    </row>
  </sheetData>
  <autoFilter ref="L3:M24" xr:uid="{EF59AA03-5DFB-5944-9EED-C02761F17A18}"/>
  <mergeCells count="3">
    <mergeCell ref="L1:O1"/>
    <mergeCell ref="C7:D7"/>
    <mergeCell ref="AC16:AC17"/>
  </mergeCells>
  <phoneticPr fontId="49" type="noConversion"/>
  <conditionalFormatting sqref="C15">
    <cfRule type="cellIs" dxfId="2919" priority="37" operator="greaterThan">
      <formula>0</formula>
    </cfRule>
    <cfRule type="cellIs" dxfId="2918" priority="38" operator="lessThan">
      <formula>0</formula>
    </cfRule>
  </conditionalFormatting>
  <conditionalFormatting sqref="H16:J16">
    <cfRule type="expression" dxfId="2917" priority="14">
      <formula>$I$16&gt;$I$15</formula>
    </cfRule>
    <cfRule type="cellIs" dxfId="2916" priority="35" operator="greaterThan">
      <formula>0</formula>
    </cfRule>
    <cfRule type="cellIs" dxfId="2915" priority="36" operator="lessThan">
      <formula>0</formula>
    </cfRule>
  </conditionalFormatting>
  <conditionalFormatting sqref="C16">
    <cfRule type="cellIs" dxfId="2914" priority="34" operator="lessThan">
      <formula>"-"</formula>
    </cfRule>
  </conditionalFormatting>
  <conditionalFormatting sqref="A8">
    <cfRule type="cellIs" dxfId="2913" priority="15" operator="lessThan">
      <formula>0</formula>
    </cfRule>
    <cfRule type="cellIs" dxfId="2912" priority="16" operator="greaterThan">
      <formula>0</formula>
    </cfRule>
  </conditionalFormatting>
  <conditionalFormatting sqref="A6">
    <cfRule type="expression" dxfId="2911" priority="1833">
      <formula>AND($A$6&gt;0,$A$6&lt;$E$19)</formula>
    </cfRule>
    <cfRule type="containsText" dxfId="2910" priority="1834" operator="containsText" text="n/a">
      <formula>NOT(ISERROR(SEARCH("n/a",A6)))</formula>
    </cfRule>
  </conditionalFormatting>
  <conditionalFormatting sqref="D17:D18">
    <cfRule type="expression" dxfId="2909" priority="9">
      <formula>$D$16&gt;0</formula>
    </cfRule>
  </conditionalFormatting>
  <conditionalFormatting sqref="C9:C11 F9:F11">
    <cfRule type="cellIs" dxfId="2908" priority="7" operator="lessThan">
      <formula>0.5</formula>
    </cfRule>
    <cfRule type="cellIs" dxfId="2907" priority="11" stopIfTrue="1" operator="greaterThan">
      <formula>0.5</formula>
    </cfRule>
  </conditionalFormatting>
  <conditionalFormatting sqref="U20:U99">
    <cfRule type="cellIs" dxfId="2906" priority="5" operator="equal">
      <formula>$K$5</formula>
    </cfRule>
    <cfRule type="cellIs" dxfId="2905" priority="6" operator="equal">
      <formula>$D$19</formula>
    </cfRule>
  </conditionalFormatting>
  <conditionalFormatting sqref="AB19:AC19">
    <cfRule type="expression" dxfId="2904"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U1" zoomScale="110" zoomScaleNormal="110" workbookViewId="0">
      <selection activeCell="X18" sqref="X1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14"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1385" t="s">
        <v>2078</v>
      </c>
      <c r="W1" s="1429" t="s">
        <v>2087</v>
      </c>
      <c r="X1" s="1428" t="s">
        <v>1889</v>
      </c>
      <c r="Y1" s="783" t="s">
        <v>682</v>
      </c>
      <c r="Z1" s="834" t="s">
        <v>2235</v>
      </c>
      <c r="AA1" s="1011" t="s">
        <v>2475</v>
      </c>
      <c r="AB1" s="826" t="s">
        <v>2281</v>
      </c>
      <c r="AE1" s="1485" t="s">
        <v>2570</v>
      </c>
      <c r="AF1" s="1486"/>
      <c r="AG1" s="1486"/>
      <c r="AH1" s="1486"/>
      <c r="AI1" s="1373"/>
      <c r="AJ1" s="1409" t="s">
        <v>2762</v>
      </c>
      <c r="AK1" s="1374"/>
      <c r="AL1" s="1375"/>
      <c r="AM1" s="1169"/>
      <c r="AN1" s="1169"/>
      <c r="AO1" s="1169"/>
      <c r="AP1" s="1169"/>
      <c r="AQ1" s="1169"/>
      <c r="AR1" s="1487" t="s">
        <v>2532</v>
      </c>
      <c r="AS1" s="1487"/>
      <c r="AT1" s="947"/>
      <c r="AU1" s="947"/>
      <c r="AV1" s="1488" t="s">
        <v>2323</v>
      </c>
      <c r="AW1" s="1489"/>
      <c r="AX1" s="1490" t="s">
        <v>2229</v>
      </c>
      <c r="AY1" s="1490"/>
      <c r="AZ1" s="800" t="s">
        <v>2227</v>
      </c>
      <c r="BA1" s="1491" t="s">
        <v>2511</v>
      </c>
      <c r="BB1" s="1492"/>
      <c r="BC1" s="1492"/>
      <c r="BD1" s="1479" t="s">
        <v>2194</v>
      </c>
      <c r="BE1" s="1480"/>
      <c r="BF1" s="1480"/>
      <c r="BG1" s="1481"/>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1067" t="s">
        <v>1616</v>
      </c>
      <c r="AE2" s="746" t="s">
        <v>2533</v>
      </c>
      <c r="AF2" s="994" t="s">
        <v>2758</v>
      </c>
      <c r="AG2" s="1404" t="s">
        <v>2571</v>
      </c>
      <c r="AH2" s="1193" t="s">
        <v>2675</v>
      </c>
      <c r="AI2" s="1372" t="s">
        <v>2730</v>
      </c>
      <c r="AJ2" s="1372" t="s">
        <v>2747</v>
      </c>
      <c r="AK2" s="1372" t="s">
        <v>2746</v>
      </c>
      <c r="AL2" s="1372"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+4,778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8.8%</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21,513$</v>
      </c>
      <c r="G3" s="225" t="str">
        <f ca="1">IFERROR(TRUNC(_xlfn.XLOOKUP(Tab_NewTRADER[[#This Row],[ClickTick]],TabCalc[Ticker],ListLastSalep),2)&amp;"x"&amp;_xlfn.XLOOKUP(Tab_NewTRADER[[#This Row],[ClickTick]],TabCalc[Ticker],ListLastSalen)&amp;"=   "&amp;TEXT(-_xlfn.XLOOKUP(Tab_NewTRADER[[#This Row],[ClickTick]],TabCalc[Ticker],ListReverseB),"#,#0")&amp;"$","")</f>
        <v>270.04x500=   1,185$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3" s="226" t="str">
        <f ca="1">IFERROR(TRUNC(TabCalc[[#This Row],[L_S1p]],2)&amp;"x"&amp;TabCalc[[#This Row],[L_S1n]]&amp;"=   "&amp;TEXT(TabCalc[[#This Row],[ReverseB1]],"#,#0"),"")</f>
        <v>263.58x500=   -4,415</v>
      </c>
      <c r="J3" s="295">
        <f ca="1">_xlfn.XLOOKUP(Tab_NewTRADER[[#This Row],[ClickTick]],TabCalc[Ticker],ListGravity)</f>
        <v>1.0147607283139384</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1225845</v>
      </c>
      <c r="M3" s="323">
        <f ca="1">_xlfn.XLOOKUP(Tab_NewTRADER[[#This Row],[ClickTick]],TabCalc[Ticker],TabCalc[Agiotage])</f>
        <v>1.663350115283337E-3</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9.6129084178335808E-2</v>
      </c>
      <c r="S3" s="683">
        <f ca="1">_xlfn.XLOOKUP(Tab_NewTRADER[[#This Row],[ClickTick]],TabCalc[Ticker],TabCalc[Rev(MinStock)])*(1-Commission)</f>
        <v>4765.5772000000024</v>
      </c>
      <c r="T3" s="782">
        <f ca="1">_xlfn.XLOOKUP(Tab_NewTRADER[[#This Row],[ClickTick]],TabCalc[Ticker],TabCalc[Agiotage])</f>
        <v>1.663350115283337E-3</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12,920/12,920=&gt;-0.7% / -0.2%</v>
      </c>
      <c r="V3" s="739" t="str">
        <f ca="1">_xlfn.XLOOKUP(Tab_NewTRADER[[#This Row],[ClickTick]],[1]!RTData[Ticker_Symbol],[1]!RTData[Currency])</f>
        <v>USD</v>
      </c>
      <c r="W3" s="749">
        <f ca="1">_xlfn.XLOOKUP(Tab_NewTRADER[[#This Row],[ClickTick]],TabCalc[Ticker],TabCalc[M])</f>
        <v>272.41000000000003</v>
      </c>
      <c r="X3" s="1343"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^1,175 / 2,588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70" t="str">
        <f ca="1">TEXT(MIN(Tab_NewTRADER[[#This Row],[L_Bn]],Tab_NewTRADER[[#This Row],[N]]),"#,#0")&amp;" x "&amp;TEXT(Tab_NewTRADER[[#This Row],[L_Bp]],"#,#0.#0")</f>
        <v>200 x -248.52</v>
      </c>
      <c r="AJ3" s="1370">
        <f ca="1">IF(Tab_NewTRADER[[#This Row],[M]]&lt;_xlfn.XLOOKUP(Tab_NewTRADER[[#This Row],[ClickTick]],TabCalc[Ticker],TabCalc[Max_Buy_P]), 0,Tab_NewTRADER[[#This Row],[Sale_Back_$]])</f>
        <v>4765.5772000000024</v>
      </c>
      <c r="AK3" s="1370" t="str">
        <f ca="1">TEXT(Tab_NewTRADER[[#This Row],[L_Sn]],"#,#0")&amp;" ("&amp;Tab_NewTRADER[[#This Row],[M]]&amp;"/"&amp;TEXT(Tab_NewTRADER[[#This Row],[L_Sp]],"#,#0.#0)")</f>
        <v>500 (272.41/270.04)</v>
      </c>
      <c r="AL3" s="1370">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1181.9190000000021</v>
      </c>
      <c r="AN3" s="760">
        <f ca="1">Tab_NewTRADER[[#This Row],[N]]*(Tab_NewTRADER[[#This Row],[M]]-Tab_NewTRADER[[#This Row],[A]])*(1-Commission)*Tab_NewTRADER[[#This Row],[Scale]]</f>
        <v>572225.72478600033</v>
      </c>
      <c r="AO3" s="760">
        <f ca="1">Tab_NewTRADER[[#This Row],[M]]*Tab_NewTRADER[[#This Row],[N]]*(1-Commission)*Tab_NewTRADER[[#This Row],[Scale]]</f>
        <v>2581166.4730000002</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0.28483952316399763</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6.1001211409272942E-3</v>
      </c>
      <c r="AR3" s="825" cm="1">
        <f t="array" aca="1" ref="AR3" ca="1">_xlfn.IFS(   Tab_NewTRADER[[#This Row],[Trap_vs_Last]]=SellMorePercentGain,                     MIN(Tab_NewTRADER[[#This Row],[L_Sn]],Tab_NewTRADER[[#This Row],[N]])*(Tab_NewTRADER[[#This Row],[M]]-Tab_NewTRADER[[#This Row],[L_Sp]])*(1-Commission)*Tab_NewTRADER[[#This Row],[Scale]],                    TRUE,"")</f>
        <v>1181.9190000000021</v>
      </c>
      <c r="AS3" s="1175">
        <f ca="1">_xlfn.XLOOKUP(Tab_NewTRADER[[#This Row],[ClickTick]],TabCalc[Ticker],TabCalc[Ann%RevLB])</f>
        <v>0.98875629440573976</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0.28223952316399764</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735218.2273762176</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200x60.39</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0.28409894040377121</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-0.22429268459500881</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-8.7764775588801813E-3</v>
      </c>
      <c r="BF3" s="729">
        <f ca="1">MIN(Tab_NewTRADER[[#This Row],[L_Sn]],Tab_NewTRADER[[#This Row],[N]])*(Tab_NewTRADER[[#This Row],[M]]-Tab_NewTRADER[[#This Row],[L_Sp]])*(1-Commission)*Tab_NewTRADER[[#This Row],[Scale]]</f>
        <v>1181.9190000000021</v>
      </c>
      <c r="BG3" s="692">
        <f ca="1">Tab_NewTRADER[[#This Row],[L_Sn]]*(Tab_NewTRADER[[#This Row],[Agiotage]]-Tab_NewTRADER[[#This Row],[M]])/(Tab_NewTRADER[[#This Row],[L_Bn]]*Tab_NewTRADER[[#This Row],[M]])</f>
        <v>-2.4999847348655035</v>
      </c>
      <c r="BH3" s="635">
        <f ca="1">IFERROR((Tab_NewTRADER[[#This Row],[M]]-Tab_NewTRADER[[#This Row],[A]])/Tab_NewTRADER[[#This Row],[A]],0)</f>
        <v>0.28483952316399763</v>
      </c>
      <c r="BI3" s="638" t="str">
        <f ca="1">TEXT(_xlfn.XLOOKUP(Tab_NewTRADER[[#This Row],[ClickTick]],TabCalc[Ticker],TabCalc[NAfter]),"#,#0")&amp;" : "&amp;TEXT(_xlfn.XLOOKUP(Tab_NewTRADER[[#This Row],[ClickTick]],TabCalc[Ticker],TabCalc[NAfter])*(Tab_NewTRADER[[#This Row],[M]]-Tab_NewTRADER[[#This Row],[A]])*(1-Commission)*Tab_NewTRADER[[#This Row],[Scale]],"#,#0$")</f>
        <v>9,500 : 572,226$</v>
      </c>
      <c r="BJ3" s="684">
        <f ca="1">_xlfn.XLOOKUP(Tab_NewTRADER[[#This Row],[ClickTick]],TabCalc[[#This Row],[Ticker]],TabCalc[[#This Row],[GL]])*(1-Commission)</f>
        <v>1171952.8545250006</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8.700121140927294E-3</v>
      </c>
      <c r="BP3" s="679">
        <f ca="1">Tab_NewTRADER[[#This Row],[L_Sn]]*Tab_NewTRADER[[#This Row],[L_Sp]]+Tab_NewTRADER[[#This Row],[SellMore]]*Tab_NewTRADER[[#This Row],[M]]</f>
        <v>189502</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270.71714285714285</v>
      </c>
      <c r="BT3" s="687">
        <f ca="1">((_xlfn.XLOOKUP(Tab_NewTRADER[[#This Row],[ClickTick]],TabCalc[Ticker],TabCalc[NAfter])+Tab_NewTRADER[[#This Row],[L_Sn]])*(Tab_NewTRADER[[#This Row],[Agiotage]]-Tab_NewTRADER[[#This Row],[M]]))/(Tab_NewTRADER[[#This Row],[L_Sn]]*_xlfn.XLOOKUP(Tab_NewTRADER[[#This Row],[ClickTick]],TabCalc[Ticker],TabCalc[NAfter]))</f>
        <v>-0.57349123505238897</v>
      </c>
      <c r="BU3" s="687">
        <f ca="1">(Tab_NewTRADER[[#This Row],[M]]-Tab_NewTRADER[[#This Row],[Agiotage]])/(Tab_NewTRADER[[#This Row],[M]]-Tab_NewTRADER[[#This Row],[A]])-1</f>
        <v>3.5107212074814456</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-264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-10.8%</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-448$</v>
      </c>
      <c r="G4" s="225" t="str">
        <f ca="1">IFERROR(TRUNC(_xlfn.XLOOKUP(Tab_NewTRADER[[#This Row],[ClickTick]],TabCalc[Ticker],ListLastSalep),2)&amp;"x"&amp;_xlfn.XLOOKUP(Tab_NewTRADER[[#This Row],[ClickTick]],TabCalc[Ticker],ListLastSalen)&amp;"=   "&amp;TEXT(-_xlfn.XLOOKUP(Tab_NewTRADER[[#This Row],[ClickTick]],TabCalc[Ticker],ListReverseB),"#,#0")&amp;"$","")</f>
        <v>16.86x1000=   -4,000$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31.1% = 1,250</v>
      </c>
      <c r="I4" s="226" t="str">
        <f ca="1">IFERROR(TRUNC(TabCalc[[#This Row],[L_S1p]],2)&amp;"x"&amp;TabCalc[[#This Row],[L_S1n]]&amp;"=   "&amp;TEXT(TabCalc[[#This Row],[ReverseB1]],"#,#0"),"")</f>
        <v>16.67x2990=   11,392</v>
      </c>
      <c r="J4" s="295">
        <f ca="1">_xlfn.XLOOKUP(Tab_NewTRADER[[#This Row],[ClickTick]],TabCalc[Ticker],ListGravity)</f>
        <v>1.6070505443234837</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1.1948287810356775E-6</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-9.7543859649122849E-2</v>
      </c>
      <c r="S4" s="683">
        <f ca="1">_xlfn.XLOOKUP(Tab_NewTRADER[[#This Row],[ClickTick]],TabCalc[Ticker],TabCalc[Rev(MinStock)])*(1-Commission)</f>
        <v>-263.41334000000012</v>
      </c>
      <c r="T4" s="782">
        <f ca="1">_xlfn.XLOOKUP(Tab_NewTRADER[[#This Row],[ClickTick]],TabCalc[Ticker],TabCalc[Agiotage])</f>
        <v>1.1948287810356775E-6</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-500/-500=&gt;0.3% / -2.1%</v>
      </c>
      <c r="V4" s="739" t="str">
        <f ca="1">_xlfn.XLOOKUP(Tab_NewTRADER[[#This Row],[ClickTick]],[1]!RTData[Ticker_Symbol],[1]!RTData[Currency])</f>
        <v>USD</v>
      </c>
      <c r="W4" s="749">
        <f ca="1">_xlfn.XLOOKUP(Tab_NewTRADER[[#This Row],[ClickTick]],TabCalc[Ticker],TabCalc[M])</f>
        <v>12.86</v>
      </c>
      <c r="X4" s="1343"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64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3989.6</v>
      </c>
      <c r="AI4" s="1370" t="str">
        <f ca="1">TEXT(MIN(Tab_NewTRADER[[#This Row],[L_Bn]],Tab_NewTRADER[[#This Row],[N]]),"#,#0")&amp;" x "&amp;TEXT(Tab_NewTRADER[[#This Row],[L_Bp]],"#,#0.#0")</f>
        <v>190 x -14.25</v>
      </c>
      <c r="AJ4" s="1370">
        <f ca="1">IF(Tab_NewTRADER[[#This Row],[M]]&lt;_xlfn.XLOOKUP(Tab_NewTRADER[[#This Row],[ClickTick]],TabCalc[Ticker],TabCalc[Max_Buy_P]), 0,Tab_NewTRADER[[#This Row],[Sale_Back_$]])</f>
        <v>0</v>
      </c>
      <c r="AK4" s="1370" t="str">
        <f ca="1">TEXT(Tab_NewTRADER[[#This Row],[L_Sn]],"#,#0")&amp;" ("&amp;Tab_NewTRADER[[#This Row],[M]]&amp;"/"&amp;TEXT(Tab_NewTRADER[[#This Row],[L_Sp]],"#,#0.#0)")</f>
        <v>1,000 (12.86/16.86)</v>
      </c>
      <c r="AL4" s="1370">
        <f ca="1">IF(Tab_NewTRADER[[#This Row],[M]]&lt;_xlfn.XLOOKUP(Tab_NewTRADER[[#This Row],[ClickTick]],TabCalc[Ticker],TabCalc[Max_Buy_P]), -Tab_NewTRADER[[#This Row],[Buy_Back]], 0)</f>
        <v>3989.6</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-1071.1078599999964</v>
      </c>
      <c r="AO4" s="1177">
        <f ca="1">Tab_NewTRADER[[#This Row],[M]]*Tab_NewTRADER[[#This Row],[N]]*(1-Commission)*Tab_NewTRADER[[#This Row],[Scale]]</f>
        <v>64132.82</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0.23724792408066431</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-0.28549422336328639</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-1071.1078599999964</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-1.6384334726855774E-2</v>
      </c>
      <c r="BB4" s="762" cm="1">
        <f t="array" aca="1" ref="BB4" ca="1">_xlfn.IFS(               Tab_NewTRADER[[#This Row],[Trap_vs_Last]]=NoStock,(Tab_NewTRADER[[#This Row],[L_Sp]]-Tab_NewTRADER[[#This Row],[M]])/Tab_NewTRADER[[#This Row],[M]]-Commission,             Tab_NewTRADER[[#This Row],[A]]&lt;&gt;0,(Tab_NewTRADER[[#This Row],[A]]-Tab_NewTRADER[[#This Row],[M]])/Tab_NewTRADER[[#This Row],[M]]-Commission)</f>
        <v>1.4101399688957955E-2</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0.23724792408066431</v>
      </c>
      <c r="BF4" s="729">
        <f ca="1">MIN(Tab_NewTRADER[[#This Row],[L_Sn]],Tab_NewTRADER[[#This Row],[N]])*(Tab_NewTRADER[[#This Row],[M]]-Tab_NewTRADER[[#This Row],[L_Sp]])*(1-Commission)*Tab_NewTRADER[[#This Row],[Scale]]</f>
        <v>-3989.6</v>
      </c>
      <c r="BG4" s="692">
        <f ca="1">Tab_NewTRADER[[#This Row],[L_Sn]]*(Tab_NewTRADER[[#This Row],[Agiotage]]-Tab_NewTRADER[[#This Row],[M]])/(Tab_NewTRADER[[#This Row],[L_Bn]]*Tab_NewTRADER[[#This Row],[M]])</f>
        <v>-5.2631574057343116</v>
      </c>
      <c r="BH4" s="635">
        <f ca="1">IFERROR((Tab_NewTRADER[[#This Row],[M]]-Tab_NewTRADER[[#This Row],[A]])/Tab_NewTRADER[[#This Row],[A]],0)</f>
        <v>-1.6427045043970096E-2</v>
      </c>
      <c r="BI4" s="638" t="str">
        <f ca="1">TEXT(_xlfn.XLOOKUP(Tab_NewTRADER[[#This Row],[ClickTick]],TabCalc[Ticker],TabCalc[NAfter]),"#,#0")&amp;" : "&amp;TEXT(_xlfn.XLOOKUP(Tab_NewTRADER[[#This Row],[ClickTick]],TabCalc[Ticker],TabCalc[NAfter])*(Tab_NewTRADER[[#This Row],[M]]-Tab_NewTRADER[[#This Row],[A]])*(1-Commission)*Tab_NewTRADER[[#This Row],[Scale]],"#,#0$")</f>
        <v>5,000 : -1,071$</v>
      </c>
      <c r="BJ4" s="684">
        <f ca="1">_xlfn.XLOOKUP(Tab_NewTRADER[[#This Row],[ClickTick]],TabCalc[[#This Row],[Ticker]],TabCalc[[#This Row],[GL]])*(1-Commission)</f>
        <v>34625.833135046807</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AMY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t="e">
        <f ca="1">Tab_NewTRADER[[#This Row],[L_Sn]]*Tab_NewTRADER[[#This Row],[L_Sp]]+Tab_NewTRADER[[#This Row],[SellMore]]*Tab_NewTRADER[[#This Row],[M]]</f>
        <v>#N/A</v>
      </c>
      <c r="BQ4" s="679" t="e">
        <f ca="1">INDEX(
  INDEX(TabConsolid[], , _xlfn.XMATCH(Tab_NewTRADER[[#This Row],[ClickTick]]&amp;1, TabConsolid[#Headers])),
  MATCH(
    -Tab_NewTRADER[[#This Row],[M]],
    INDEX(TabConsolid[], , _xlfn.XMATCH(Tab_NewTRADER[[#This Row],[ClickTick]]&amp;2, TabConsolid[#Headers])),
    -1
  )
)</f>
        <v>#N/A</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S4" s="1156" t="e">
        <f ca="1">Tab_NewTRADER[[#This Row],[ReBuy]]/(Tab_NewTRADER[[#This Row],[L_Sn]]+Tab_NewTRADER[[#This Row],[SellMore]])</f>
        <v>#N/A</v>
      </c>
      <c r="BT4" s="687">
        <f ca="1">((_xlfn.XLOOKUP(Tab_NewTRADER[[#This Row],[ClickTick]],TabCalc[Ticker],TabCalc[NAfter])+Tab_NewTRADER[[#This Row],[L_Sn]])*(Tab_NewTRADER[[#This Row],[Agiotage]]-Tab_NewTRADER[[#This Row],[M]]))/(Tab_NewTRADER[[#This Row],[L_Sn]]*_xlfn.XLOOKUP(Tab_NewTRADER[[#This Row],[ClickTick]],TabCalc[Ticker],TabCalc[NAfter]))</f>
        <v>-1.5431998566205462E-2</v>
      </c>
      <c r="BU4" s="687">
        <f ca="1">(Tab_NewTRADER[[#This Row],[M]]-Tab_NewTRADER[[#This Row],[Agiotage]])/(Tab_NewTRADER[[#This Row],[M]]-Tab_NewTRADER[[#This Row],[A]])-1</f>
        <v>-60.875215593496875</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+40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0.9%</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20$</v>
      </c>
      <c r="G5" s="225" t="str">
        <f ca="1">IFERROR(TRUNC(_xlfn.XLOOKUP(Tab_NewTRADER[[#This Row],[ClickTick]],TabCalc[Ticker],ListLastSalep),2)&amp;"x"&amp;_xlfn.XLOOKUP(Tab_NewTRADER[[#This Row],[ClickTick]],TabCalc[Ticker],ListLastSalen)&amp;"=   "&amp;TEXT(-_xlfn.XLOOKUP(Tab_NewTRADER[[#This Row],[ClickTick]],TabCalc[Ticker],ListReverseB),"#,#0")&amp;"$","")</f>
        <v>52.01x20000=   -1,202$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13.1% = 832</v>
      </c>
      <c r="I5" s="226" t="str">
        <f ca="1">IFERROR(TRUNC(TabCalc[[#This Row],[L_S1p]],2)&amp;"x"&amp;TabCalc[[#This Row],[L_S1n]]&amp;"=   "&amp;TEXT(TabCalc[[#This Row],[ReverseB1]],"#,#0"),"")</f>
        <v>53.62x90000=   6,858</v>
      </c>
      <c r="J5" s="295">
        <f ca="1">_xlfn.XLOOKUP(Tab_NewTRADER[[#This Row],[ClickTick]],TabCalc[Ticker],ListGravity)</f>
        <v>2.1013043478260869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193200</v>
      </c>
      <c r="M5" s="323">
        <f ca="1">_xlfn.XLOOKUP(Tab_NewTRADER[[#This Row],[ClickTick]],TabCalc[Ticker],TabCalc[Agiotage])</f>
        <v>0.17172375690607736</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8.7719298245613718E-3</v>
      </c>
      <c r="S5" s="683">
        <f ca="1">_xlfn.XLOOKUP(Tab_NewTRADER[[#This Row],[ClickTick]],TabCalc[Ticker],TabCalc[Rev(MinStock)])*(1-Commission)</f>
        <v>39.895999999999859</v>
      </c>
      <c r="T5" s="782">
        <f ca="1">_xlfn.XLOOKUP(Tab_NewTRADER[[#This Row],[ClickTick]],TabCalc[Ticker],TabCalc[Agiotage])</f>
        <v>0.17172375690607736</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-8,200/-8,200=&gt;0.7% / 1.8%</v>
      </c>
      <c r="V5" s="739" t="str">
        <f ca="1">_xlfn.XLOOKUP(Tab_NewTRADER[[#This Row],[ClickTick]],[1]!RTData[Ticker_Symbol],[1]!RTData[Currency])</f>
        <v>GBp</v>
      </c>
      <c r="W5" s="749">
        <f ca="1">_xlfn.XLOOKUP(Tab_NewTRADER[[#This Row],[ClickTick]],TabCalc[Ticker],TabCalc[M])</f>
        <v>46</v>
      </c>
      <c r="X5" s="1343"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^34 / 377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39.895999999999859</v>
      </c>
      <c r="AI5" s="1370" t="str">
        <f ca="1">TEXT(MIN(Tab_NewTRADER[[#This Row],[L_Bn]],Tab_NewTRADER[[#This Row],[N]]),"#,#0")&amp;" x "&amp;TEXT(Tab_NewTRADER[[#This Row],[L_Bp]],"#,#0.#0")</f>
        <v>10,000 x -45.60</v>
      </c>
      <c r="AJ5" s="1370">
        <f ca="1">IF(Tab_NewTRADER[[#This Row],[M]]&lt;_xlfn.XLOOKUP(Tab_NewTRADER[[#This Row],[ClickTick]],TabCalc[Ticker],TabCalc[Max_Buy_P]), 0,Tab_NewTRADER[[#This Row],[Sale_Back_$]])</f>
        <v>0</v>
      </c>
      <c r="AK5" s="1370" t="str">
        <f ca="1">TEXT(Tab_NewTRADER[[#This Row],[L_Sn]],"#,#0")&amp;" ("&amp;Tab_NewTRADER[[#This Row],[M]]&amp;"/"&amp;TEXT(Tab_NewTRADER[[#This Row],[L_Sp]],"#,#0.#0)")</f>
        <v>20,000 (46/52.01)</v>
      </c>
      <c r="AL5" s="1370">
        <f ca="1">IF(Tab_NewTRADER[[#This Row],[M]]&lt;_xlfn.XLOOKUP(Tab_NewTRADER[[#This Row],[ClickTick]],TabCalc[Ticker],TabCalc[Max_Buy_P]), -Tab_NewTRADER[[#This Row],[Buy_Back]], 0)</f>
        <v>1198.8747999999996</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-26474.615372101813</v>
      </c>
      <c r="AO5" s="760">
        <f ca="1">Tab_NewTRADER[[#This Row],[M]]*Tab_NewTRADER[[#This Row],[N]]*(1-Commission)*Tab_NewTRADER[[#This Row],[Scale]]</f>
        <v>376219.28</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8.7719298245613718E-3</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8.5348506401137669E-2</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-24734.07431310942</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6.7770171810710531E-2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0.11555470101903477</v>
      </c>
      <c r="BF5" s="729">
        <f ca="1">MIN(Tab_NewTRADER[[#This Row],[L_Sn]],Tab_NewTRADER[[#This Row],[N]])*(Tab_NewTRADER[[#This Row],[M]]-Tab_NewTRADER[[#This Row],[L_Sp]])*(1-Commission)*Tab_NewTRADER[[#This Row],[Scale]]</f>
        <v>-1198.8747999999996</v>
      </c>
      <c r="BG5" s="692">
        <f ca="1">Tab_NewTRADER[[#This Row],[L_Sn]]*(Tab_NewTRADER[[#This Row],[Agiotage]]-Tab_NewTRADER[[#This Row],[M]])/(Tab_NewTRADER[[#This Row],[L_Bn]]*Tab_NewTRADER[[#This Row],[M]])</f>
        <v>-1.9925337496997357</v>
      </c>
      <c r="BH5" s="635">
        <f ca="1">IFERROR((Tab_NewTRADER[[#This Row],[M]]-Tab_NewTRADER[[#This Row],[A]])/Tab_NewTRADER[[#This Row],[A]],0)</f>
        <v>-6.5743771326949058E-2</v>
      </c>
      <c r="BI5" s="638" t="str">
        <f ca="1">TEXT(_xlfn.XLOOKUP(Tab_NewTRADER[[#This Row],[ClickTick]],TabCalc[Ticker],TabCalc[NAfter]),"#,#0")&amp;" : "&amp;TEXT(_xlfn.XLOOKUP(Tab_NewTRADER[[#This Row],[ClickTick]],TabCalc[Ticker],TabCalc[NAfter])*(Tab_NewTRADER[[#This Row],[M]]-Tab_NewTRADER[[#This Row],[A]])*(1-Commission)*Tab_NewTRADER[[#This Row],[Scale]],"#,#0$")</f>
        <v>820,000 : -26,475$</v>
      </c>
      <c r="BJ5" s="684">
        <f ca="1">_xlfn.XLOOKUP(Tab_NewTRADER[[#This Row],[ClickTick]],TabCalc[[#This Row],[Ticker]],TabCalc[[#This Row],[GL]])*(1-Commission)</f>
        <v>34349.422886098189</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-2.3473019539145667E-3</v>
      </c>
      <c r="BU5" s="687">
        <f ca="1">(Tab_NewTRADER[[#This Row],[M]]-Tab_NewTRADER[[#This Row],[Agiotage]])/(Tab_NewTRADER[[#This Row],[M]]-Tab_NewTRADER[[#This Row],[A]])-1</f>
        <v>-15.157516589979867</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+39,340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254/12,000=59,657</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10,855$</v>
      </c>
      <c r="G6" s="225" t="str">
        <f ca="1">IFERROR(TRUNC(_xlfn.XLOOKUP(Tab_NewTRADER[[#This Row],[ClickTick]],TabCalc[Ticker],ListLastSalep),2)&amp;"x"&amp;_xlfn.XLOOKUP(Tab_NewTRADER[[#This Row],[ClickTick]],TabCalc[Ticker],ListLastSalen)&amp;"=   "&amp;TEXT(-_xlfn.XLOOKUP(Tab_NewTRADER[[#This Row],[ClickTick]],TabCalc[Ticker],ListReverseB),"#,#0")&amp;"$","")</f>
        <v>221.51x200=   2,635$</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6" s="226" t="str">
        <f ca="1">IFERROR(TRUNC(TabCalc[[#This Row],[L_S1p]],2)&amp;"x"&amp;TabCalc[[#This Row],[L_S1n]]&amp;"=   "&amp;TEXT(TabCalc[[#This Row],[ReverseB1]],"#,#0"),"")</f>
        <v>234.24x500=   -225</v>
      </c>
      <c r="J6" s="295">
        <f ca="1">_xlfn.XLOOKUP(Tab_NewTRADER[[#This Row],[ClickTick]],TabCalc[Ticker],ListGravity)</f>
        <v>1.2289577740849631</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938760</v>
      </c>
      <c r="M6" s="323">
        <f ca="1">_xlfn.XLOOKUP(Tab_NewTRADER[[#This Row],[ClickTick]],TabCalc[Ticker],TabCalc[Agiotage])</f>
        <v>2.7120209366645639E-3</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9.1479862338387063E-2</v>
      </c>
      <c r="S6" s="683">
        <f ca="1">_xlfn.XLOOKUP(Tab_NewTRADER[[#This Row],[ClickTick]],TabCalc[Ticker],TabCalc[Rev(MinStock)])*(1-Commission)</f>
        <v>39237.715999999979</v>
      </c>
      <c r="T6" s="782">
        <f ca="1">_xlfn.XLOOKUP(Tab_NewTRADER[[#This Row],[ClickTick]],TabCalc[Ticker],TabCalc[Agiotage])</f>
        <v>2.7120209366645639E-3</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-4,440/-4,440=&gt;0.6% / -1.2%</v>
      </c>
      <c r="V6" s="739" t="str">
        <f ca="1">_xlfn.XLOOKUP(Tab_NewTRADER[[#This Row],[ClickTick]],[1]!RTData[Ticker_Symbol],[1]!RTData[Currency])</f>
        <v>USD</v>
      </c>
      <c r="W6" s="708">
        <f ca="1">_xlfn.XLOOKUP(Tab_NewTRADER[[#This Row],[ClickTick]],TabCalc[Ticker],TabCalc[M])</f>
        <v>234.69</v>
      </c>
      <c r="X6" s="1343"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^854 / 2,816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70" t="str">
        <f ca="1">TEXT(MIN(Tab_NewTRADER[[#This Row],[L_Bn]],Tab_NewTRADER[[#This Row],[N]]),"#,#0")&amp;" x "&amp;TEXT(Tab_NewTRADER[[#This Row],[L_Bp]],"#,#0.#0")</f>
        <v>2,000 x -215.02</v>
      </c>
      <c r="AJ6" s="1370">
        <f ca="1">IF(Tab_NewTRADER[[#This Row],[M]]&lt;_xlfn.XLOOKUP(Tab_NewTRADER[[#This Row],[ClickTick]],TabCalc[Ticker],TabCalc[Max_Buy_P]), 0,Tab_NewTRADER[[#This Row],[Sale_Back_$]])</f>
        <v>0</v>
      </c>
      <c r="AK6" s="1370" t="str">
        <f ca="1">TEXT(Tab_NewTRADER[[#This Row],[L_Sn]],"#,#0")&amp;" ("&amp;Tab_NewTRADER[[#This Row],[M]]&amp;"/"&amp;TEXT(Tab_NewTRADER[[#This Row],[L_Sp]],"#,#0.#0)")</f>
        <v>200 (234.69/221.52)</v>
      </c>
      <c r="AL6" s="1370">
        <f ca="1">IF(Tab_NewTRADER[[#This Row],[M]]&lt;_xlfn.XLOOKUP(Tab_NewTRADER[[#This Row],[ClickTick]],TabCalc[Ticker],TabCalc[Max_Buy_P]), -Tab_NewTRADER[[#This Row],[Buy_Back]], 0)</f>
        <v>-2628.1490000000022</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2628.1490000000022</v>
      </c>
      <c r="AN6" s="1177">
        <f ca="1">Tab_NewTRADER[[#This Row],[N]]*(Tab_NewTRADER[[#This Row],[M]]-Tab_NewTRADER[[#This Row],[A]])*(1-Commission)*Tab_NewTRADER[[#This Row],[Scale]]</f>
        <v>377393.43922799983</v>
      </c>
      <c r="AO6" s="1177">
        <f ca="1">Tab_NewTRADER[[#This Row],[M]]*Tab_NewTRADER[[#This Row],[N]]*(1-Commission)*Tab_NewTRADER[[#This Row],[Scale]]</f>
        <v>2808957.6719999998</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0.15520603327750412</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5.3537884017214252E-2</v>
      </c>
      <c r="AR6" s="825" cm="1">
        <f t="array" aca="1" ref="AR6" ca="1">_xlfn.IFS(   Tab_NewTRADER[[#This Row],[Trap_vs_Last]]=SellMorePercentGain,                     MIN(Tab_NewTRADER[[#This Row],[L_Sn]],Tab_NewTRADER[[#This Row],[N]])*(Tab_NewTRADER[[#This Row],[M]]-Tab_NewTRADER[[#This Row],[L_Sp]])*(1-Commission)*Tab_NewTRADER[[#This Row],[Scale]],                    TRUE,"")</f>
        <v>2628.1490000000022</v>
      </c>
      <c r="AS6" s="1175">
        <f ca="1">_xlfn.XLOOKUP(Tab_NewTRADER[[#This Row],[ClickTick]],TabCalc[Ticker],TabCalc[Ann%RevLB])</f>
        <v>0.30493287446129019</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0.15260603327750413</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435967.17791553249</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2,000x31.53</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0.15480249759098261</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-0.13695355149345939</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-5.9476784867841963E-2</v>
      </c>
      <c r="BF6" s="729">
        <f ca="1">MIN(Tab_NewTRADER[[#This Row],[L_Sn]],Tab_NewTRADER[[#This Row],[N]])*(Tab_NewTRADER[[#This Row],[M]]-Tab_NewTRADER[[#This Row],[L_Sp]])*(1-Commission)*Tab_NewTRADER[[#This Row],[Scale]]</f>
        <v>2628.1490000000022</v>
      </c>
      <c r="BG6" s="692">
        <f ca="1">Tab_NewTRADER[[#This Row],[L_Sn]]*(Tab_NewTRADER[[#This Row],[Agiotage]]-Tab_NewTRADER[[#This Row],[M]])/(Tab_NewTRADER[[#This Row],[L_Bn]]*Tab_NewTRADER[[#This Row],[M]])</f>
        <v>-9.9998844424160946E-2</v>
      </c>
      <c r="BH6" s="635">
        <f ca="1">IFERROR((Tab_NewTRADER[[#This Row],[M]]-Tab_NewTRADER[[#This Row],[A]])/Tab_NewTRADER[[#This Row],[A]],0)</f>
        <v>0.15520603327750412</v>
      </c>
      <c r="BI6" s="638" t="str">
        <f ca="1">TEXT(_xlfn.XLOOKUP(Tab_NewTRADER[[#This Row],[ClickTick]],TabCalc[Ticker],TabCalc[NAfter]),"#,#0")&amp;" : "&amp;TEXT(_xlfn.XLOOKUP(Tab_NewTRADER[[#This Row],[ClickTick]],TabCalc[Ticker],TabCalc[NAfter])*(Tab_NewTRADER[[#This Row],[M]]-Tab_NewTRADER[[#This Row],[A]])*(1-Commission)*Tab_NewTRADER[[#This Row],[Scale]],"#,#0$")</f>
        <v>12,000 : 377,393$</v>
      </c>
      <c r="BJ6" s="684">
        <f ca="1">_xlfn.XLOOKUP(Tab_NewTRADER[[#This Row],[ClickTick]],TabCalc[[#This Row],[Ticker]],TabCalc[[#This Row],[GL]])*(1-Commission)</f>
        <v>851695.59897199995</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5.613788401721425E-2</v>
      </c>
      <c r="BP6" s="679">
        <f ca="1">Tab_NewTRADER[[#This Row],[L_Sn]]*Tab_NewTRADER[[#This Row],[L_Sp]]+Tab_NewTRADER[[#This Row],[SellMore]]*Tab_NewTRADER[[#This Row],[M]]</f>
        <v>102975.5</v>
      </c>
      <c r="BQ6" s="679">
        <f ca="1">INDEX(
  INDEX(TabConsolid[], , _xlfn.XMATCH(Tab_NewTRADER[[#This Row],[ClickTick]]&amp;1, TabConsolid[#Headers])),
  MATCH(
    -Tab_NewTRADER[[#This Row],[M]],
    INDEX(TabConsolid[], , _xlfn.XMATCH(Tab_NewTRADER[[#This Row],[ClickTick]]&amp;2, TabConsolid[#Headers])),
    -1
  )
)</f>
        <v>250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 s="1156">
        <f ca="1">Tab_NewTRADER[[#This Row],[ReBuy]]/(Tab_NewTRADER[[#This Row],[L_Sn]]+Tab_NewTRADER[[#This Row],[SellMore]])</f>
        <v>228.83444444444444</v>
      </c>
      <c r="BT6" s="687">
        <f ca="1">((_xlfn.XLOOKUP(Tab_NewTRADER[[#This Row],[ClickTick]],TabCalc[Ticker],TabCalc[NAfter])+Tab_NewTRADER[[#This Row],[L_Sn]])*(Tab_NewTRADER[[#This Row],[Agiotage]]-Tab_NewTRADER[[#This Row],[M]]))/(Tab_NewTRADER[[#This Row],[L_Sn]]*_xlfn.XLOOKUP(Tab_NewTRADER[[#This Row],[ClickTick]],TabCalc[Ticker],TabCalc[NAfter]))</f>
        <v>-1.192993713893572</v>
      </c>
      <c r="BU6" s="687">
        <f ca="1">(Tab_NewTRADER[[#This Row],[M]]-Tab_NewTRADER[[#This Row],[Agiotage]])/(Tab_NewTRADER[[#This Row],[M]]-Tab_NewTRADER[[#This Row],[A]])-1</f>
        <v>6.4429624905768934</v>
      </c>
      <c r="BV6" s="1277">
        <f ca="1">_xlfn.XMATCH(Tab_NewTRADER[[#This Row],[ClickTick]]&amp;1, TabConsolid[#Headers])</f>
        <v>11</v>
      </c>
      <c r="BW6" t="b">
        <f ca="1">IF(ABS(Tab_NewTRADER[[#This Row],[L_Bp]])&gt;=Tab_NewTRADER[[#This Row],[M]],"OK")</f>
        <v>0</v>
      </c>
    </row>
    <row r="7" spans="1:75" hidden="1"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-3,630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-35.2%</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-7,680$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2.2286773255813959</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56381.599999999999</v>
      </c>
      <c r="M7" s="323">
        <f ca="1">_xlfn.XLOOKUP(Tab_NewTRADER[[#This Row],[ClickTick]],TabCalc[Ticker],TabCalc[Agiotage])</f>
        <v>0.15100864553314122</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-0.26021505376344095</v>
      </c>
      <c r="S7" s="683">
        <f ca="1">_xlfn.XLOOKUP(Tab_NewTRADER[[#This Row],[ClickTick]],TabCalc[Ticker],TabCalc[Rev(MinStock)])*(1-Commission)</f>
        <v>-3620.5620000000013</v>
      </c>
      <c r="T7" s="1367">
        <f ca="1">_xlfn.XLOOKUP(Tab_NewTRADER[[#This Row],[ClickTick]],TabCalc[Ticker],TabCalc[Agiotage])</f>
        <v>0.15100864553314122</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20,240/20,240=&gt;-0.3% / 3.3%</v>
      </c>
      <c r="V7" s="739" t="str">
        <f ca="1">_xlfn.XLOOKUP(Tab_NewTRADER[[#This Row],[ClickTick]],[1]!RTData[Ticker_Symbol],[1]!RTData[Currency])</f>
        <v>EUR</v>
      </c>
      <c r="W7" s="749">
        <f ca="1">_xlfn.XLOOKUP(Tab_NewTRADER[[#This Row],[ClickTick]],TabCalc[Ticker],TabCalc[M])</f>
        <v>0.68799999999999994</v>
      </c>
      <c r="X7" s="1343"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-1,212/1,741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70" t="str">
        <f ca="1">TEXT(MIN(Tab_NewTRADER[[#This Row],[L_Bn]],Tab_NewTRADER[[#This Row],[N]]),"#,#0")&amp;" x "&amp;TEXT(Tab_NewTRADER[[#This Row],[L_Bp]],"#,#0.#0")</f>
        <v>15,000 x -0.93</v>
      </c>
      <c r="AJ7" s="1370">
        <f ca="1">IF(Tab_NewTRADER[[#This Row],[M]]&lt;_xlfn.XLOOKUP(Tab_NewTRADER[[#This Row],[ClickTick]],TabCalc[Ticker],TabCalc[Max_Buy_P]), 0,Tab_NewTRADER[[#This Row],[Sale_Back_$]])</f>
        <v>0</v>
      </c>
      <c r="AK7" s="1370" t="str">
        <f ca="1">TEXT(Tab_NewTRADER[[#This Row],[L_Sn]],"#,#0")&amp;" ("&amp;Tab_NewTRADER[[#This Row],[M]]&amp;"/"&amp;TEXT(Tab_NewTRADER[[#This Row],[L_Sp]],"#,#0.#0)")</f>
        <v>0 (0.688/0.0)</v>
      </c>
      <c r="AL7" s="1370">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3620.5620000000013</v>
      </c>
      <c r="AN7" s="760">
        <f ca="1">Tab_NewTRADER[[#This Row],[N]]*(Tab_NewTRADER[[#This Row],[M]]-Tab_NewTRADER[[#This Row],[A]])*(1-Commission)*Tab_NewTRADER[[#This Row],[Scale]]</f>
        <v>-1208630.4105564312</v>
      </c>
      <c r="AO7" s="760">
        <f ca="1">Tab_NewTRADER[[#This Row],[M]]*Tab_NewTRADER[[#This Row],[N]]*(1-Commission)*Tab_NewTRADER[[#This Row],[Scale]]</f>
        <v>1736114.3359999997</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0.41043639248182623</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0.34914418604651182</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-0.3839238498149129</v>
      </c>
      <c r="AT7" s="1282">
        <f ca="1">_xlfn.XLOOKUP(Tab_NewTRADER[[#This Row],[ClickTick]],TabCalc[Ticker],TabCalc[Up20])</f>
        <v>0</v>
      </c>
      <c r="AU7" s="1368"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0.35174418604651181</v>
      </c>
      <c r="AV7" s="825" cm="1">
        <f t="array" aca="1" ref="AV7" ca="1">_xlfn.IFS(         Tab_NewTRADER[[#This Row],[Trap_vs_Last]]=MDown,Tab_NewTRADER[[#This Row],[L_Bn]]*Tab_NewTRADER[[#This Row],[M]]*(-(Tab_NewTRADER[[#This Row],[L_Bp]]+Tab_NewTRADER[[#This Row],[M]])/Tab_NewTRADER[[#This Row],[M]])*(1-Commission)*Tab_NewTRADER[[#This Row],[Scale]],                               TRUE,"")</f>
        <v>3620.5620000000017</v>
      </c>
      <c r="AW7" s="1186" cm="1">
        <f t="array" aca="1" ref="AW7" ca="1">_xlfn.IFS(   Tab_NewTRADER[[#This Row],[Trap_vs_Last]]=MUp,Tab_NewTRADER[[#This Row],[TakeGain_A]]-Commission,        Tab_NewTRADER[[#This Row],[Trap_vs_Last]]=MDown,(Tab_NewTRADER[[#This Row],[A]]-Tab_NewTRADER[[#This Row],[M]])/Tab_NewTRADER[[#This Row],[M]]-Commission,                              TRUE,"")</f>
        <v>0.6935698233199955</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1208630.4105564312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-0.24</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-0.40936925786137346</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0.6935698233199955</v>
      </c>
      <c r="BC7" s="1369">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-0.41043639248182623</v>
      </c>
      <c r="BI7" s="638" t="str">
        <f ca="1">TEXT(_xlfn.XLOOKUP(Tab_NewTRADER[[#This Row],[ClickTick]],TabCalc[Ticker],TabCalc[NAfter]),"#,#0")&amp;" : "&amp;TEXT(_xlfn.XLOOKUP(Tab_NewTRADER[[#This Row],[ClickTick]],TabCalc[Ticker],TabCalc[NAfter])*(Tab_NewTRADER[[#This Row],[M]]-Tab_NewTRADER[[#This Row],[A]])*(1-Commission)*Tab_NewTRADER[[#This Row],[Scale]],"#,#0$")</f>
        <v>2,530,000 : -1,208,630$</v>
      </c>
      <c r="BJ7" s="684">
        <f ca="1">_xlfn.XLOOKUP(Tab_NewTRADER[[#This Row],[ClickTick]],TabCalc[[#This Row],[Ticker]],TabCalc[[#This Row],[GL]])*(1-Commission)</f>
        <v>-1208630.4105564312</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AMY</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0.35174418604651181</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-2.1211498451769275</v>
      </c>
      <c r="BV7" s="1277">
        <f ca="1">_xlfn.XMATCH(Tab_NewTRADER[[#This Row],[ClickTick]]&amp;1, TabConsolid[#Headers])</f>
        <v>14</v>
      </c>
      <c r="BW7" t="str">
        <f ca="1">IF(ABS(Tab_NewTRADER[[#This Row],[L_Bp]])&gt;=Tab_NewTRADER[[#This Row],[M]],"OK")</f>
        <v>OK</v>
      </c>
    </row>
    <row r="8" spans="1:75"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+11,500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6.6%</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87/3,100=75,774</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129</v>
      </c>
      <c r="F8" s="226" t="str">
        <f ca="1">TRUNC(TabCalc[[#This Row],[L_B1p]],2)&amp;"x"&amp;TabCalc[[#This Row],[L_B1n]]&amp;"=   "&amp;TEXT(TabCalc[[#This Row],[ReverseS1]],"#,#0")&amp;"$"</f>
        <v>-804.9x200=   13,300$</v>
      </c>
      <c r="G8" s="225" t="str">
        <f ca="1">IFERROR(TRUNC(_xlfn.XLOOKUP(Tab_NewTRADER[[#This Row],[ClickTick]],TabCalc[Ticker],ListLastSalep),2)&amp;"x"&amp;_xlfn.XLOOKUP(Tab_NewTRADER[[#This Row],[ClickTick]],TabCalc[Ticker],ListLastSalen)&amp;"=   "&amp;TEXT(-_xlfn.XLOOKUP(Tab_NewTRADER[[#This Row],[ClickTick]],TabCalc[Ticker],ListReverseB),"#,#0")&amp;"$","")</f>
        <v>910.25x100=   -3,885$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4.5% = 129</v>
      </c>
      <c r="I8" s="226" t="str">
        <f ca="1">IFERROR(TRUNC(TabCalc[[#This Row],[L_S1p]],2)&amp;"x"&amp;TabCalc[[#This Row],[L_S1n]]&amp;"=   "&amp;TEXT(TabCalc[[#This Row],[ReverseB1]],"#,#0"),"")</f>
        <v>894.75x100=   2,335</v>
      </c>
      <c r="J8" s="295">
        <f ca="1">_xlfn.XLOOKUP(Tab_NewTRADER[[#This Row],[ClickTick]],TabCalc[Ticker],ListGravity)</f>
        <v>1.0809080330502641</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2265640</v>
      </c>
      <c r="M8" s="323">
        <f ca="1">_xlfn.XLOOKUP(Tab_NewTRADER[[#This Row],[ClickTick]],TabCalc[Ticker],TabCalc[Agiotage])</f>
        <v>0.1427007365316057</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7.0647499692836957E-2</v>
      </c>
      <c r="S8" s="683">
        <f ca="1">_xlfn.XLOOKUP(Tab_NewTRADER[[#This Row],[ClickTick]],TabCalc[Ticker],TabCalc[Rev(MinStock)])*(1-Commission)</f>
        <v>11470.1</v>
      </c>
      <c r="T8" s="782">
        <f ca="1">_xlfn.XLOOKUP(Tab_NewTRADER[[#This Row],[ClickTick]],TabCalc[Ticker],TabCalc[Agiotage])</f>
        <v>0.1427007365316057</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-24,490/-24,490=&gt;-2.7% / -0.3%</v>
      </c>
      <c r="V8" s="739" t="str">
        <f ca="1">_xlfn.XLOOKUP(Tab_NewTRADER[[#This Row],[ClickTick]],[1]!RTData[Ticker_Symbol],[1]!RTData[Currency])</f>
        <v>EUR</v>
      </c>
      <c r="W8" s="749">
        <f ca="1">_xlfn.XLOOKUP(Tab_NewTRADER[[#This Row],[ClickTick]],TabCalc[Ticker],TabCalc[M])</f>
        <v>871.4</v>
      </c>
      <c r="X8" s="1343"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^784 / 2,701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3874.8990000000022</v>
      </c>
      <c r="AI8" s="1370" t="str">
        <f ca="1">TEXT(MIN(Tab_NewTRADER[[#This Row],[L_Bn]],Tab_NewTRADER[[#This Row],[N]]),"#,#0")&amp;" x "&amp;TEXT(Tab_NewTRADER[[#This Row],[L_Bp]],"#,#0.#0")</f>
        <v>200 x -813.90</v>
      </c>
      <c r="AJ8" s="1370">
        <f ca="1">IF(Tab_NewTRADER[[#This Row],[M]]&lt;_xlfn.XLOOKUP(Tab_NewTRADER[[#This Row],[ClickTick]],TabCalc[Ticker],TabCalc[Max_Buy_P]), 0,Tab_NewTRADER[[#This Row],[Sale_Back_$]])</f>
        <v>11470.1</v>
      </c>
      <c r="AK8" s="1370" t="str">
        <f ca="1">TEXT(Tab_NewTRADER[[#This Row],[L_Sn]],"#,#0")&amp;" ("&amp;Tab_NewTRADER[[#This Row],[M]]&amp;"/"&amp;TEXT(Tab_NewTRADER[[#This Row],[L_Sp]],"#,#0.#0)")</f>
        <v>100 (871.4/910.25)</v>
      </c>
      <c r="AL8" s="1370">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655676.79639999988</v>
      </c>
      <c r="AO8" s="1177">
        <f ca="1">Tab_NewTRADER[[#This Row],[M]]*Tab_NewTRADER[[#This Row],[N]]*(1-Commission)*Tab_NewTRADER[[#This Row],[Scale]]</f>
        <v>2694316.5159999998</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4.2680582257621558E-2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0.66929210235319225</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655676.79639999988</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-0.5%</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0.3207884308550974</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-0.24595551985310987</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4.2680582257621558E-2</v>
      </c>
      <c r="BF8" s="729">
        <f ca="1">MIN(Tab_NewTRADER[[#This Row],[L_Sn]],Tab_NewTRADER[[#This Row],[N]])*(Tab_NewTRADER[[#This Row],[M]]-Tab_NewTRADER[[#This Row],[L_Sp]])*(1-Commission)*Tab_NewTRADER[[#This Row],[Scale]]</f>
        <v>-3874.8990000000022</v>
      </c>
      <c r="BG8" s="692">
        <f ca="1">Tab_NewTRADER[[#This Row],[L_Sn]]*(Tab_NewTRADER[[#This Row],[Agiotage]]-Tab_NewTRADER[[#This Row],[M]])/(Tab_NewTRADER[[#This Row],[L_Bn]]*Tab_NewTRADER[[#This Row],[M]])</f>
        <v>-0.49991811984362422</v>
      </c>
      <c r="BH8" s="635">
        <f ca="1">IFERROR((Tab_NewTRADER[[#This Row],[M]]-Tab_NewTRADER[[#This Row],[A]])/Tab_NewTRADER[[#This Row],[A]],0)</f>
        <v>0.3216246549579882</v>
      </c>
      <c r="BI8" s="638" t="str">
        <f ca="1">TEXT(_xlfn.XLOOKUP(Tab_NewTRADER[[#This Row],[ClickTick]],TabCalc[Ticker],TabCalc[NAfter]),"#,#0")&amp;" : "&amp;TEXT(_xlfn.XLOOKUP(Tab_NewTRADER[[#This Row],[ClickTick]],TabCalc[Ticker],TabCalc[NAfter])*(Tab_NewTRADER[[#This Row],[M]]-Tab_NewTRADER[[#This Row],[A]])*(1-Commission)*Tab_NewTRADER[[#This Row],[Scale]],"#,#0$")</f>
        <v>3,100 : 655,677$</v>
      </c>
      <c r="BJ8" s="684">
        <f ca="1">_xlfn.XLOOKUP(Tab_NewTRADER[[#This Row],[ClickTick]],TabCalc[[#This Row],[Ticker]],TabCalc[[#This Row],[GL]])*(1-Commission)</f>
        <v>781982.35589400004</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265305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884.35</v>
      </c>
      <c r="BT8" s="687">
        <f ca="1">((_xlfn.XLOOKUP(Tab_NewTRADER[[#This Row],[ClickTick]],TabCalc[Ticker],TabCalc[NAfter])+Tab_NewTRADER[[#This Row],[L_Sn]])*(Tab_NewTRADER[[#This Row],[Agiotage]]-Tab_NewTRADER[[#This Row],[M]]))/(Tab_NewTRADER[[#This Row],[L_Sn]]*_xlfn.XLOOKUP(Tab_NewTRADER[[#This Row],[ClickTick]],TabCalc[Ticker],TabCalc[NAfter]))</f>
        <v>-8.9936237343325764</v>
      </c>
      <c r="BU8" s="687">
        <f ca="1">(Tab_NewTRADER[[#This Row],[M]]-Tab_NewTRADER[[#This Row],[Agiotage]])/(Tab_NewTRADER[[#This Row],[M]]-Tab_NewTRADER[[#This Row],[A]])-1</f>
        <v>3.108541447059646</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+2,274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1,377</v>
      </c>
      <c r="F9" s="226" t="str">
        <f ca="1">TRUNC(TabCalc[[#This Row],[L_B1p]],2)&amp;"x"&amp;TabCalc[[#This Row],[L_B1n]]&amp;"=   "&amp;TEXT(TabCalc[[#This Row],[ReverseS1]],"#,#0")&amp;"$"</f>
        <v>-203.42x240=   33,368$</v>
      </c>
      <c r="G9" s="225" t="str">
        <f ca="1">IFERROR(TRUNC(_xlfn.XLOOKUP(Tab_NewTRADER[[#This Row],[ClickTick]],TabCalc[Ticker],ListLastSalep),2)&amp;"x"&amp;_xlfn.XLOOKUP(Tab_NewTRADER[[#This Row],[ClickTick]],TabCalc[Ticker],ListLastSalen)&amp;"=   "&amp;TEXT(-_xlfn.XLOOKUP(Tab_NewTRADER[[#This Row],[ClickTick]],TabCalc[Ticker],ListReverseB),"#,#0")&amp;"$","")</f>
        <v>346.09x160=   -581$</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1,377</v>
      </c>
      <c r="I9" s="226" t="str">
        <f ca="1">IFERROR(TRUNC(TabCalc[[#This Row],[L_S1p]],2)&amp;"x"&amp;TabCalc[[#This Row],[L_S1n]]&amp;"=   "&amp;TEXT(TabCalc[[#This Row],[ReverseB1]],"#,#0"),"")</f>
        <v>256.2x200=   -17,252</v>
      </c>
      <c r="J9" s="295">
        <f ca="1">_xlfn.XLOOKUP(Tab_NewTRADER[[#This Row],[ClickTick]],TabCalc[Ticker],ListGravity)</f>
        <v>1.1457736669976055</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71916.599999999991</v>
      </c>
      <c r="M9" s="323">
        <f ca="1">_xlfn.XLOOKUP(Tab_NewTRADER[[#This Row],[ClickTick]],TabCalc[Ticker],TabCalc[Agiotage])</f>
        <v>1.9670701818742457E-3</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3.2656876639628456E-2</v>
      </c>
      <c r="S9" s="683">
        <f ca="1">_xlfn.XLOOKUP(Tab_NewTRADER[[#This Row],[ClickTick]],TabCalc[Ticker],TabCalc[Rev(MinStock)])*(1-Commission)</f>
        <v>2268.3868199999965</v>
      </c>
      <c r="T9" s="782">
        <f ca="1">_xlfn.XLOOKUP(Tab_NewTRADER[[#This Row],[ClickTick]],TabCalc[Ticker],TabCalc[Agiotage])</f>
        <v>1.9670701818742457E-3</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4,396/4,396=&gt;-2.3% / 0.7%</v>
      </c>
      <c r="V9" s="739" t="str">
        <f ca="1">_xlfn.XLOOKUP(Tab_NewTRADER[[#This Row],[ClickTick]],[1]!RTData[Ticker_Symbol],[1]!RTData[Currency])</f>
        <v>USD</v>
      </c>
      <c r="W9" s="749">
        <f ca="1">_xlfn.XLOOKUP(Tab_NewTRADER[[#This Row],[ClickTick]],TabCalc[Ticker],TabCalc[M])</f>
        <v>342.46</v>
      </c>
      <c r="X9" s="1343"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 / 137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579.28991999999926</v>
      </c>
      <c r="AI9" s="1370" t="str">
        <f ca="1">TEXT(MIN(Tab_NewTRADER[[#This Row],[L_Bn]],Tab_NewTRADER[[#This Row],[N]]),"#,#0")&amp;" x "&amp;TEXT(Tab_NewTRADER[[#This Row],[L_Bp]],"#,#0.#0")</f>
        <v>210 x -331.63</v>
      </c>
      <c r="AJ9" s="1370">
        <f ca="1">IF(Tab_NewTRADER[[#This Row],[M]]&lt;_xlfn.XLOOKUP(Tab_NewTRADER[[#This Row],[ClickTick]],TabCalc[Ticker],TabCalc[Max_Buy_P]), 0,Tab_NewTRADER[[#This Row],[Sale_Back_$]])</f>
        <v>2268.3868199999965</v>
      </c>
      <c r="AK9" s="1370" t="str">
        <f ca="1">TEXT(Tab_NewTRADER[[#This Row],[L_Sn]],"#,#0")&amp;" ("&amp;Tab_NewTRADER[[#This Row],[M]]&amp;"/"&amp;TEXT(Tab_NewTRADER[[#This Row],[L_Sp]],"#,#0.#0)")</f>
        <v>160 (342.46/346.09)</v>
      </c>
      <c r="AL9" s="1370">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28616.195614650187</v>
      </c>
      <c r="AO9" s="1177">
        <f ca="1">Tab_NewTRADER[[#This Row],[M]]*Tab_NewTRADER[[#This Row],[N]]*(1-Commission)*Tab_NewTRADER[[#This Row],[Scale]]</f>
        <v>136627.84159999999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1.0488601230893686E-2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0.30938093658595378</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28616.195614650187</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0.26424737115776731</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-0.21204629791070484</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1.0488601230893686E-2</v>
      </c>
      <c r="BF9" s="729">
        <f ca="1">MIN(Tab_NewTRADER[[#This Row],[L_Sn]],Tab_NewTRADER[[#This Row],[N]])*(Tab_NewTRADER[[#This Row],[M]]-Tab_NewTRADER[[#This Row],[L_Sp]])*(1-Commission)*Tab_NewTRADER[[#This Row],[Scale]]</f>
        <v>-579.28991999999926</v>
      </c>
      <c r="BG9" s="692">
        <f ca="1">Tab_NewTRADER[[#This Row],[L_Sn]]*(Tab_NewTRADER[[#This Row],[Agiotage]]-Tab_NewTRADER[[#This Row],[M]])/(Tab_NewTRADER[[#This Row],[L_Bn]]*Tab_NewTRADER[[#This Row],[M]])</f>
        <v>-0.76190038556843487</v>
      </c>
      <c r="BH9" s="635">
        <f ca="1">IFERROR((Tab_NewTRADER[[#This Row],[M]]-Tab_NewTRADER[[#This Row],[A]])/Tab_NewTRADER[[#This Row],[A]],0)</f>
        <v>0.26493620529152528</v>
      </c>
      <c r="BI9" s="638" t="str">
        <f ca="1">TEXT(_xlfn.XLOOKUP(Tab_NewTRADER[[#This Row],[ClickTick]],TabCalc[Ticker],TabCalc[NAfter]),"#,#0")&amp;" : "&amp;TEXT(_xlfn.XLOOKUP(Tab_NewTRADER[[#This Row],[ClickTick]],TabCalc[Ticker],TabCalc[NAfter])*(Tab_NewTRADER[[#This Row],[M]]-Tab_NewTRADER[[#This Row],[A]])*(1-Commission)*Tab_NewTRADER[[#This Row],[Scale]],"#,#0$")</f>
        <v>400 : 28,616$</v>
      </c>
      <c r="BJ9" s="684">
        <f ca="1">_xlfn.XLOOKUP(Tab_NewTRADER[[#This Row],[ClickTick]],TabCalc[[#This Row],[Ticker]],TabCalc[[#This Row],[GL]])*(1-Commission)</f>
        <v>69362.562432459163</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127290.99999999999</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344.0297297297297</v>
      </c>
      <c r="BT9" s="687">
        <f ca="1">((_xlfn.XLOOKUP(Tab_NewTRADER[[#This Row],[ClickTick]],TabCalc[Ticker],TabCalc[NAfter])+Tab_NewTRADER[[#This Row],[L_Sn]])*(Tab_NewTRADER[[#This Row],[Agiotage]]-Tab_NewTRADER[[#This Row],[M]]))/(Tab_NewTRADER[[#This Row],[L_Sn]]*_xlfn.XLOOKUP(Tab_NewTRADER[[#This Row],[ClickTick]],TabCalc[Ticker],TabCalc[NAfter]))</f>
        <v>-2.9965077881359083</v>
      </c>
      <c r="BU9" s="687">
        <f ca="1">(Tab_NewTRADER[[#This Row],[M]]-Tab_NewTRADER[[#This Row],[Agiotage]])/(Tab_NewTRADER[[#This Row],[M]]-Tab_NewTRADER[[#This Row],[A]])-1</f>
        <v>3.7744661330080298</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+9,630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21.6%</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260/500=23,131</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5,715$</v>
      </c>
      <c r="G10" s="225" t="str">
        <f ca="1">IFERROR(TRUNC(_xlfn.XLOOKUP(Tab_NewTRADER[[#This Row],[ClickTick]],TabCalc[Ticker],ListLastSalep),2)&amp;"x"&amp;_xlfn.XLOOKUP(Tab_NewTRADER[[#This Row],[ClickTick]],TabCalc[Ticker],ListLastSalen)&amp;"=   "&amp;TEXT(-_xlfn.XLOOKUP(Tab_NewTRADER[[#This Row],[ClickTick]],TabCalc[Ticker],ListReverseB),"#,#0")&amp;"$","")</f>
        <v>86.22x500=   1,440$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10" s="226" t="str">
        <f ca="1">IFERROR(TRUNC(TabCalc[[#This Row],[L_S1p]],2)&amp;"x"&amp;TabCalc[[#This Row],[L_S1n]]&amp;"=   "&amp;TEXT(TabCalc[[#This Row],[ReverseB1]],"#,#0"),"")</f>
        <v>79.51x2000=   -19,180</v>
      </c>
      <c r="J10" s="295">
        <f ca="1">_xlfn.XLOOKUP(Tab_NewTRADER[[#This Row],[ClickTick]],TabCalc[Ticker],ListGravity)</f>
        <v>1.0466075196408531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1.4614245077424926E-3</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0.27577319587628851</v>
      </c>
      <c r="S10" s="683">
        <f ca="1">_xlfn.XLOOKUP(Tab_NewTRADER[[#This Row],[ClickTick]],TabCalc[Ticker],TabCalc[Rev(MinStock)])*(1-Commission)</f>
        <v>9604.9619999999959</v>
      </c>
      <c r="T10" s="782">
        <f ca="1">_xlfn.XLOOKUP(Tab_NewTRADER[[#This Row],[ClickTick]],TabCalc[Ticker],TabCalc[Agiotage])</f>
        <v>1.4614245077424926E-3</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293/293=&gt;0.9% / 0.6%</v>
      </c>
      <c r="V10" s="739" t="str">
        <f ca="1">_xlfn.XLOOKUP(Tab_NewTRADER[[#This Row],[ClickTick]],[1]!RTData[Ticker_Symbol],[1]!RTData[Currency])</f>
        <v>USD</v>
      </c>
      <c r="W10" s="749">
        <f ca="1">_xlfn.XLOOKUP(Tab_NewTRADER[[#This Row],[ClickTick]],TabCalc[Ticker],TabCalc[M])</f>
        <v>89.1</v>
      </c>
      <c r="X10" s="1343"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45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70" t="str">
        <f ca="1">TEXT(MIN(Tab_NewTRADER[[#This Row],[L_Bn]],Tab_NewTRADER[[#This Row],[N]]),"#,#0")&amp;" x "&amp;TEXT(Tab_NewTRADER[[#This Row],[L_Bp]],"#,#0.#0")</f>
        <v>500 x -69.84</v>
      </c>
      <c r="AJ10" s="1370">
        <f ca="1">IF(Tab_NewTRADER[[#This Row],[M]]&lt;_xlfn.XLOOKUP(Tab_NewTRADER[[#This Row],[ClickTick]],TabCalc[Ticker],TabCalc[Max_Buy_P]), 0,Tab_NewTRADER[[#This Row],[Sale_Back_$]])</f>
        <v>9604.9619999999959</v>
      </c>
      <c r="AK10" s="1370" t="str">
        <f ca="1">TEXT(Tab_NewTRADER[[#This Row],[L_Sn]],"#,#0")&amp;" ("&amp;Tab_NewTRADER[[#This Row],[M]]&amp;"/"&amp;TEXT(Tab_NewTRADER[[#This Row],[L_Sp]],"#,#0.#0)")</f>
        <v>500 (89.1/86.22)</v>
      </c>
      <c r="AL10" s="1370">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1436.2559999999976</v>
      </c>
      <c r="AN10" s="1177">
        <f ca="1">Tab_NewTRADER[[#This Row],[N]]*(Tab_NewTRADER[[#This Row],[M]]-Tab_NewTRADER[[#This Row],[A]])*(1-Commission)*Tab_NewTRADER[[#This Row],[Scale]]</f>
        <v>9604.9619999999959</v>
      </c>
      <c r="AO10" s="1177">
        <f ca="1">Tab_NewTRADER[[#This Row],[M]]*Tab_NewTRADER[[#This Row],[N]]*(1-Commission)*Tab_NewTRADER[[#This Row],[Scale]]</f>
        <v>44434.17</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0.27577319587628851</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2.9723232323232276E-2</v>
      </c>
      <c r="AR10" s="825" cm="1">
        <f t="array" aca="1" ref="AR10" ca="1">_xlfn.IFS(   Tab_NewTRADER[[#This Row],[Trap_vs_Last]]=SellMorePercentGain,                     MIN(Tab_NewTRADER[[#This Row],[L_Sn]],Tab_NewTRADER[[#This Row],[N]])*(Tab_NewTRADER[[#This Row],[M]]-Tab_NewTRADER[[#This Row],[L_Sp]])*(1-Commission)*Tab_NewTRADER[[#This Row],[Scale]],                    TRUE,"")</f>
        <v>1436.2559999999976</v>
      </c>
      <c r="AS10" s="1175">
        <f ca="1">_xlfn.XLOOKUP(Tab_NewTRADER[[#This Row],[ClickTick]],TabCalc[Ticker],TabCalc[Ann%RevLB])</f>
        <v>0.66185567010309243</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0.27317319587628852</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12253.753067010302</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500x19.26</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0.27505618556701017</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-0.21876161616161607</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-3.3402922755741075E-2</v>
      </c>
      <c r="BF10" s="729">
        <f ca="1">MIN(Tab_NewTRADER[[#This Row],[L_Sn]],Tab_NewTRADER[[#This Row],[N]])*(Tab_NewTRADER[[#This Row],[M]]-Tab_NewTRADER[[#This Row],[L_Sp]])*(1-Commission)*Tab_NewTRADER[[#This Row],[Scale]]</f>
        <v>1436.2559999999976</v>
      </c>
      <c r="BG10" s="692">
        <f ca="1">Tab_NewTRADER[[#This Row],[L_Sn]]*(Tab_NewTRADER[[#This Row],[Agiotage]]-Tab_NewTRADER[[#This Row],[M]])/(Tab_NewTRADER[[#This Row],[L_Bn]]*Tab_NewTRADER[[#This Row],[M]])</f>
        <v>-0.12499794974115076</v>
      </c>
      <c r="BH10" s="635">
        <f ca="1">IFERROR((Tab_NewTRADER[[#This Row],[M]]-Tab_NewTRADER[[#This Row],[A]])/Tab_NewTRADER[[#This Row],[A]],0)</f>
        <v>0.27577319587628851</v>
      </c>
      <c r="BI10" s="638" t="str">
        <f ca="1">TEXT(_xlfn.XLOOKUP(Tab_NewTRADER[[#This Row],[ClickTick]],TabCalc[Ticker],TabCalc[NAfter]),"#,#0")&amp;" : "&amp;TEXT(_xlfn.XLOOKUP(Tab_NewTRADER[[#This Row],[ClickTick]],TabCalc[Ticker],TabCalc[NAfter])*(Tab_NewTRADER[[#This Row],[M]]-Tab_NewTRADER[[#This Row],[A]])*(1-Commission)*Tab_NewTRADER[[#This Row],[Scale]],"#,#0$")</f>
        <v>500 : 9,605$</v>
      </c>
      <c r="BJ10" s="684">
        <f ca="1">_xlfn.XLOOKUP(Tab_NewTRADER[[#This Row],[ClickTick]],TabCalc[[#This Row],[Ticker]],TabCalc[[#This Row],[GL]])*(1-Commission)</f>
        <v>152486.90055999995</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3.2323232323232275E-2</v>
      </c>
      <c r="BP10" s="679">
        <f ca="1">Tab_NewTRADER[[#This Row],[L_Sn]]*Tab_NewTRADER[[#This Row],[L_Sp]]+Tab_NewTRADER[[#This Row],[SellMore]]*Tab_NewTRADER[[#This Row],[M]]</f>
        <v>87660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87.66</v>
      </c>
      <c r="BT10" s="687">
        <f ca="1">((_xlfn.XLOOKUP(Tab_NewTRADER[[#This Row],[ClickTick]],TabCalc[Ticker],TabCalc[NAfter])+Tab_NewTRADER[[#This Row],[L_Sn]])*(Tab_NewTRADER[[#This Row],[Agiotage]]-Tab_NewTRADER[[#This Row],[M]]))/(Tab_NewTRADER[[#This Row],[L_Sn]]*_xlfn.XLOOKUP(Tab_NewTRADER[[#This Row],[ClickTick]],TabCalc[Ticker],TabCalc[NAfter]))</f>
        <v>-0.35639415430196902</v>
      </c>
      <c r="BU10" s="687">
        <f ca="1">(Tab_NewTRADER[[#This Row],[M]]-Tab_NewTRADER[[#This Row],[Agiotage]])/(Tab_NewTRADER[[#This Row],[M]]-Tab_NewTRADER[[#This Row],[A]])-1</f>
        <v>3.6260923455603482</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+1,080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15,620</v>
      </c>
      <c r="F11" s="226" t="str">
        <f ca="1">TRUNC(TabCalc[[#This Row],[L_B1p]],2)&amp;"x"&amp;TabCalc[[#This Row],[L_B1n]]&amp;"=   "&amp;TEXT(TabCalc[[#This Row],[ReverseS1]],"#,#0")&amp;"$"</f>
        <v>-1.83x10000=   12,000$</v>
      </c>
      <c r="G11" s="225" t="str">
        <f ca="1">IFERROR(TRUNC(_xlfn.XLOOKUP(Tab_NewTRADER[[#This Row],[ClickTick]],TabCalc[Ticker],ListLastSalep),2)&amp;"x"&amp;_xlfn.XLOOKUP(Tab_NewTRADER[[#This Row],[ClickTick]],TabCalc[Ticker],ListLastSalen)&amp;"=   "&amp;TEXT(-_xlfn.XLOOKUP(Tab_NewTRADER[[#This Row],[ClickTick]],TabCalc[Ticker],ListReverseB),"#,#0")&amp;"$","")</f>
        <v>3.35x6000=   -1,921$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15,620</v>
      </c>
      <c r="I11" s="226" t="str">
        <f ca="1">IFERROR(TRUNC(TabCalc[[#This Row],[L_S1p]],2)&amp;"x"&amp;TabCalc[[#This Row],[L_S1n]]&amp;"=   "&amp;TEXT(TabCalc[[#This Row],[ReverseB1]],"#,#0"),"")</f>
        <v>1.96x10000=   -10,700</v>
      </c>
      <c r="J11" s="295">
        <f ca="1">_xlfn.XLOOKUP(Tab_NewTRADER[[#This Row],[ClickTick]],TabCalc[Ticker],ListGravity)</f>
        <v>0.90759075907590769</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30299.999999999996</v>
      </c>
      <c r="M11" s="323">
        <f ca="1">_xlfn.XLOOKUP(Tab_NewTRADER[[#This Row],[ClickTick]],TabCalc[Ticker],TabCalc[Agiotage])</f>
        <v>1.4723542829705686E-3</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6.315789473684201E-2</v>
      </c>
      <c r="S11" s="683">
        <f ca="1">_xlfn.XLOOKUP(Tab_NewTRADER[[#This Row],[ClickTick]],TabCalc[Ticker],TabCalc[Rev(MinStock)])*(1-Commission)</f>
        <v>1077.1919999999982</v>
      </c>
      <c r="T11" s="782">
        <f ca="1">_xlfn.XLOOKUP(Tab_NewTRADER[[#This Row],[ClickTick]],TabCalc[Ticker],TabCalc[Agiotage])</f>
        <v>1.4723542829705686E-3</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1,800/1,800=&gt;-1.8% / -5.0%</v>
      </c>
      <c r="V11" s="739" t="str">
        <f ca="1">_xlfn.XLOOKUP(Tab_NewTRADER[[#This Row],[ClickTick]],[1]!RTData[Ticker_Symbol],[1]!RTData[Currency])</f>
        <v>USD</v>
      </c>
      <c r="W11" s="749">
        <f ca="1">_xlfn.XLOOKUP(Tab_NewTRADER[[#This Row],[ClickTick]],TabCalc[Ticker],TabCalc[M])</f>
        <v>3.03</v>
      </c>
      <c r="X11" s="1343"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^29 / 61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1915.6064400000002</v>
      </c>
      <c r="AI11" s="1370" t="str">
        <f ca="1">TEXT(MIN(Tab_NewTRADER[[#This Row],[L_Bn]],Tab_NewTRADER[[#This Row],[N]]),"#,#0")&amp;" x "&amp;TEXT(Tab_NewTRADER[[#This Row],[L_Bp]],"#,#0.#0")</f>
        <v>6,000 x -2.85</v>
      </c>
      <c r="AJ11" s="1370">
        <f ca="1">IF(Tab_NewTRADER[[#This Row],[M]]&lt;_xlfn.XLOOKUP(Tab_NewTRADER[[#This Row],[ClickTick]],TabCalc[Ticker],TabCalc[Max_Buy_P]), 0,Tab_NewTRADER[[#This Row],[Sale_Back_$]])</f>
        <v>1077.1919999999982</v>
      </c>
      <c r="AK11" s="1370" t="str">
        <f ca="1">TEXT(Tab_NewTRADER[[#This Row],[L_Sn]],"#,#0")&amp;" ("&amp;Tab_NewTRADER[[#This Row],[M]]&amp;"/"&amp;TEXT(Tab_NewTRADER[[#This Row],[L_Sp]],"#,#0.#0)")</f>
        <v>6,000 (3.03/3.35)</v>
      </c>
      <c r="AL11" s="1370">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17673.927999999993</v>
      </c>
      <c r="AO11" s="760">
        <f ca="1">Tab_NewTRADER[[#This Row],[M]]*Tab_NewTRADER[[#This Row],[N]]*(1-Commission)*Tab_NewTRADER[[#This Row],[Scale]]</f>
        <v>60442.439999999988</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9.5549386585475085E-2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7.2410325175997214E-2</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17673.927999999993</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0.41217182835820876</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-0.29500924092409231</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9.5549386585475085E-2</v>
      </c>
      <c r="BF11" s="729">
        <f ca="1">MIN(Tab_NewTRADER[[#This Row],[L_Sn]],Tab_NewTRADER[[#This Row],[N]])*(Tab_NewTRADER[[#This Row],[M]]-Tab_NewTRADER[[#This Row],[L_Sp]])*(1-Commission)*Tab_NewTRADER[[#This Row],[Scale]]</f>
        <v>-1915.6064400000002</v>
      </c>
      <c r="BG11" s="692">
        <f ca="1">Tab_NewTRADER[[#This Row],[L_Sn]]*(Tab_NewTRADER[[#This Row],[Agiotage]]-Tab_NewTRADER[[#This Row],[M]])/(Tab_NewTRADER[[#This Row],[L_Bn]]*Tab_NewTRADER[[#This Row],[M]])</f>
        <v>-0.99951407449406915</v>
      </c>
      <c r="BH11" s="635">
        <f ca="1">IFERROR((Tab_NewTRADER[[#This Row],[M]]-Tab_NewTRADER[[#This Row],[A]])/Tab_NewTRADER[[#This Row],[A]],0)</f>
        <v>0.41324626865671626</v>
      </c>
      <c r="BI11" s="638" t="str">
        <f ca="1">TEXT(_xlfn.XLOOKUP(Tab_NewTRADER[[#This Row],[ClickTick]],TabCalc[Ticker],TabCalc[NAfter]),"#,#0")&amp;" : "&amp;TEXT(_xlfn.XLOOKUP(Tab_NewTRADER[[#This Row],[ClickTick]],TabCalc[Ticker],TabCalc[NAfter])*(Tab_NewTRADER[[#This Row],[M]]-Tab_NewTRADER[[#This Row],[A]])*(1-Commission)*Tab_NewTRADER[[#This Row],[Scale]],"#,#0$")</f>
        <v>20,000 : 17,674$</v>
      </c>
      <c r="BJ11" s="684">
        <f ca="1">_xlfn.XLOOKUP(Tab_NewTRADER[[#This Row],[ClickTick]],TabCalc[[#This Row],[Ticker]],TabCalc[[#This Row],[GL]])*(1-Commission)</f>
        <v>28841.00291899998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38280.6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3.1900499999999998</v>
      </c>
      <c r="BT11" s="687">
        <f ca="1">((_xlfn.XLOOKUP(Tab_NewTRADER[[#This Row],[ClickTick]],TabCalc[Ticker],TabCalc[NAfter])+Tab_NewTRADER[[#This Row],[L_Sn]])*(Tab_NewTRADER[[#This Row],[Agiotage]]-Tab_NewTRADER[[#This Row],[M]]))/(Tab_NewTRADER[[#This Row],[L_Sn]]*_xlfn.XLOOKUP(Tab_NewTRADER[[#This Row],[ClickTick]],TabCalc[Ticker],TabCalc[NAfter]))</f>
        <v>-6.5618098990535628E-4</v>
      </c>
      <c r="BU11" s="687">
        <f ca="1">(Tab_NewTRADER[[#This Row],[M]]-Tab_NewTRADER[[#This Row],[Agiotage]])/(Tab_NewTRADER[[#This Row],[M]]-Tab_NewTRADER[[#This Row],[A]])-1</f>
        <v>2.4182027604029686</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-128,870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-427.8%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2.1129417683310277E-4</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-0.81052863297587974</v>
      </c>
      <c r="S12" s="683">
        <f ca="1">_xlfn.XLOOKUP(Tab_NewTRADER[[#This Row],[ClickTick]],TabCalc[Ticker],TabCalc[Rev(MinStock)])*(1-Commission)</f>
        <v>-128534.93799999999</v>
      </c>
      <c r="T12" s="782">
        <f ca="1">_xlfn.XLOOKUP(Tab_NewTRADER[[#This Row],[ClickTick]],TabCalc[Ticker],TabCalc[Agiotage])</f>
        <v>2.1129417683310277E-4</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-755/-755=&gt;-2.1% / -3.6%</v>
      </c>
      <c r="V12" s="739" t="str">
        <f ca="1">_xlfn.XLOOKUP(Tab_NewTRADER[[#This Row],[ClickTick]],[1]!RTData[Ticker_Symbol],[1]!RTData[Currency])</f>
        <v>USD</v>
      </c>
      <c r="W12" s="749">
        <f ca="1">_xlfn.XLOOKUP(Tab_NewTRADER[[#This Row],[ClickTick]],TabCalc[Ticker],TabCalc[M])</f>
        <v>2.41</v>
      </c>
      <c r="X12" s="1343"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-129/30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70" t="str">
        <f ca="1">TEXT(MIN(Tab_NewTRADER[[#This Row],[L_Bn]],Tab_NewTRADER[[#This Row],[N]]),"#,#0")&amp;" x "&amp;TEXT(Tab_NewTRADER[[#This Row],[L_Bp]],"#,#0.#0")</f>
        <v>12,500 x -12.72</v>
      </c>
      <c r="AJ12" s="1370">
        <f ca="1">IF(Tab_NewTRADER[[#This Row],[M]]&lt;_xlfn.XLOOKUP(Tab_NewTRADER[[#This Row],[ClickTick]],TabCalc[Ticker],TabCalc[Max_Buy_P]), 0,Tab_NewTRADER[[#This Row],[Sale_Back_$]])</f>
        <v>0</v>
      </c>
      <c r="AK12" s="1370" t="str">
        <f ca="1">TEXT(Tab_NewTRADER[[#This Row],[L_Sn]],"#,#0")&amp;" ("&amp;Tab_NewTRADER[[#This Row],[M]]&amp;"/"&amp;TEXT(Tab_NewTRADER[[#This Row],[L_Sp]],"#,#0.#0)")</f>
        <v>0 (2.41/0.0)</v>
      </c>
      <c r="AL12" s="1370">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128534.93799999999</v>
      </c>
      <c r="AN12" s="1177">
        <f ca="1">Tab_NewTRADER[[#This Row],[N]]*(Tab_NewTRADER[[#This Row],[M]]-Tab_NewTRADER[[#This Row],[A]])*(1-Commission)*Tab_NewTRADER[[#This Row],[Scale]]</f>
        <v>-128534.93799999999</v>
      </c>
      <c r="AO12" s="1177">
        <f ca="1">Tab_NewTRADER[[#This Row],[M]]*Tab_NewTRADER[[#This Row],[N]]*(1-Commission)*Tab_NewTRADER[[#This Row],[Scale]]</f>
        <v>30046.674999999999</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0.81052863297587974</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4.2752423236514518</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-5.3697149037783713E-2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4.277842323651452</v>
      </c>
      <c r="AV12" s="825" cm="1">
        <f t="array" aca="1" ref="AV12" ca="1">_xlfn.IFS(         Tab_NewTRADER[[#This Row],[Trap_vs_Last]]=MDown,Tab_NewTRADER[[#This Row],[L_Bn]]*Tab_NewTRADER[[#This Row],[M]]*(-(Tab_NewTRADER[[#This Row],[L_Bp]]+Tab_NewTRADER[[#This Row],[M]])/Tab_NewTRADER[[#This Row],[M]])*(1-Commission)*Tab_NewTRADER[[#This Row],[Scale]],                               TRUE,"")</f>
        <v>128534.93799999998</v>
      </c>
      <c r="AW12" s="1186" cm="1">
        <f t="array" aca="1" ref="AW12" ca="1">_xlfn.IFS(   Tab_NewTRADER[[#This Row],[Trap_vs_Last]]=MUp,Tab_NewTRADER[[#This Row],[TakeGain_A]]-Commission,        Tab_NewTRADER[[#This Row],[Trap_vs_Last]]=MDown,(Tab_NewTRADER[[#This Row],[A]]-Tab_NewTRADER[[#This Row],[M]])/Tab_NewTRADER[[#This Row],[M]]-Commission,                              TRUE,"")</f>
        <v>4.2752423236514518</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128534.93799999999</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-0.80842125853014246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4.2752423236514518</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-0.81052863297587974</v>
      </c>
      <c r="BI12" s="638" t="str">
        <f ca="1">TEXT(_xlfn.XLOOKUP(Tab_NewTRADER[[#This Row],[ClickTick]],TabCalc[Ticker],TabCalc[NAfter]),"#,#0")&amp;" : "&amp;TEXT(_xlfn.XLOOKUP(Tab_NewTRADER[[#This Row],[ClickTick]],TabCalc[Ticker],TabCalc[NAfter])*(Tab_NewTRADER[[#This Row],[M]]-Tab_NewTRADER[[#This Row],[A]])*(1-Commission)*Tab_NewTRADER[[#This Row],[Scale]],"#,#0$")</f>
        <v>12,500 : -128,535$</v>
      </c>
      <c r="BJ12" s="684">
        <f ca="1">_xlfn.XLOOKUP(Tab_NewTRADER[[#This Row],[ClickTick]],TabCalc[[#This Row],[Ticker]],TabCalc[[#This Row],[GL]])*(1-Commission)</f>
        <v>-128534.93799999999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4.277842323651452</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-1.2337422117078418</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-63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3,943$</v>
      </c>
      <c r="G13" s="225" t="str">
        <f ca="1">IFERROR(TRUNC(_xlfn.XLOOKUP(Tab_NewTRADER[[#This Row],[ClickTick]],TabCalc[Ticker],ListLastSalep),2)&amp;"x"&amp;_xlfn.XLOOKUP(Tab_NewTRADER[[#This Row],[ClickTick]],TabCalc[Ticker],ListLastSalen)&amp;"=   "&amp;TEXT(-_xlfn.XLOOKUP(Tab_NewTRADER[[#This Row],[ClickTick]],TabCalc[Ticker],ListReverseB),"#,#0")&amp;"$","")</f>
        <v>97.37x95=   278$</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2.9% = 0</v>
      </c>
      <c r="I13" s="226" t="str">
        <f ca="1">IFERROR(TRUNC(TabCalc[[#This Row],[L_S1p]],2)&amp;"x"&amp;TabCalc[[#This Row],[L_S1n]]&amp;"=   "&amp;TEXT(TabCalc[[#This Row],[ReverseB1]],"#,#0"),"")</f>
        <v>82.67x500=   -8,815</v>
      </c>
      <c r="J13" s="295">
        <f ca="1">_xlfn.XLOOKUP(Tab_NewTRADER[[#This Row],[ClickTick]],TabCalc[Ticker],ListGravity)</f>
        <v>1.1342163509471586</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501.5</v>
      </c>
      <c r="M13" s="323">
        <f ca="1">_xlfn.XLOOKUP(Tab_NewTRADER[[#This Row],[ClickTick]],TabCalc[Ticker],TabCalc[Agiotage])</f>
        <v>1.2191787082273127E-4</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-6.2419498662440271E-3</v>
      </c>
      <c r="S13" s="683">
        <f ca="1">_xlfn.XLOOKUP(Tab_NewTRADER[[#This Row],[ClickTick]],TabCalc[Ticker],TabCalc[Rev(MinStock)])*(1-Commission)</f>
        <v>-62.836200000000964</v>
      </c>
      <c r="T13" s="782">
        <f ca="1">_xlfn.XLOOKUP(Tab_NewTRADER[[#This Row],[ClickTick]],TabCalc[Ticker],TabCalc[Agiotage])</f>
        <v>1.2191787082273127E-4</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49/49=&gt;-0.3% / -0.4%</v>
      </c>
      <c r="V13" s="739" t="str">
        <f ca="1">_xlfn.XLOOKUP(Tab_NewTRADER[[#This Row],[ClickTick]],[1]!RTData[Ticker_Symbol],[1]!RTData[Currency])</f>
        <v>USD</v>
      </c>
      <c r="W13" s="749">
        <f ca="1">_xlfn.XLOOKUP(Tab_NewTRADER[[#This Row],[ClickTick]],TabCalc[Ticker],TabCalc[M])</f>
        <v>100.3</v>
      </c>
      <c r="X13" s="1343"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70" t="str">
        <f ca="1">TEXT(MIN(Tab_NewTRADER[[#This Row],[L_Bn]],Tab_NewTRADER[[#This Row],[N]]),"#,#0")&amp;" x "&amp;TEXT(Tab_NewTRADER[[#This Row],[L_Bp]],"#,#0.#0")</f>
        <v>100 x -100.93</v>
      </c>
      <c r="AJ13" s="1370">
        <f ca="1">IF(Tab_NewTRADER[[#This Row],[M]]&lt;_xlfn.XLOOKUP(Tab_NewTRADER[[#This Row],[ClickTick]],TabCalc[Ticker],TabCalc[Max_Buy_P]), 0,Tab_NewTRADER[[#This Row],[Sale_Back_$]])</f>
        <v>0</v>
      </c>
      <c r="AK13" s="1370" t="str">
        <f ca="1">TEXT(Tab_NewTRADER[[#This Row],[L_Sn]],"#,#0")&amp;" ("&amp;Tab_NewTRADER[[#This Row],[M]]&amp;"/"&amp;TEXT(Tab_NewTRADER[[#This Row],[L_Sp]],"#,#0.#0)")</f>
        <v>95 (100.3/97.38)</v>
      </c>
      <c r="AL13" s="1370">
        <f ca="1">IF(Tab_NewTRADER[[#This Row],[M]]&lt;_xlfn.XLOOKUP(Tab_NewTRADER[[#This Row],[ClickTick]],TabCalc[Ticker],TabCalc[Max_Buy_P]), -Tab_NewTRADER[[#This Row],[Buy_Back]], 0)</f>
        <v>-277.15252499999968</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62.836200000000964</v>
      </c>
      <c r="AN13" s="1177">
        <f ca="1">Tab_NewTRADER[[#This Row],[N]]*(Tab_NewTRADER[[#This Row],[M]]-Tab_NewTRADER[[#This Row],[A]])*(1-Commission)*Tab_NewTRADER[[#This Row],[Scale]]</f>
        <v>124.42564999999908</v>
      </c>
      <c r="AO13" s="1177">
        <f ca="1">Tab_NewTRADER[[#This Row],[M]]*Tab_NewTRADER[[#This Row],[N]]*(1-Commission)*Tab_NewTRADER[[#This Row],[Scale]]</f>
        <v>10504.1181</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-1.1987412016239372E-2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3.6811565304088701E-3</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-0.17285399629598844</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6.28115653040887E-3</v>
      </c>
      <c r="AV13" s="825" cm="1">
        <f t="array" aca="1" ref="AV13" ca="1">_xlfn.IFS(         Tab_NewTRADER[[#This Row],[Trap_vs_Last]]=MDown,Tab_NewTRADER[[#This Row],[L_Bn]]*Tab_NewTRADER[[#This Row],[M]]*(-(Tab_NewTRADER[[#This Row],[L_Bp]]+Tab_NewTRADER[[#This Row],[M]])/Tab_NewTRADER[[#This Row],[M]])*(1-Commission)*Tab_NewTRADER[[#This Row],[Scale]],                               TRUE,"")</f>
        <v>62.836200000000964</v>
      </c>
      <c r="AW13" s="1186" cm="1">
        <f t="array" aca="1" ref="AW13" ca="1">_xlfn.IFS(   Tab_NewTRADER[[#This Row],[Trap_vs_Last]]=MUp,Tab_NewTRADER[[#This Row],[TakeGain_A]]-Commission,        Tab_NewTRADER[[#This Row],[Trap_vs_Last]]=MDown,(Tab_NewTRADER[[#This Row],[A]]-Tab_NewTRADER[[#This Row],[M]])/Tab_NewTRADER[[#This Row],[M]]-Commission,                              TRUE,"")</f>
        <v>-1.4445416132554631E-2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-124.42564999999908</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-0.63</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1.1956244744997149E-2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-1.4445416132554631E-2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-3.0038510911424874E-2</v>
      </c>
      <c r="BF13" s="729">
        <f ca="1">MIN(Tab_NewTRADER[[#This Row],[L_Sn]],Tab_NewTRADER[[#This Row],[N]])*(Tab_NewTRADER[[#This Row],[M]]-Tab_NewTRADER[[#This Row],[L_Sp]])*(1-Commission)*Tab_NewTRADER[[#This Row],[Scale]]</f>
        <v>277.15252499999968</v>
      </c>
      <c r="BG13" s="692">
        <f ca="1">Tab_NewTRADER[[#This Row],[L_Sn]]*(Tab_NewTRADER[[#This Row],[Agiotage]]-Tab_NewTRADER[[#This Row],[M]])/(Tab_NewTRADER[[#This Row],[L_Bn]]*Tab_NewTRADER[[#This Row],[M]])</f>
        <v>-0.94999884524449363</v>
      </c>
      <c r="BH13" s="635">
        <f ca="1">IFERROR((Tab_NewTRADER[[#This Row],[M]]-Tab_NewTRADER[[#This Row],[A]])/Tab_NewTRADER[[#This Row],[A]],0)</f>
        <v>1.1987412016239372E-2</v>
      </c>
      <c r="BI13" s="638" t="str">
        <f ca="1">TEXT(_xlfn.XLOOKUP(Tab_NewTRADER[[#This Row],[ClickTick]],TabCalc[Ticker],TabCalc[NAfter]),"#,#0")&amp;" : "&amp;TEXT(_xlfn.XLOOKUP(Tab_NewTRADER[[#This Row],[ClickTick]],TabCalc[Ticker],TabCalc[NAfter])*(Tab_NewTRADER[[#This Row],[M]]-Tab_NewTRADER[[#This Row],[A]])*(1-Commission)*Tab_NewTRADER[[#This Row],[Scale]],"#,#0$")</f>
        <v>105 : 124$</v>
      </c>
      <c r="BJ13" s="684">
        <f ca="1">_xlfn.XLOOKUP(Tab_NewTRADER[[#This Row],[ClickTick]],TabCalc[[#This Row],[Ticker]],TabCalc[[#This Row],[GL]])*(1-Commission)</f>
        <v>40332.726551</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6.28115653040887E-3</v>
      </c>
      <c r="BP13" s="679">
        <f ca="1">Tab_NewTRADER[[#This Row],[L_Sn]]*Tab_NewTRADER[[#This Row],[L_Sp]]+Tab_NewTRADER[[#This Row],[SellMore]]*Tab_NewTRADER[[#This Row],[M]]</f>
        <v>9752.125</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97.521249999999995</v>
      </c>
      <c r="BT13" s="687">
        <f ca="1">((_xlfn.XLOOKUP(Tab_NewTRADER[[#This Row],[ClickTick]],TabCalc[Ticker],TabCalc[NAfter])+Tab_NewTRADER[[#This Row],[L_Sn]])*(Tab_NewTRADER[[#This Row],[Agiotage]]-Tab_NewTRADER[[#This Row],[M]]))/(Tab_NewTRADER[[#This Row],[L_Sn]]*_xlfn.XLOOKUP(Tab_NewTRADER[[#This Row],[ClickTick]],TabCalc[Ticker],TabCalc[NAfter]))</f>
        <v>-2.0110251244537176</v>
      </c>
      <c r="BU13" s="687">
        <f ca="1">(Tab_NewTRADER[[#This Row],[M]]-Tab_NewTRADER[[#This Row],[Agiotage]])/(Tab_NewTRADER[[#This Row],[M]]-Tab_NewTRADER[[#This Row],[A]])-1</f>
        <v>83.420739067123364</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+10,800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13.8%</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463/1,000=36,111</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19,065$</v>
      </c>
      <c r="G14" s="225" t="str">
        <f ca="1">IFERROR(TRUNC(_xlfn.XLOOKUP(Tab_NewTRADER[[#This Row],[ClickTick]],TabCalc[Ticker],ListLastSalep),2)&amp;"x"&amp;_xlfn.XLOOKUP(Tab_NewTRADER[[#This Row],[ClickTick]],TabCalc[Ticker],ListLastSalen)&amp;"=   "&amp;TEXT(-_xlfn.XLOOKUP(Tab_NewTRADER[[#This Row],[ClickTick]],TabCalc[Ticker],ListReverseB),"#,#0")&amp;"$","")</f>
        <v>69.34x1000=   8,660$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14" s="226" t="str">
        <f ca="1">IFERROR(TRUNC(TabCalc[[#This Row],[L_S1p]],2)&amp;"x"&amp;TabCalc[[#This Row],[L_S1n]]&amp;"=   "&amp;TEXT(TabCalc[[#This Row],[ReverseB1]],"#,#0"),"")</f>
        <v>68.32x1000=   -9,680</v>
      </c>
      <c r="J14" s="295">
        <f ca="1">_xlfn.XLOOKUP(Tab_NewTRADER[[#This Row],[ClickTick]],TabCalc[Ticker],ListGravity)</f>
        <v>0.97808910256410253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4.3965705683731403E-4</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0.16071428571428567</v>
      </c>
      <c r="S14" s="683">
        <f ca="1">_xlfn.XLOOKUP(Tab_NewTRADER[[#This Row],[ClickTick]],TabCalc[Ticker],TabCalc[Rev(MinStock)])*(1-Commission)</f>
        <v>10771.919999999996</v>
      </c>
      <c r="T14" s="782">
        <f ca="1">_xlfn.XLOOKUP(Tab_NewTRADER[[#This Row],[ClickTick]],TabCalc[Ticker],TabCalc[Agiotage])</f>
        <v>4.3965705683731403E-4</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1,420/1,420=&gt;-0.2% / 0.8%</v>
      </c>
      <c r="V14" s="739" t="str">
        <f ca="1">_xlfn.XLOOKUP(Tab_NewTRADER[[#This Row],[ClickTick]],[1]!RTData[Ticker_Symbol],[1]!RTData[Currency])</f>
        <v>USD</v>
      </c>
      <c r="W14" s="708">
        <f ca="1">_xlfn.XLOOKUP(Tab_NewTRADER[[#This Row],[ClickTick]],TabCalc[Ticker],TabCalc[M])</f>
        <v>78</v>
      </c>
      <c r="X14" s="1343"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^139 / 78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70" t="str">
        <f ca="1">TEXT(MIN(Tab_NewTRADER[[#This Row],[L_Bn]],Tab_NewTRADER[[#This Row],[N]]),"#,#0")&amp;" x "&amp;TEXT(Tab_NewTRADER[[#This Row],[L_Bp]],"#,#0.#0")</f>
        <v>1,000 x -67.20</v>
      </c>
      <c r="AJ14" s="1370">
        <f ca="1">IF(Tab_NewTRADER[[#This Row],[M]]&lt;_xlfn.XLOOKUP(Tab_NewTRADER[[#This Row],[ClickTick]],TabCalc[Ticker],TabCalc[Max_Buy_P]), 0,Tab_NewTRADER[[#This Row],[Sale_Back_$]])</f>
        <v>10771.919999999996</v>
      </c>
      <c r="AK14" s="1370" t="str">
        <f ca="1">TEXT(Tab_NewTRADER[[#This Row],[L_Sn]],"#,#0")&amp;" ("&amp;Tab_NewTRADER[[#This Row],[M]]&amp;"/"&amp;TEXT(Tab_NewTRADER[[#This Row],[L_Sp]],"#,#0.#0)")</f>
        <v>1,000 (78/69.34)</v>
      </c>
      <c r="AL14" s="1370">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8637.4839999999967</v>
      </c>
      <c r="AN14" s="1177">
        <f ca="1">Tab_NewTRADER[[#This Row],[N]]*(Tab_NewTRADER[[#This Row],[M]]-Tab_NewTRADER[[#This Row],[A]])*(1-Commission)*Tab_NewTRADER[[#This Row],[Scale]]</f>
        <v>10771.919999999996</v>
      </c>
      <c r="AO14" s="1177">
        <f ca="1">Tab_NewTRADER[[#This Row],[M]]*Tab_NewTRADER[[#This Row],[N]]*(1-Commission)*Tab_NewTRADER[[#This Row],[Scale]]</f>
        <v>77797.2</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0.16071428571428567</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0.10842564102564098</v>
      </c>
      <c r="AR14" s="825" cm="1">
        <f t="array" aca="1" ref="AR14" ca="1">_xlfn.IFS(   Tab_NewTRADER[[#This Row],[Trap_vs_Last]]=SellMorePercentGain,                     MIN(Tab_NewTRADER[[#This Row],[L_Sn]],Tab_NewTRADER[[#This Row],[N]])*(Tab_NewTRADER[[#This Row],[M]]-Tab_NewTRADER[[#This Row],[L_Sp]])*(1-Commission)*Tab_NewTRADER[[#This Row],[Scale]],                    TRUE,"")</f>
        <v>8637.4839999999967</v>
      </c>
      <c r="AS14" s="1192">
        <f ca="1">_xlfn.XLOOKUP(Tab_NewTRADER[[#This Row],[ClickTick]],TabCalc[Ticker],TabCalc[Ann%RevLB])</f>
        <v>1.1126373626373622</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0.15811428571428568</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12503.121428571425</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1,000x10.8</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0.16029642857142853</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-0.1410615384615384</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-0.12489183732333424</v>
      </c>
      <c r="BF14" s="729">
        <f ca="1">MIN(Tab_NewTRADER[[#This Row],[L_Sn]],Tab_NewTRADER[[#This Row],[N]])*(Tab_NewTRADER[[#This Row],[M]]-Tab_NewTRADER[[#This Row],[L_Sp]])*(1-Commission)*Tab_NewTRADER[[#This Row],[Scale]]</f>
        <v>8637.4839999999967</v>
      </c>
      <c r="BG14" s="692">
        <f ca="1">Tab_NewTRADER[[#This Row],[L_Sn]]*(Tab_NewTRADER[[#This Row],[Agiotage]]-Tab_NewTRADER[[#This Row],[M]])/(Tab_NewTRADER[[#This Row],[L_Bn]]*Tab_NewTRADER[[#This Row],[M]])</f>
        <v>-0.99999436337106618</v>
      </c>
      <c r="BH14" s="635">
        <f ca="1">IFERROR((Tab_NewTRADER[[#This Row],[M]]-Tab_NewTRADER[[#This Row],[A]])/Tab_NewTRADER[[#This Row],[A]],0)</f>
        <v>0.16071428571428567</v>
      </c>
      <c r="BI14" s="638" t="str">
        <f ca="1">TEXT(_xlfn.XLOOKUP(Tab_NewTRADER[[#This Row],[ClickTick]],TabCalc[Ticker],TabCalc[NAfter]),"#,#0")&amp;" : "&amp;TEXT(_xlfn.XLOOKUP(Tab_NewTRADER[[#This Row],[ClickTick]],TabCalc[Ticker],TabCalc[NAfter])*(Tab_NewTRADER[[#This Row],[M]]-Tab_NewTRADER[[#This Row],[A]])*(1-Commission)*Tab_NewTRADER[[#This Row],[Scale]],"#,#0$")</f>
        <v>1,000 : 10,772$</v>
      </c>
      <c r="BJ14" s="684">
        <f ca="1">_xlfn.XLOOKUP(Tab_NewTRADER[[#This Row],[ClickTick]],TabCalc[[#This Row],[Ticker]],TabCalc[[#This Row],[GL]])*(1-Commission)</f>
        <v>138278.38898999998</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0.11102564102564098</v>
      </c>
      <c r="BP14" s="679">
        <f ca="1">Tab_NewTRADER[[#This Row],[L_Sn]]*Tab_NewTRADER[[#This Row],[L_Sp]]+Tab_NewTRADER[[#This Row],[SellMore]]*Tab_NewTRADER[[#This Row],[M]]</f>
        <v>147340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73.67</v>
      </c>
      <c r="BT14" s="687">
        <f ca="1">((_xlfn.XLOOKUP(Tab_NewTRADER[[#This Row],[ClickTick]],TabCalc[Ticker],TabCalc[NAfter])+Tab_NewTRADER[[#This Row],[L_Sn]])*(Tab_NewTRADER[[#This Row],[Agiotage]]-Tab_NewTRADER[[#This Row],[M]]))/(Tab_NewTRADER[[#This Row],[L_Sn]]*_xlfn.XLOOKUP(Tab_NewTRADER[[#This Row],[ClickTick]],TabCalc[Ticker],TabCalc[NAfter]))</f>
        <v>-0.15599912068588634</v>
      </c>
      <c r="BU14" s="687">
        <f ca="1">(Tab_NewTRADER[[#This Row],[M]]-Tab_NewTRADER[[#This Row],[Agiotage]])/(Tab_NewTRADER[[#This Row],[M]]-Tab_NewTRADER[[#This Row],[A]])-1</f>
        <v>6.2221815132354807</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793$</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15" s="226" t="str">
        <f ca="1">IFERROR(TRUNC(TabCalc[[#This Row],[L_S1p]],2)&amp;"x"&amp;TabCalc[[#This Row],[L_S1n]]&amp;"=   "&amp;TEXT(TabCalc[[#This Row],[ReverseB1]],"#,#0"),"")</f>
        <v>62.73x750=   -11,351</v>
      </c>
      <c r="J15" s="295">
        <f ca="1">_xlfn.XLOOKUP(Tab_NewTRADER[[#This Row],[ClickTick]],TabCalc[Ticker],ListGravity)</f>
        <v>1.1619365609348915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4.9106485735995575E-5</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0.38914185926656814</v>
      </c>
      <c r="S15" s="683">
        <f ca="1">_xlfn.XLOOKUP(Tab_NewTRADER[[#This Row],[ClickTick]],TabCalc[Ticker],TabCalc[Rev(MinStock)])*(1-Commission)</f>
        <v>21.757094094000003</v>
      </c>
      <c r="T15" s="782">
        <f ca="1">_xlfn.XLOOKUP(Tab_NewTRADER[[#This Row],[ClickTick]],TabCalc[Ticker],TabCalc[Agiotage])</f>
        <v>4.9106485735995575E-5</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-2/-2=&gt;0.2% / -1.7%</v>
      </c>
      <c r="V15" s="739" t="str">
        <f ca="1">_xlfn.XLOOKUP(Tab_NewTRADER[[#This Row],[ClickTick]],[1]!RTData[Ticker_Symbol],[1]!RTData[Currency])</f>
        <v>USD</v>
      </c>
      <c r="W15" s="749">
        <f ca="1">_xlfn.XLOOKUP(Tab_NewTRADER[[#This Row],[ClickTick]],TabCalc[Ticker],TabCalc[M])</f>
        <v>77.87</v>
      </c>
      <c r="X15" s="1343"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70" t="str">
        <f ca="1">TEXT(MIN(Tab_NewTRADER[[#This Row],[L_Bn]],Tab_NewTRADER[[#This Row],[N]]),"#,#0")&amp;" x "&amp;TEXT(Tab_NewTRADER[[#This Row],[L_Bp]],"#,#0.#0")</f>
        <v>1 x -56.06</v>
      </c>
      <c r="AJ15" s="1370">
        <f ca="1">IF(Tab_NewTRADER[[#This Row],[M]]&lt;_xlfn.XLOOKUP(Tab_NewTRADER[[#This Row],[ClickTick]],TabCalc[Ticker],TabCalc[Max_Buy_P]), 0,Tab_NewTRADER[[#This Row],[Sale_Back_$]])</f>
        <v>21.757094094000003</v>
      </c>
      <c r="AK15" s="1370" t="str">
        <f ca="1">TEXT(Tab_NewTRADER[[#This Row],[L_Sn]],"#,#0")&amp;" ("&amp;Tab_NewTRADER[[#This Row],[M]]&amp;"/"&amp;TEXT(Tab_NewTRADER[[#This Row],[L_Sp]],"#,#0.#0)")</f>
        <v>249 (77.87/74.69)</v>
      </c>
      <c r="AL15" s="1370">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3.1767190000000021</v>
      </c>
      <c r="AN15" s="1177">
        <f ca="1">Tab_NewTRADER[[#This Row],[N]]*(Tab_NewTRADER[[#This Row],[M]]-Tab_NewTRADER[[#This Row],[A]])*(1-Commission)*Tab_NewTRADER[[#This Row],[Scale]]</f>
        <v>21.757094094000003</v>
      </c>
      <c r="AO15" s="1177">
        <f ca="1">Tab_NewTRADER[[#This Row],[M]]*Tab_NewTRADER[[#This Row],[N]]*(1-Commission)*Tab_NewTRADER[[#This Row],[Scale]]</f>
        <v>77.667538000000008</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0.38914185926656814</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3.8301502504173648E-2</v>
      </c>
      <c r="AR15" s="825" cm="1">
        <f t="array" aca="1" ref="AR15" ca="1">_xlfn.IFS(   Tab_NewTRADER[[#This Row],[Trap_vs_Last]]=SellMorePercentGain,                     MIN(Tab_NewTRADER[[#This Row],[L_Sn]],Tab_NewTRADER[[#This Row],[N]])*(Tab_NewTRADER[[#This Row],[M]]-Tab_NewTRADER[[#This Row],[L_Sp]])*(1-Commission)*Tab_NewTRADER[[#This Row],[Scale]],                    TRUE,"")</f>
        <v>3.1767190000000021</v>
      </c>
      <c r="AS15" s="1192">
        <f ca="1">_xlfn.XLOOKUP(Tab_NewTRADER[[#This Row],[ClickTick]],TabCalc[Ticker],TabCalc[Ann%RevLB])</f>
        <v>0.47650023583661405</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0.38654185926656814</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30.223690141976835</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-1.8%</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1x21.81</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0.38813009043247504</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-0.28273111596250161</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-4.2645778938207167E-2</v>
      </c>
      <c r="BF15" s="729">
        <f ca="1">MIN(Tab_NewTRADER[[#This Row],[L_Sn]],Tab_NewTRADER[[#This Row],[N]])*(Tab_NewTRADER[[#This Row],[M]]-Tab_NewTRADER[[#This Row],[L_Sp]])*(1-Commission)*Tab_NewTRADER[[#This Row],[Scale]]</f>
        <v>3.1767190000000021</v>
      </c>
      <c r="BG15" s="692">
        <f ca="1">Tab_NewTRADER[[#This Row],[L_Sn]]*(Tab_NewTRADER[[#This Row],[Agiotage]]-Tab_NewTRADER[[#This Row],[M]])/(Tab_NewTRADER[[#This Row],[L_Bn]]*Tab_NewTRADER[[#This Row],[M]])</f>
        <v>-0.12449992148764</v>
      </c>
      <c r="BH15" s="635">
        <f ca="1">IFERROR((Tab_NewTRADER[[#This Row],[M]]-Tab_NewTRADER[[#This Row],[A]])/Tab_NewTRADER[[#This Row],[A]],0)</f>
        <v>0.38914185926656814</v>
      </c>
      <c r="BI15" s="638" t="str">
        <f ca="1">TEXT(_xlfn.XLOOKUP(Tab_NewTRADER[[#This Row],[ClickTick]],TabCalc[Ticker],TabCalc[NAfter]),"#,#0")&amp;" : "&amp;TEXT(_xlfn.XLOOKUP(Tab_NewTRADER[[#This Row],[ClickTick]],TabCalc[Ticker],TabCalc[NAfter])*(Tab_NewTRADER[[#This Row],[M]]-Tab_NewTRADER[[#This Row],[A]])*(1-Commission)*Tab_NewTRADER[[#This Row],[Scale]],"#,#0$")</f>
        <v>1 : 22$</v>
      </c>
      <c r="BJ15" s="684">
        <f ca="1">_xlfn.XLOOKUP(Tab_NewTRADER[[#This Row],[ClickTick]],TabCalc[[#This Row],[Ticker]],TabCalc[[#This Row],[GL]])*(1-Commission)</f>
        <v>-44331.133592999999</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4.0901502504173647E-2</v>
      </c>
      <c r="BP15" s="679">
        <f ca="1">Tab_NewTRADER[[#This Row],[L_Sn]]*Tab_NewTRADER[[#This Row],[L_Sp]]+Tab_NewTRADER[[#This Row],[SellMore]]*Tab_NewTRADER[[#This Row],[M]]</f>
        <v>18674.435000000001</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74.69774000000001</v>
      </c>
      <c r="BT15" s="687">
        <f ca="1">((_xlfn.XLOOKUP(Tab_NewTRADER[[#This Row],[ClickTick]],TabCalc[Ticker],TabCalc[NAfter])+Tab_NewTRADER[[#This Row],[L_Sn]])*(Tab_NewTRADER[[#This Row],[Agiotage]]-Tab_NewTRADER[[#This Row],[M]]))/(Tab_NewTRADER[[#This Row],[L_Sn]]*_xlfn.XLOOKUP(Tab_NewTRADER[[#This Row],[ClickTick]],TabCalc[Ticker],TabCalc[NAfter]))</f>
        <v>-78.182681619994241</v>
      </c>
      <c r="BU15" s="687">
        <f ca="1">(Tab_NewTRADER[[#This Row],[M]]-Tab_NewTRADER[[#This Row],[Agiotage]])/(Tab_NewTRADER[[#This Row],[M]]-Tab_NewTRADER[[#This Row],[A]])-1</f>
        <v>2.5697547055518619</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+5,200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12.0%</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-22,350$</v>
      </c>
      <c r="G16" s="225" t="str">
        <f ca="1">IFERROR(TRUNC(_xlfn.XLOOKUP(Tab_NewTRADER[[#This Row],[ClickTick]],TabCalc[Ticker],ListLastSalep),2)&amp;"x"&amp;_xlfn.XLOOKUP(Tab_NewTRADER[[#This Row],[ClickTick]],TabCalc[Ticker],ListLastSalen)&amp;"=   "&amp;TEXT(-_xlfn.XLOOKUP(Tab_NewTRADER[[#This Row],[ClickTick]],TabCalc[Ticker],ListReverseB),"#,#0")&amp;"$","")</f>
        <v>3.15x10000=   -9,800$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45.2% = 5,102</v>
      </c>
      <c r="I16" s="226" t="str">
        <f ca="1">IFERROR(TRUNC(TabCalc[[#This Row],[L_S1p]],2)&amp;"x"&amp;TabCalc[[#This Row],[L_S1n]]&amp;"=   "&amp;TEXT(TabCalc[[#This Row],[ReverseB1]],"#,#0"),"")</f>
        <v>3.08x5000=   4,550</v>
      </c>
      <c r="J16" s="295">
        <f ca="1">_xlfn.XLOOKUP(Tab_NewTRADER[[#This Row],[ClickTick]],TabCalc[Ticker],ListGravity)</f>
        <v>1.4976958525345623</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97650</v>
      </c>
      <c r="M16" s="323">
        <f ca="1">_xlfn.XLOOKUP(Tab_NewTRADER[[#This Row],[ClickTick]],TabCalc[Ticker],TabCalc[Agiotage])</f>
        <v>4.5786842046550367E-4</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0.13612565445026178</v>
      </c>
      <c r="S16" s="683">
        <f ca="1">_xlfn.XLOOKUP(Tab_NewTRADER[[#This Row],[ClickTick]],TabCalc[Ticker],TabCalc[Rev(MinStock)])*(1-Commission)</f>
        <v>5186.4799999999996</v>
      </c>
      <c r="T16" s="782">
        <f ca="1">_xlfn.XLOOKUP(Tab_NewTRADER[[#This Row],[ClickTick]],TabCalc[Ticker],TabCalc[Agiotage])</f>
        <v>4.5786842046550367E-4</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7,225/7,225=&gt;-1.1% / 0.5%</v>
      </c>
      <c r="V16" s="739" t="str">
        <f ca="1">_xlfn.XLOOKUP(Tab_NewTRADER[[#This Row],[ClickTick]],[1]!RTData[Ticker_Symbol],[1]!RTData[Currency])</f>
        <v>USD</v>
      </c>
      <c r="W16" s="749">
        <f ca="1">_xlfn.XLOOKUP(Tab_NewTRADER[[#This Row],[ClickTick]],TabCalc[Ticker],TabCalc[M])</f>
        <v>2.17</v>
      </c>
      <c r="X16" s="1343"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-328/184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9774.52</v>
      </c>
      <c r="AI16" s="1370" t="str">
        <f ca="1">TEXT(MIN(Tab_NewTRADER[[#This Row],[L_Bn]],Tab_NewTRADER[[#This Row],[N]]),"#,#0")&amp;" x "&amp;TEXT(Tab_NewTRADER[[#This Row],[L_Bp]],"#,#0.#0")</f>
        <v>20,000 x -1.91</v>
      </c>
      <c r="AJ16" s="1370">
        <f ca="1">IF(Tab_NewTRADER[[#This Row],[M]]&lt;_xlfn.XLOOKUP(Tab_NewTRADER[[#This Row],[ClickTick]],TabCalc[Ticker],TabCalc[Max_Buy_P]), 0,Tab_NewTRADER[[#This Row],[Sale_Back_$]])</f>
        <v>0</v>
      </c>
      <c r="AK16" s="1370" t="str">
        <f ca="1">TEXT(Tab_NewTRADER[[#This Row],[L_Sn]],"#,#0")&amp;" ("&amp;Tab_NewTRADER[[#This Row],[M]]&amp;"/"&amp;TEXT(Tab_NewTRADER[[#This Row],[L_Sp]],"#,#0.#0)")</f>
        <v>10,000 (2.17/3.15)</v>
      </c>
      <c r="AL16" s="1370">
        <f ca="1">IF(Tab_NewTRADER[[#This Row],[M]]&lt;_xlfn.XLOOKUP(Tab_NewTRADER[[#This Row],[ClickTick]],TabCalc[Ticker],TabCalc[Max_Buy_P]), -Tab_NewTRADER[[#This Row],[Buy_Back]], 0)</f>
        <v>9774.52</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-69269.429999999978</v>
      </c>
      <c r="AO16" s="760">
        <f ca="1">Tab_NewTRADER[[#This Row],[M]]*Tab_NewTRADER[[#This Row],[N]]*(1-Commission)*Tab_NewTRADER[[#This Row],[Scale]]</f>
        <v>183970.43</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0.31111111111111112</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0.26066614681965022</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-69269.429999999978</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-0.27282170145726659</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0.37392480346977497</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0.31111111111111112</v>
      </c>
      <c r="BF16" s="729">
        <f ca="1">MIN(Tab_NewTRADER[[#This Row],[L_Sn]],Tab_NewTRADER[[#This Row],[N]])*(Tab_NewTRADER[[#This Row],[M]]-Tab_NewTRADER[[#This Row],[L_Sp]])*(1-Commission)*Tab_NewTRADER[[#This Row],[Scale]]</f>
        <v>-9774.52</v>
      </c>
      <c r="BG16" s="692">
        <f ca="1">Tab_NewTRADER[[#This Row],[L_Sn]]*(Tab_NewTRADER[[#This Row],[Agiotage]]-Tab_NewTRADER[[#This Row],[M]])/(Tab_NewTRADER[[#This Row],[L_Bn]]*Tab_NewTRADER[[#This Row],[M]])</f>
        <v>-0.49989450036394795</v>
      </c>
      <c r="BH16" s="635">
        <f ca="1">IFERROR((Tab_NewTRADER[[#This Row],[M]]-Tab_NewTRADER[[#This Row],[A]])/Tab_NewTRADER[[#This Row],[A]],0)</f>
        <v>-0.27353288696337136</v>
      </c>
      <c r="BI16" s="638" t="str">
        <f ca="1">TEXT(_xlfn.XLOOKUP(Tab_NewTRADER[[#This Row],[ClickTick]],TabCalc[Ticker],TabCalc[NAfter]),"#,#0")&amp;" : "&amp;TEXT(_xlfn.XLOOKUP(Tab_NewTRADER[[#This Row],[ClickTick]],TabCalc[Ticker],TabCalc[NAfter])*(Tab_NewTRADER[[#This Row],[M]]-Tab_NewTRADER[[#This Row],[A]])*(1-Commission)*Tab_NewTRADER[[#This Row],[Scale]],"#,#0$")</f>
        <v>85,000 : -69,269$</v>
      </c>
      <c r="BJ16" s="684">
        <f ca="1">_xlfn.XLOOKUP(Tab_NewTRADER[[#This Row],[ClickTick]],TabCalc[[#This Row],[Ticker]],TabCalc[[#This Row],[GL]])*(1-Commission)</f>
        <v>-327311.27230000001</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-2.4247823823535974E-4</v>
      </c>
      <c r="BU16" s="687">
        <f ca="1">(Tab_NewTRADER[[#This Row],[M]]-Tab_NewTRADER[[#This Row],[Agiotage]])/(Tab_NewTRADER[[#This Row],[M]]-Tab_NewTRADER[[#This Row],[A]])-1</f>
        <v>-3.6553071444817919</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-8,078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-2,784$</v>
      </c>
      <c r="G17" s="225" t="str">
        <f ca="1">IFERROR(TRUNC(_xlfn.XLOOKUP(Tab_NewTRADER[[#This Row],[ClickTick]],TabCalc[Ticker],ListLastSalep),2)&amp;"x"&amp;_xlfn.XLOOKUP(Tab_NewTRADER[[#This Row],[ClickTick]],TabCalc[Ticker],ListLastSalen)&amp;"=   "&amp;TEXT(-_xlfn.XLOOKUP(Tab_NewTRADER[[#This Row],[ClickTick]],TabCalc[Ticker],ListReverseB),"#,#0")&amp;"$","")</f>
        <v>119.38x800=   -10,864$</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12.8% = 368</v>
      </c>
      <c r="I17" s="226" t="str">
        <f ca="1">IFERROR(TRUNC(TabCalc[[#This Row],[L_S1p]],2)&amp;"x"&amp;TabCalc[[#This Row],[L_S1n]]&amp;"=   "&amp;TEXT(TabCalc[[#This Row],[ReverseB1]],"#,#0"),"")</f>
        <v>117.4x400=   4,640</v>
      </c>
      <c r="J17" s="295">
        <f ca="1">_xlfn.XLOOKUP(Tab_NewTRADER[[#This Row],[ClickTick]],TabCalc[Ticker],ListGravity)</f>
        <v>1.2672249527410206</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68770</v>
      </c>
      <c r="M17" s="323">
        <f ca="1">_xlfn.XLOOKUP(Tab_NewTRADER[[#This Row],[ClickTick]],TabCalc[Ticker],TabCalc[Agiotage])</f>
        <v>5.8750465755093165E-4</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-8.7124398714381213E-2</v>
      </c>
      <c r="S17" s="683">
        <f ca="1">_xlfn.XLOOKUP(Tab_NewTRADER[[#This Row],[ClickTick]],TabCalc[Ticker],TabCalc[Rev(MinStock)])*(1-Commission)</f>
        <v>-8056.9971999999971</v>
      </c>
      <c r="T17" s="782">
        <f ca="1">_xlfn.XLOOKUP(Tab_NewTRADER[[#This Row],[ClickTick]],TabCalc[Ticker],TabCalc[Agiotage])</f>
        <v>5.8750465755093165E-4</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-1,720/-1,720=&gt;0.2% / -1.7%</v>
      </c>
      <c r="V17" s="739" t="str">
        <f ca="1">_xlfn.XLOOKUP(Tab_NewTRADER[[#This Row],[ClickTick]],[1]!RTData[Ticker_Symbol],[1]!RTData[Currency])</f>
        <v>USD</v>
      </c>
      <c r="W17" s="749">
        <f ca="1">_xlfn.XLOOKUP(Tab_NewTRADER[[#This Row],[ClickTick]],TabCalc[Ticker],TabCalc[M])</f>
        <v>105.8</v>
      </c>
      <c r="X17" s="1343"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106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70" t="str">
        <f ca="1">TEXT(MIN(Tab_NewTRADER[[#This Row],[L_Bn]],Tab_NewTRADER[[#This Row],[N]]),"#,#0")&amp;" x "&amp;TEXT(Tab_NewTRADER[[#This Row],[L_Bp]],"#,#0.#0")</f>
        <v>800 x -115.90</v>
      </c>
      <c r="AJ17" s="1370">
        <f ca="1">IF(Tab_NewTRADER[[#This Row],[M]]&lt;_xlfn.XLOOKUP(Tab_NewTRADER[[#This Row],[ClickTick]],TabCalc[Ticker],TabCalc[Max_Buy_P]), 0,Tab_NewTRADER[[#This Row],[Sale_Back_$]])</f>
        <v>0</v>
      </c>
      <c r="AK17" s="1370" t="str">
        <f ca="1">TEXT(Tab_NewTRADER[[#This Row],[L_Sn]],"#,#0")&amp;" ("&amp;Tab_NewTRADER[[#This Row],[M]]&amp;"/"&amp;TEXT(Tab_NewTRADER[[#This Row],[L_Sp]],"#,#0.#0)")</f>
        <v>800 (105.8/119.38)</v>
      </c>
      <c r="AL17" s="1370">
        <f ca="1">IF(Tab_NewTRADER[[#This Row],[M]]&lt;_xlfn.XLOOKUP(Tab_NewTRADER[[#This Row],[ClickTick]],TabCalc[Ticker],TabCalc[Max_Buy_P]), -Tab_NewTRADER[[#This Row],[Buy_Back]], 0)</f>
        <v>10835.753599999998</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8056.9971999999971</v>
      </c>
      <c r="AN17" s="1177">
        <f ca="1">Tab_NewTRADER[[#This Row],[N]]*(Tab_NewTRADER[[#This Row],[M]]-Tab_NewTRADER[[#This Row],[A]])*(1-Commission)*Tab_NewTRADER[[#This Row],[Scale]]</f>
        <v>-8751.1875999999993</v>
      </c>
      <c r="AO17" s="1177">
        <f ca="1">Tab_NewTRADER[[#This Row],[M]]*Tab_NewTRADER[[#This Row],[N]]*(1-Commission)*Tab_NewTRADER[[#This Row],[Scale]]</f>
        <v>105524.92</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7.6579328643496786E-2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9.2839508506616222E-2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-0.46124681672319467</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9.5439508506616227E-2</v>
      </c>
      <c r="AV17" s="825" cm="1">
        <f t="array" aca="1" ref="AV17" ca="1">_xlfn.IFS(         Tab_NewTRADER[[#This Row],[Trap_vs_Last]]=MDown,Tab_NewTRADER[[#This Row],[L_Bn]]*Tab_NewTRADER[[#This Row],[M]]*(-(Tab_NewTRADER[[#This Row],[L_Bp]]+Tab_NewTRADER[[#This Row],[M]])/Tab_NewTRADER[[#This Row],[M]])*(1-Commission)*Tab_NewTRADER[[#This Row],[Scale]],                               TRUE,"")</f>
        <v>8056.9971999999971</v>
      </c>
      <c r="AW17" s="1186" cm="1">
        <f t="array" aca="1" ref="AW17" ca="1">_xlfn.IFS(   Tab_NewTRADER[[#This Row],[Trap_vs_Last]]=MUp,Tab_NewTRADER[[#This Row],[TakeGain_A]]-Commission,        Tab_NewTRADER[[#This Row],[Trap_vs_Last]]=MDown,(Tab_NewTRADER[[#This Row],[A]]-Tab_NewTRADER[[#This Row],[M]])/Tab_NewTRADER[[#This Row],[M]]-Commission,                              TRUE,"")</f>
        <v>8.0330056710775047E-2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8751.1875999999993</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-10.09</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-7.6380222389023686E-2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8.0330056710775047E-2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0.11375439772156139</v>
      </c>
      <c r="BF17" s="729">
        <f ca="1">MIN(Tab_NewTRADER[[#This Row],[L_Sn]],Tab_NewTRADER[[#This Row],[N]])*(Tab_NewTRADER[[#This Row],[M]]-Tab_NewTRADER[[#This Row],[L_Sp]])*(1-Commission)*Tab_NewTRADER[[#This Row],[Scale]]</f>
        <v>-10835.753599999998</v>
      </c>
      <c r="BG17" s="692">
        <f ca="1">Tab_NewTRADER[[#This Row],[L_Sn]]*(Tab_NewTRADER[[#This Row],[Agiotage]]-Tab_NewTRADER[[#This Row],[M]])/(Tab_NewTRADER[[#This Row],[L_Bn]]*Tab_NewTRADER[[#This Row],[M]])</f>
        <v>-0.99999444702592111</v>
      </c>
      <c r="BH17" s="635">
        <f ca="1">IFERROR((Tab_NewTRADER[[#This Row],[M]]-Tab_NewTRADER[[#This Row],[A]])/Tab_NewTRADER[[#This Row],[A]],0)</f>
        <v>-7.6579328643496786E-2</v>
      </c>
      <c r="BI17" s="638" t="str">
        <f ca="1">TEXT(_xlfn.XLOOKUP(Tab_NewTRADER[[#This Row],[ClickTick]],TabCalc[Ticker],TabCalc[NAfter]),"#,#0")&amp;" : "&amp;TEXT(_xlfn.XLOOKUP(Tab_NewTRADER[[#This Row],[ClickTick]],TabCalc[Ticker],TabCalc[NAfter])*(Tab_NewTRADER[[#This Row],[M]]-Tab_NewTRADER[[#This Row],[A]])*(1-Commission)*Tab_NewTRADER[[#This Row],[Scale]],"#,#0$")</f>
        <v>1,000 : -8,751$</v>
      </c>
      <c r="BJ17" s="684">
        <f ca="1">_xlfn.XLOOKUP(Tab_NewTRADER[[#This Row],[ClickTick]],TabCalc[[#This Row],[Ticker]],TabCalc[[#This Row],[GL]])*(1-Commission)</f>
        <v>14065.821531199954</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9.5439508506616227E-2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-0.23804867811452052</v>
      </c>
      <c r="BU17" s="687">
        <f ca="1">(Tab_NewTRADER[[#This Row],[M]]-Tab_NewTRADER[[#This Row],[Agiotage]])/(Tab_NewTRADER[[#This Row],[M]]-Tab_NewTRADER[[#This Row],[A]])-1</f>
        <v>-13.058287268673631</v>
      </c>
      <c r="BV17" s="1277">
        <f ca="1">_xlfn.XMATCH(Tab_NewTRADER[[#This Row],[ClickTick]]&amp;1, TabConsolid[#Headers])</f>
        <v>44</v>
      </c>
      <c r="BW17" t="str">
        <f ca="1">IF(ABS(Tab_NewTRADER[[#This Row],[L_Bp]])&gt;=Tab_NewTRADER[[#This Row],[M]],"OK")</f>
        <v>OK</v>
      </c>
    </row>
    <row r="18" spans="1:75" ht="22"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-5,660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-11.9%</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-3,570$</v>
      </c>
      <c r="G18" s="225" t="str">
        <f ca="1">IFERROR(TRUNC(_xlfn.XLOOKUP(Tab_NewTRADER[[#This Row],[ClickTick]],TabCalc[Ticker],ListLastSalep),2)&amp;"x"&amp;_xlfn.XLOOKUP(Tab_NewTRADER[[#This Row],[ClickTick]],TabCalc[Ticker],ListLastSalen)&amp;"=   "&amp;TEXT(-_xlfn.XLOOKUP(Tab_NewTRADER[[#This Row],[ClickTick]],TabCalc[Ticker],ListReverseB),"#,#0")&amp;"$","")</f>
        <v>29.14x2000=   -10,660$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22.4% = 938</v>
      </c>
      <c r="I18" s="226" t="str">
        <f ca="1">IFERROR(TRUNC(TabCalc[[#This Row],[L_S1p]],2)&amp;"x"&amp;TabCalc[[#This Row],[L_S1n]]&amp;"=   "&amp;TEXT(TabCalc[[#This Row],[ReverseB1]],"#,#0"),"")</f>
        <v>38.69x500=   7,440</v>
      </c>
      <c r="J18" s="295">
        <f ca="1">_xlfn.XLOOKUP(Tab_NewTRADER[[#This Row],[ClickTick]],TabCalc[Ticker],ListGravity)</f>
        <v>1.3388399832003361</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89287.5</v>
      </c>
      <c r="M18" s="323">
        <f ca="1">_xlfn.XLOOKUP(Tab_NewTRADER[[#This Row],[ClickTick]],TabCalc[Ticker],TabCalc[Agiotage])</f>
        <v>0.10492537313432836</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-0.10623123123123129</v>
      </c>
      <c r="S18" s="683">
        <f ca="1">_xlfn.XLOOKUP(Tab_NewTRADER[[#This Row],[ClickTick]],TabCalc[Ticker],TabCalc[Rev(MinStock)])*(1-Commission)</f>
        <v>-5645.2840000000033</v>
      </c>
      <c r="T18" s="782">
        <f ca="1">_xlfn.XLOOKUP(Tab_NewTRADER[[#This Row],[ClickTick]],TabCalc[Ticker],TabCalc[Agiotage])</f>
        <v>0.10492537313432836</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-760/-760=&gt;0.3% / -0.8%</v>
      </c>
      <c r="V18" s="739" t="str">
        <f ca="1">_xlfn.XLOOKUP(Tab_NewTRADER[[#This Row],[ClickTick]],[1]!RTData[Ticker_Symbol],[1]!RTData[Currency])</f>
        <v>EUR</v>
      </c>
      <c r="W18" s="749">
        <f ca="1">_xlfn.XLOOKUP(Tab_NewTRADER[[#This Row],[ClickTick]],TabCalc[Ticker],TabCalc[M])</f>
        <v>23.81</v>
      </c>
      <c r="X18" s="1343"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-11/95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10632.284000000003</v>
      </c>
      <c r="AI18" s="1370" t="str">
        <f ca="1">TEXT(MIN(Tab_NewTRADER[[#This Row],[L_Bn]],Tab_NewTRADER[[#This Row],[N]]),"#,#0")&amp;" x "&amp;TEXT(Tab_NewTRADER[[#This Row],[L_Bp]],"#,#0.#0")</f>
        <v>2,000 x -26.64</v>
      </c>
      <c r="AJ18" s="1370">
        <f ca="1">IF(Tab_NewTRADER[[#This Row],[M]]&lt;_xlfn.XLOOKUP(Tab_NewTRADER[[#This Row],[ClickTick]],TabCalc[Ticker],TabCalc[Max_Buy_P]), 0,Tab_NewTRADER[[#This Row],[Sale_Back_$]])</f>
        <v>0</v>
      </c>
      <c r="AK18" s="1370" t="str">
        <f ca="1">TEXT(Tab_NewTRADER[[#This Row],[L_Sn]],"#,#0")&amp;" ("&amp;Tab_NewTRADER[[#This Row],[M]]&amp;"/"&amp;TEXT(Tab_NewTRADER[[#This Row],[L_Sp]],"#,#0.#0)")</f>
        <v>2,000 (23.81/29.14)</v>
      </c>
      <c r="AL18" s="1370">
        <f ca="1">IF(Tab_NewTRADER[[#This Row],[M]]&lt;_xlfn.XLOOKUP(Tab_NewTRADER[[#This Row],[ClickTick]],TabCalc[Ticker],TabCalc[Max_Buy_P]), -Tab_NewTRADER[[#This Row],[Buy_Back]], 0)</f>
        <v>10632.284000000003</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-24984.87000000001</v>
      </c>
      <c r="AO18" s="1177">
        <f ca="1">Tab_NewTRADER[[#This Row],[M]]*Tab_NewTRADER[[#This Row],[N]]*(1-Commission)*Tab_NewTRADER[[#This Row],[Scale]]</f>
        <v>94992.375999999989</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0.18291008922443383</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-0.40256045519203437</v>
      </c>
      <c r="AT18" s="1282">
        <f ca="1">_xlfn.XLOOKUP(Tab_NewTRADER[[#This Row],[ClickTick]],TabCalc[Ticker],TabCalc[Up20])</f>
        <v>0</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-24984.87000000001</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-0.20770529553578859</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0.26041973960520803</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0.18291008922443383</v>
      </c>
      <c r="BF18" s="729">
        <f ca="1">MIN(Tab_NewTRADER[[#This Row],[L_Sn]],Tab_NewTRADER[[#This Row],[N]])*(Tab_NewTRADER[[#This Row],[M]]-Tab_NewTRADER[[#This Row],[L_Sp]])*(1-Commission)*Tab_NewTRADER[[#This Row],[Scale]]</f>
        <v>-10632.284000000003</v>
      </c>
      <c r="BG18" s="692">
        <f ca="1">Tab_NewTRADER[[#This Row],[L_Sn]]*(Tab_NewTRADER[[#This Row],[Agiotage]]-Tab_NewTRADER[[#This Row],[M]])/(Tab_NewTRADER[[#This Row],[L_Bn]]*Tab_NewTRADER[[#This Row],[M]])</f>
        <v>-0.9955932224639088</v>
      </c>
      <c r="BH18" s="635">
        <f ca="1">IFERROR((Tab_NewTRADER[[#This Row],[M]]-Tab_NewTRADER[[#This Row],[A]])/Tab_NewTRADER[[#This Row],[A]],0)</f>
        <v>-0.20824673705212413</v>
      </c>
      <c r="BI18" s="638" t="str">
        <f ca="1">TEXT(_xlfn.XLOOKUP(Tab_NewTRADER[[#This Row],[ClickTick]],TabCalc[Ticker],TabCalc[NAfter]),"#,#0")&amp;" : "&amp;TEXT(_xlfn.XLOOKUP(Tab_NewTRADER[[#This Row],[ClickTick]],TabCalc[Ticker],TabCalc[NAfter])*(Tab_NewTRADER[[#This Row],[M]]-Tab_NewTRADER[[#This Row],[A]])*(1-Commission)*Tab_NewTRADER[[#This Row],[Scale]],"#,#0$")</f>
        <v>4,000 : -24,985$</v>
      </c>
      <c r="BJ18" s="684">
        <f ca="1">_xlfn.XLOOKUP(Tab_NewTRADER[[#This Row],[ClickTick]],TabCalc[[#This Row],[Ticker]],TabCalc[[#This Row],[GL]])*(1-Commission)</f>
        <v>-10580.012260800062</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-1.7778805970149254E-2</v>
      </c>
      <c r="BU18" s="687">
        <f ca="1">(Tab_NewTRADER[[#This Row],[M]]-Tab_NewTRADER[[#This Row],[Agiotage]])/(Tab_NewTRADER[[#This Row],[M]]-Tab_NewTRADER[[#This Row],[A]])-1</f>
        <v>-4.7852414573837381</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+2,256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2,646</v>
      </c>
      <c r="F19" s="226" t="str">
        <f ca="1">TRUNC(TabCalc[[#This Row],[L_B1p]],2)&amp;"x"&amp;TabCalc[[#This Row],[L_B1n]]&amp;"=   "&amp;TEXT(TabCalc[[#This Row],[ReverseS1]],"#,#0")&amp;"$"</f>
        <v>-118.68x1600=   4,592$</v>
      </c>
      <c r="G19" s="225" t="str">
        <f ca="1">IFERROR(TRUNC(_xlfn.XLOOKUP(Tab_NewTRADER[[#This Row],[ClickTick]],TabCalc[Ticker],ListLastSalep),2)&amp;"x"&amp;_xlfn.XLOOKUP(Tab_NewTRADER[[#This Row],[ClickTick]],TabCalc[Ticker],ListLastSalen)&amp;"=   "&amp;TEXT(-_xlfn.XLOOKUP(Tab_NewTRADER[[#This Row],[ClickTick]],TabCalc[Ticker],ListReverseB),"#,#0")&amp;"$","")</f>
        <v>123.44x1600=   -3,024$</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2,646</v>
      </c>
      <c r="I19" s="226" t="str">
        <f ca="1">IFERROR(TRUNC(TabCalc[[#This Row],[L_S1p]],2)&amp;"x"&amp;TabCalc[[#This Row],[L_S1n]]&amp;"=   "&amp;TEXT(TabCalc[[#This Row],[ReverseB1]],"#,#0"),"")</f>
        <v>151.72x400=   12,068</v>
      </c>
      <c r="J19" s="295">
        <f ca="1">_xlfn.XLOOKUP(Tab_NewTRADER[[#This Row],[ClickTick]],TabCalc[Ticker],ListGravity)</f>
        <v>1.2104072398190044</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243100</v>
      </c>
      <c r="M19" s="323">
        <f ca="1">_xlfn.XLOOKUP(Tab_NewTRADER[[#This Row],[ClickTick]],TabCalc[Ticker],TabCalc[Agiotage])</f>
        <v>0.77739301290205343</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1.1736307641085372E-2</v>
      </c>
      <c r="S19" s="683">
        <f ca="1">_xlfn.XLOOKUP(Tab_NewTRADER[[#This Row],[ClickTick]],TabCalc[Ticker],TabCalc[Rev(MinStock)])*(1-Commission)</f>
        <v>2250.1343999999945</v>
      </c>
      <c r="T19" s="782">
        <f ca="1">_xlfn.XLOOKUP(Tab_NewTRADER[[#This Row],[ClickTick]],TabCalc[Ticker],TabCalc[Agiotage])</f>
        <v>0.77739301290205343</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-5,550/-5,550=&gt;1.5% / -1.2%</v>
      </c>
      <c r="V19" s="739" t="str">
        <f ca="1">_xlfn.XLOOKUP(Tab_NewTRADER[[#This Row],[ClickTick]],[1]!RTData[Ticker_Symbol],[1]!RTData[Currency])</f>
        <v>USD</v>
      </c>
      <c r="W19" s="749">
        <f ca="1">_xlfn.XLOOKUP(Tab_NewTRADER[[#This Row],[ClickTick]],TabCalc[Ticker],TabCalc[M])</f>
        <v>121.55</v>
      </c>
      <c r="X19" s="1343"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365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2250.1343999999945</v>
      </c>
      <c r="AI19" s="1370" t="str">
        <f ca="1">TEXT(MIN(Tab_NewTRADER[[#This Row],[L_Bn]],Tab_NewTRADER[[#This Row],[N]]),"#,#0")&amp;" x "&amp;TEXT(Tab_NewTRADER[[#This Row],[L_Bp]],"#,#0.#0")</f>
        <v>1,600 x -120.14</v>
      </c>
      <c r="AJ19" s="1370">
        <f ca="1">IF(Tab_NewTRADER[[#This Row],[M]]&lt;_xlfn.XLOOKUP(Tab_NewTRADER[[#This Row],[ClickTick]],TabCalc[Ticker],TabCalc[Max_Buy_P]), 0,Tab_NewTRADER[[#This Row],[Sale_Back_$]])</f>
        <v>2250.1343999999945</v>
      </c>
      <c r="AK19" s="1370" t="str">
        <f ca="1">TEXT(Tab_NewTRADER[[#This Row],[L_Sn]],"#,#0")&amp;" ("&amp;Tab_NewTRADER[[#This Row],[M]]&amp;"/"&amp;TEXT(Tab_NewTRADER[[#This Row],[L_Sp]],"#,#0.#0)")</f>
        <v>1,600 (121.55/123.44)</v>
      </c>
      <c r="AL19" s="1370">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6257.6875999999729</v>
      </c>
      <c r="AO19" s="760">
        <f ca="1">Tab_NewTRADER[[#This Row],[M]]*Tab_NewTRADER[[#This Row],[N]]*(1-Commission)*Tab_NewTRADER[[#This Row],[Scale]]</f>
        <v>363701.91</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1.1736307641085372E-2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0.60358153582724772</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6367.2393891889797</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-1.9805539558480661E-2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1.5311082307193783E-2</v>
      </c>
      <c r="BF19" s="729">
        <f ca="1">MIN(Tab_NewTRADER[[#This Row],[L_Sn]],Tab_NewTRADER[[#This Row],[N]])*(Tab_NewTRADER[[#This Row],[M]]-Tab_NewTRADER[[#This Row],[L_Sp]])*(1-Commission)*Tab_NewTRADER[[#This Row],[Scale]]</f>
        <v>-3016.1376000000009</v>
      </c>
      <c r="BG19" s="692">
        <f ca="1">Tab_NewTRADER[[#This Row],[L_Sn]]*(Tab_NewTRADER[[#This Row],[Agiotage]]-Tab_NewTRADER[[#This Row],[M]])/(Tab_NewTRADER[[#This Row],[L_Bn]]*Tab_NewTRADER[[#This Row],[M]])</f>
        <v>-0.99360433555818961</v>
      </c>
      <c r="BH19" s="635">
        <f ca="1">IFERROR((Tab_NewTRADER[[#This Row],[M]]-Tab_NewTRADER[[#This Row],[A]])/Tab_NewTRADER[[#This Row],[A]],0)</f>
        <v>1.7506752684331463E-2</v>
      </c>
      <c r="BI19" s="638" t="str">
        <f ca="1">TEXT(_xlfn.XLOOKUP(Tab_NewTRADER[[#This Row],[ClickTick]],TabCalc[Ticker],TabCalc[NAfter]),"#,#0")&amp;" : "&amp;TEXT(_xlfn.XLOOKUP(Tab_NewTRADER[[#This Row],[ClickTick]],TabCalc[Ticker],TabCalc[NAfter])*(Tab_NewTRADER[[#This Row],[M]]-Tab_NewTRADER[[#This Row],[A]])*(1-Commission)*Tab_NewTRADER[[#This Row],[Scale]],"#,#0$")</f>
        <v>3,000 : 6,258$</v>
      </c>
      <c r="BJ19" s="684">
        <f ca="1">_xlfn.XLOOKUP(Tab_NewTRADER[[#This Row],[ClickTick]],TabCalc[[#This Row],[Ticker]],TabCalc[[#This Row],[GL]])*(1-Commission)</f>
        <v>36232.739305999945</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391984</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122.495</v>
      </c>
      <c r="BT19" s="687">
        <f ca="1">((_xlfn.XLOOKUP(Tab_NewTRADER[[#This Row],[ClickTick]],TabCalc[Ticker],TabCalc[NAfter])+Tab_NewTRADER[[#This Row],[L_Sn]])*(Tab_NewTRADER[[#This Row],[Agiotage]]-Tab_NewTRADER[[#This Row],[M]]))/(Tab_NewTRADER[[#This Row],[L_Sn]]*_xlfn.XLOOKUP(Tab_NewTRADER[[#This Row],[ClickTick]],TabCalc[Ticker],TabCalc[NAfter]))</f>
        <v>-0.11574041502930218</v>
      </c>
      <c r="BU19" s="687">
        <f ca="1">(Tab_NewTRADER[[#This Row],[M]]-Tab_NewTRADER[[#This Row],[Agiotage]])/(Tab_NewTRADER[[#This Row],[M]]-Tab_NewTRADER[[#This Row],[A]])-1</f>
        <v>56.749094829661367</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-6,300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-12.2%</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-22,650$</v>
      </c>
      <c r="G20" s="225" t="str">
        <f ca="1">IFERROR(TRUNC(_xlfn.XLOOKUP(Tab_NewTRADER[[#This Row],[ClickTick]],TabCalc[Ticker],ListLastSalep),2)&amp;"x"&amp;_xlfn.XLOOKUP(Tab_NewTRADER[[#This Row],[ClickTick]],TabCalc[Ticker],ListLastSalen)&amp;"=   "&amp;TEXT(-_xlfn.XLOOKUP(Tab_NewTRADER[[#This Row],[ClickTick]],TabCalc[Ticker],ListReverseB),"#,#0")&amp;"$","")</f>
        <v>20.32x4000=   -29,660$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57.5% = 674</v>
      </c>
      <c r="I20" s="226" t="str">
        <f ca="1">IFERROR(TRUNC(TabCalc[[#This Row],[L_S1p]],2)&amp;"x"&amp;TabCalc[[#This Row],[L_S1n]]&amp;"=   "&amp;TEXT(TabCalc[[#This Row],[ReverseB1]],"#,#0"),"")</f>
        <v>19.33x4000=   25,704</v>
      </c>
      <c r="J20" s="295">
        <f ca="1">_xlfn.XLOOKUP(Tab_NewTRADER[[#This Row],[ClickTick]],TabCalc[Ticker],ListGravity)</f>
        <v>1.1235955056179776</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53052.454999999994</v>
      </c>
      <c r="M20" s="323">
        <f ca="1">_xlfn.XLOOKUP(Tab_NewTRADER[[#This Row],[ClickTick]],TabCalc[Ticker],TabCalc[Agiotage])</f>
        <v>7.7021527516940984E-5</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-0.10877071823204428</v>
      </c>
      <c r="S20" s="683">
        <f ca="1">_xlfn.XLOOKUP(Tab_NewTRADER[[#This Row],[ClickTick]],TabCalc[Ticker],TabCalc[Rev(MinStock)])*(1-Commission)</f>
        <v>-6283.6200000000044</v>
      </c>
      <c r="T20" s="782">
        <f ca="1">_xlfn.XLOOKUP(Tab_NewTRADER[[#This Row],[ClickTick]],TabCalc[Ticker],TabCalc[Agiotage])</f>
        <v>7.7021527516940984E-5</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-2,070/-2,070=&gt;-3.4% / -3.1%</v>
      </c>
      <c r="V20" s="739" t="str">
        <f ca="1">_xlfn.XLOOKUP(Tab_NewTRADER[[#This Row],[ClickTick]],[1]!RTData[Ticker_Symbol],[1]!RTData[Currency])</f>
        <v>USD</v>
      </c>
      <c r="W20" s="749">
        <f ca="1">_xlfn.XLOOKUP(Tab_NewTRADER[[#This Row],[ClickTick]],TabCalc[Ticker],TabCalc[M])</f>
        <v>12.904999999999999</v>
      </c>
      <c r="X20" s="1343"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-50/77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70" t="str">
        <f ca="1">TEXT(MIN(Tab_NewTRADER[[#This Row],[L_Bn]],Tab_NewTRADER[[#This Row],[N]]),"#,#0")&amp;" x "&amp;TEXT(Tab_NewTRADER[[#This Row],[L_Bp]],"#,#0.#0")</f>
        <v>4,000 x -14.48</v>
      </c>
      <c r="AJ20" s="1370">
        <f ca="1">IF(Tab_NewTRADER[[#This Row],[M]]&lt;_xlfn.XLOOKUP(Tab_NewTRADER[[#This Row],[ClickTick]],TabCalc[Ticker],TabCalc[Max_Buy_P]), 0,Tab_NewTRADER[[#This Row],[Sale_Back_$]])</f>
        <v>0</v>
      </c>
      <c r="AK20" s="1370" t="str">
        <f ca="1">TEXT(Tab_NewTRADER[[#This Row],[L_Sn]],"#,#0")&amp;" ("&amp;Tab_NewTRADER[[#This Row],[M]]&amp;"/"&amp;TEXT(Tab_NewTRADER[[#This Row],[L_Sp]],"#,#0.#0)")</f>
        <v>4,000 (12.905/20.32)</v>
      </c>
      <c r="AL20" s="1370">
        <f ca="1">IF(Tab_NewTRADER[[#This Row],[M]]&lt;_xlfn.XLOOKUP(Tab_NewTRADER[[#This Row],[ClickTick]],TabCalc[Ticker],TabCalc[Max_Buy_P]), -Tab_NewTRADER[[#This Row],[Buy_Back]], 0)</f>
        <v>29582.884000000002</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6283.6200000000044</v>
      </c>
      <c r="AN20" s="1177">
        <f ca="1">Tab_NewTRADER[[#This Row],[N]]*(Tab_NewTRADER[[#This Row],[M]]-Tab_NewTRADER[[#This Row],[A]])*(1-Commission)*Tab_NewTRADER[[#This Row],[Scale]]</f>
        <v>-17579.174999999999</v>
      </c>
      <c r="AO20" s="1177">
        <f ca="1">Tab_NewTRADER[[#This Row],[M]]*Tab_NewTRADER[[#This Row],[N]]*(1-Commission)*Tab_NewTRADER[[#This Row],[Scale]]</f>
        <v>77228.682000000001</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0.18541896796591448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0.11944571871367696</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-0.32905427364315915</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0.12204571871367696</v>
      </c>
      <c r="AV20" s="825" cm="1">
        <f t="array" aca="1" ref="AV20" ca="1">_xlfn.IFS(         Tab_NewTRADER[[#This Row],[Trap_vs_Last]]=MDown,Tab_NewTRADER[[#This Row],[L_Bn]]*Tab_NewTRADER[[#This Row],[M]]*(-(Tab_NewTRADER[[#This Row],[L_Bp]]+Tab_NewTRADER[[#This Row],[M]])/Tab_NewTRADER[[#This Row],[M]])*(1-Commission)*Tab_NewTRADER[[#This Row],[Scale]],                               TRUE,"")</f>
        <v>6283.6200000000044</v>
      </c>
      <c r="AW20" s="1186" cm="1">
        <f t="array" aca="1" ref="AW20" ca="1">_xlfn.IFS(   Tab_NewTRADER[[#This Row],[Trap_vs_Last]]=MUp,Tab_NewTRADER[[#This Row],[TakeGain_A]]-Commission,        Tab_NewTRADER[[#This Row],[Trap_vs_Last]]=MDown,(Tab_NewTRADER[[#This Row],[A]]-Tab_NewTRADER[[#This Row],[M]])/Tab_NewTRADER[[#This Row],[M]]-Commission,                              TRUE,"")</f>
        <v>0.22502495156915925</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17579.174999999999</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-1.57</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-0.18493687864920308</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0.22502495156915925</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0.36491141732283466</v>
      </c>
      <c r="BF20" s="729">
        <f ca="1">MIN(Tab_NewTRADER[[#This Row],[L_Sn]],Tab_NewTRADER[[#This Row],[N]])*(Tab_NewTRADER[[#This Row],[M]]-Tab_NewTRADER[[#This Row],[L_Sp]])*(1-Commission)*Tab_NewTRADER[[#This Row],[Scale]]</f>
        <v>-29582.884000000002</v>
      </c>
      <c r="BG20" s="692">
        <f ca="1">Tab_NewTRADER[[#This Row],[L_Sn]]*(Tab_NewTRADER[[#This Row],[Agiotage]]-Tab_NewTRADER[[#This Row],[M]])/(Tab_NewTRADER[[#This Row],[L_Bn]]*Tab_NewTRADER[[#This Row],[M]])</f>
        <v>-0.99999403165226519</v>
      </c>
      <c r="BH20" s="635">
        <f ca="1">IFERROR((Tab_NewTRADER[[#This Row],[M]]-Tab_NewTRADER[[#This Row],[A]])/Tab_NewTRADER[[#This Row],[A]],0)</f>
        <v>-0.18541896796591448</v>
      </c>
      <c r="BI20" s="638" t="str">
        <f ca="1">TEXT(_xlfn.XLOOKUP(Tab_NewTRADER[[#This Row],[ClickTick]],TabCalc[Ticker],TabCalc[NAfter]),"#,#0")&amp;" : "&amp;TEXT(_xlfn.XLOOKUP(Tab_NewTRADER[[#This Row],[ClickTick]],TabCalc[Ticker],TabCalc[NAfter])*(Tab_NewTRADER[[#This Row],[M]]-Tab_NewTRADER[[#This Row],[A]])*(1-Commission)*Tab_NewTRADER[[#This Row],[Scale]],"#,#0$")</f>
        <v>6,000 : -17,579$</v>
      </c>
      <c r="BJ20" s="684">
        <f ca="1">_xlfn.XLOOKUP(Tab_NewTRADER[[#This Row],[ClickTick]],TabCalc[[#This Row],[Ticker]],TabCalc[[#This Row],[GL]])*(1-Commission)</f>
        <v>-50024.244917799966</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0.12204571871367696</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-5.3770512410302009E-3</v>
      </c>
      <c r="BU20" s="687">
        <f ca="1">(Tab_NewTRADER[[#This Row],[M]]-Tab_NewTRADER[[#This Row],[Agiotage]])/(Tab_NewTRADER[[#This Row],[M]]-Tab_NewTRADER[[#This Row],[A]])-1</f>
        <v>-5.3931652692672278</v>
      </c>
      <c r="BV20" s="1277">
        <f ca="1">_xlfn.XMATCH(Tab_NewTRADER[[#This Row],[ClickTick]]&amp;1, TabConsolid[#Headers])</f>
        <v>53</v>
      </c>
      <c r="BW20" t="str">
        <f ca="1">IF(ABS(Tab_NewTRADER[[#This Row],[L_Bp]])&gt;=Tab_NewTRADER[[#This Row],[M]],"OK")</f>
        <v>OK</v>
      </c>
    </row>
    <row r="21" spans="1:75" ht="22" hidden="1"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-12,283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-5.6%</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2,050$</v>
      </c>
      <c r="G21" s="225" t="str">
        <f ca="1">IFERROR(TRUNC(_xlfn.XLOOKUP(Tab_NewTRADER[[#This Row],[ClickTick]],TabCalc[Ticker],ListLastSalep),2)&amp;"x"&amp;_xlfn.XLOOKUP(Tab_NewTRADER[[#This Row],[ClickTick]],TabCalc[Ticker],ListLastSalen)&amp;"=   "&amp;TEXT(-_xlfn.XLOOKUP(Tab_NewTRADER[[#This Row],[ClickTick]],TabCalc[Ticker],ListReverseB),"#,#0")&amp;"$","")</f>
        <v>16.12x3200=   -2,976$</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6.1% = 5,376</v>
      </c>
      <c r="I21" s="226" t="str">
        <f ca="1">IFERROR(TRUNC(TabCalc[[#This Row],[L_S1p]],2)&amp;"x"&amp;TabCalc[[#This Row],[L_S1n]]&amp;"=   "&amp;TEXT(TabCalc[[#This Row],[ReverseB1]],"#,#0"),"")</f>
        <v>15.8x2500=   1,525</v>
      </c>
      <c r="J21" s="295">
        <f ca="1">_xlfn.XLOOKUP(Tab_NewTRADER[[#This Row],[ClickTick]],TabCalc[Ticker],ListGravity)</f>
        <v>1.1138637261356155</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7.1240551570914536E-4</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-5.2992518703241877E-2</v>
      </c>
      <c r="S21" s="683">
        <f ca="1">_xlfn.XLOOKUP(Tab_NewTRADER[[#This Row],[ClickTick]],TabCalc[Ticker],TabCalc[Rev(MinStock)])*(1-Commission)</f>
        <v>-12250.565499999993</v>
      </c>
      <c r="T21" s="782">
        <f ca="1">_xlfn.XLOOKUP(Tab_NewTRADER[[#This Row],[ClickTick]],TabCalc[Ticker],TabCalc[Agiotage])</f>
        <v>7.1240551570914536E-4</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-75/-75=&gt;0.2% / -0.4%</v>
      </c>
      <c r="V21" s="739" t="str">
        <f ca="1">_xlfn.XLOOKUP(Tab_NewTRADER[[#This Row],[ClickTick]],[1]!RTData[Ticker_Symbol],[1]!RTData[Currency])</f>
        <v>EUR</v>
      </c>
      <c r="W21" s="749">
        <f ca="1">_xlfn.XLOOKUP(Tab_NewTRADER[[#This Row],[ClickTick]],TabCalc[Ticker],TabCalc[M])</f>
        <v>15.19</v>
      </c>
      <c r="X21" s="1343"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^1,154 / 228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70" t="str">
        <f ca="1">TEXT(MIN(Tab_NewTRADER[[#This Row],[L_Bn]],Tab_NewTRADER[[#This Row],[N]]),"#,#0")&amp;" x "&amp;TEXT(Tab_NewTRADER[[#This Row],[L_Bp]],"#,#0.#0")</f>
        <v>14,450 x -16.04</v>
      </c>
      <c r="AJ21" s="1370">
        <f ca="1">IF(Tab_NewTRADER[[#This Row],[M]]&lt;_xlfn.XLOOKUP(Tab_NewTRADER[[#This Row],[ClickTick]],TabCalc[Ticker],TabCalc[Max_Buy_P]), 0,Tab_NewTRADER[[#This Row],[Sale_Back_$]])</f>
        <v>0</v>
      </c>
      <c r="AK21" s="1370" t="str">
        <f ca="1">TEXT(Tab_NewTRADER[[#This Row],[L_Sn]],"#,#0")&amp;" ("&amp;Tab_NewTRADER[[#This Row],[M]]&amp;"/"&amp;TEXT(Tab_NewTRADER[[#This Row],[L_Sp]],"#,#0.#0)")</f>
        <v>3,200 (15.19/16.12)</v>
      </c>
      <c r="AL21" s="1370">
        <f ca="1">IF(Tab_NewTRADER[[#This Row],[M]]&lt;_xlfn.XLOOKUP(Tab_NewTRADER[[#This Row],[ClickTick]],TabCalc[Ticker],TabCalc[Max_Buy_P]), -Tab_NewTRADER[[#This Row],[Buy_Back]], 0)</f>
        <v>2968.2624000000046</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12250.565499999993</v>
      </c>
      <c r="AN21" s="1177">
        <f ca="1">Tab_NewTRADER[[#This Row],[N]]*(Tab_NewTRADER[[#This Row],[M]]-Tab_NewTRADER[[#This Row],[A]])*(1-Commission)*Tab_NewTRADER[[#This Row],[Scale]]</f>
        <v>-12025.651800000011</v>
      </c>
      <c r="AO21" s="1177">
        <f ca="1">Tab_NewTRADER[[#This Row],[M]]*Tab_NewTRADER[[#This Row],[N]]*(1-Commission)*Tab_NewTRADER[[#This Row],[Scale]]</f>
        <v>227257.59</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5.0256974577648883E-2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5.3357867017774833E-2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-1.5897755610972564</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5.5957867017774832E-2</v>
      </c>
      <c r="AV21" s="825" cm="1">
        <f t="array" aca="1" ref="AV21" ca="1">_xlfn.IFS(         Tab_NewTRADER[[#This Row],[Trap_vs_Last]]=MDown,Tab_NewTRADER[[#This Row],[L_Bn]]*Tab_NewTRADER[[#This Row],[M]]*(-(Tab_NewTRADER[[#This Row],[L_Bp]]+Tab_NewTRADER[[#This Row],[M]])/Tab_NewTRADER[[#This Row],[M]])*(1-Commission)*Tab_NewTRADER[[#This Row],[Scale]],                               TRUE,"")</f>
        <v>12250.565499999995</v>
      </c>
      <c r="AW21" s="1186" cm="1">
        <f t="array" aca="1" ref="AW21" ca="1">_xlfn.IFS(   Tab_NewTRADER[[#This Row],[Trap_vs_Last]]=MUp,Tab_NewTRADER[[#This Row],[TakeGain_A]]-Commission,        Tab_NewTRADER[[#This Row],[Trap_vs_Last]]=MDown,(Tab_NewTRADER[[#This Row],[A]]-Tab_NewTRADER[[#This Row],[M]])/Tab_NewTRADER[[#This Row],[M]]-Commission,                              TRUE,"")</f>
        <v>5.0316392363397022E-2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12025.651800000011</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-0.85</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-5.0126306443746993E-2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5.0316392363397022E-2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5.7692307692307779E-2</v>
      </c>
      <c r="BF21" s="729">
        <f ca="1">MIN(Tab_NewTRADER[[#This Row],[L_Sn]],Tab_NewTRADER[[#This Row],[N]])*(Tab_NewTRADER[[#This Row],[M]]-Tab_NewTRADER[[#This Row],[L_Sp]])*(1-Commission)*Tab_NewTRADER[[#This Row],[Scale]]</f>
        <v>-2968.2624000000046</v>
      </c>
      <c r="BG21" s="692">
        <f ca="1">Tab_NewTRADER[[#This Row],[L_Sn]]*(Tab_NewTRADER[[#This Row],[Agiotage]]-Tab_NewTRADER[[#This Row],[M]])/(Tab_NewTRADER[[#This Row],[L_Bn]]*Tab_NewTRADER[[#This Row],[M]])</f>
        <v>-0.22144290111801712</v>
      </c>
      <c r="BH21" s="635">
        <f ca="1">IFERROR((Tab_NewTRADER[[#This Row],[M]]-Tab_NewTRADER[[#This Row],[A]])/Tab_NewTRADER[[#This Row],[A]],0)</f>
        <v>-5.0256974577648883E-2</v>
      </c>
      <c r="BI21" s="638" t="str">
        <f ca="1">TEXT(_xlfn.XLOOKUP(Tab_NewTRADER[[#This Row],[ClickTick]],TabCalc[Ticker],TabCalc[NAfter]),"#,#0")&amp;" : "&amp;TEXT(_xlfn.XLOOKUP(Tab_NewTRADER[[#This Row],[ClickTick]],TabCalc[Ticker],TabCalc[NAfter])*(Tab_NewTRADER[[#This Row],[M]]-Tab_NewTRADER[[#This Row],[A]])*(1-Commission)*Tab_NewTRADER[[#This Row],[Scale]],"#,#0$")</f>
        <v>15,000 : -12,026$</v>
      </c>
      <c r="BJ21" s="684">
        <f ca="1">_xlfn.XLOOKUP(Tab_NewTRADER[[#This Row],[ClickTick]],TabCalc[[#This Row],[Ticker]],TabCalc[[#This Row],[GL]])*(1-Commission)</f>
        <v>1150858.4679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5.5957867017774832E-2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-5.7592715462419595E-3</v>
      </c>
      <c r="BU21" s="687">
        <f ca="1">(Tab_NewTRADER[[#This Row],[M]]-Tab_NewTRADER[[#This Row],[Agiotage]])/(Tab_NewTRADER[[#This Row],[M]]-Tab_NewTRADER[[#This Row],[A]])-1</f>
        <v>-19.896849458178995</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43"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70" t="str">
        <f ca="1">TEXT(MIN(Tab_NewTRADER[[#This Row],[L_Bn]],Tab_NewTRADER[[#This Row],[N]]),"#,#0")&amp;" x "&amp;TEXT(Tab_NewTRADER[[#This Row],[L_Bp]],"#,#0.#0")</f>
        <v>12,000 x -1.72</v>
      </c>
      <c r="AJ22" s="1370">
        <f ca="1">IF(Tab_NewTRADER[[#This Row],[M]]&lt;_xlfn.XLOOKUP(Tab_NewTRADER[[#This Row],[ClickTick]],TabCalc[Ticker],TabCalc[Max_Buy_P]), 0,Tab_NewTRADER[[#This Row],[Sale_Back_$]])</f>
        <v>0</v>
      </c>
      <c r="AK22" s="1370" t="str">
        <f ca="1">TEXT(Tab_NewTRADER[[#This Row],[L_Sn]],"#,#0")&amp;" ("&amp;Tab_NewTRADER[[#This Row],[M]]&amp;"/"&amp;TEXT(Tab_NewTRADER[[#This Row],[L_Sp]],"#,#0.#0)")</f>
        <v>10,000 (0.2012/5.77)</v>
      </c>
      <c r="AL22" s="1370">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-1.0886588085377509</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-1.0%</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+239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33.8%</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270$</v>
      </c>
      <c r="G23" s="225" t="str">
        <f ca="1">IFERROR(TRUNC(_xlfn.XLOOKUP(Tab_NewTRADER[[#This Row],[ClickTick]],TabCalc[Ticker],ListLastSalep),2)&amp;"x"&amp;_xlfn.XLOOKUP(Tab_NewTRADER[[#This Row],[ClickTick]],TabCalc[Ticker],ListLastSalen)&amp;"=   "&amp;TEXT(-_xlfn.XLOOKUP(Tab_NewTRADER[[#This Row],[ClickTick]],TabCalc[Ticker],ListReverseB),"#,#0")&amp;"$","")</f>
        <v>47.63x990=   22,698$</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-32.5% = 0</v>
      </c>
      <c r="I23" s="226" t="str">
        <f ca="1">IFERROR(TRUNC(TabCalc[[#This Row],[L_S1p]],2)&amp;"x"&amp;TabCalc[[#This Row],[L_S1n]]&amp;"=   "&amp;TEXT(TabCalc[[#This Row],[ReverseB1]],"#,#0"),"")</f>
        <v>46.95x990=   -23,374</v>
      </c>
      <c r="J23" s="295">
        <f ca="1">_xlfn.XLOOKUP(Tab_NewTRADER[[#This Row],[ClickTick]],TabCalc[Ticker],ListGravity)</f>
        <v>1.0367609126984128</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8.6062636309864679E-5</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0.51169766046790643</v>
      </c>
      <c r="S23" s="683">
        <f ca="1">_xlfn.XLOOKUP(Tab_NewTRADER[[#This Row],[ClickTick]],TabCalc[Ticker],TabCalc[Rev(MinStock)])*(1-Commission)</f>
        <v>238.21901599999998</v>
      </c>
      <c r="T23" s="1367">
        <f ca="1">_xlfn.XLOOKUP(Tab_NewTRADER[[#This Row],[ClickTick]],TabCalc[Ticker],TabCalc[Agiotage])</f>
        <v>8.6062636309864679E-5</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-8/-8=&gt;2.6% / -1.9%</v>
      </c>
      <c r="V23" s="739" t="str">
        <f ca="1">_xlfn.XLOOKUP(Tab_NewTRADER[[#This Row],[ClickTick]],[1]!RTData[Ticker_Symbol],[1]!RTData[Currency])</f>
        <v>USD</v>
      </c>
      <c r="W23" s="749">
        <f ca="1">_xlfn.XLOOKUP(Tab_NewTRADER[[#This Row],[ClickTick]],TabCalc[Ticker],TabCalc[M])</f>
        <v>70.56</v>
      </c>
      <c r="X23" s="1343"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70" t="str">
        <f ca="1">TEXT(MIN(Tab_NewTRADER[[#This Row],[L_Bn]],Tab_NewTRADER[[#This Row],[N]]),"#,#0")&amp;" x "&amp;TEXT(Tab_NewTRADER[[#This Row],[L_Bp]],"#,#0.#0")</f>
        <v>10 x -46.68</v>
      </c>
      <c r="AJ23" s="1370">
        <f ca="1">IF(Tab_NewTRADER[[#This Row],[M]]&lt;_xlfn.XLOOKUP(Tab_NewTRADER[[#This Row],[ClickTick]],TabCalc[Ticker],TabCalc[Max_Buy_P]), 0,Tab_NewTRADER[[#This Row],[Sale_Back_$]])</f>
        <v>238.21901599999998</v>
      </c>
      <c r="AK23" s="1370" t="str">
        <f ca="1">TEXT(Tab_NewTRADER[[#This Row],[L_Sn]],"#,#0")&amp;" ("&amp;Tab_NewTRADER[[#This Row],[M]]&amp;"/"&amp;TEXT(Tab_NewTRADER[[#This Row],[L_Sp]],"#,#0.#0)")</f>
        <v>990 (70.56/47.63)</v>
      </c>
      <c r="AL23" s="1370">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228.67389799999998</v>
      </c>
      <c r="AN23" s="760">
        <f ca="1">Tab_NewTRADER[[#This Row],[N]]*(Tab_NewTRADER[[#This Row],[M]]-Tab_NewTRADER[[#This Row],[A]])*(1-Commission)*Tab_NewTRADER[[#This Row],[Scale]]</f>
        <v>238.21901599999998</v>
      </c>
      <c r="AO23" s="760">
        <f ca="1">Tab_NewTRADER[[#This Row],[M]]*Tab_NewTRADER[[#This Row],[N]]*(1-Commission)*Tab_NewTRADER[[#This Row],[Scale]]</f>
        <v>703.76544000000001</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0.51169766046790643</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0.32232913832199545</v>
      </c>
      <c r="AR23" s="825" cm="1">
        <f t="array" aca="1" ref="AR23" ca="1">_xlfn.IFS(   Tab_NewTRADER[[#This Row],[Trap_vs_Last]]=SellMorePercentGain,                     MIN(Tab_NewTRADER[[#This Row],[L_Sn]],Tab_NewTRADER[[#This Row],[N]])*(Tab_NewTRADER[[#This Row],[M]]-Tab_NewTRADER[[#This Row],[L_Sp]])*(1-Commission)*Tab_NewTRADER[[#This Row],[Scale]],                    TRUE,"")</f>
        <v>228.67389799999998</v>
      </c>
      <c r="AS23" s="1341">
        <f ca="1">_xlfn.XLOOKUP(Tab_NewTRADER[[#This Row],[ClickTick]],TabCalc[Ticker],TabCalc[Ann%RevLB])</f>
        <v>0.39445644061765806</v>
      </c>
      <c r="AT23" s="1282">
        <f ca="1">_xlfn.XLOOKUP(Tab_NewTRADER[[#This Row],[ClickTick]],TabCalc[Ticker],TabCalc[Up20])</f>
        <v>0</v>
      </c>
      <c r="AU23" s="1368"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0.50909766046790639</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360.11512916616681</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0.51036724655068988</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-0.3410920634920635</v>
      </c>
      <c r="BC23" s="1369">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-0.48132597149035328</v>
      </c>
      <c r="BF23" s="729">
        <f ca="1">MIN(Tab_NewTRADER[[#This Row],[L_Sn]],Tab_NewTRADER[[#This Row],[N]])*(Tab_NewTRADER[[#This Row],[M]]-Tab_NewTRADER[[#This Row],[L_Sp]])*(1-Commission)*Tab_NewTRADER[[#This Row],[Scale]]</f>
        <v>228.67389799999998</v>
      </c>
      <c r="BG23" s="692">
        <f ca="1">Tab_NewTRADER[[#This Row],[L_Sn]]*(Tab_NewTRADER[[#This Row],[Agiotage]]-Tab_NewTRADER[[#This Row],[M]])/(Tab_NewTRADER[[#This Row],[L_Bn]]*Tab_NewTRADER[[#This Row],[M]])</f>
        <v>-0.99999878029143541</v>
      </c>
      <c r="BH23" s="635">
        <f ca="1">IFERROR((Tab_NewTRADER[[#This Row],[M]]-Tab_NewTRADER[[#This Row],[A]])/Tab_NewTRADER[[#This Row],[A]],0)</f>
        <v>0.51169766046790643</v>
      </c>
      <c r="BI23" s="638" t="str">
        <f ca="1">TEXT(_xlfn.XLOOKUP(Tab_NewTRADER[[#This Row],[ClickTick]],TabCalc[Ticker],TabCalc[NAfter]),"#,#0")&amp;" : "&amp;TEXT(_xlfn.XLOOKUP(Tab_NewTRADER[[#This Row],[ClickTick]],TabCalc[Ticker],TabCalc[NAfter])*(Tab_NewTRADER[[#This Row],[M]]-Tab_NewTRADER[[#This Row],[A]])*(1-Commission)*Tab_NewTRADER[[#This Row],[Scale]],"#,#0$")</f>
        <v>10 : 238$</v>
      </c>
      <c r="BJ23" s="684">
        <f ca="1">_xlfn.XLOOKUP(Tab_NewTRADER[[#This Row],[ClickTick]],TabCalc[[#This Row],[Ticker]],TabCalc[[#This Row],[GL]])*(1-Commission)</f>
        <v>14376.054822</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0.32492913832199544</v>
      </c>
      <c r="BP23" s="679">
        <f ca="1">Tab_NewTRADER[[#This Row],[L_Sn]]*Tab_NewTRADER[[#This Row],[L_Sp]]+Tab_NewTRADER[[#This Row],[SellMore]]*Tab_NewTRADER[[#This Row],[M]]</f>
        <v>47862.270000000004</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47.862270000000002</v>
      </c>
      <c r="BT23" s="687">
        <f ca="1">((_xlfn.XLOOKUP(Tab_NewTRADER[[#This Row],[ClickTick]],TabCalc[Ticker],TabCalc[NAfter])+Tab_NewTRADER[[#This Row],[L_Sn]])*(Tab_NewTRADER[[#This Row],[Agiotage]]-Tab_NewTRADER[[#This Row],[M]]))/(Tab_NewTRADER[[#This Row],[L_Sn]]*_xlfn.XLOOKUP(Tab_NewTRADER[[#This Row],[ClickTick]],TabCalc[Ticker],TabCalc[NAfter]))</f>
        <v>-7.1272640340771396</v>
      </c>
      <c r="BU23" s="687">
        <f ca="1">(Tab_NewTRADER[[#This Row],[M]]-Tab_NewTRADER[[#This Row],[Agiotage]])/(Tab_NewTRADER[[#This Row],[M]]-Tab_NewTRADER[[#This Row],[A]])-1</f>
        <v>1.9542754118809116</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+360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3,876</v>
      </c>
      <c r="F24" s="226" t="str">
        <f ca="1">TRUNC(TabCalc[[#This Row],[L_B1p]],2)&amp;"x"&amp;TabCalc[[#This Row],[L_B1n]]&amp;"=   "&amp;TEXT(TabCalc[[#This Row],[ReverseS1]],"#,#0")&amp;"$"</f>
        <v>-24.92x1200=   -2,508$</v>
      </c>
      <c r="G24" s="225" t="str">
        <f ca="1">IFERROR(TRUNC(_xlfn.XLOOKUP(Tab_NewTRADER[[#This Row],[ClickTick]],TabCalc[Ticker],ListLastSalep),2)&amp;"x"&amp;_xlfn.XLOOKUP(Tab_NewTRADER[[#This Row],[ClickTick]],TabCalc[Ticker],ListLastSalen)&amp;"=   "&amp;TEXT(-_xlfn.XLOOKUP(Tab_NewTRADER[[#This Row],[ClickTick]],TabCalc[Ticker],ListReverseB),"#,#0")&amp;"$","")</f>
        <v>24.12x1800=   -2,322$</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3,876</v>
      </c>
      <c r="I24" s="226" t="str">
        <f ca="1">IFERROR(TRUNC(TabCalc[[#This Row],[L_S1p]],2)&amp;"x"&amp;TabCalc[[#This Row],[L_S1n]]&amp;"=   "&amp;TEXT(TabCalc[[#This Row],[ReverseB1]],"#,#0"),"")</f>
        <v>26.07x1200=   3,888</v>
      </c>
      <c r="J24" s="295">
        <f ca="1">_xlfn.XLOOKUP(Tab_NewTRADER[[#This Row],[ClickTick]],TabCalc[Ticker],ListGravity)</f>
        <v>1.1612838370565046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1.2243818965373132E-3</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8.837825894829841E-3</v>
      </c>
      <c r="S24" s="683">
        <f ca="1">_xlfn.XLOOKUP(Tab_NewTRADER[[#This Row],[ClickTick]],TabCalc[Ticker],TabCalc[Rev(MinStock)])*(1-Commission)</f>
        <v>359.06399999999871</v>
      </c>
      <c r="T24" s="782">
        <f ca="1">_xlfn.XLOOKUP(Tab_NewTRADER[[#This Row],[ClickTick]],TabCalc[Ticker],TabCalc[Agiotage])</f>
        <v>1.2243818965373132E-3</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3,220/3,220=&gt;0.0% / -0.4%</v>
      </c>
      <c r="V24" s="739" t="str">
        <f ca="1">_xlfn.XLOOKUP(Tab_NewTRADER[[#This Row],[ClickTick]],[1]!RTData[Ticker_Symbol],[1]!RTData[Currency])</f>
        <v>USD</v>
      </c>
      <c r="W24" s="749">
        <f ca="1">_xlfn.XLOOKUP(Tab_NewTRADER[[#This Row],[ClickTick]],TabCalc[Ticker],TabCalc[M])</f>
        <v>22.83</v>
      </c>
      <c r="X24" s="1343"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^174 / 210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2315.9628000000048</v>
      </c>
      <c r="AI24" s="1370" t="str">
        <f ca="1">TEXT(MIN(Tab_NewTRADER[[#This Row],[L_Bn]],Tab_NewTRADER[[#This Row],[N]]),"#,#0")&amp;" x "&amp;TEXT(Tab_NewTRADER[[#This Row],[L_Bp]],"#,#0.#0")</f>
        <v>1,800 x -22.63</v>
      </c>
      <c r="AJ24" s="1370">
        <f ca="1">IF(Tab_NewTRADER[[#This Row],[M]]&lt;_xlfn.XLOOKUP(Tab_NewTRADER[[#This Row],[ClickTick]],TabCalc[Ticker],TabCalc[Max_Buy_P]), 0,Tab_NewTRADER[[#This Row],[Sale_Back_$]])</f>
        <v>0</v>
      </c>
      <c r="AK24" s="1370" t="str">
        <f ca="1">TEXT(Tab_NewTRADER[[#This Row],[L_Sn]],"#,#0")&amp;" ("&amp;Tab_NewTRADER[[#This Row],[M]]&amp;"/"&amp;TEXT(Tab_NewTRADER[[#This Row],[L_Sp]],"#,#0.#0)")</f>
        <v>1,800 (22.83/24.12)</v>
      </c>
      <c r="AL24" s="1370">
        <f ca="1">IF(Tab_NewTRADER[[#This Row],[M]]&lt;_xlfn.XLOOKUP(Tab_NewTRADER[[#This Row],[ClickTick]],TabCalc[Ticker],TabCalc[Max_Buy_P]), -Tab_NewTRADER[[#This Row],[Buy_Back]], 0)</f>
        <v>2315.9628000000048</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22425.709163199983</v>
      </c>
      <c r="AO24" s="760">
        <f ca="1">Tab_NewTRADER[[#This Row],[M]]*Tab_NewTRADER[[#This Row],[N]]*(1-Commission)*Tab_NewTRADER[[#This Row],[Scale]]</f>
        <v>209489.90639999995</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5.3482587064676727E-2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0.11362919007638367</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22425.709163199983</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0.11957072839043227</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-0.10964911538974265</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5.3482587064676727E-2</v>
      </c>
      <c r="BF24" s="729">
        <f ca="1">MIN(Tab_NewTRADER[[#This Row],[L_Sn]],Tab_NewTRADER[[#This Row],[N]])*(Tab_NewTRADER[[#This Row],[M]]-Tab_NewTRADER[[#This Row],[L_Sp]])*(1-Commission)*Tab_NewTRADER[[#This Row],[Scale]]</f>
        <v>-2315.9628000000048</v>
      </c>
      <c r="BG24" s="692">
        <f ca="1">Tab_NewTRADER[[#This Row],[L_Sn]]*(Tab_NewTRADER[[#This Row],[Agiotage]]-Tab_NewTRADER[[#This Row],[M]])/(Tab_NewTRADER[[#This Row],[L_Bn]]*Tab_NewTRADER[[#This Row],[M]])</f>
        <v>-0.99994636960593342</v>
      </c>
      <c r="BH24" s="635">
        <f ca="1">IFERROR((Tab_NewTRADER[[#This Row],[M]]-Tab_NewTRADER[[#This Row],[A]])/Tab_NewTRADER[[#This Row],[A]],0)</f>
        <v>0.11988242268942478</v>
      </c>
      <c r="BI24" s="638" t="str">
        <f ca="1">TEXT(_xlfn.XLOOKUP(Tab_NewTRADER[[#This Row],[ClickTick]],TabCalc[Ticker],TabCalc[NAfter]),"#,#0")&amp;" : "&amp;TEXT(_xlfn.XLOOKUP(Tab_NewTRADER[[#This Row],[ClickTick]],TabCalc[Ticker],TabCalc[NAfter])*(Tab_NewTRADER[[#This Row],[M]]-Tab_NewTRADER[[#This Row],[A]])*(1-Commission)*Tab_NewTRADER[[#This Row],[Scale]],"#,#0$")</f>
        <v>9,200 : 22,426$</v>
      </c>
      <c r="BJ24" s="684">
        <f ca="1">_xlfn.XLOOKUP(Tab_NewTRADER[[#This Row],[ClickTick]],TabCalc[[#This Row],[Ticker]],TabCalc[[#This Row],[GL]])*(1-Commission)</f>
        <v>173294.26039999997</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84510</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23.475000000000001</v>
      </c>
      <c r="BT24" s="687">
        <f ca="1">((_xlfn.XLOOKUP(Tab_NewTRADER[[#This Row],[ClickTick]],TabCalc[Ticker],TabCalc[NAfter])+Tab_NewTRADER[[#This Row],[L_Sn]])*(Tab_NewTRADER[[#This Row],[Agiotage]]-Tab_NewTRADER[[#This Row],[M]]))/(Tab_NewTRADER[[#This Row],[L_Sn]]*_xlfn.XLOOKUP(Tab_NewTRADER[[#This Row],[ClickTick]],TabCalc[Ticker],TabCalc[NAfter]))</f>
        <v>-1.5164041775310269E-2</v>
      </c>
      <c r="BU24" s="687">
        <f ca="1">(Tab_NewTRADER[[#This Row],[M]]-Tab_NewTRADER[[#This Row],[Agiotage]])/(Tab_NewTRADER[[#This Row],[M]]-Tab_NewTRADER[[#This Row],[A]])-1</f>
        <v>8.3410054437661199</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-3,017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-4,908$</v>
      </c>
      <c r="G25" s="225" t="str">
        <f ca="1">IFERROR(TRUNC(_xlfn.XLOOKUP(Tab_NewTRADER[[#This Row],[ClickTick]],TabCalc[Ticker],ListLastSalep),2)&amp;"x"&amp;_xlfn.XLOOKUP(Tab_NewTRADER[[#This Row],[ClickTick]],TabCalc[Ticker],ListLastSalen)&amp;"=   "&amp;TEXT(-_xlfn.XLOOKUP(Tab_NewTRADER[[#This Row],[ClickTick]],TabCalc[Ticker],ListReverseB),"#,#0")&amp;"$","")</f>
        <v>28.94x1000=   -4,427$</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18.1% = 1,129</v>
      </c>
      <c r="I25" s="226" t="str">
        <f ca="1">IFERROR(TRUNC(TabCalc[[#This Row],[L_S1p]],2)&amp;"x"&amp;TabCalc[[#This Row],[L_S1n]]&amp;"=   "&amp;TEXT(TabCalc[[#This Row],[ReverseB1]],"#,#0"),"")</f>
        <v>27.08x4000=   10,268</v>
      </c>
      <c r="J25" s="295">
        <f ca="1">_xlfn.XLOOKUP(Tab_NewTRADER[[#This Row],[ClickTick]],TabCalc[Ticker],ListGravity)</f>
        <v>1.1537755476685838</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98052</v>
      </c>
      <c r="M25" s="323">
        <f ca="1">_xlfn.XLOOKUP(Tab_NewTRADER[[#This Row],[ClickTick]],TabCalc[Ticker],TabCalc[Agiotage])</f>
        <v>4.3166557896760572E-3</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-0.10958953868507081</v>
      </c>
      <c r="S25" s="683">
        <f ca="1">_xlfn.XLOOKUP(Tab_NewTRADER[[#This Row],[ClickTick]],TabCalc[Ticker],TabCalc[Rev(MinStock)])*(1-Commission)</f>
        <v>-3009.1557999999995</v>
      </c>
      <c r="T25" s="782">
        <f ca="1">_xlfn.XLOOKUP(Tab_NewTRADER[[#This Row],[ClickTick]],TabCalc[Ticker],TabCalc[Agiotage])</f>
        <v>4.3166557896760572E-3</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-935/-935=&gt;0.2% / -1.9%</v>
      </c>
      <c r="V25" s="739" t="str">
        <f ca="1">_xlfn.XLOOKUP(Tab_NewTRADER[[#This Row],[ClickTick]],[1]!RTData[Ticker_Symbol],[1]!RTData[Currency])</f>
        <v>USD</v>
      </c>
      <c r="W25" s="749">
        <f ca="1">_xlfn.XLOOKUP(Tab_NewTRADER[[#This Row],[ClickTick]],TabCalc[Ticker],TabCalc[M])</f>
        <v>24.513000000000002</v>
      </c>
      <c r="X25" s="1343"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 / 123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70" t="str">
        <f ca="1">TEXT(MIN(Tab_NewTRADER[[#This Row],[L_Bn]],Tab_NewTRADER[[#This Row],[N]]),"#,#0")&amp;" x "&amp;TEXT(Tab_NewTRADER[[#This Row],[L_Bp]],"#,#0.#0")</f>
        <v>1,000 x -27.53</v>
      </c>
      <c r="AJ25" s="1370">
        <f ca="1">IF(Tab_NewTRADER[[#This Row],[M]]&lt;_xlfn.XLOOKUP(Tab_NewTRADER[[#This Row],[ClickTick]],TabCalc[Ticker],TabCalc[Max_Buy_P]), 0,Tab_NewTRADER[[#This Row],[Sale_Back_$]])</f>
        <v>0</v>
      </c>
      <c r="AK25" s="1370" t="str">
        <f ca="1">TEXT(Tab_NewTRADER[[#This Row],[L_Sn]],"#,#0")&amp;" ("&amp;Tab_NewTRADER[[#This Row],[M]]&amp;"/"&amp;TEXT(Tab_NewTRADER[[#This Row],[L_Sp]],"#,#0.#0)")</f>
        <v>1,000 (24.513/28.94)</v>
      </c>
      <c r="AL25" s="1370">
        <f ca="1">IF(Tab_NewTRADER[[#This Row],[M]]&lt;_xlfn.XLOOKUP(Tab_NewTRADER[[#This Row],[ClickTick]],TabCalc[Ticker],TabCalc[Max_Buy_P]), -Tab_NewTRADER[[#This Row],[Buy_Back]], 0)</f>
        <v>4415.4897999999994</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3009.1557999999995</v>
      </c>
      <c r="AN25" s="760">
        <f ca="1">Tab_NewTRADER[[#This Row],[N]]*(Tab_NewTRADER[[#This Row],[M]]-Tab_NewTRADER[[#This Row],[A]])*(1-Commission)*Tab_NewTRADER[[#This Row],[Scale]]</f>
        <v>-7904.3949999999859</v>
      </c>
      <c r="AO25" s="760">
        <f ca="1">Tab_NewTRADER[[#This Row],[M]]*Tab_NewTRADER[[#This Row],[N]]*(1-Commission)*Tab_NewTRADER[[#This Row],[Scale]]</f>
        <v>122246.33100000001</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6.073262318951634E-2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0.12047755068739033</v>
      </c>
      <c r="AR25" s="825" t="str" cm="1">
        <f t="array" aca="1" ref="AR25" ca="1">_xlfn.IFS(   Tab_NewTRADER[[#This Row],[Trap_vs_Last]]=SellMorePercentGain,                     MIN(Tab_NewTRADER[[#This Row],[L_Sn]],Tab_NewTRADER[[#This Row],[N]])*(Tab_NewTRADER[[#This Row],[M]]-Tab_NewTRADER[[#This Row],[L_Sp]])*(1-Commission)*Tab_NewTRADER[[#This Row],[Scale]],                    TRUE,"")</f>
        <v/>
      </c>
      <c r="AS25" s="1341">
        <f ca="1">_xlfn.XLOOKUP(Tab_NewTRADER[[#This Row],[ClickTick]],TabCalc[Ticker],TabCalc[Ann%RevLB])</f>
        <v>-1.2328823102070465</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0.12307755068739033</v>
      </c>
      <c r="AV25" s="825" cm="1">
        <f t="array" aca="1" ref="AV25" ca="1">_xlfn.IFS(         Tab_NewTRADER[[#This Row],[Trap_vs_Last]]=MDown,Tab_NewTRADER[[#This Row],[L_Bn]]*Tab_NewTRADER[[#This Row],[M]]*(-(Tab_NewTRADER[[#This Row],[L_Bp]]+Tab_NewTRADER[[#This Row],[M]])/Tab_NewTRADER[[#This Row],[M]])*(1-Commission)*Tab_NewTRADER[[#This Row],[Scale]],                               TRUE,"")</f>
        <v>3009.1557999999991</v>
      </c>
      <c r="AW25" s="1186" cm="1">
        <f t="array" aca="1" ref="AW25" ca="1">_xlfn.IFS(   Tab_NewTRADER[[#This Row],[Trap_vs_Last]]=MUp,Tab_NewTRADER[[#This Row],[TakeGain_A]]-Commission,        Tab_NewTRADER[[#This Row],[Trap_vs_Last]]=MDown,(Tab_NewTRADER[[#This Row],[A]]-Tab_NewTRADER[[#This Row],[M]])/Tab_NewTRADER[[#This Row],[M]]-Commission,                              TRUE,"")</f>
        <v>6.2059568392281529E-2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7904.3949999999859</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-3.01</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-6.0574718369223596E-2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6.2059568392281529E-2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0.1529716655148583</v>
      </c>
      <c r="BF25" s="729">
        <f ca="1">MIN(Tab_NewTRADER[[#This Row],[L_Sn]],Tab_NewTRADER[[#This Row],[N]])*(Tab_NewTRADER[[#This Row],[M]]-Tab_NewTRADER[[#This Row],[L_Sp]])*(1-Commission)*Tab_NewTRADER[[#This Row],[Scale]]</f>
        <v>-4415.4897999999994</v>
      </c>
      <c r="BG25" s="692">
        <f ca="1">Tab_NewTRADER[[#This Row],[L_Sn]]*(Tab_NewTRADER[[#This Row],[Agiotage]]-Tab_NewTRADER[[#This Row],[M]])/(Tab_NewTRADER[[#This Row],[L_Bn]]*Tab_NewTRADER[[#This Row],[M]])</f>
        <v>-0.99982390340677707</v>
      </c>
      <c r="BH25" s="635">
        <f ca="1">IFERROR((Tab_NewTRADER[[#This Row],[M]]-Tab_NewTRADER[[#This Row],[A]])/Tab_NewTRADER[[#This Row],[A]],0)</f>
        <v>-6.073262318951634E-2</v>
      </c>
      <c r="BI25" s="638" t="str">
        <f ca="1">TEXT(_xlfn.XLOOKUP(Tab_NewTRADER[[#This Row],[ClickTick]],TabCalc[Ticker],TabCalc[NAfter]),"#,#0")&amp;" : "&amp;TEXT(_xlfn.XLOOKUP(Tab_NewTRADER[[#This Row],[ClickTick]],TabCalc[Ticker],TabCalc[NAfter])*(Tab_NewTRADER[[#This Row],[M]]-Tab_NewTRADER[[#This Row],[A]])*(1-Commission)*Tab_NewTRADER[[#This Row],[Scale]],"#,#0$")</f>
        <v>5,000 : -7,904$</v>
      </c>
      <c r="BJ25" s="684">
        <f ca="1">_xlfn.XLOOKUP(Tab_NewTRADER[[#This Row],[ClickTick]],TabCalc[[#This Row],[Ticker]],TabCalc[[#This Row],[GL]])*(1-Commission)</f>
        <v>38508.824059200058</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0.12307755068739033</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-2.9410420013052389E-2</v>
      </c>
      <c r="BU25" s="687">
        <f ca="1">(Tab_NewTRADER[[#This Row],[M]]-Tab_NewTRADER[[#This Row],[Agiotage]])/(Tab_NewTRADER[[#This Row],[M]]-Tab_NewTRADER[[#This Row],[A]])-1</f>
        <v>-16.462891699817266</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+26,418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34.7%</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3,785/110,000=14,426</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6" s="226" t="str">
        <f ca="1">TRUNC(TabCalc[[#This Row],[L_B1p]],2)&amp;"x"&amp;TabCalc[[#This Row],[L_B1n]]&amp;"=   "&amp;TEXT(TabCalc[[#This Row],[ReverseS1]],"#,#0")&amp;"$"</f>
        <v>-284.47x20000=   19,324$</v>
      </c>
      <c r="G26" s="225" t="str">
        <f ca="1">IFERROR(TRUNC(_xlfn.XLOOKUP(Tab_NewTRADER[[#This Row],[ClickTick]],TabCalc[Ticker],ListLastSalep),2)&amp;"x"&amp;_xlfn.XLOOKUP(Tab_NewTRADER[[#This Row],[ClickTick]],TabCalc[Ticker],ListLastSalen)&amp;"=   "&amp;TEXT(-_xlfn.XLOOKUP(Tab_NewTRADER[[#This Row],[ClickTick]],TabCalc[Ticker],ListReverseB),"#,#0")&amp;"$","")</f>
        <v>380.01x20000=   218$</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26" s="226" t="str">
        <f ca="1">IFERROR(TRUNC(TabCalc[[#This Row],[L_S1p]],2)&amp;"x"&amp;TabCalc[[#This Row],[L_S1n]]&amp;"=   "&amp;TEXT(TabCalc[[#This Row],[ReverseB1]],"#,#0"),"")</f>
        <v>425.1x20000=   8,800</v>
      </c>
      <c r="J26" s="295">
        <f ca="1">_xlfn.XLOOKUP(Tab_NewTRADER[[#This Row],[ClickTick]],TabCalc[Ticker],ListGravity)</f>
        <v>1.217775387037523</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0.10512331511079581</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0.53044833180730255</v>
      </c>
      <c r="S26" s="683">
        <f ca="1">_xlfn.XLOOKUP(Tab_NewTRADER[[#This Row],[ClickTick]],TabCalc[Ticker],TabCalc[Rev(MinStock)])*(1-Commission)</f>
        <v>26348.914240000006</v>
      </c>
      <c r="T26" s="782">
        <f ca="1">_xlfn.XLOOKUP(Tab_NewTRADER[[#This Row],[ClickTick]],TabCalc[Ticker],TabCalc[Agiotage])</f>
        <v>0.10512331511079581</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-8,140/-8,140=&gt;-11.6% / -1.7%</v>
      </c>
      <c r="V26" s="739" t="str">
        <f ca="1">_xlfn.XLOOKUP(Tab_NewTRADER[[#This Row],[ClickTick]],[1]!RTData[Ticker_Symbol],[1]!RTData[Currency])</f>
        <v>GBp</v>
      </c>
      <c r="W26" s="749">
        <f ca="1">_xlfn.XLOOKUP(Tab_NewTRADER[[#This Row],[ClickTick]],TabCalc[Ticker],TabCalc[M])</f>
        <v>381.1</v>
      </c>
      <c r="X26" s="1343"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110000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^1,149 / 419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6" s="1177" t="str" cm="1">
        <f t="array" aca="1" ref="AG26" ca="1">_xlfn.IFS(       Tab_NewTRADER[[#This Row],[Trap_vs_Last]]=RePurchaseGain,TEXT(Tab_NewTRADER[[#This Row],[L_Sn]],"#,#0")&amp;" x "&amp;TEXT(Tab_NewTRADER[[#This Row],[L_Sp]],"#,#0.#0"),     Tab_NewTRADER[[#This Row],[Trap_vs_Last]]=ReSaleGain,Tab_NewTRADER[[#This Row],[ToSell]],               TRUE,"")</f>
        <v/>
      </c>
      <c r="AH26" s="1177" t="str"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380.01</v>
      </c>
      <c r="AI26" s="1370" t="str">
        <f ca="1">TEXT(MIN(Tab_NewTRADER[[#This Row],[L_Bn]],Tab_NewTRADER[[#This Row],[N]]),"#,#0")&amp;" x "&amp;TEXT(Tab_NewTRADER[[#This Row],[L_Bp]],"#,#0.#0")</f>
        <v>20,000 x -249.01</v>
      </c>
      <c r="AJ26" s="1370">
        <f ca="1">IF(Tab_NewTRADER[[#This Row],[M]]&lt;_xlfn.XLOOKUP(Tab_NewTRADER[[#This Row],[ClickTick]],TabCalc[Ticker],TabCalc[Max_Buy_P]), 0,Tab_NewTRADER[[#This Row],[Sale_Back_$]])</f>
        <v>26348.914240000006</v>
      </c>
      <c r="AK26" s="1370" t="str">
        <f ca="1">TEXT(Tab_NewTRADER[[#This Row],[L_Sn]],"#,#0")&amp;" ("&amp;Tab_NewTRADER[[#This Row],[M]]&amp;"/"&amp;TEXT(Tab_NewTRADER[[#This Row],[L_Sp]],"#,#0.#0)")</f>
        <v>20,000 (381.1/380.01)</v>
      </c>
      <c r="AL26" s="1370">
        <f ca="1">IF(Tab_NewTRADER[[#This Row],[M]]&lt;_xlfn.XLOOKUP(Tab_NewTRADER[[#This Row],[ClickTick]],TabCalc[Ticker],TabCalc[Max_Buy_P]), -Tab_NewTRADER[[#This Row],[Buy_Back]], 0)</f>
        <v>0</v>
      </c>
      <c r="AM26" s="1177"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217.43320000000634</v>
      </c>
      <c r="AN26" s="760">
        <f ca="1">Tab_NewTRADER[[#This Row],[N]]*(Tab_NewTRADER[[#This Row],[M]]-Tab_NewTRADER[[#This Row],[A]])*(1-Commission)*Tab_NewTRADER[[#This Row],[Scale]]</f>
        <v>127802.86634800001</v>
      </c>
      <c r="AO26" s="760">
        <f ca="1">Tab_NewTRADER[[#This Row],[M]]*Tab_NewTRADER[[#This Row],[N]]*(1-Commission)*Tab_NewTRADER[[#This Row],[Scale]]</f>
        <v>418120.054</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0.44021805040766609</v>
      </c>
      <c r="AQ26" s="1186"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2.601416950932349E-4</v>
      </c>
      <c r="AR26" s="825" cm="1">
        <f t="array" aca="1" ref="AR26" ca="1">_xlfn.IFS(   Tab_NewTRADER[[#This Row],[Trap_vs_Last]]=SellMorePercentGain,                     MIN(Tab_NewTRADER[[#This Row],[L_Sn]],Tab_NewTRADER[[#This Row],[N]])*(Tab_NewTRADER[[#This Row],[M]]-Tab_NewTRADER[[#This Row],[L_Sp]])*(1-Commission)*Tab_NewTRADER[[#This Row],[Scale]],                    TRUE,"")</f>
        <v>217.43320000000634</v>
      </c>
      <c r="AS26" s="1175">
        <f ca="1">_xlfn.XLOOKUP(Tab_NewTRADER[[#This Row],[ClickTick]],TabCalc[Ticker],TabCalc[Ann%RevLB])</f>
        <v>0.8302669541331692</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cm="1">
        <f t="array" aca="1" ref="AW26" ca="1">_xlfn.IFS(   Tab_NewTRADER[[#This Row],[Trap_vs_Last]]=MUp,Tab_NewTRADER[[#This Row],[TakeGain_A]]-Commission,        Tab_NewTRADER[[#This Row],[Trap_vs_Last]]=MDown,(Tab_NewTRADER[[#This Row],[A]]-Tab_NewTRADER[[#This Row],[M]])/Tab_NewTRADER[[#This Row],[M]]-Commission,                              TRUE,"")</f>
        <v>0.4376180504076661</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184063.99500822808</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20,000x1.1648</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0.43907348347660613</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-0.30826069511700577</v>
      </c>
      <c r="BC26" s="324">
        <f ca="1">_xlfn.XLOOKUP(Tab_NewTRADER[[#This Row],[ClickTick]],TabCalc[Ticker],TabCalc[L_Sn])</f>
        <v>20000</v>
      </c>
      <c r="BD26" s="728">
        <f ca="1">_xlfn.XLOOKUP(Tab_NewTRADER[[#This Row],[ClickTick]],TabCalc[Ticker],TabCalc[L_Sp])</f>
        <v>380.01</v>
      </c>
      <c r="BE26" s="764">
        <f ca="1">-IFERROR((Tab_NewTRADER[[#This Row],[M]]-Tab_NewTRADER[[#This Row],[L_Sp]])/Tab_NewTRADER[[#This Row],[L_Sp]],0)</f>
        <v>-2.8683455698535086E-3</v>
      </c>
      <c r="BF26" s="729">
        <f ca="1">MIN(Tab_NewTRADER[[#This Row],[L_Sn]],Tab_NewTRADER[[#This Row],[N]])*(Tab_NewTRADER[[#This Row],[M]]-Tab_NewTRADER[[#This Row],[L_Sp]])*(1-Commission)*Tab_NewTRADER[[#This Row],[Scale]]</f>
        <v>217.43320000000634</v>
      </c>
      <c r="BG26" s="692">
        <f ca="1">Tab_NewTRADER[[#This Row],[L_Sn]]*(Tab_NewTRADER[[#This Row],[Agiotage]]-Tab_NewTRADER[[#This Row],[M]])/(Tab_NewTRADER[[#This Row],[L_Bn]]*Tab_NewTRADER[[#This Row],[M]])</f>
        <v>-0.99972415818653682</v>
      </c>
      <c r="BH26" s="635">
        <f ca="1">IFERROR((Tab_NewTRADER[[#This Row],[M]]-Tab_NewTRADER[[#This Row],[A]])/Tab_NewTRADER[[#This Row],[A]],0)</f>
        <v>0.44021805040766609</v>
      </c>
      <c r="BI26" s="638" t="str">
        <f ca="1">TEXT(_xlfn.XLOOKUP(Tab_NewTRADER[[#This Row],[ClickTick]],TabCalc[Ticker],TabCalc[NAfter]),"#,#0")&amp;" : "&amp;TEXT(_xlfn.XLOOKUP(Tab_NewTRADER[[#This Row],[ClickTick]],TabCalc[Ticker],TabCalc[NAfter])*(Tab_NewTRADER[[#This Row],[M]]-Tab_NewTRADER[[#This Row],[A]])*(1-Commission)*Tab_NewTRADER[[#This Row],[Scale]],"#,#0$")</f>
        <v>110,000 : 127,803$</v>
      </c>
      <c r="BJ26" s="684">
        <f ca="1">_xlfn.XLOOKUP(Tab_NewTRADER[[#This Row],[ClickTick]],TabCalc[[#This Row],[Ticker]],TabCalc[[#This Row],[GL]])*(1-Commission)</f>
        <v>1145704.0713655401</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2.8601416950932348E-3</v>
      </c>
      <c r="BP26" s="679">
        <f ca="1">Tab_NewTRADER[[#This Row],[L_Sn]]*Tab_NewTRADER[[#This Row],[L_Sp]]+Tab_NewTRADER[[#This Row],[SellMore]]*Tab_NewTRADER[[#This Row],[M]]</f>
        <v>11411200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380.37333333333333</v>
      </c>
      <c r="BT26" s="687">
        <f ca="1">((_xlfn.XLOOKUP(Tab_NewTRADER[[#This Row],[ClickTick]],TabCalc[Ticker],TabCalc[NAfter])+Tab_NewTRADER[[#This Row],[L_Sn]])*(Tab_NewTRADER[[#This Row],[Agiotage]]-Tab_NewTRADER[[#This Row],[M]]))/(Tab_NewTRADER[[#This Row],[L_Sn]]*_xlfn.XLOOKUP(Tab_NewTRADER[[#This Row],[ClickTick]],TabCalc[Ticker],TabCalc[NAfter]))</f>
        <v>-2.2513333622288908E-2</v>
      </c>
      <c r="BU26" s="687">
        <f ca="1">(Tab_NewTRADER[[#This Row],[M]]-Tab_NewTRADER[[#This Row],[Agiotage]])/(Tab_NewTRADER[[#This Row],[M]]-Tab_NewTRADER[[#This Row],[A]])-1</f>
        <v>2.270699092678063</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+6,040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-285$</v>
      </c>
      <c r="G27" s="225" t="str">
        <f ca="1">IFERROR(TRUNC(_xlfn.XLOOKUP(Tab_NewTRADER[[#This Row],[ClickTick]],TabCalc[Ticker],ListLastSalep),2)&amp;"x"&amp;_xlfn.XLOOKUP(Tab_NewTRADER[[#This Row],[ClickTick]],TabCalc[Ticker],ListLastSalen)&amp;"=   "&amp;TEXT(-_xlfn.XLOOKUP(Tab_NewTRADER[[#This Row],[ClickTick]],TabCalc[Ticker],ListReverseB),"#,#0")&amp;"$","")</f>
        <v>64.9x1000=   1,810$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2.7% = 0</v>
      </c>
      <c r="I27" s="226" t="str">
        <f ca="1">IFERROR(TRUNC(TabCalc[[#This Row],[L_S1p]],2)&amp;"x"&amp;TabCalc[[#This Row],[L_S1n]]&amp;"=   "&amp;TEXT(TabCalc[[#This Row],[ReverseB1]],"#,#0"),"")</f>
        <v>71.82x1000=   5,110</v>
      </c>
      <c r="J27" s="295">
        <f ca="1">_xlfn.XLOOKUP(Tab_NewTRADER[[#This Row],[ClickTick]],TabCalc[Ticker],ListGravity)</f>
        <v>1.1399407884874833</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66710</v>
      </c>
      <c r="M27" s="323">
        <f ca="1">_xlfn.XLOOKUP(Tab_NewTRADER[[#This Row],[ClickTick]],TabCalc[Ticker],TabCalc[Agiotage])</f>
        <v>8.4933270760272677E-6</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4.741717695085565E-2</v>
      </c>
      <c r="S27" s="683">
        <f ca="1">_xlfn.XLOOKUP(Tab_NewTRADER[[#This Row],[ClickTick]],TabCalc[Ticker],TabCalc[Rev(MinStock)])*(1-Commission)</f>
        <v>6024.2959999999912</v>
      </c>
      <c r="T27" s="782">
        <f ca="1">_xlfn.XLOOKUP(Tab_NewTRADER[[#This Row],[ClickTick]],TabCalc[Ticker],TabCalc[Agiotage])</f>
        <v>8.4933270760272677E-6</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4,620/4,620=&gt;2.3% / 1.7%</v>
      </c>
      <c r="V27" s="739" t="str">
        <f ca="1">_xlfn.XLOOKUP(Tab_NewTRADER[[#This Row],[ClickTick]],[1]!RTData[Ticker_Symbol],[1]!RTData[Currency])</f>
        <v>USD</v>
      </c>
      <c r="W27" s="749">
        <f ca="1">_xlfn.XLOOKUP(Tab_NewTRADER[[#This Row],[ClickTick]],TabCalc[Ticker],TabCalc[M])</f>
        <v>66.709999999999994</v>
      </c>
      <c r="X27" s="1343"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^112 / 400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70" t="str">
        <f ca="1">TEXT(MIN(Tab_NewTRADER[[#This Row],[L_Bn]],Tab_NewTRADER[[#This Row],[N]]),"#,#0")&amp;" x "&amp;TEXT(Tab_NewTRADER[[#This Row],[L_Bp]],"#,#0.#0")</f>
        <v>2,000 x -63.69</v>
      </c>
      <c r="AJ27" s="1370">
        <f ca="1">IF(Tab_NewTRADER[[#This Row],[M]]&lt;_xlfn.XLOOKUP(Tab_NewTRADER[[#This Row],[ClickTick]],TabCalc[Ticker],TabCalc[Max_Buy_P]), 0,Tab_NewTRADER[[#This Row],[Sale_Back_$]])</f>
        <v>0</v>
      </c>
      <c r="AK27" s="1370" t="str">
        <f ca="1">TEXT(Tab_NewTRADER[[#This Row],[L_Sn]],"#,#0")&amp;" ("&amp;Tab_NewTRADER[[#This Row],[M]]&amp;"/"&amp;TEXT(Tab_NewTRADER[[#This Row],[L_Sp]],"#,#0.#0)")</f>
        <v>1,000 (66.71/64.90)</v>
      </c>
      <c r="AL27" s="1370">
        <f ca="1">IF(Tab_NewTRADER[[#This Row],[M]]&lt;_xlfn.XLOOKUP(Tab_NewTRADER[[#This Row],[ClickTick]],TabCalc[Ticker],TabCalc[Max_Buy_P]), -Tab_NewTRADER[[#This Row],[Buy_Back]], 0)</f>
        <v>-1805.293999999988</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1805.293999999988</v>
      </c>
      <c r="AN27" s="1177">
        <f ca="1">Tab_NewTRADER[[#This Row],[N]]*(Tab_NewTRADER[[#This Row],[M]]-Tab_NewTRADER[[#This Row],[A]])*(1-Commission)*Tab_NewTRADER[[#This Row],[Scale]]</f>
        <v>-834.39634285720274</v>
      </c>
      <c r="AO27" s="1177">
        <f ca="1">Tab_NewTRADER[[#This Row],[M]]*Tab_NewTRADER[[#This Row],[N]]*(1-Commission)*Tab_NewTRADER[[#This Row],[Scale]]</f>
        <v>399219.32399999991</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-2.0857107444022817E-3</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2.4532363963423599E-2</v>
      </c>
      <c r="AR27" s="825" cm="1">
        <f t="array" aca="1" ref="AR27" ca="1">_xlfn.IFS(   Tab_NewTRADER[[#This Row],[Trap_vs_Last]]=SellMorePercentGain,                     MIN(Tab_NewTRADER[[#This Row],[L_Sn]],Tab_NewTRADER[[#This Row],[N]])*(Tab_NewTRADER[[#This Row],[M]]-Tab_NewTRADER[[#This Row],[L_Sp]])*(1-Commission)*Tab_NewTRADER[[#This Row],[Scale]],                    TRUE,"")</f>
        <v>1805.293999999988</v>
      </c>
      <c r="AS27" s="1175">
        <f ca="1">_xlfn.XLOOKUP(Tab_NewTRADER[[#This Row],[ClickTick]],TabCalc[Ticker],TabCalc[Ann%RevLB])</f>
        <v>1.3130910540236949</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-4.6857107444022821E-3</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-832.65603343981559</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2,000x-0.13</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-2.0802878964668358E-3</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-5.0992997408812061E-4</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-2.7889060092449736E-2</v>
      </c>
      <c r="BF27" s="729">
        <f ca="1">MIN(Tab_NewTRADER[[#This Row],[L_Sn]],Tab_NewTRADER[[#This Row],[N]])*(Tab_NewTRADER[[#This Row],[M]]-Tab_NewTRADER[[#This Row],[L_Sp]])*(1-Commission)*Tab_NewTRADER[[#This Row],[Scale]]</f>
        <v>1805.293999999988</v>
      </c>
      <c r="BG27" s="692">
        <f ca="1">Tab_NewTRADER[[#This Row],[L_Sn]]*(Tab_NewTRADER[[#This Row],[Agiotage]]-Tab_NewTRADER[[#This Row],[M]])/(Tab_NewTRADER[[#This Row],[L_Bn]]*Tab_NewTRADER[[#This Row],[M]])</f>
        <v>-0.49999993634142492</v>
      </c>
      <c r="BH27" s="635">
        <f ca="1">IFERROR((Tab_NewTRADER[[#This Row],[M]]-Tab_NewTRADER[[#This Row],[A]])/Tab_NewTRADER[[#This Row],[A]],0)</f>
        <v>-2.0857107444022817E-3</v>
      </c>
      <c r="BI27" s="638" t="str">
        <f ca="1">TEXT(_xlfn.XLOOKUP(Tab_NewTRADER[[#This Row],[ClickTick]],TabCalc[Ticker],TabCalc[NAfter]),"#,#0")&amp;" : "&amp;TEXT(_xlfn.XLOOKUP(Tab_NewTRADER[[#This Row],[ClickTick]],TabCalc[Ticker],TabCalc[NAfter])*(Tab_NewTRADER[[#This Row],[M]]-Tab_NewTRADER[[#This Row],[A]])*(1-Commission)*Tab_NewTRADER[[#This Row],[Scale]],"#,#0$")</f>
        <v>6,000 : -834$</v>
      </c>
      <c r="BJ27" s="684">
        <f ca="1">_xlfn.XLOOKUP(Tab_NewTRADER[[#This Row],[ClickTick]],TabCalc[[#This Row],[Ticker]],TabCalc[[#This Row],[GL]])*(1-Commission)</f>
        <v>111257.96522599993</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2.7132363963423597E-2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-7.7828323424451742E-2</v>
      </c>
      <c r="BU27" s="687">
        <f ca="1">(Tab_NewTRADER[[#This Row],[M]]-Tab_NewTRADER[[#This Row],[Agiotage]])/(Tab_NewTRADER[[#This Row],[M]]-Tab_NewTRADER[[#This Row],[A]])-1</f>
        <v>-479.45280793716893</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4,950$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16.3% = 0</v>
      </c>
      <c r="I28" s="226" t="str">
        <f ca="1">IFERROR(TRUNC(TabCalc[[#This Row],[L_S1p]],2)&amp;"x"&amp;TabCalc[[#This Row],[L_S1n]]&amp;"=   "&amp;TEXT(TabCalc[[#This Row],[ReverseB1]],"#,#0"),"")</f>
        <v>4.96x2276=   -11,715</v>
      </c>
      <c r="J28" s="295">
        <f ca="1">_xlfn.XLOOKUP(Tab_NewTRADER[[#This Row],[ClickTick]],TabCalc[Ticker],ListGravity)</f>
        <v>1.4836795252225521</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0.67310504152532458</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0.3625336927223719</v>
      </c>
      <c r="S28" s="683">
        <f ca="1">_xlfn.XLOOKUP(Tab_NewTRADER[[#This Row],[ClickTick]],TabCalc[Ticker],TabCalc[Rev(MinStock)])*(1-Commission)</f>
        <v>0</v>
      </c>
      <c r="T28" s="782">
        <f ca="1">_xlfn.XLOOKUP(Tab_NewTRADER[[#This Row],[ClickTick]],TabCalc[Ticker],TabCalc[Agiotage])</f>
        <v>0.67310504152532458</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-1.4%</v>
      </c>
      <c r="V28" s="739" t="str">
        <f ca="1">_xlfn.XLOOKUP(Tab_NewTRADER[[#This Row],[ClickTick]],[1]!RTData[Ticker_Symbol],[1]!RTData[Currency])</f>
        <v>USD</v>
      </c>
      <c r="W28" s="749">
        <f ca="1">_xlfn.XLOOKUP(Tab_NewTRADER[[#This Row],[ClickTick]],TabCalc[Ticker],TabCalc[M])</f>
        <v>10.11</v>
      </c>
      <c r="X28" s="1343"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70" t="str">
        <f ca="1">TEXT(MIN(Tab_NewTRADER[[#This Row],[L_Bn]],Tab_NewTRADER[[#This Row],[N]]),"#,#0")&amp;" x "&amp;TEXT(Tab_NewTRADER[[#This Row],[L_Bp]],"#,#0.#0")</f>
        <v>0 x -7.42</v>
      </c>
      <c r="AJ28" s="1370">
        <f ca="1">IF(Tab_NewTRADER[[#This Row],[M]]&lt;_xlfn.XLOOKUP(Tab_NewTRADER[[#This Row],[ClickTick]],TabCalc[Ticker],TabCalc[Max_Buy_P]), 0,Tab_NewTRADER[[#This Row],[Sale_Back_$]])</f>
        <v>0</v>
      </c>
      <c r="AK28" s="1370" t="str">
        <f ca="1">TEXT(Tab_NewTRADER[[#This Row],[L_Sn]],"#,#0")&amp;" ("&amp;Tab_NewTRADER[[#This Row],[M]]&amp;"/"&amp;TEXT(Tab_NewTRADER[[#This Row],[L_Sp]],"#,#0.#0)")</f>
        <v>3,000 (10.11/8.46)</v>
      </c>
      <c r="AL28" s="1370">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0.38958844591060859</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0x10.11</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-0.16580474777448057</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-0.19503546099290761</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-0.93342185543765321</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-6.6578144562346675E-2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+29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50$</v>
      </c>
      <c r="G29" s="225" t="str">
        <f ca="1">IFERROR(TRUNC(_xlfn.XLOOKUP(Tab_NewTRADER[[#This Row],[ClickTick]],TabCalc[Ticker],ListLastSalep),2)&amp;"x"&amp;_xlfn.XLOOKUP(Tab_NewTRADER[[#This Row],[ClickTick]],TabCalc[Ticker],ListLastSalen)&amp;"=   "&amp;TEXT(-_xlfn.XLOOKUP(Tab_NewTRADER[[#This Row],[ClickTick]],TabCalc[Ticker],ListReverseB),"#,#0")&amp;"$","")</f>
        <v>6.8x990=   1,178$</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-14.9% = 0</v>
      </c>
      <c r="I29" s="226" t="str">
        <f ca="1">IFERROR(TRUNC(TabCalc[[#This Row],[L_S1p]],2)&amp;"x"&amp;TabCalc[[#This Row],[L_S1n]]&amp;"=   "&amp;TEXT(TabCalc[[#This Row],[ReverseB1]],"#,#0"),"")</f>
        <v>5.56x1000=   -2,430</v>
      </c>
      <c r="J29" s="295">
        <f ca="1">_xlfn.XLOOKUP(Tab_NewTRADER[[#This Row],[ClickTick]],TabCalc[Ticker],ListGravity)</f>
        <v>0.74568210262828538</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2.8763183520520572E-4</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0.57646548152240407</v>
      </c>
      <c r="S29" s="683">
        <f ca="1">_xlfn.XLOOKUP(Tab_NewTRADER[[#This Row],[ClickTick]],TabCalc[Ticker],TabCalc[Rev(MinStock)])*(1-Commission)</f>
        <v>29.141035800000004</v>
      </c>
      <c r="T29" s="782">
        <f ca="1">_xlfn.XLOOKUP(Tab_NewTRADER[[#This Row],[ClickTick]],TabCalc[Ticker],TabCalc[Agiotage])</f>
        <v>2.8763183520520572E-4</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2/2=&gt;-4.2% / -1.6%</v>
      </c>
      <c r="V29" s="739" t="str">
        <f ca="1">_xlfn.XLOOKUP(Tab_NewTRADER[[#This Row],[ClickTick]],[1]!RTData[Ticker_Symbol],[1]!RTData[Currency])</f>
        <v>USD</v>
      </c>
      <c r="W29" s="749">
        <f ca="1">_xlfn.XLOOKUP(Tab_NewTRADER[[#This Row],[ClickTick]],TabCalc[Ticker],TabCalc[M])</f>
        <v>7.99</v>
      </c>
      <c r="X29" s="1343"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70" t="str">
        <f ca="1">TEXT(MIN(Tab_NewTRADER[[#This Row],[L_Bn]],Tab_NewTRADER[[#This Row],[N]]),"#,#0")&amp;" x "&amp;TEXT(Tab_NewTRADER[[#This Row],[L_Bp]],"#,#0.#0")</f>
        <v>10 x -5.07</v>
      </c>
      <c r="AJ29" s="1370">
        <f ca="1">IF(Tab_NewTRADER[[#This Row],[M]]&lt;_xlfn.XLOOKUP(Tab_NewTRADER[[#This Row],[ClickTick]],TabCalc[Ticker],TabCalc[Max_Buy_P]), 0,Tab_NewTRADER[[#This Row],[Sale_Back_$]])</f>
        <v>29.141035800000004</v>
      </c>
      <c r="AK29" s="1370" t="str">
        <f ca="1">TEXT(Tab_NewTRADER[[#This Row],[L_Sn]],"#,#0")&amp;" ("&amp;Tab_NewTRADER[[#This Row],[M]]&amp;"/"&amp;TEXT(Tab_NewTRADER[[#This Row],[L_Sp]],"#,#0.#0)")</f>
        <v>990 (7.99/6.80)</v>
      </c>
      <c r="AL29" s="1370">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11.869060000000003</v>
      </c>
      <c r="AN29" s="760">
        <f ca="1">Tab_NewTRADER[[#This Row],[N]]*(Tab_NewTRADER[[#This Row],[M]]-Tab_NewTRADER[[#This Row],[A]])*(1-Commission)*Tab_NewTRADER[[#This Row],[Scale]]</f>
        <v>29.141035800000004</v>
      </c>
      <c r="AO29" s="760">
        <f ca="1">Tab_NewTRADER[[#This Row],[M]]*Tab_NewTRADER[[#This Row],[N]]*(1-Commission)*Tab_NewTRADER[[#This Row],[Scale]]</f>
        <v>79.692260000000005</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0.57646548152240407</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0.14633617021276601</v>
      </c>
      <c r="AR29" s="825" cm="1">
        <f t="array" aca="1" ref="AR29" ca="1">_xlfn.IFS(   Tab_NewTRADER[[#This Row],[Trap_vs_Last]]=SellMorePercentGain,                     MIN(Tab_NewTRADER[[#This Row],[L_Sn]],Tab_NewTRADER[[#This Row],[N]])*(Tab_NewTRADER[[#This Row],[M]]-Tab_NewTRADER[[#This Row],[L_Sp]])*(1-Commission)*Tab_NewTRADER[[#This Row],[Scale]],                    TRUE,"")</f>
        <v>11.869060000000003</v>
      </c>
      <c r="AS29" s="1175">
        <f ca="1">_xlfn.XLOOKUP(Tab_NewTRADER[[#This Row],[ClickTick]],TabCalc[Ticker],TabCalc[Ann%RevLB])</f>
        <v>0.70587609982335198</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0.57386548152240402</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45.939837034508621</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10x2.92</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0.57496667127044576</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-0.36826958698372969</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-0.17500000000000007</v>
      </c>
      <c r="BF29" s="729">
        <f ca="1">MIN(Tab_NewTRADER[[#This Row],[L_Sn]],Tab_NewTRADER[[#This Row],[N]])*(Tab_NewTRADER[[#This Row],[M]]-Tab_NewTRADER[[#This Row],[L_Sp]])*(1-Commission)*Tab_NewTRADER[[#This Row],[Scale]]</f>
        <v>11.869060000000003</v>
      </c>
      <c r="BG29" s="692">
        <f ca="1">Tab_NewTRADER[[#This Row],[L_Sn]]*(Tab_NewTRADER[[#This Row],[Agiotage]]-Tab_NewTRADER[[#This Row],[M]])/(Tab_NewTRADER[[#This Row],[L_Bn]]*Tab_NewTRADER[[#This Row],[M]])</f>
        <v>-0.49498218050582893</v>
      </c>
      <c r="BH29" s="635">
        <f ca="1">IFERROR((Tab_NewTRADER[[#This Row],[M]]-Tab_NewTRADER[[#This Row],[A]])/Tab_NewTRADER[[#This Row],[A]],0)</f>
        <v>0.57646548152240407</v>
      </c>
      <c r="BI29" s="638" t="str">
        <f ca="1">TEXT(_xlfn.XLOOKUP(Tab_NewTRADER[[#This Row],[ClickTick]],TabCalc[Ticker],TabCalc[NAfter]),"#,#0")&amp;" : "&amp;TEXT(_xlfn.XLOOKUP(Tab_NewTRADER[[#This Row],[ClickTick]],TabCalc[Ticker],TabCalc[NAfter])*(Tab_NewTRADER[[#This Row],[M]]-Tab_NewTRADER[[#This Row],[A]])*(1-Commission)*Tab_NewTRADER[[#This Row],[Scale]],"#,#0$")</f>
        <v>10 : 29$</v>
      </c>
      <c r="BJ29" s="684">
        <f ca="1">_xlfn.XLOOKUP(Tab_NewTRADER[[#This Row],[ClickTick]],TabCalc[[#This Row],[Ticker]],TabCalc[[#This Row],[GL]])*(1-Commission)</f>
        <v>14732.395919999999</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0.14893617021276601</v>
      </c>
      <c r="BP29" s="679">
        <f ca="1">Tab_NewTRADER[[#This Row],[L_Sn]]*Tab_NewTRADER[[#This Row],[L_Sp]]+Tab_NewTRADER[[#This Row],[SellMore]]*Tab_NewTRADER[[#This Row],[M]]</f>
        <v>6811.9</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6.8118999999999996</v>
      </c>
      <c r="BT29" s="687">
        <f ca="1">((_xlfn.XLOOKUP(Tab_NewTRADER[[#This Row],[ClickTick]],TabCalc[Ticker],TabCalc[NAfter])+Tab_NewTRADER[[#This Row],[L_Sn]])*(Tab_NewTRADER[[#This Row],[Agiotage]]-Tab_NewTRADER[[#This Row],[M]]))/(Tab_NewTRADER[[#This Row],[L_Sn]]*_xlfn.XLOOKUP(Tab_NewTRADER[[#This Row],[ClickTick]],TabCalc[Ticker],TabCalc[NAfter]))</f>
        <v>-0.80704165334997924</v>
      </c>
      <c r="BU29" s="687">
        <f ca="1">(Tab_NewTRADER[[#This Row],[M]]-Tab_NewTRADER[[#This Row],[Agiotage]])/(Tab_NewTRADER[[#This Row],[M]]-Tab_NewTRADER[[#This Row],[A]])-1</f>
        <v>1.7346107978795886</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-49,740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-66.9%</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-22,360$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-95,205$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256.2% = 79</v>
      </c>
      <c r="I30" s="226" t="str">
        <f ca="1">IFERROR(TRUNC(TabCalc[[#This Row],[L_S1p]],2)&amp;"x"&amp;TabCalc[[#This Row],[L_S1n]]&amp;"=   "&amp;TEXT(TabCalc[[#This Row],[ReverseB1]],"#,#0"),"")</f>
        <v>125.31x2800=   281,512</v>
      </c>
      <c r="J30" s="295">
        <f ca="1">_xlfn.XLOOKUP(Tab_NewTRADER[[#This Row],[ClickTick]],TabCalc[Ticker],ListGravity)</f>
        <v>1.6269681065805408</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292286</v>
      </c>
      <c r="M30" s="323">
        <f ca="1">_xlfn.XLOOKUP(Tab_NewTRADER[[#This Row],[ClickTick]],TabCalc[Ticker],TabCalc[Agiotage])</f>
        <v>1.1079459906615486E-3</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-0.40096735187424426</v>
      </c>
      <c r="S30" s="683">
        <f ca="1">_xlfn.XLOOKUP(Tab_NewTRADER[[#This Row],[ClickTick]],TabCalc[Ticker],TabCalc[Rev(MinStock)])*(1-Commission)</f>
        <v>-49610.676000000007</v>
      </c>
      <c r="T30" s="782">
        <f ca="1">_xlfn.XLOOKUP(Tab_NewTRADER[[#This Row],[ClickTick]],TabCalc[Ticker],TabCalc[Agiotage])</f>
        <v>1.1079459906615486E-3</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4,020/4,020=&gt;0.8% / -0.8%</v>
      </c>
      <c r="V30" s="739" t="str">
        <f ca="1">_xlfn.XLOOKUP(Tab_NewTRADER[[#This Row],[ClickTick]],[1]!RTData[Ticker_Symbol],[1]!RTData[Currency])</f>
        <v>USD</v>
      </c>
      <c r="W30" s="749">
        <f ca="1">_xlfn.XLOOKUP(Tab_NewTRADER[[#This Row],[ClickTick]],TabCalc[Ticker],TabCalc[M])</f>
        <v>24.77</v>
      </c>
      <c r="X30" s="1343"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-516/297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70" t="str">
        <f ca="1">TEXT(MIN(Tab_NewTRADER[[#This Row],[L_Bn]],Tab_NewTRADER[[#This Row],[N]]),"#,#0")&amp;" x "&amp;TEXT(Tab_NewTRADER[[#This Row],[L_Bp]],"#,#0.#0")</f>
        <v>3,000 x -41.35</v>
      </c>
      <c r="AJ30" s="1370">
        <f ca="1">IF(Tab_NewTRADER[[#This Row],[M]]&lt;_xlfn.XLOOKUP(Tab_NewTRADER[[#This Row],[ClickTick]],TabCalc[Ticker],TabCalc[Max_Buy_P]), 0,Tab_NewTRADER[[#This Row],[Sale_Back_$]])</f>
        <v>0</v>
      </c>
      <c r="AK30" s="1370" t="str">
        <f ca="1">TEXT(Tab_NewTRADER[[#This Row],[L_Sn]],"#,#0")&amp;" ("&amp;Tab_NewTRADER[[#This Row],[M]]&amp;"/"&amp;TEXT(Tab_NewTRADER[[#This Row],[L_Sp]],"#,#0.#0)")</f>
        <v>1,500 (24.77/88.24)</v>
      </c>
      <c r="AL30" s="1370">
        <f ca="1">IF(Tab_NewTRADER[[#This Row],[M]]&lt;_xlfn.XLOOKUP(Tab_NewTRADER[[#This Row],[ClickTick]],TabCalc[Ticker],TabCalc[Max_Buy_P]), -Tab_NewTRADER[[#This Row],[Buy_Back]], 0)</f>
        <v>94957.46699999999</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49610.676000000007</v>
      </c>
      <c r="AN30" s="1177">
        <f ca="1">Tab_NewTRADER[[#This Row],[N]]*(Tab_NewTRADER[[#This Row],[M]]-Tab_NewTRADER[[#This Row],[A]])*(1-Commission)*Tab_NewTRADER[[#This Row],[Scale]]</f>
        <v>-561041.52949600003</v>
      </c>
      <c r="AO30" s="1177">
        <f ca="1">Tab_NewTRADER[[#This Row],[M]]*Tab_NewTRADER[[#This Row],[N]]*(1-Commission)*Tab_NewTRADER[[#This Row],[Scale]]</f>
        <v>296467.17599999998</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0.65426919388705507</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0.66675809446911594</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-0.49434331052989022</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0.66935809446911598</v>
      </c>
      <c r="AV30" s="825" cm="1">
        <f t="array" aca="1" ref="AV30" ca="1">_xlfn.IFS(         Tab_NewTRADER[[#This Row],[Trap_vs_Last]]=MDown,Tab_NewTRADER[[#This Row],[L_Bn]]*Tab_NewTRADER[[#This Row],[M]]*(-(Tab_NewTRADER[[#This Row],[L_Bp]]+Tab_NewTRADER[[#This Row],[M]])/Tab_NewTRADER[[#This Row],[M]])*(1-Commission)*Tab_NewTRADER[[#This Row],[Scale]],                               TRUE,"")</f>
        <v>49610.676000000007</v>
      </c>
      <c r="AW30" s="1186" cm="1">
        <f t="array" aca="1" ref="AW30" ca="1">_xlfn.IFS(   Tab_NewTRADER[[#This Row],[Trap_vs_Last]]=MUp,Tab_NewTRADER[[#This Row],[TakeGain_A]]-Commission,        Tab_NewTRADER[[#This Row],[Trap_vs_Last]]=MDown,(Tab_NewTRADER[[#This Row],[A]]-Tab_NewTRADER[[#This Row],[M]])/Tab_NewTRADER[[#This Row],[M]]-Commission,                              TRUE,"")</f>
        <v>1.8898237653074959</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561041.52949600003</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-16.579999999999998</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-0.65256809398294868</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1.8898237653074959</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0.71928830462375348</v>
      </c>
      <c r="BF30" s="729">
        <f ca="1">MIN(Tab_NewTRADER[[#This Row],[L_Sn]],Tab_NewTRADER[[#This Row],[N]])*(Tab_NewTRADER[[#This Row],[M]]-Tab_NewTRADER[[#This Row],[L_Sp]])*(1-Commission)*Tab_NewTRADER[[#This Row],[Scale]]</f>
        <v>-94957.46699999999</v>
      </c>
      <c r="BG30" s="692">
        <f ca="1">Tab_NewTRADER[[#This Row],[L_Sn]]*(Tab_NewTRADER[[#This Row],[Agiotage]]-Tab_NewTRADER[[#This Row],[M]])/(Tab_NewTRADER[[#This Row],[L_Bn]]*Tab_NewTRADER[[#This Row],[M]])</f>
        <v>-0.49997763532517842</v>
      </c>
      <c r="BH30" s="635">
        <f ca="1">IFERROR((Tab_NewTRADER[[#This Row],[M]]-Tab_NewTRADER[[#This Row],[A]])/Tab_NewTRADER[[#This Row],[A]],0)</f>
        <v>-0.65426919388705507</v>
      </c>
      <c r="BI30" s="638" t="str">
        <f ca="1">TEXT(_xlfn.XLOOKUP(Tab_NewTRADER[[#This Row],[ClickTick]],TabCalc[Ticker],TabCalc[NAfter]),"#,#0")&amp;" : "&amp;TEXT(_xlfn.XLOOKUP(Tab_NewTRADER[[#This Row],[ClickTick]],TabCalc[Ticker],TabCalc[NAfter])*(Tab_NewTRADER[[#This Row],[M]]-Tab_NewTRADER[[#This Row],[A]])*(1-Commission)*Tab_NewTRADER[[#This Row],[Scale]],"#,#0$")</f>
        <v>12,000 : -561,042$</v>
      </c>
      <c r="BJ30" s="684">
        <f ca="1">_xlfn.XLOOKUP(Tab_NewTRADER[[#This Row],[ClickTick]],TabCalc[[#This Row],[Ticker]],TabCalc[[#This Row],[GL]])*(1-Commission)</f>
        <v>-514620.46887799993</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0.66935809446911598</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-1.8576669040507005E-2</v>
      </c>
      <c r="BU30" s="687">
        <f ca="1">(Tab_NewTRADER[[#This Row],[M]]-Tab_NewTRADER[[#This Row],[Agiotage]])/(Tab_NewTRADER[[#This Row],[M]]-Tab_NewTRADER[[#This Row],[A]])-1</f>
        <v>-1.5283992354048017</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-548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364</v>
      </c>
      <c r="F31" s="226" t="str">
        <f ca="1">TRUNC(TabCalc[[#This Row],[L_B1p]],2)&amp;"x"&amp;TabCalc[[#This Row],[L_B1n]]&amp;"=   "&amp;TEXT(TabCalc[[#This Row],[ReverseS1]],"#,#0")&amp;"$"</f>
        <v>-378.43x150=   19,763$</v>
      </c>
      <c r="G31" s="225" t="str">
        <f ca="1">IFERROR(TRUNC(_xlfn.XLOOKUP(Tab_NewTRADER[[#This Row],[ClickTick]],TabCalc[Ticker],ListLastSalep),2)&amp;"x"&amp;_xlfn.XLOOKUP(Tab_NewTRADER[[#This Row],[ClickTick]],TabCalc[Ticker],ListLastSalen)&amp;"=   "&amp;TEXT(-_xlfn.XLOOKUP(Tab_NewTRADER[[#This Row],[ClickTick]],TabCalc[Ticker],ListReverseB),"#,#0")&amp;"$","")</f>
        <v>523.92x150=   -2,061$</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364</v>
      </c>
      <c r="I31" s="226" t="str">
        <f ca="1">IFERROR(TRUNC(TabCalc[[#This Row],[L_S1p]],2)&amp;"x"&amp;TabCalc[[#This Row],[L_S1n]]&amp;"=   "&amp;TEXT(TabCalc[[#This Row],[ReverseB1]],"#,#0"),"")</f>
        <v>515.24x200=   1,013</v>
      </c>
      <c r="J31" s="295">
        <f ca="1">_xlfn.XLOOKUP(Tab_NewTRADER[[#This Row],[ClickTick]],TabCalc[Ticker],ListGravity)</f>
        <v>1.2274619938061075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1.3927540245892689E-3</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-7.1035167273223315E-3</v>
      </c>
      <c r="S31" s="683">
        <f ca="1">_xlfn.XLOOKUP(Tab_NewTRADER[[#This Row],[ClickTick]],TabCalc[Ticker],TabCalc[Rev(MinStock)])*(1-Commission)</f>
        <v>-546.07650000000513</v>
      </c>
      <c r="T31" s="782">
        <f ca="1">_xlfn.XLOOKUP(Tab_NewTRADER[[#This Row],[ClickTick]],TabCalc[Ticker],TabCalc[Agiotage])</f>
        <v>1.3927540245892689E-3</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117,110/117,110=&gt;0.1% / 1.4%</v>
      </c>
      <c r="V31" s="739" t="str">
        <f ca="1">_xlfn.XLOOKUP(Tab_NewTRADER[[#This Row],[ClickTick]],[1]!RTData[Ticker_Symbol],[1]!RTData[Currency])</f>
        <v>USD</v>
      </c>
      <c r="W31" s="749">
        <f ca="1">_xlfn.XLOOKUP(Tab_NewTRADER[[#This Row],[ClickTick]],TabCalc[Ticker],TabCalc[M])</f>
        <v>510.18</v>
      </c>
      <c r="X31" s="1343"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^4,085 / 5,000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70" t="str">
        <f ca="1">TEXT(MIN(Tab_NewTRADER[[#This Row],[L_Bn]],Tab_NewTRADER[[#This Row],[N]]),"#,#0")&amp;" x "&amp;TEXT(Tab_NewTRADER[[#This Row],[L_Bp]],"#,#0.#0")</f>
        <v>150 x -513.83</v>
      </c>
      <c r="AJ31" s="1370">
        <f ca="1">IF(Tab_NewTRADER[[#This Row],[M]]&lt;_xlfn.XLOOKUP(Tab_NewTRADER[[#This Row],[ClickTick]],TabCalc[Ticker],TabCalc[Max_Buy_P]), 0,Tab_NewTRADER[[#This Row],[Sale_Back_$]])</f>
        <v>0</v>
      </c>
      <c r="AK31" s="1370" t="str">
        <f ca="1">TEXT(Tab_NewTRADER[[#This Row],[L_Sn]],"#,#0")&amp;" ("&amp;Tab_NewTRADER[[#This Row],[M]]&amp;"/"&amp;TEXT(Tab_NewTRADER[[#This Row],[L_Sp]],"#,#0.#0)")</f>
        <v>150 (510.18/523.92)</v>
      </c>
      <c r="AL31" s="1370">
        <f ca="1">IF(Tab_NewTRADER[[#This Row],[M]]&lt;_xlfn.XLOOKUP(Tab_NewTRADER[[#This Row],[ClickTick]],TabCalc[Ticker],TabCalc[Max_Buy_P]), -Tab_NewTRADER[[#This Row],[Buy_Back]], 0)</f>
        <v>2055.6413999999927</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546.07650000000513</v>
      </c>
      <c r="AN31" s="1177">
        <f ca="1">Tab_NewTRADER[[#This Row],[N]]*(Tab_NewTRADER[[#This Row],[M]]-Tab_NewTRADER[[#This Row],[A]])*(1-Commission)*Tab_NewTRADER[[#This Row],[Scale]]</f>
        <v>1722260.8489600001</v>
      </c>
      <c r="AO31" s="1177">
        <f ca="1">Tab_NewTRADER[[#This Row],[M]]*Tab_NewTRADER[[#This Row],[N]]*(1-Commission)*Tab_NewTRADER[[#This Row],[Scale]]</f>
        <v>4986764.6135999998</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-0.52757202108784396</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4.5543376847387868E-3</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-7.3064743481029704E-2</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7.1543376847387867E-3</v>
      </c>
      <c r="AV31" s="825" cm="1">
        <f t="array" aca="1" ref="AV31" ca="1">_xlfn.IFS(         Tab_NewTRADER[[#This Row],[Trap_vs_Last]]=MDown,Tab_NewTRADER[[#This Row],[L_Bn]]*Tab_NewTRADER[[#This Row],[M]]*(-(Tab_NewTRADER[[#This Row],[L_Bp]]+Tab_NewTRADER[[#This Row],[M]])/Tab_NewTRADER[[#This Row],[M]])*(1-Commission)*Tab_NewTRADER[[#This Row],[Scale]],                               TRUE,"")</f>
        <v>546.07650000000513</v>
      </c>
      <c r="AW31" s="1186" cm="1">
        <f t="array" aca="1" ref="AW31" ca="1">_xlfn.IFS(   Tab_NewTRADER[[#This Row],[Trap_vs_Last]]=MUp,Tab_NewTRADER[[#This Row],[TakeGain_A]]-Commission,        Tab_NewTRADER[[#This Row],[Trap_vs_Last]]=MDown,(Tab_NewTRADER[[#This Row],[A]]-Tab_NewTRADER[[#This Row],[M]])/Tab_NewTRADER[[#This Row],[M]]-Commission,                              TRUE,"")</f>
        <v>-0.34796638129319707</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-1722260.8489600001</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-3.65</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0.52620033383301557</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-0.34796638129319707</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2.6225377920293086E-2</v>
      </c>
      <c r="BF31" s="729">
        <f ca="1">MIN(Tab_NewTRADER[[#This Row],[L_Sn]],Tab_NewTRADER[[#This Row],[N]])*(Tab_NewTRADER[[#This Row],[M]]-Tab_NewTRADER[[#This Row],[L_Sp]])*(1-Commission)*Tab_NewTRADER[[#This Row],[Scale]]</f>
        <v>-2055.6413999999927</v>
      </c>
      <c r="BG31" s="692">
        <f ca="1">Tab_NewTRADER[[#This Row],[L_Sn]]*(Tab_NewTRADER[[#This Row],[Agiotage]]-Tab_NewTRADER[[#This Row],[M]])/(Tab_NewTRADER[[#This Row],[L_Bn]]*Tab_NewTRADER[[#This Row],[M]])</f>
        <v>-0.99999727007325923</v>
      </c>
      <c r="BH31" s="635">
        <f ca="1">IFERROR((Tab_NewTRADER[[#This Row],[M]]-Tab_NewTRADER[[#This Row],[A]])/Tab_NewTRADER[[#This Row],[A]],0)</f>
        <v>0.52757202108784396</v>
      </c>
      <c r="BI31" s="638" t="str">
        <f ca="1">TEXT(_xlfn.XLOOKUP(Tab_NewTRADER[[#This Row],[ClickTick]],TabCalc[Ticker],TabCalc[NAfter]),"#,#0")&amp;" : "&amp;TEXT(_xlfn.XLOOKUP(Tab_NewTRADER[[#This Row],[ClickTick]],TabCalc[Ticker],TabCalc[NAfter])*(Tab_NewTRADER[[#This Row],[M]]-Tab_NewTRADER[[#This Row],[A]])*(1-Commission)*Tab_NewTRADER[[#This Row],[Scale]],"#,#0$")</f>
        <v>9,800 : 1,722,261$</v>
      </c>
      <c r="BJ31" s="684">
        <f ca="1">_xlfn.XLOOKUP(Tab_NewTRADER[[#This Row],[ClickTick]],TabCalc[[#This Row],[Ticker]],TabCalc[[#This Row],[GL]])*(1-Commission)</f>
        <v>4074691.744744</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7.1543376847387867E-3</v>
      </c>
      <c r="BP31" s="679">
        <f ca="1">Tab_NewTRADER[[#This Row],[L_Sn]]*Tab_NewTRADER[[#This Row],[L_Sp]]+Tab_NewTRADER[[#This Row],[SellMore]]*Tab_NewTRADER[[#This Row],[M]]</f>
        <v>1098948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511.13860465116278</v>
      </c>
      <c r="BT31" s="687">
        <f ca="1">((_xlfn.XLOOKUP(Tab_NewTRADER[[#This Row],[ClickTick]],TabCalc[Ticker],TabCalc[NAfter])+Tab_NewTRADER[[#This Row],[L_Sn]])*(Tab_NewTRADER[[#This Row],[Agiotage]]-Tab_NewTRADER[[#This Row],[M]]))/(Tab_NewTRADER[[#This Row],[L_Sn]]*_xlfn.XLOOKUP(Tab_NewTRADER[[#This Row],[ClickTick]],TabCalc[Ticker],TabCalc[NAfter]))</f>
        <v>-3.4532497565288813</v>
      </c>
      <c r="BU31" s="687">
        <f ca="1">(Tab_NewTRADER[[#This Row],[M]]-Tab_NewTRADER[[#This Row],[Agiotage]])/(Tab_NewTRADER[[#This Row],[M]]-Tab_NewTRADER[[#This Row],[A]])-1</f>
        <v>1.8954678979721438</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790$</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32" s="226" t="str">
        <f ca="1">IFERROR(TRUNC(TabCalc[[#This Row],[L_S1p]],2)&amp;"x"&amp;TabCalc[[#This Row],[L_S1n]]&amp;"=   "&amp;TEXT(TabCalc[[#This Row],[ReverseB1]],"#,#0"),"")</f>
        <v>84.7x300=   257</v>
      </c>
      <c r="J32" s="295">
        <f ca="1">_xlfn.XLOOKUP(Tab_NewTRADER[[#This Row],[ClickTick]],TabCalc[Ticker],ListGravity)</f>
        <v>1.0852713178294575</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1.303453695704332E-4</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0.18097854685216527</v>
      </c>
      <c r="S32" s="683">
        <f ca="1">_xlfn.XLOOKUP(Tab_NewTRADER[[#This Row],[ClickTick]],TabCalc[Ticker],TabCalc[Rev(MinStock)])*(1-Commission)</f>
        <v>12.81614815179999</v>
      </c>
      <c r="T32" s="782">
        <f ca="1">_xlfn.XLOOKUP(Tab_NewTRADER[[#This Row],[ClickTick]],TabCalc[Ticker],TabCalc[Agiotage])</f>
        <v>1.303453695704332E-4</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-0.2%</v>
      </c>
      <c r="V32" s="739" t="str">
        <f ca="1">_xlfn.XLOOKUP(Tab_NewTRADER[[#This Row],[ClickTick]],[1]!RTData[Ticker_Symbol],[1]!RTData[Currency])</f>
        <v>USD</v>
      </c>
      <c r="W32" s="749">
        <f ca="1">_xlfn.XLOOKUP(Tab_NewTRADER[[#This Row],[ClickTick]],TabCalc[Ticker],TabCalc[M])</f>
        <v>83.85</v>
      </c>
      <c r="X32" s="1343"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70" t="str">
        <f ca="1">TEXT(MIN(Tab_NewTRADER[[#This Row],[L_Bn]],Tab_NewTRADER[[#This Row],[N]]),"#,#0")&amp;" x "&amp;TEXT(Tab_NewTRADER[[#This Row],[L_Bp]],"#,#0.#0")</f>
        <v>1 x -71.0</v>
      </c>
      <c r="AJ32" s="1370">
        <f ca="1">IF(Tab_NewTRADER[[#This Row],[M]]&lt;_xlfn.XLOOKUP(Tab_NewTRADER[[#This Row],[ClickTick]],TabCalc[Ticker],TabCalc[Max_Buy_P]), 0,Tab_NewTRADER[[#This Row],[Sale_Back_$]])</f>
        <v>12.81614815179999</v>
      </c>
      <c r="AK32" s="1370" t="str">
        <f ca="1">TEXT(Tab_NewTRADER[[#This Row],[L_Sn]],"#,#0")&amp;" ("&amp;Tab_NewTRADER[[#This Row],[M]]&amp;"/"&amp;TEXT(Tab_NewTRADER[[#This Row],[L_Sp]],"#,#0.#0)")</f>
        <v>399 (83.85/81.87)</v>
      </c>
      <c r="AL32" s="1370">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1.9748519999999896</v>
      </c>
      <c r="AN32" s="1177">
        <f ca="1">Tab_NewTRADER[[#This Row],[N]]*(Tab_NewTRADER[[#This Row],[M]]-Tab_NewTRADER[[#This Row],[A]])*(1-Commission)*Tab_NewTRADER[[#This Row],[Scale]]</f>
        <v>12.81614815179999</v>
      </c>
      <c r="AO32" s="1177">
        <f ca="1">Tab_NewTRADER[[#This Row],[M]]*Tab_NewTRADER[[#This Row],[N]]*(1-Commission)*Tab_NewTRADER[[#This Row],[Scale]]</f>
        <v>83.631989999999988</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0.18097854685216527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2.1013595706618843E-2</v>
      </c>
      <c r="AR32" s="825" cm="1">
        <f t="array" aca="1" ref="AR32" ca="1">_xlfn.IFS(   Tab_NewTRADER[[#This Row],[Trap_vs_Last]]=SellMorePercentGain,                     MIN(Tab_NewTRADER[[#This Row],[L_Sn]],Tab_NewTRADER[[#This Row],[N]])*(Tab_NewTRADER[[#This Row],[M]]-Tab_NewTRADER[[#This Row],[L_Sp]])*(1-Commission)*Tab_NewTRADER[[#This Row],[Scale]],                    TRUE,"")</f>
        <v>1.9748519999999896</v>
      </c>
      <c r="AS32" s="1192">
        <f ca="1">_xlfn.XLOOKUP(Tab_NewTRADER[[#This Row],[ClickTick]],TabCalc[Ticker],TabCalc[Ann%RevLB])</f>
        <v>0.95812171862911033</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0.17837854685216528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15.135596020554814</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1x12.84</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0.18050800263034963</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-0.15584456768038152</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-2.4184683034078291E-2</v>
      </c>
      <c r="BF32" s="729">
        <f ca="1">MIN(Tab_NewTRADER[[#This Row],[L_Sn]],Tab_NewTRADER[[#This Row],[N]])*(Tab_NewTRADER[[#This Row],[M]]-Tab_NewTRADER[[#This Row],[L_Sp]])*(1-Commission)*Tab_NewTRADER[[#This Row],[Scale]]</f>
        <v>1.9748519999999896</v>
      </c>
      <c r="BG32" s="692">
        <f ca="1">Tab_NewTRADER[[#This Row],[L_Sn]]*(Tab_NewTRADER[[#This Row],[Agiotage]]-Tab_NewTRADER[[#This Row],[M]])/(Tab_NewTRADER[[#This Row],[L_Bn]]*Tab_NewTRADER[[#This Row],[M]])</f>
        <v>-9.9749844937977158E-2</v>
      </c>
      <c r="BH32" s="635">
        <f ca="1">IFERROR((Tab_NewTRADER[[#This Row],[M]]-Tab_NewTRADER[[#This Row],[A]])/Tab_NewTRADER[[#This Row],[A]],0)</f>
        <v>0.18097854685216527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66544.535194799973</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2.3613595706618841E-2</v>
      </c>
      <c r="BP32" s="679">
        <f ca="1">Tab_NewTRADER[[#This Row],[L_Sn]]*Tab_NewTRADER[[#This Row],[L_Sp]]+Tab_NewTRADER[[#This Row],[SellMore]]*Tab_NewTRADER[[#This Row],[M]]</f>
        <v>66206.13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82.861239048811015</v>
      </c>
      <c r="BT32" s="687">
        <f ca="1">((_xlfn.XLOOKUP(Tab_NewTRADER[[#This Row],[ClickTick]],TabCalc[Ticker],TabCalc[NAfter])+Tab_NewTRADER[[#This Row],[L_Sn]])*(Tab_NewTRADER[[#This Row],[Agiotage]]-Tab_NewTRADER[[#This Row],[M]]))/(Tab_NewTRADER[[#This Row],[L_Sn]]*_xlfn.XLOOKUP(Tab_NewTRADER[[#This Row],[ClickTick]],TabCalc[Ticker],TabCalc[NAfter]))</f>
        <v>-84.060019703890148</v>
      </c>
      <c r="BU32" s="687">
        <f ca="1">(Tab_NewTRADER[[#This Row],[M]]-Tab_NewTRADER[[#This Row],[Agiotage]])/(Tab_NewTRADER[[#This Row],[M]]-Tab_NewTRADER[[#This Row],[A]])-1</f>
        <v>5.5255066501226846</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+17,840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561/20,000=49,215</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7,920$</v>
      </c>
      <c r="G33" s="225" t="str">
        <f ca="1">IFERROR(TRUNC(_xlfn.XLOOKUP(Tab_NewTRADER[[#This Row],[ClickTick]],TabCalc[Ticker],ListLastSalep),2)&amp;"x"&amp;_xlfn.XLOOKUP(Tab_NewTRADER[[#This Row],[ClickTick]],TabCalc[Ticker],ListLastSalen)&amp;"=   "&amp;TEXT(-_xlfn.XLOOKUP(Tab_NewTRADER[[#This Row],[ClickTick]],TabCalc[Ticker],ListReverseB),"#,#0")&amp;"$","")</f>
        <v>81.47x2000=   12,660$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0</v>
      </c>
      <c r="I33" s="226" t="str">
        <f ca="1">IFERROR(TRUNC(TabCalc[[#This Row],[L_S1p]],2)&amp;"x"&amp;TabCalc[[#This Row],[L_S1n]]&amp;"=   "&amp;TEXT(TabCalc[[#This Row],[ReverseB1]],"#,#0"),"")</f>
        <v>94.22x1000=   6,420</v>
      </c>
      <c r="J33" s="295">
        <f ca="1">_xlfn.XLOOKUP(Tab_NewTRADER[[#This Row],[ClickTick]],TabCalc[Ticker],ListGravity)</f>
        <v>1.1701025056947609</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439000</v>
      </c>
      <c r="M33" s="323">
        <f ca="1">_xlfn.XLOOKUP(Tab_NewTRADER[[#This Row],[ClickTick]],TabCalc[Ticker],TabCalc[Agiotage])</f>
        <v>4.6623648690558679E-4</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0.11308316430020286</v>
      </c>
      <c r="S33" s="683">
        <f ca="1">_xlfn.XLOOKUP(Tab_NewTRADER[[#This Row],[ClickTick]],TabCalc[Ticker],TabCalc[Rev(MinStock)])*(1-Commission)</f>
        <v>17793.616000000002</v>
      </c>
      <c r="T33" s="782">
        <f ca="1">_xlfn.XLOOKUP(Tab_NewTRADER[[#This Row],[ClickTick]],TabCalc[Ticker],TabCalc[Agiotage])</f>
        <v>4.6623648690558679E-4</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32,200/32,200=&gt;1.0% / -2.1%</v>
      </c>
      <c r="V33" s="739" t="str">
        <f ca="1">_xlfn.XLOOKUP(Tab_NewTRADER[[#This Row],[ClickTick]],[1]!RTData[Ticker_Symbol],[1]!RTData[Currency])</f>
        <v>USD</v>
      </c>
      <c r="W33" s="749">
        <f ca="1">_xlfn.XLOOKUP(Tab_NewTRADER[[#This Row],[ClickTick]],TabCalc[Ticker],TabCalc[M])</f>
        <v>87.8</v>
      </c>
      <c r="X33" s="1343"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^1,274 / 1,756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70" t="str">
        <f ca="1">TEXT(MIN(Tab_NewTRADER[[#This Row],[L_Bn]],Tab_NewTRADER[[#This Row],[N]]),"#,#0")&amp;" x "&amp;TEXT(Tab_NewTRADER[[#This Row],[L_Bp]],"#,#0.#0")</f>
        <v>2,000 x -78.88</v>
      </c>
      <c r="AJ33" s="1370">
        <f ca="1">IF(Tab_NewTRADER[[#This Row],[M]]&lt;_xlfn.XLOOKUP(Tab_NewTRADER[[#This Row],[ClickTick]],TabCalc[Ticker],TabCalc[Max_Buy_P]), 0,Tab_NewTRADER[[#This Row],[Sale_Back_$]])</f>
        <v>17793.616000000002</v>
      </c>
      <c r="AK33" s="1370" t="str">
        <f ca="1">TEXT(Tab_NewTRADER[[#This Row],[L_Sn]],"#,#0")&amp;" ("&amp;Tab_NewTRADER[[#This Row],[M]]&amp;"/"&amp;TEXT(Tab_NewTRADER[[#This Row],[L_Sp]],"#,#0.#0)")</f>
        <v>2,000 (87.8/81.47)</v>
      </c>
      <c r="AL33" s="1370">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12627.083999999995</v>
      </c>
      <c r="AN33" s="760">
        <f ca="1">Tab_NewTRADER[[#This Row],[N]]*(Tab_NewTRADER[[#This Row],[M]]-Tab_NewTRADER[[#This Row],[A]])*(1-Commission)*Tab_NewTRADER[[#This Row],[Scale]]</f>
        <v>506926.46543400001</v>
      </c>
      <c r="AO33" s="760">
        <f ca="1">Tab_NewTRADER[[#This Row],[M]]*Tab_NewTRADER[[#This Row],[N]]*(1-Commission)*Tab_NewTRADER[[#This Row],[Scale]]</f>
        <v>1751434.4</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0.40733084245925816</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6.9495671981776738E-2</v>
      </c>
      <c r="AR33" s="825" cm="1">
        <f t="array" aca="1" ref="AR33" ca="1">_xlfn.IFS(   Tab_NewTRADER[[#This Row],[Trap_vs_Last]]=SellMorePercentGain,                     MIN(Tab_NewTRADER[[#This Row],[L_Sn]],Tab_NewTRADER[[#This Row],[N]])*(Tab_NewTRADER[[#This Row],[M]]-Tab_NewTRADER[[#This Row],[L_Sp]])*(1-Commission)*Tab_NewTRADER[[#This Row],[Scale]],                    TRUE,"")</f>
        <v>12627.083999999995</v>
      </c>
      <c r="AS33" s="1175">
        <f ca="1">_xlfn.XLOOKUP(Tab_NewTRADER[[#This Row],[ClickTick]],TabCalc[Ticker],TabCalc[Ann%RevLB])</f>
        <v>3.1315337806210026</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0.40473084245925817</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713413.24966412538</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2,000x25.41</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0.40627178226886407</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-0.29203502847380414</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-7.769731189394867E-2</v>
      </c>
      <c r="BF33" s="729">
        <f ca="1">MIN(Tab_NewTRADER[[#This Row],[L_Sn]],Tab_NewTRADER[[#This Row],[N]])*(Tab_NewTRADER[[#This Row],[M]]-Tab_NewTRADER[[#This Row],[L_Sp]])*(1-Commission)*Tab_NewTRADER[[#This Row],[Scale]]</f>
        <v>12627.083999999995</v>
      </c>
      <c r="BG33" s="692">
        <f ca="1">Tab_NewTRADER[[#This Row],[L_Sn]]*(Tab_NewTRADER[[#This Row],[Agiotage]]-Tab_NewTRADER[[#This Row],[M]])/(Tab_NewTRADER[[#This Row],[L_Bn]]*Tab_NewTRADER[[#This Row],[M]])</f>
        <v>-0.99999468978944306</v>
      </c>
      <c r="BH33" s="635">
        <f ca="1">IFERROR((Tab_NewTRADER[[#This Row],[M]]-Tab_NewTRADER[[#This Row],[A]])/Tab_NewTRADER[[#This Row],[A]],0)</f>
        <v>0.40733084245925816</v>
      </c>
      <c r="BI33" s="638" t="str">
        <f ca="1">TEXT(_xlfn.XLOOKUP(Tab_NewTRADER[[#This Row],[ClickTick]],TabCalc[Ticker],TabCalc[NAfter]),"#,#0")&amp;" : "&amp;TEXT(_xlfn.XLOOKUP(Tab_NewTRADER[[#This Row],[ClickTick]],TabCalc[Ticker],TabCalc[NAfter])*(Tab_NewTRADER[[#This Row],[M]]-Tab_NewTRADER[[#This Row],[A]])*(1-Commission)*Tab_NewTRADER[[#This Row],[Scale]],"#,#0$")</f>
        <v>20,000 : 506,926$</v>
      </c>
      <c r="BJ33" s="684">
        <f ca="1">_xlfn.XLOOKUP(Tab_NewTRADER[[#This Row],[ClickTick]],TabCalc[[#This Row],[Ticker]],TabCalc[[#This Row],[GL]])*(1-Commission)</f>
        <v>1271101.4511820001</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7.2095671981776743E-2</v>
      </c>
      <c r="BP33" s="679">
        <f ca="1">Tab_NewTRADER[[#This Row],[L_Sn]]*Tab_NewTRADER[[#This Row],[L_Sp]]+Tab_NewTRADER[[#This Row],[SellMore]]*Tab_NewTRADER[[#This Row],[M]]</f>
        <v>338540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84.635000000000005</v>
      </c>
      <c r="BT33" s="687">
        <f ca="1">((_xlfn.XLOOKUP(Tab_NewTRADER[[#This Row],[ClickTick]],TabCalc[Ticker],TabCalc[NAfter])+Tab_NewTRADER[[#This Row],[L_Sn]])*(Tab_NewTRADER[[#This Row],[Agiotage]]-Tab_NewTRADER[[#This Row],[M]]))/(Tab_NewTRADER[[#This Row],[L_Sn]]*_xlfn.XLOOKUP(Tab_NewTRADER[[#This Row],[ClickTick]],TabCalc[Ticker],TabCalc[NAfter]))</f>
        <v>-4.8289743569932202E-2</v>
      </c>
      <c r="BU33" s="687">
        <f ca="1">(Tab_NewTRADER[[#This Row],[M]]-Tab_NewTRADER[[#This Row],[Agiotage]])/(Tab_NewTRADER[[#This Row],[M]]-Tab_NewTRADER[[#This Row],[A]])-1</f>
        <v>2.4549884824322481</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+7,645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4,305$</v>
      </c>
      <c r="G34" s="225" t="str">
        <f ca="1">IFERROR(TRUNC(_xlfn.XLOOKUP(Tab_NewTRADER[[#This Row],[ClickTick]],TabCalc[Ticker],ListLastSalep),2)&amp;"x"&amp;_xlfn.XLOOKUP(Tab_NewTRADER[[#This Row],[ClickTick]],TabCalc[Ticker],ListLastSalen)&amp;"=   "&amp;TEXT(-_xlfn.XLOOKUP(Tab_NewTRADER[[#This Row],[ClickTick]],TabCalc[Ticker],ListReverseB),"#,#0")&amp;"$","")</f>
        <v>1233.56x100=   -12,139$</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41</v>
      </c>
      <c r="I34" s="226" t="str">
        <f ca="1">IFERROR(TRUNC(TabCalc[[#This Row],[L_S1p]],2)&amp;"x"&amp;TabCalc[[#This Row],[L_S1n]]&amp;"=   "&amp;TEXT(TabCalc[[#This Row],[ReverseB1]],"#,#0"),"")</f>
        <v>1235.33x100=   12,316</v>
      </c>
      <c r="J34" s="295">
        <f ca="1">_xlfn.XLOOKUP(Tab_NewTRADER[[#This Row],[ClickTick]],TabCalc[Ticker],ListGravity)</f>
        <v>1.2114362912144725</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3.4597705182637987E-2</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1.3939537597549378E-2</v>
      </c>
      <c r="S34" s="683">
        <f ca="1">_xlfn.XLOOKUP(Tab_NewTRADER[[#This Row],[ClickTick]],TabCalc[Ticker],TabCalc[Rev(MinStock)])*(1-Commission)</f>
        <v>7625.1229999999814</v>
      </c>
      <c r="T34" s="782">
        <f ca="1">_xlfn.XLOOKUP(Tab_NewTRADER[[#This Row],[ClickTick]],TabCalc[Ticker],TabCalc[Agiotage])</f>
        <v>3.4597705182637987E-2</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-91,680/-91,680=&gt;0.2% / -3.6%</v>
      </c>
      <c r="V34" s="739" t="str">
        <f ca="1">_xlfn.XLOOKUP(Tab_NewTRADER[[#This Row],[ClickTick]],[1]!RTData[Ticker_Symbol],[1]!RTData[Currency])</f>
        <v>USD</v>
      </c>
      <c r="W34" s="749">
        <f ca="1">_xlfn.XLOOKUP(Tab_NewTRADER[[#This Row],[ClickTick]],TabCalc[Ticker],TabCalc[M])</f>
        <v>1112.17</v>
      </c>
      <c r="X34" s="1343"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^1,501 / 3,337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7625.1229999999814</v>
      </c>
      <c r="AI34" s="1370" t="str">
        <f ca="1">TEXT(MIN(Tab_NewTRADER[[#This Row],[L_Bn]],Tab_NewTRADER[[#This Row],[N]]),"#,#0")&amp;" x "&amp;TEXT(Tab_NewTRADER[[#This Row],[L_Bp]],"#,#0.#0")</f>
        <v>500 x -1,096.88</v>
      </c>
      <c r="AJ34" s="1370">
        <f ca="1">IF(Tab_NewTRADER[[#This Row],[M]]&lt;_xlfn.XLOOKUP(Tab_NewTRADER[[#This Row],[ClickTick]],TabCalc[Ticker],TabCalc[Max_Buy_P]), 0,Tab_NewTRADER[[#This Row],[Sale_Back_$]])</f>
        <v>0</v>
      </c>
      <c r="AK34" s="1370" t="str">
        <f ca="1">TEXT(Tab_NewTRADER[[#This Row],[L_Sn]],"#,#0")&amp;" ("&amp;Tab_NewTRADER[[#This Row],[M]]&amp;"/"&amp;TEXT(Tab_NewTRADER[[#This Row],[L_Sp]],"#,#0.#0)")</f>
        <v>100 (1112.17/1,233.56)</v>
      </c>
      <c r="AL34" s="1370">
        <f ca="1">IF(Tab_NewTRADER[[#This Row],[M]]&lt;_xlfn.XLOOKUP(Tab_NewTRADER[[#This Row],[ClickTick]],TabCalc[Ticker],TabCalc[Max_Buy_P]), -Tab_NewTRADER[[#This Row],[Buy_Back]], 0)</f>
        <v>12107.438599999987</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-50164.232999999622</v>
      </c>
      <c r="AO34" s="1177">
        <f ca="1">Tab_NewTRADER[[#This Row],[M]]*Tab_NewTRADER[[#This Row],[N]]*(1-Commission)*Tab_NewTRADER[[#This Row],[Scale]]</f>
        <v>3327835.074</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1.3939537597549378E-2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41">
        <f ca="1">_xlfn.XLOOKUP(Tab_NewTRADER[[#This Row],[ClickTick]],TabCalc[Ticker],TabCalc[Ann%RevLB])</f>
        <v>0.20909306396324065</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-49419.280131814121</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1.2474134349964368E-2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9.8406238853399816E-2</v>
      </c>
      <c r="BF34" s="729">
        <f ca="1">MIN(Tab_NewTRADER[[#This Row],[L_Sn]],Tab_NewTRADER[[#This Row],[N]])*(Tab_NewTRADER[[#This Row],[M]]-Tab_NewTRADER[[#This Row],[L_Sp]])*(1-Commission)*Tab_NewTRADER[[#This Row],[Scale]]</f>
        <v>-12107.438599999987</v>
      </c>
      <c r="BG34" s="692">
        <f ca="1">Tab_NewTRADER[[#This Row],[L_Sn]]*(Tab_NewTRADER[[#This Row],[Agiotage]]-Tab_NewTRADER[[#This Row],[M]])/(Tab_NewTRADER[[#This Row],[L_Bn]]*Tab_NewTRADER[[#This Row],[M]])</f>
        <v>-0.19999377834230689</v>
      </c>
      <c r="BH34" s="635">
        <f ca="1">IFERROR((Tab_NewTRADER[[#This Row],[M]]-Tab_NewTRADER[[#This Row],[A]])/Tab_NewTRADER[[#This Row],[A]],0)</f>
        <v>-1.4850279245483463E-2</v>
      </c>
      <c r="BI34" s="638" t="str">
        <f ca="1">TEXT(_xlfn.XLOOKUP(Tab_NewTRADER[[#This Row],[ClickTick]],TabCalc[Ticker],TabCalc[NAfter]),"#,#0")&amp;" : "&amp;TEXT(_xlfn.XLOOKUP(Tab_NewTRADER[[#This Row],[ClickTick]],TabCalc[Ticker],TabCalc[NAfter])*(Tab_NewTRADER[[#This Row],[M]]-Tab_NewTRADER[[#This Row],[A]])*(1-Commission)*Tab_NewTRADER[[#This Row],[Scale]],"#,#0$")</f>
        <v>3,000 : -50,164$</v>
      </c>
      <c r="BJ34" s="684">
        <f ca="1">_xlfn.XLOOKUP(Tab_NewTRADER[[#This Row],[ClickTick]],TabCalc[[#This Row],[Ticker]],TabCalc[[#This Row],[GL]])*(1-Commission)</f>
        <v>1497535.248626</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AMY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t="e">
        <f ca="1">Tab_NewTRADER[[#This Row],[L_Sn]]*Tab_NewTRADER[[#This Row],[L_Sp]]+Tab_NewTRADER[[#This Row],[SellMore]]*Tab_NewTRADER[[#This Row],[M]]</f>
        <v>#N/A</v>
      </c>
      <c r="BQ34" s="679" t="e">
        <f ca="1">INDEX(
  INDEX(TabConsolid[], , _xlfn.XMATCH(Tab_NewTRADER[[#This Row],[ClickTick]]&amp;1, TabConsolid[#Headers])),
  MATCH(
    -Tab_NewTRADER[[#This Row],[M]],
    INDEX(TabConsolid[], , _xlfn.XMATCH(Tab_NewTRADER[[#This Row],[ClickTick]]&amp;2, TabConsolid[#Headers])),
    -1
  )
)</f>
        <v>#N/A</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v>
      </c>
      <c r="BS34" s="1156" t="e">
        <f ca="1">Tab_NewTRADER[[#This Row],[ReBuy]]/(Tab_NewTRADER[[#This Row],[L_Sn]]+Tab_NewTRADER[[#This Row],[SellMore]])</f>
        <v>#N/A</v>
      </c>
      <c r="BT34" s="687">
        <f ca="1">((_xlfn.XLOOKUP(Tab_NewTRADER[[#This Row],[ClickTick]],TabCalc[Ticker],TabCalc[NAfter])+Tab_NewTRADER[[#This Row],[L_Sn]])*(Tab_NewTRADER[[#This Row],[Agiotage]]-Tab_NewTRADER[[#This Row],[M]]))/(Tab_NewTRADER[[#This Row],[L_Sn]]*_xlfn.XLOOKUP(Tab_NewTRADER[[#This Row],[ClickTick]],TabCalc[Ticker],TabCalc[NAfter]))</f>
        <v>-11.492065823713112</v>
      </c>
      <c r="BU34" s="687">
        <f ca="1">(Tab_NewTRADER[[#This Row],[M]]-Tab_NewTRADER[[#This Row],[Agiotage]])/(Tab_NewTRADER[[#This Row],[M]]-Tab_NewTRADER[[#This Row],[A]])-1</f>
        <v>-67.336737387105629</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-7,150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-112.6%</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-176,721$</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12.402000000000001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1.1904908516935759E-4</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-0.52962962962962967</v>
      </c>
      <c r="S35" s="683">
        <f ca="1">_xlfn.XLOOKUP(Tab_NewTRADER[[#This Row],[ClickTick]],TabCalc[Ticker],TabCalc[Rev(MinStock)])*(1-Commission)</f>
        <v>-7131.4100000000008</v>
      </c>
      <c r="T35" s="782">
        <f ca="1">_xlfn.XLOOKUP(Tab_NewTRADER[[#This Row],[ClickTick]],TabCalc[Ticker],TabCalc[Agiotage])</f>
        <v>1.1904908516935759E-4</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533/533=&gt;1.7% / 0.4%</v>
      </c>
      <c r="V35" s="739" t="str">
        <f ca="1">_xlfn.XLOOKUP(Tab_NewTRADER[[#This Row],[ClickTick]],[1]!RTData[Ticker_Symbol],[1]!RTData[Currency])</f>
        <v>USD</v>
      </c>
      <c r="W35" s="749">
        <f ca="1">_xlfn.XLOOKUP(Tab_NewTRADER[[#This Row],[ClickTick]],TabCalc[Ticker],TabCalc[M])</f>
        <v>2.54</v>
      </c>
      <c r="X35" s="1343"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-184/68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70" t="str">
        <f ca="1">TEXT(MIN(Tab_NewTRADER[[#This Row],[L_Bn]],Tab_NewTRADER[[#This Row],[N]]),"#,#0")&amp;" x "&amp;TEXT(Tab_NewTRADER[[#This Row],[L_Bp]],"#,#0.#0")</f>
        <v>2,500 x -5.40</v>
      </c>
      <c r="AJ35" s="1370">
        <f ca="1">IF(Tab_NewTRADER[[#This Row],[M]]&lt;_xlfn.XLOOKUP(Tab_NewTRADER[[#This Row],[ClickTick]],TabCalc[Ticker],TabCalc[Max_Buy_P]), 0,Tab_NewTRADER[[#This Row],[Sale_Back_$]])</f>
        <v>0</v>
      </c>
      <c r="AK35" s="1370" t="str">
        <f ca="1">TEXT(Tab_NewTRADER[[#This Row],[L_Sn]],"#,#0")&amp;" ("&amp;Tab_NewTRADER[[#This Row],[M]]&amp;"/"&amp;TEXT(Tab_NewTRADER[[#This Row],[L_Sp]],"#,#0.#0)")</f>
        <v>0 (2.54/0.0)</v>
      </c>
      <c r="AL35" s="1370">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7131.4100000000008</v>
      </c>
      <c r="AN35" s="1177">
        <f ca="1">Tab_NewTRADER[[#This Row],[N]]*(Tab_NewTRADER[[#This Row],[M]]-Tab_NewTRADER[[#This Row],[A]])*(1-Commission)*Tab_NewTRADER[[#This Row],[Scale]]</f>
        <v>-183393.1224125</v>
      </c>
      <c r="AO35" s="1177">
        <f ca="1">Tab_NewTRADER[[#This Row],[M]]*Tab_NewTRADER[[#This Row],[N]]*(1-Commission)*Tab_NewTRADER[[#This Row],[Scale]]</f>
        <v>67558.071131999997</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0.73079199115257343</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1.1233842519685042</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-2.5422222222222222</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1.1259842519685042</v>
      </c>
      <c r="AV35" s="825" cm="1">
        <f t="array" aca="1" ref="AV35" ca="1">_xlfn.IFS(         Tab_NewTRADER[[#This Row],[Trap_vs_Last]]=MDown,Tab_NewTRADER[[#This Row],[L_Bn]]*Tab_NewTRADER[[#This Row],[M]]*(-(Tab_NewTRADER[[#This Row],[L_Bp]]+Tab_NewTRADER[[#This Row],[M]])/Tab_NewTRADER[[#This Row],[M]])*(1-Commission)*Tab_NewTRADER[[#This Row],[Scale]],                               TRUE,"")</f>
        <v>7131.4100000000017</v>
      </c>
      <c r="AW35" s="1186" cm="1">
        <f t="array" aca="1" ref="AW35" ca="1">_xlfn.IFS(   Tab_NewTRADER[[#This Row],[Trap_vs_Last]]=MUp,Tab_NewTRADER[[#This Row],[TakeGain_A]]-Commission,        Tab_NewTRADER[[#This Row],[Trap_vs_Last]]=MDown,(Tab_NewTRADER[[#This Row],[A]]-Tab_NewTRADER[[#This Row],[M]])/Tab_NewTRADER[[#This Row],[M]]-Commission,                              TRUE,"")</f>
        <v>2.7119997412237069</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183393.1224125</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-2.86</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-0.72889193197557667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2.7119997412237069</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-0.73079199115257343</v>
      </c>
      <c r="BI35" s="638" t="str">
        <f ca="1">TEXT(_xlfn.XLOOKUP(Tab_NewTRADER[[#This Row],[ClickTick]],TabCalc[Ticker],TabCalc[NAfter]),"#,#0")&amp;" : "&amp;TEXT(_xlfn.XLOOKUP(Tab_NewTRADER[[#This Row],[ClickTick]],TabCalc[Ticker],TabCalc[NAfter])*(Tab_NewTRADER[[#This Row],[M]]-Tab_NewTRADER[[#This Row],[A]])*(1-Commission)*Tab_NewTRADER[[#This Row],[Scale]],"#,#0$")</f>
        <v>26,667 : -183,393$</v>
      </c>
      <c r="BJ35" s="684">
        <f ca="1">_xlfn.XLOOKUP(Tab_NewTRADER[[#This Row],[ClickTick]],TabCalc[[#This Row],[Ticker]],TabCalc[[#This Row],[GL]])*(1-Commission)</f>
        <v>-183393.1224125</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1.1259842519685042</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-1.3683611676138536</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+4,185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6,325</v>
      </c>
      <c r="F36" s="226" t="str">
        <f ca="1">TRUNC(TabCalc[[#This Row],[L_B1p]],2)&amp;"x"&amp;TabCalc[[#This Row],[L_B1n]]&amp;"=   "&amp;TEXT(TabCalc[[#This Row],[ReverseS1]],"#,#0")&amp;"$"</f>
        <v>-27.53x1000=   10,980$</v>
      </c>
      <c r="G36" s="225" t="str">
        <f ca="1">IFERROR(TRUNC(_xlfn.XLOOKUP(Tab_NewTRADER[[#This Row],[ClickTick]],TabCalc[Ticker],ListLastSalep),2)&amp;"x"&amp;_xlfn.XLOOKUP(Tab_NewTRADER[[#This Row],[ClickTick]],TabCalc[Ticker],ListLastSalen)&amp;"=   "&amp;TEXT(-_xlfn.XLOOKUP(Tab_NewTRADER[[#This Row],[ClickTick]],TabCalc[Ticker],ListReverseB),"#,#0")&amp;"$","")</f>
        <v>39.3x500=   -395$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6,325</v>
      </c>
      <c r="I36" s="226" t="str">
        <f ca="1">IFERROR(TRUNC(TabCalc[[#This Row],[L_S1p]],2)&amp;"x"&amp;TabCalc[[#This Row],[L_S1n]]&amp;"=   "&amp;TEXT(TabCalc[[#This Row],[ReverseB1]],"#,#0"),"")</f>
        <v>36.29x1000=   -2,220</v>
      </c>
      <c r="J36" s="295">
        <f ca="1">_xlfn.XLOOKUP(Tab_NewTRADER[[#This Row],[ClickTick]],TabCalc[Ticker],ListGravity)</f>
        <v>1.2172163074526097</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38510</v>
      </c>
      <c r="M36" s="323">
        <f ca="1">_xlfn.XLOOKUP(Tab_NewTRADER[[#This Row],[ClickTick]],TabCalc[Ticker],TabCalc[Agiotage])</f>
        <v>5.2451708599980218E-4</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7.8107502799552045E-2</v>
      </c>
      <c r="S36" s="683">
        <f ca="1">_xlfn.XLOOKUP(Tab_NewTRADER[[#This Row],[ClickTick]],TabCalc[Ticker],TabCalc[Rev(MinStock)])*(1-Commission)</f>
        <v>4174.1189999999988</v>
      </c>
      <c r="T36" s="782">
        <f ca="1">_xlfn.XLOOKUP(Tab_NewTRADER[[#This Row],[ClickTick]],TabCalc[Ticker],TabCalc[Agiotage])</f>
        <v>5.2451708599980218E-4</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6,800/6,800=&gt;2.6% / -1.4%</v>
      </c>
      <c r="V36" s="739" t="str">
        <f ca="1">_xlfn.XLOOKUP(Tab_NewTRADER[[#This Row],[ClickTick]],[1]!RTData[Ticker_Symbol],[1]!RTData[Currency])</f>
        <v>USD</v>
      </c>
      <c r="W36" s="749">
        <f ca="1">_xlfn.XLOOKUP(Tab_NewTRADER[[#This Row],[ClickTick]],TabCalc[Ticker],TabCalc[M])</f>
        <v>38.51</v>
      </c>
      <c r="X36" s="1343"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 / 154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4174.1189999999988</v>
      </c>
      <c r="AI36" s="1370" t="str">
        <f ca="1">TEXT(MIN(Tab_NewTRADER[[#This Row],[L_Bn]],Tab_NewTRADER[[#This Row],[N]]),"#,#0")&amp;" x "&amp;TEXT(Tab_NewTRADER[[#This Row],[L_Bp]],"#,#0.#0")</f>
        <v>1,500 x -35.72</v>
      </c>
      <c r="AJ36" s="1370">
        <f ca="1">IF(Tab_NewTRADER[[#This Row],[M]]&lt;_xlfn.XLOOKUP(Tab_NewTRADER[[#This Row],[ClickTick]],TabCalc[Ticker],TabCalc[Max_Buy_P]), 0,Tab_NewTRADER[[#This Row],[Sale_Back_$]])</f>
        <v>4174.1189999999988</v>
      </c>
      <c r="AK36" s="1370" t="str">
        <f ca="1">TEXT(Tab_NewTRADER[[#This Row],[L_Sn]],"#,#0")&amp;" ("&amp;Tab_NewTRADER[[#This Row],[M]]&amp;"/"&amp;TEXT(Tab_NewTRADER[[#This Row],[L_Sp]],"#,#0.#0)")</f>
        <v>500 (38.51/39.30)</v>
      </c>
      <c r="AL36" s="1370">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36933.721999999987</v>
      </c>
      <c r="AO36" s="760">
        <f ca="1">Tab_NewTRADER[[#This Row],[M]]*Tab_NewTRADER[[#This Row],[N]]*(1-Commission)*Tab_NewTRADER[[#This Row],[Scale]]</f>
        <v>153639.49599999998</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7.8107502799552045E-2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41">
        <f ca="1">_xlfn.XLOOKUP(Tab_NewTRADER[[#This Row],[ClickTick]],TabCalc[Ticker],TabCalc[Ann%RevLB])</f>
        <v>1.041433370660694</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48622.088170925541</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2.5%</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-0.24299210594650733</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2.0114247910331968E-2</v>
      </c>
      <c r="BF36" s="729">
        <f ca="1">MIN(Tab_NewTRADER[[#This Row],[L_Sn]],Tab_NewTRADER[[#This Row],[N]])*(Tab_NewTRADER[[#This Row],[M]]-Tab_NewTRADER[[#This Row],[L_Sp]])*(1-Commission)*Tab_NewTRADER[[#This Row],[Scale]]</f>
        <v>-394.2223500000008</v>
      </c>
      <c r="BG36" s="692">
        <f ca="1">Tab_NewTRADER[[#This Row],[L_Sn]]*(Tab_NewTRADER[[#This Row],[Agiotage]]-Tab_NewTRADER[[#This Row],[M]])/(Tab_NewTRADER[[#This Row],[L_Bn]]*Tab_NewTRADER[[#This Row],[M]])</f>
        <v>-0.33332879323910675</v>
      </c>
      <c r="BH36" s="635">
        <f ca="1">IFERROR((Tab_NewTRADER[[#This Row],[M]]-Tab_NewTRADER[[#This Row],[A]])/Tab_NewTRADER[[#This Row],[A]],0)</f>
        <v>0.31646867789077843</v>
      </c>
      <c r="BI36" s="638" t="str">
        <f ca="1">TEXT(_xlfn.XLOOKUP(Tab_NewTRADER[[#This Row],[ClickTick]],TabCalc[Ticker],TabCalc[NAfter]),"#,#0")&amp;" : "&amp;TEXT(_xlfn.XLOOKUP(Tab_NewTRADER[[#This Row],[ClickTick]],TabCalc[Ticker],TabCalc[NAfter])*(Tab_NewTRADER[[#This Row],[M]]-Tab_NewTRADER[[#This Row],[A]])*(1-Commission)*Tab_NewTRADER[[#This Row],[Scale]],"#,#0$")</f>
        <v>4,000 : 36,934$</v>
      </c>
      <c r="BJ36" s="684">
        <f ca="1">_xlfn.XLOOKUP(Tab_NewTRADER[[#This Row],[ClickTick]],TabCalc[[#This Row],[Ticker]],TabCalc[[#This Row],[GL]])*(1-Commission)</f>
        <v>86571.876369999984</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77415.25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38.707625</v>
      </c>
      <c r="BT36" s="687">
        <f ca="1">((_xlfn.XLOOKUP(Tab_NewTRADER[[#This Row],[ClickTick]],TabCalc[Ticker],TabCalc[NAfter])+Tab_NewTRADER[[#This Row],[L_Sn]])*(Tab_NewTRADER[[#This Row],[Agiotage]]-Tab_NewTRADER[[#This Row],[M]]))/(Tab_NewTRADER[[#This Row],[L_Sn]]*_xlfn.XLOOKUP(Tab_NewTRADER[[#This Row],[ClickTick]],TabCalc[Ticker],TabCalc[NAfter]))</f>
        <v>-8.6646319836556504E-2</v>
      </c>
      <c r="BU36" s="687">
        <f ca="1">(Tab_NewTRADER[[#This Row],[M]]-Tab_NewTRADER[[#This Row],[Agiotage]])/(Tab_NewTRADER[[#This Row],[M]]-Tab_NewTRADER[[#This Row],[A]])-1</f>
        <v>3.1598137167608975</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+6,640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24.2%</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3,012/4,000=20,633</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1,250$</v>
      </c>
      <c r="G37" s="225" t="str">
        <f ca="1">IFERROR(TRUNC(_xlfn.XLOOKUP(Tab_NewTRADER[[#This Row],[ClickTick]],TabCalc[Ticker],ListLastSalep),2)&amp;"x"&amp;_xlfn.XLOOKUP(Tab_NewTRADER[[#This Row],[ClickTick]],TabCalc[Ticker],ListLastSalen)&amp;"=   "&amp;TEXT(-_xlfn.XLOOKUP(Tab_NewTRADER[[#This Row],[ClickTick]],TabCalc[Ticker],ListReverseB),"#,#0")&amp;"$","")</f>
        <v>5.61x2000=   2,480$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-18.1% = 0</v>
      </c>
      <c r="I37" s="226" t="str">
        <f ca="1">IFERROR(TRUNC(TabCalc[[#This Row],[L_S1p]],2)&amp;"x"&amp;TabCalc[[#This Row],[L_S1n]]&amp;"=   "&amp;TEXT(TabCalc[[#This Row],[ReverseB1]],"#,#0"),"")</f>
        <v>6.93x2000=   160</v>
      </c>
      <c r="J37" s="295">
        <f ca="1">_xlfn.XLOOKUP(Tab_NewTRADER[[#This Row],[ClickTick]],TabCalc[Ticker],ListGravity)</f>
        <v>1.7664233576642336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6.0746796594593659</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0.31984585741811161</v>
      </c>
      <c r="S37" s="683">
        <f ca="1">_xlfn.XLOOKUP(Tab_NewTRADER[[#This Row],[ClickTick]],TabCalc[Ticker],TabCalc[Rev(MinStock)])*(1-Commission)</f>
        <v>6622.7359999999971</v>
      </c>
      <c r="T37" s="782">
        <f ca="1">_xlfn.XLOOKUP(Tab_NewTRADER[[#This Row],[ClickTick]],TabCalc[Ticker],TabCalc[Agiotage])</f>
        <v>6.0746796594593659</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3,440/3,440=&gt;1.3% / 7.9%</v>
      </c>
      <c r="V37" s="739" t="str">
        <f ca="1">_xlfn.XLOOKUP(Tab_NewTRADER[[#This Row],[ClickTick]],[1]!RTData[Ticker_Symbol],[1]!RTData[Currency])</f>
        <v>USD</v>
      </c>
      <c r="W37" s="749">
        <f ca="1">_xlfn.XLOOKUP(Tab_NewTRADER[[#This Row],[ClickTick]],TabCalc[Ticker],TabCalc[M])</f>
        <v>6.85</v>
      </c>
      <c r="X37" s="1343"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 / 27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70" t="str">
        <f ca="1">TEXT(MIN(Tab_NewTRADER[[#This Row],[L_Bn]],Tab_NewTRADER[[#This Row],[N]]),"#,#0")&amp;" x "&amp;TEXT(Tab_NewTRADER[[#This Row],[L_Bp]],"#,#0.#0")</f>
        <v>4,000 x -5.19</v>
      </c>
      <c r="AJ37" s="1370">
        <f ca="1">IF(Tab_NewTRADER[[#This Row],[M]]&lt;_xlfn.XLOOKUP(Tab_NewTRADER[[#This Row],[ClickTick]],TabCalc[Ticker],TabCalc[Max_Buy_P]), 0,Tab_NewTRADER[[#This Row],[Sale_Back_$]])</f>
        <v>6622.7359999999971</v>
      </c>
      <c r="AK37" s="1370" t="str">
        <f ca="1">TEXT(Tab_NewTRADER[[#This Row],[L_Sn]],"#,#0")&amp;" ("&amp;Tab_NewTRADER[[#This Row],[M]]&amp;"/"&amp;TEXT(Tab_NewTRADER[[#This Row],[L_Sp]],"#,#0.#0)")</f>
        <v>2,000 (6.85/5.61)</v>
      </c>
      <c r="AL37" s="1370">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2473.5519999999983</v>
      </c>
      <c r="AN37" s="1177">
        <f ca="1">Tab_NewTRADER[[#This Row],[N]]*(Tab_NewTRADER[[#This Row],[M]]-Tab_NewTRADER[[#This Row],[A]])*(1-Commission)*Tab_NewTRADER[[#This Row],[Scale]]</f>
        <v>6622.7359999999971</v>
      </c>
      <c r="AO37" s="1177">
        <f ca="1">Tab_NewTRADER[[#This Row],[M]]*Tab_NewTRADER[[#This Row],[N]]*(1-Commission)*Tab_NewTRADER[[#This Row],[Scale]]</f>
        <v>27328.76</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0.31984585741811161</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0.17842189781021889</v>
      </c>
      <c r="AR37" s="825" cm="1">
        <f t="array" aca="1" ref="AR37" ca="1">_xlfn.IFS(   Tab_NewTRADER[[#This Row],[Trap_vs_Last]]=SellMorePercentGain,                     MIN(Tab_NewTRADER[[#This Row],[L_Sn]],Tab_NewTRADER[[#This Row],[N]])*(Tab_NewTRADER[[#This Row],[M]]-Tab_NewTRADER[[#This Row],[L_Sp]])*(1-Commission)*Tab_NewTRADER[[#This Row],[Scale]],                    TRUE,"")</f>
        <v>2473.5519999999983</v>
      </c>
      <c r="AS37" s="1175">
        <f ca="1">_xlfn.XLOOKUP(Tab_NewTRADER[[#This Row],[ClickTick]],TabCalc[Ticker],TabCalc[Ann%RevLB])</f>
        <v>2.1323057161207442</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0.31724585741811162</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8740.990674373792</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-3.4%</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4,000x1.66</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0.31901425818882451</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-0.24493576642335757</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-0.22103386809269149</v>
      </c>
      <c r="BF37" s="729">
        <f ca="1">MIN(Tab_NewTRADER[[#This Row],[L_Sn]],Tab_NewTRADER[[#This Row],[N]])*(Tab_NewTRADER[[#This Row],[M]]-Tab_NewTRADER[[#This Row],[L_Sp]])*(1-Commission)*Tab_NewTRADER[[#This Row],[Scale]]</f>
        <v>2473.5519999999983</v>
      </c>
      <c r="BG37" s="692">
        <f ca="1">Tab_NewTRADER[[#This Row],[L_Sn]]*(Tab_NewTRADER[[#This Row],[Agiotage]]-Tab_NewTRADER[[#This Row],[M]])/(Tab_NewTRADER[[#This Row],[L_Bn]]*Tab_NewTRADER[[#This Row],[M]])</f>
        <v>-5.6592725586907568E-2</v>
      </c>
      <c r="BH37" s="635">
        <f ca="1">IFERROR((Tab_NewTRADER[[#This Row],[M]]-Tab_NewTRADER[[#This Row],[A]])/Tab_NewTRADER[[#This Row],[A]],0)</f>
        <v>0.31984585741811161</v>
      </c>
      <c r="BI37" s="638" t="str">
        <f ca="1">TEXT(_xlfn.XLOOKUP(Tab_NewTRADER[[#This Row],[ClickTick]],TabCalc[Ticker],TabCalc[NAfter]),"#,#0")&amp;" : "&amp;TEXT(_xlfn.XLOOKUP(Tab_NewTRADER[[#This Row],[ClickTick]],TabCalc[Ticker],TabCalc[NAfter])*(Tab_NewTRADER[[#This Row],[M]]-Tab_NewTRADER[[#This Row],[A]])*(1-Commission)*Tab_NewTRADER[[#This Row],[Scale]],"#,#0$")</f>
        <v>4,000 : 6,623$</v>
      </c>
      <c r="BJ37" s="684">
        <f ca="1">_xlfn.XLOOKUP(Tab_NewTRADER[[#This Row],[ClickTick]],TabCalc[[#This Row],[Ticker]],TabCalc[[#This Row],[GL]])*(1-Commission)</f>
        <v>7906.7688120000257</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MYA</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0.18102189781021888</v>
      </c>
      <c r="BP37" s="679">
        <f ca="1">Tab_NewTRADER[[#This Row],[L_Sn]]*Tab_NewTRADER[[#This Row],[L_Sp]]+Tab_NewTRADER[[#This Row],[SellMore]]*Tab_NewTRADER[[#This Row],[M]]</f>
        <v>38620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6.4366666666666665</v>
      </c>
      <c r="BT37" s="687">
        <f ca="1">((_xlfn.XLOOKUP(Tab_NewTRADER[[#This Row],[ClickTick]],TabCalc[Ticker],TabCalc[NAfter])+Tab_NewTRADER[[#This Row],[L_Sn]])*(Tab_NewTRADER[[#This Row],[Agiotage]]-Tab_NewTRADER[[#This Row],[M]]))/(Tab_NewTRADER[[#This Row],[L_Sn]]*_xlfn.XLOOKUP(Tab_NewTRADER[[#This Row],[ClickTick]],TabCalc[Ticker],TabCalc[NAfter]))</f>
        <v>-5.8149025540547524E-4</v>
      </c>
      <c r="BU37" s="687">
        <f ca="1">(Tab_NewTRADER[[#This Row],[M]]-Tab_NewTRADER[[#This Row],[Agiotage]])/(Tab_NewTRADER[[#This Row],[M]]-Tab_NewTRADER[[#This Row],[A]])-1</f>
        <v>-0.5329395538911843</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-1,800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-16.4%</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4,340$</v>
      </c>
      <c r="G38" s="225" t="str">
        <f ca="1">IFERROR(TRUNC(_xlfn.XLOOKUP(Tab_NewTRADER[[#This Row],[ClickTick]],TabCalc[Ticker],ListLastSalep),2)&amp;"x"&amp;_xlfn.XLOOKUP(Tab_NewTRADER[[#This Row],[ClickTick]],TabCalc[Ticker],ListLastSalen)&amp;"=   "&amp;TEXT(-_xlfn.XLOOKUP(Tab_NewTRADER[[#This Row],[ClickTick]],TabCalc[Ticker],ListReverseB),"#,#0")&amp;"$","")</f>
        <v>9.07x2500=   -11,675$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106.1% = 1,071</v>
      </c>
      <c r="I38" s="226" t="str">
        <f ca="1">IFERROR(TRUNC(TabCalc[[#This Row],[L_S1p]],2)&amp;"x"&amp;TabCalc[[#This Row],[L_S1n]]&amp;"=   "&amp;TEXT(TabCalc[[#This Row],[ReverseB1]],"#,#0"),"")</f>
        <v>7.4x2500=   7,500</v>
      </c>
      <c r="J38" s="295">
        <f ca="1">_xlfn.XLOOKUP(Tab_NewTRADER[[#This Row],[ClickTick]],TabCalc[Ticker],ListGravity)</f>
        <v>1.5075749999999999</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2.8162469848329948E-3</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-0.14062499999999994</v>
      </c>
      <c r="S38" s="683">
        <f ca="1">_xlfn.XLOOKUP(Tab_NewTRADER[[#This Row],[ClickTick]],TabCalc[Ticker],TabCalc[Rev(MinStock)])*(1-Commission)</f>
        <v>-1795.3199999999993</v>
      </c>
      <c r="T38" s="782">
        <f ca="1">_xlfn.XLOOKUP(Tab_NewTRADER[[#This Row],[ClickTick]],TabCalc[Ticker],TabCalc[Agiotage])</f>
        <v>2.8162469848329948E-3</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9,000/9,000=&gt;0.9% / -6.4%</v>
      </c>
      <c r="V38" s="739" t="str">
        <f ca="1">_xlfn.XLOOKUP(Tab_NewTRADER[[#This Row],[ClickTick]],[1]!RTData[Ticker_Symbol],[1]!RTData[Currency])</f>
        <v>USD</v>
      </c>
      <c r="W38" s="749">
        <f ca="1">_xlfn.XLOOKUP(Tab_NewTRADER[[#This Row],[ClickTick]],TabCalc[Ticker],TabCalc[M])</f>
        <v>4.4000000000000004</v>
      </c>
      <c r="X38" s="1343"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-57/198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11644.644999999999</v>
      </c>
      <c r="AI38" s="1370" t="str">
        <f ca="1">TEXT(MIN(Tab_NewTRADER[[#This Row],[L_Bn]],Tab_NewTRADER[[#This Row],[N]]),"#,#0")&amp;" x "&amp;TEXT(Tab_NewTRADER[[#This Row],[L_Bp]],"#,#0.#0")</f>
        <v>2,500 x -5.12</v>
      </c>
      <c r="AJ38" s="1370">
        <f ca="1">IF(Tab_NewTRADER[[#This Row],[M]]&lt;_xlfn.XLOOKUP(Tab_NewTRADER[[#This Row],[ClickTick]],TabCalc[Ticker],TabCalc[Max_Buy_P]), 0,Tab_NewTRADER[[#This Row],[Sale_Back_$]])</f>
        <v>0</v>
      </c>
      <c r="AK38" s="1370" t="str">
        <f ca="1">TEXT(Tab_NewTRADER[[#This Row],[L_Sn]],"#,#0")&amp;" ("&amp;Tab_NewTRADER[[#This Row],[M]]&amp;"/"&amp;TEXT(Tab_NewTRADER[[#This Row],[L_Sp]],"#,#0.#0)")</f>
        <v>2,500 (4.4/9.07)</v>
      </c>
      <c r="AL38" s="1370">
        <f ca="1">IF(Tab_NewTRADER[[#This Row],[M]]&lt;_xlfn.XLOOKUP(Tab_NewTRADER[[#This Row],[ClickTick]],TabCalc[Ticker],TabCalc[Max_Buy_P]), -Tab_NewTRADER[[#This Row],[Buy_Back]], 0)</f>
        <v>11644.644999999999</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-59478.958249333307</v>
      </c>
      <c r="AO38" s="1177">
        <f ca="1">Tab_NewTRADER[[#This Row],[M]]*Tab_NewTRADER[[#This Row],[N]]*(1-Commission)*Tab_NewTRADER[[#This Row],[Scale]]</f>
        <v>197485.2</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0.5148842337375964</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-0.34913793103448265</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-59478.958249333307</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3.3%</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-0.23086609962282142</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0.29858185185185171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0.5148842337375964</v>
      </c>
      <c r="BF38" s="729">
        <f ca="1">MIN(Tab_NewTRADER[[#This Row],[L_Sn]],Tab_NewTRADER[[#This Row],[N]])*(Tab_NewTRADER[[#This Row],[M]]-Tab_NewTRADER[[#This Row],[L_Sp]])*(1-Commission)*Tab_NewTRADER[[#This Row],[Scale]]</f>
        <v>-11644.644999999999</v>
      </c>
      <c r="BG38" s="692">
        <f ca="1">Tab_NewTRADER[[#This Row],[L_Sn]]*(Tab_NewTRADER[[#This Row],[Agiotage]]-Tab_NewTRADER[[#This Row],[M]])/(Tab_NewTRADER[[#This Row],[L_Bn]]*Tab_NewTRADER[[#This Row],[M]])</f>
        <v>-0.9993599438670836</v>
      </c>
      <c r="BH38" s="635">
        <f ca="1">IFERROR((Tab_NewTRADER[[#This Row],[M]]-Tab_NewTRADER[[#This Row],[A]])/Tab_NewTRADER[[#This Row],[A]],0)</f>
        <v>-0.23146791620495433</v>
      </c>
      <c r="BI38" s="638" t="str">
        <f ca="1">TEXT(_xlfn.XLOOKUP(Tab_NewTRADER[[#This Row],[ClickTick]],TabCalc[Ticker],TabCalc[NAfter]),"#,#0")&amp;" : "&amp;TEXT(_xlfn.XLOOKUP(Tab_NewTRADER[[#This Row],[ClickTick]],TabCalc[Ticker],TabCalc[NAfter])*(Tab_NewTRADER[[#This Row],[M]]-Tab_NewTRADER[[#This Row],[A]])*(1-Commission)*Tab_NewTRADER[[#This Row],[Scale]],"#,#0$")</f>
        <v>45,000 : -59,479$</v>
      </c>
      <c r="BJ38" s="684">
        <f ca="1">_xlfn.XLOOKUP(Tab_NewTRADER[[#This Row],[ClickTick]],TabCalc[[#This Row],[Ticker]],TabCalc[[#This Row],[GL]])*(1-Commission)</f>
        <v>-57133.575473999976</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-1.8565886957175152E-3</v>
      </c>
      <c r="BU38" s="687">
        <f ca="1">(Tab_NewTRADER[[#This Row],[M]]-Tab_NewTRADER[[#This Row],[Agiotage]])/(Tab_NewTRADER[[#This Row],[M]]-Tab_NewTRADER[[#This Row],[A]])-1</f>
        <v>-4.3181280270454625</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-2,916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-68.4%</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-421$</v>
      </c>
      <c r="G39" s="225" t="str">
        <f ca="1">IFERROR(TRUNC(_xlfn.XLOOKUP(Tab_NewTRADER[[#This Row],[ClickTick]],TabCalc[Ticker],ListLastSalep),2)&amp;"x"&amp;_xlfn.XLOOKUP(Tab_NewTRADER[[#This Row],[ClickTick]],TabCalc[Ticker],ListLastSalen)&amp;"=   "&amp;TEXT(-_xlfn.XLOOKUP(Tab_NewTRADER[[#This Row],[ClickTick]],TabCalc[Ticker],ListReverseB),"#,#0")&amp;"$","")</f>
        <v>1.54x3006=   -2,495$</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116.9% = 6,024</v>
      </c>
      <c r="I39" s="226" t="str">
        <f ca="1">IFERROR(TRUNC(TabCalc[[#This Row],[L_S1p]],2)&amp;"x"&amp;TabCalc[[#This Row],[L_S1n]]&amp;"=   "&amp;TEXT(TabCalc[[#This Row],[ReverseB1]],"#,#0"),"")</f>
        <v>1.39x3006=   2,044</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4970</v>
      </c>
      <c r="M39" s="323">
        <f ca="1">_xlfn.XLOOKUP(Tab_NewTRADER[[#This Row],[ClickTick]],TabCalc[Ticker],TabCalc[Agiotage])</f>
        <v>9.3454688987438753E-3</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-0.40610623170221666</v>
      </c>
      <c r="S39" s="683">
        <f ca="1">_xlfn.XLOOKUP(Tab_NewTRADER[[#This Row],[ClickTick]],TabCalc[Ticker],TabCalc[Rev(MinStock)])*(1-Commission)</f>
        <v>-2908.3316262000003</v>
      </c>
      <c r="T39" s="782">
        <f ca="1">_xlfn.XLOOKUP(Tab_NewTRADER[[#This Row],[ClickTick]],TabCalc[Ticker],TabCalc[Agiotage])</f>
        <v>9.3454688987438753E-3</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1,100/1,100=&gt;-3.2% / 14.5%</v>
      </c>
      <c r="V39" s="739" t="str">
        <f ca="1">_xlfn.XLOOKUP(Tab_NewTRADER[[#This Row],[ClickTick]],[1]!RTData[Ticker_Symbol],[1]!RTData[Currency])</f>
        <v>USD</v>
      </c>
      <c r="W39" s="749">
        <f ca="1">_xlfn.XLOOKUP(Tab_NewTRADER[[#This Row],[ClickTick]],TabCalc[Ticker],TabCalc[M])</f>
        <v>0.71</v>
      </c>
      <c r="X39" s="1343"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-7/7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70" t="str">
        <f ca="1">TEXT(MIN(Tab_NewTRADER[[#This Row],[L_Bn]],Tab_NewTRADER[[#This Row],[N]]),"#,#0")&amp;" x "&amp;TEXT(Tab_NewTRADER[[#This Row],[L_Bp]],"#,#0.#0")</f>
        <v>6,006 x -1.20</v>
      </c>
      <c r="AJ39" s="1370">
        <f ca="1">IF(Tab_NewTRADER[[#This Row],[M]]&lt;_xlfn.XLOOKUP(Tab_NewTRADER[[#This Row],[ClickTick]],TabCalc[Ticker],TabCalc[Max_Buy_P]), 0,Tab_NewTRADER[[#This Row],[Sale_Back_$]])</f>
        <v>0</v>
      </c>
      <c r="AK39" s="1370" t="str">
        <f ca="1">TEXT(Tab_NewTRADER[[#This Row],[L_Sn]],"#,#0")&amp;" ("&amp;Tab_NewTRADER[[#This Row],[M]]&amp;"/"&amp;TEXT(Tab_NewTRADER[[#This Row],[L_Sp]],"#,#0.#0)")</f>
        <v>3,006 (0.71/1.54)</v>
      </c>
      <c r="AL39" s="1370">
        <f ca="1">IF(Tab_NewTRADER[[#This Row],[M]]&lt;_xlfn.XLOOKUP(Tab_NewTRADER[[#This Row],[ClickTick]],TabCalc[Ticker],TabCalc[Max_Buy_P]), -Tab_NewTRADER[[#This Row],[Buy_Back]], 0)</f>
        <v>2488.4930519999998</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2908.3316262000003</v>
      </c>
      <c r="AN39" s="1177">
        <f ca="1">Tab_NewTRADER[[#This Row],[N]]*(Tab_NewTRADER[[#This Row],[M]]-Tab_NewTRADER[[#This Row],[A]])*(1-Commission)*Tab_NewTRADER[[#This Row],[Scale]]</f>
        <v>-3554.1353594799994</v>
      </c>
      <c r="AO39" s="1177">
        <f ca="1">Tab_NewTRADER[[#This Row],[M]]*Tab_NewTRADER[[#This Row],[N]]*(1-Commission)*Tab_NewTRADER[[#This Row],[Scale]]</f>
        <v>7081.54</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0.33417110238439707</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0.68120281690140849</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-0.48895733582875583</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0.68380281690140854</v>
      </c>
      <c r="AV39" s="825" cm="1">
        <f t="array" aca="1" ref="AV39" ca="1">_xlfn.IFS(         Tab_NewTRADER[[#This Row],[Trap_vs_Last]]=MDown,Tab_NewTRADER[[#This Row],[L_Bn]]*Tab_NewTRADER[[#This Row],[M]]*(-(Tab_NewTRADER[[#This Row],[L_Bp]]+Tab_NewTRADER[[#This Row],[M]])/Tab_NewTRADER[[#This Row],[M]])*(1-Commission)*Tab_NewTRADER[[#This Row],[Scale]],                               TRUE,"")</f>
        <v>2908.3316262000003</v>
      </c>
      <c r="AW39" s="1186" cm="1">
        <f t="array" aca="1" ref="AW39" ca="1">_xlfn.IFS(   Tab_NewTRADER[[#This Row],[Trap_vs_Last]]=MUp,Tab_NewTRADER[[#This Row],[TakeGain_A]]-Commission,        Tab_NewTRADER[[#This Row],[Trap_vs_Last]]=MDown,(Tab_NewTRADER[[#This Row],[A]]-Tab_NewTRADER[[#This Row],[M]])/Tab_NewTRADER[[#This Row],[M]]-Commission,                              TRUE,"")</f>
        <v>0.49928735211267611</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3554.1353594799994</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-0.48</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-0.33330225751819764</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0.49928735211267611</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0.53896103896103897</v>
      </c>
      <c r="BF39" s="729">
        <f ca="1">MIN(Tab_NewTRADER[[#This Row],[L_Sn]],Tab_NewTRADER[[#This Row],[N]])*(Tab_NewTRADER[[#This Row],[M]]-Tab_NewTRADER[[#This Row],[L_Sp]])*(1-Commission)*Tab_NewTRADER[[#This Row],[Scale]]</f>
        <v>-2488.4930519999998</v>
      </c>
      <c r="BG39" s="692">
        <f ca="1">Tab_NewTRADER[[#This Row],[L_Sn]]*(Tab_NewTRADER[[#This Row],[Agiotage]]-Tab_NewTRADER[[#This Row],[M]])/(Tab_NewTRADER[[#This Row],[L_Bn]]*Tab_NewTRADER[[#This Row],[M]])</f>
        <v>-0.49391160963224001</v>
      </c>
      <c r="BH39" s="635">
        <f ca="1">IFERROR((Tab_NewTRADER[[#This Row],[M]]-Tab_NewTRADER[[#This Row],[A]])/Tab_NewTRADER[[#This Row],[A]],0)</f>
        <v>-0.33417110238439707</v>
      </c>
      <c r="BI39" s="638" t="str">
        <f ca="1">TEXT(_xlfn.XLOOKUP(Tab_NewTRADER[[#This Row],[ClickTick]],TabCalc[Ticker],TabCalc[NAfter]),"#,#0")&amp;" : "&amp;TEXT(_xlfn.XLOOKUP(Tab_NewTRADER[[#This Row],[ClickTick]],TabCalc[Ticker],TabCalc[NAfter])*(Tab_NewTRADER[[#This Row],[M]]-Tab_NewTRADER[[#This Row],[A]])*(1-Commission)*Tab_NewTRADER[[#This Row],[Scale]],"#,#0$")</f>
        <v>10,000 : -3,554$</v>
      </c>
      <c r="BJ39" s="684">
        <f ca="1">_xlfn.XLOOKUP(Tab_NewTRADER[[#This Row],[ClickTick]],TabCalc[[#This Row],[Ticker]],TabCalc[[#This Row],[GL]])*(1-Commission)</f>
        <v>-7390.876628199996</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0.68380281690140854</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-3.0315079279783554E-4</v>
      </c>
      <c r="BU39" s="687">
        <f ca="1">(Tab_NewTRADER[[#This Row],[M]]-Tab_NewTRADER[[#This Row],[Agiotage]])/(Tab_NewTRADER[[#This Row],[M]]-Tab_NewTRADER[[#This Row],[A]])-1</f>
        <v>-2.9662527130723522</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+13,610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32.5%</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367/1,000=15,408</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13,395$</v>
      </c>
      <c r="G40" s="225" t="str">
        <f ca="1">IFERROR(TRUNC(_xlfn.XLOOKUP(Tab_NewTRADER[[#This Row],[ClickTick]],TabCalc[Ticker],ListLastSalep),2)&amp;"x"&amp;_xlfn.XLOOKUP(Tab_NewTRADER[[#This Row],[ClickTick]],TabCalc[Ticker],ListLastSalen)&amp;"=   "&amp;TEXT(-_xlfn.XLOOKUP(Tab_NewTRADER[[#This Row],[ClickTick]],TabCalc[Ticker],ListReverseB),"#,#0")&amp;"$","")</f>
        <v>37.21x2000=   9,460$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-11.3% = 0</v>
      </c>
      <c r="I40" s="226" t="str">
        <f ca="1">IFERROR(TRUNC(TabCalc[[#This Row],[L_S1p]],2)&amp;"x"&amp;TabCalc[[#This Row],[L_S1n]]&amp;"=   "&amp;TEXT(TabCalc[[#This Row],[ReverseB1]],"#,#0"),"")</f>
        <v>29.92x2000=   -24,040</v>
      </c>
      <c r="J40" s="295">
        <f ca="1">_xlfn.XLOOKUP(Tab_NewTRADER[[#This Row],[ClickTick]],TabCalc[Ticker],ListGravity)</f>
        <v>0.91400405340963276</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9.3750837061045182E-5</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0.48040945993646311</v>
      </c>
      <c r="S40" s="683">
        <f ca="1">_xlfn.XLOOKUP(Tab_NewTRADER[[#This Row],[ClickTick]],TabCalc[Ticker],TabCalc[Rev(MinStock)])*(1-Commission)</f>
        <v>13574.614</v>
      </c>
      <c r="T40" s="782">
        <f ca="1">_xlfn.XLOOKUP(Tab_NewTRADER[[#This Row],[ClickTick]],TabCalc[Ticker],TabCalc[Agiotage])</f>
        <v>9.3750837061045182E-5</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2,410/2,410=&gt;-2.2% / 5.2%</v>
      </c>
      <c r="V40" s="739" t="str">
        <f ca="1">_xlfn.XLOOKUP(Tab_NewTRADER[[#This Row],[ClickTick]],[1]!RTData[Ticker_Symbol],[1]!RTData[Currency])</f>
        <v>USD</v>
      </c>
      <c r="W40" s="749">
        <f ca="1">_xlfn.XLOOKUP(Tab_NewTRADER[[#This Row],[ClickTick]],TabCalc[Ticker],TabCalc[M])</f>
        <v>41.94</v>
      </c>
      <c r="X40" s="1343"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^152 / 42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70" t="str">
        <f ca="1">TEXT(MIN(Tab_NewTRADER[[#This Row],[L_Bn]],Tab_NewTRADER[[#This Row],[N]]),"#,#0")&amp;" x "&amp;TEXT(Tab_NewTRADER[[#This Row],[L_Bp]],"#,#0.#0")</f>
        <v>1,000 x -28.33</v>
      </c>
      <c r="AJ40" s="1370">
        <f ca="1">IF(Tab_NewTRADER[[#This Row],[M]]&lt;_xlfn.XLOOKUP(Tab_NewTRADER[[#This Row],[ClickTick]],TabCalc[Ticker],TabCalc[Max_Buy_P]), 0,Tab_NewTRADER[[#This Row],[Sale_Back_$]])</f>
        <v>13574.614</v>
      </c>
      <c r="AK40" s="1370" t="str">
        <f ca="1">TEXT(Tab_NewTRADER[[#This Row],[L_Sn]],"#,#0")&amp;" ("&amp;Tab_NewTRADER[[#This Row],[M]]&amp;"/"&amp;TEXT(Tab_NewTRADER[[#This Row],[L_Sp]],"#,#0.#0)")</f>
        <v>2,000 (41.94/37.21)</v>
      </c>
      <c r="AL40" s="1370">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4717.7019999999975</v>
      </c>
      <c r="AN40" s="1177">
        <f ca="1">Tab_NewTRADER[[#This Row],[N]]*(Tab_NewTRADER[[#This Row],[M]]-Tab_NewTRADER[[#This Row],[A]])*(1-Commission)*Tab_NewTRADER[[#This Row],[Scale]]</f>
        <v>13431.490424666661</v>
      </c>
      <c r="AO40" s="1177">
        <f ca="1">Tab_NewTRADER[[#This Row],[M]]*Tab_NewTRADER[[#This Row],[N]]*(1-Commission)*Tab_NewTRADER[[#This Row],[Scale]]</f>
        <v>41830.955999999998</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0.47294870352534835</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0.11018016213638523</v>
      </c>
      <c r="AR40" s="825" cm="1">
        <f t="array" aca="1" ref="AR40" ca="1">_xlfn.IFS(   Tab_NewTRADER[[#This Row],[Trap_vs_Last]]=SellMorePercentGain,                     MIN(Tab_NewTRADER[[#This Row],[L_Sn]],Tab_NewTRADER[[#This Row],[N]])*(Tab_NewTRADER[[#This Row],[M]]-Tab_NewTRADER[[#This Row],[L_Sp]])*(1-Commission)*Tab_NewTRADER[[#This Row],[Scale]],                    TRUE,"")</f>
        <v>4717.7019999999975</v>
      </c>
      <c r="AS40" s="1175">
        <f ca="1">_xlfn.XLOOKUP(Tab_NewTRADER[[#This Row],[ClickTick]],TabCalc[Ticker],TabCalc[Ann%RevLB])</f>
        <v>13.303646582855903</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0.47034870352534836</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19783.896407425891</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1,000x13.46</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0.47171903689618244</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-0.32368973136226342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-0.12711636656812675</v>
      </c>
      <c r="BF40" s="729">
        <f ca="1">MIN(Tab_NewTRADER[[#This Row],[L_Sn]],Tab_NewTRADER[[#This Row],[N]])*(Tab_NewTRADER[[#This Row],[M]]-Tab_NewTRADER[[#This Row],[L_Sp]])*(1-Commission)*Tab_NewTRADER[[#This Row],[Scale]]</f>
        <v>4717.7019999999975</v>
      </c>
      <c r="BG40" s="692">
        <f ca="1">Tab_NewTRADER[[#This Row],[L_Sn]]*(Tab_NewTRADER[[#This Row],[Agiotage]]-Tab_NewTRADER[[#This Row],[M]])/(Tab_NewTRADER[[#This Row],[L_Bn]]*Tab_NewTRADER[[#This Row],[M]])</f>
        <v>-1.9999955292876936</v>
      </c>
      <c r="BH40" s="635">
        <f ca="1">IFERROR((Tab_NewTRADER[[#This Row],[M]]-Tab_NewTRADER[[#This Row],[A]])/Tab_NewTRADER[[#This Row],[A]],0)</f>
        <v>0.47294870352534835</v>
      </c>
      <c r="BI40" s="638" t="str">
        <f ca="1">TEXT(_xlfn.XLOOKUP(Tab_NewTRADER[[#This Row],[ClickTick]],TabCalc[Ticker],TabCalc[NAfter]),"#,#0")&amp;" : "&amp;TEXT(_xlfn.XLOOKUP(Tab_NewTRADER[[#This Row],[ClickTick]],TabCalc[Ticker],TabCalc[NAfter])*(Tab_NewTRADER[[#This Row],[M]]-Tab_NewTRADER[[#This Row],[A]])*(1-Commission)*Tab_NewTRADER[[#This Row],[Scale]],"#,#0$")</f>
        <v>1,000 : 13,431$</v>
      </c>
      <c r="BJ40" s="684">
        <f ca="1">_xlfn.XLOOKUP(Tab_NewTRADER[[#This Row],[ClickTick]],TabCalc[[#This Row],[Ticker]],TabCalc[[#This Row],[GL]])*(1-Commission)</f>
        <v>151620.97782800015</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0.11278016213638524</v>
      </c>
      <c r="BP40" s="679">
        <f ca="1">Tab_NewTRADER[[#This Row],[L_Sn]]*Tab_NewTRADER[[#This Row],[L_Sp]]+Tab_NewTRADER[[#This Row],[SellMore]]*Tab_NewTRADER[[#This Row],[M]]</f>
        <v>158300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39.575000000000003</v>
      </c>
      <c r="BT40" s="687">
        <f ca="1">((_xlfn.XLOOKUP(Tab_NewTRADER[[#This Row],[ClickTick]],TabCalc[Ticker],TabCalc[NAfter])+Tab_NewTRADER[[#This Row],[L_Sn]])*(Tab_NewTRADER[[#This Row],[Agiotage]]-Tab_NewTRADER[[#This Row],[M]]))/(Tab_NewTRADER[[#This Row],[L_Sn]]*_xlfn.XLOOKUP(Tab_NewTRADER[[#This Row],[ClickTick]],TabCalc[Ticker],TabCalc[NAfter]))</f>
        <v>-6.2909859373744409E-2</v>
      </c>
      <c r="BU40" s="687">
        <f ca="1">(Tab_NewTRADER[[#This Row],[M]]-Tab_NewTRADER[[#This Row],[Agiotage]])/(Tab_NewTRADER[[#This Row],[M]]-Tab_NewTRADER[[#This Row],[A]])-1</f>
        <v>2.1143872474564382</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+851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807$</v>
      </c>
      <c r="G41" s="225" t="str">
        <f ca="1">IFERROR(TRUNC(_xlfn.XLOOKUP(Tab_NewTRADER[[#This Row],[ClickTick]],TabCalc[Ticker],ListLastSalep),2)&amp;"x"&amp;_xlfn.XLOOKUP(Tab_NewTRADER[[#This Row],[ClickTick]],TabCalc[Ticker],ListLastSalen)&amp;"=   "&amp;TEXT(-_xlfn.XLOOKUP(Tab_NewTRADER[[#This Row],[ClickTick]],TabCalc[Ticker],ListReverseB),"#,#0")&amp;"$","")</f>
        <v>33.36x3200=   38,464$</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-26.5% = 0</v>
      </c>
      <c r="I41" s="226" t="str">
        <f ca="1">IFERROR(TRUNC(TabCalc[[#This Row],[L_S1p]],2)&amp;"x"&amp;TabCalc[[#This Row],[L_S1n]]&amp;"=   "&amp;TEXT(TabCalc[[#This Row],[ReverseB1]],"#,#0"),"")</f>
        <v>32.24x1500=   -19,710</v>
      </c>
      <c r="J41" s="295">
        <f ca="1">_xlfn.XLOOKUP(Tab_NewTRADER[[#This Row],[ClickTick]],TabCalc[Ticker],ListGravity)</f>
        <v>0.98605244601145869</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7.3873717920976329E-4</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0.59957701797673602</v>
      </c>
      <c r="S41" s="683">
        <f ca="1">_xlfn.XLOOKUP(Tab_NewTRADER[[#This Row],[ClickTick]],TabCalc[Ticker],TabCalc[Rev(MinStock)])*(1-Commission)</f>
        <v>848.28870000000006</v>
      </c>
      <c r="T41" s="782">
        <f ca="1">_xlfn.XLOOKUP(Tab_NewTRADER[[#This Row],[ClickTick]],TabCalc[Ticker],TabCalc[Agiotage])</f>
        <v>7.3873717920976329E-4</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-16/-16=&gt;-0.4% / 0.1%</v>
      </c>
      <c r="V41" s="739" t="str">
        <f ca="1">_xlfn.XLOOKUP(Tab_NewTRADER[[#This Row],[ClickTick]],[1]!RTData[Ticker_Symbol],[1]!RTData[Currency])</f>
        <v>EUR</v>
      </c>
      <c r="W41" s="749">
        <f ca="1">_xlfn.XLOOKUP(Tab_NewTRADER[[#This Row],[ClickTick]],TabCalc[Ticker],TabCalc[M])</f>
        <v>45.38</v>
      </c>
      <c r="X41" s="1343"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70" t="str">
        <f ca="1">TEXT(MIN(Tab_NewTRADER[[#This Row],[L_Bn]],Tab_NewTRADER[[#This Row],[N]]),"#,#0")&amp;" x "&amp;TEXT(Tab_NewTRADER[[#This Row],[L_Bp]],"#,#0.#0")</f>
        <v>50 x -28.37</v>
      </c>
      <c r="AJ41" s="1370">
        <f ca="1">IF(Tab_NewTRADER[[#This Row],[M]]&lt;_xlfn.XLOOKUP(Tab_NewTRADER[[#This Row],[ClickTick]],TabCalc[Ticker],TabCalc[Max_Buy_P]), 0,Tab_NewTRADER[[#This Row],[Sale_Back_$]])</f>
        <v>848.28870000000006</v>
      </c>
      <c r="AK41" s="1370" t="str">
        <f ca="1">TEXT(Tab_NewTRADER[[#This Row],[L_Sn]],"#,#0")&amp;" ("&amp;Tab_NewTRADER[[#This Row],[M]]&amp;"/"&amp;TEXT(Tab_NewTRADER[[#This Row],[L_Sp]],"#,#0.#0)")</f>
        <v>3,200 (45.38/33.36)</v>
      </c>
      <c r="AL41" s="1370">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599.43740000000014</v>
      </c>
      <c r="AN41" s="1177">
        <f ca="1">Tab_NewTRADER[[#This Row],[N]]*(Tab_NewTRADER[[#This Row],[M]]-Tab_NewTRADER[[#This Row],[A]])*(1-Commission)*Tab_NewTRADER[[#This Row],[Scale]]</f>
        <v>848.28870000000006</v>
      </c>
      <c r="AO41" s="1177">
        <f ca="1">Tab_NewTRADER[[#This Row],[M]]*Tab_NewTRADER[[#This Row],[N]]*(1-Commission)*Tab_NewTRADER[[#This Row],[Scale]]</f>
        <v>2263.1005999999998</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0.59957701797673602</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0.2622743940061702</v>
      </c>
      <c r="AR41" s="825" cm="1">
        <f t="array" aca="1" ref="AR41" ca="1">_xlfn.IFS(   Tab_NewTRADER[[#This Row],[Trap_vs_Last]]=SellMorePercentGain,                     MIN(Tab_NewTRADER[[#This Row],[L_Sn]],Tab_NewTRADER[[#This Row],[N]])*(Tab_NewTRADER[[#This Row],[M]]-Tab_NewTRADER[[#This Row],[L_Sp]])*(1-Commission)*Tab_NewTRADER[[#This Row],[Scale]],                    TRUE,"")</f>
        <v>599.43740000000014</v>
      </c>
      <c r="AS41" s="1175">
        <f ca="1">_xlfn.XLOOKUP(Tab_NewTRADER[[#This Row],[ClickTick]],TabCalc[Ticker],TabCalc[Ann%RevLB])</f>
        <v>0.7906510127165749</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0.59697701797673597</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1356.9031091293621</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50x17.01</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0.59801811772999647</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-0.37743472895548702</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-0.36031175059952048</v>
      </c>
      <c r="BF41" s="729">
        <f ca="1">MIN(Tab_NewTRADER[[#This Row],[L_Sn]],Tab_NewTRADER[[#This Row],[N]])*(Tab_NewTRADER[[#This Row],[M]]-Tab_NewTRADER[[#This Row],[L_Sp]])*(1-Commission)*Tab_NewTRADER[[#This Row],[Scale]]</f>
        <v>599.43740000000014</v>
      </c>
      <c r="BG41" s="692">
        <f ca="1">Tab_NewTRADER[[#This Row],[L_Sn]]*(Tab_NewTRADER[[#This Row],[Agiotage]]-Tab_NewTRADER[[#This Row],[M]])/(Tab_NewTRADER[[#This Row],[L_Bn]]*Tab_NewTRADER[[#This Row],[M]])</f>
        <v>-0.79998697686770892</v>
      </c>
      <c r="BH41" s="635">
        <f ca="1">IFERROR((Tab_NewTRADER[[#This Row],[M]]-Tab_NewTRADER[[#This Row],[A]])/Tab_NewTRADER[[#This Row],[A]],0)</f>
        <v>0.59957701797673602</v>
      </c>
      <c r="BI41" s="638" t="str">
        <f ca="1">TEXT(_xlfn.XLOOKUP(Tab_NewTRADER[[#This Row],[ClickTick]],TabCalc[Ticker],TabCalc[NAfter]),"#,#0")&amp;" : "&amp;TEXT(_xlfn.XLOOKUP(Tab_NewTRADER[[#This Row],[ClickTick]],TabCalc[Ticker],TabCalc[NAfter])*(Tab_NewTRADER[[#This Row],[M]]-Tab_NewTRADER[[#This Row],[A]])*(1-Commission)*Tab_NewTRADER[[#This Row],[Scale]],"#,#0$")</f>
        <v>50 : 848$</v>
      </c>
      <c r="BJ41" s="684">
        <f ca="1">_xlfn.XLOOKUP(Tab_NewTRADER[[#This Row],[ClickTick]],TabCalc[[#This Row],[Ticker]],TabCalc[[#This Row],[GL]])*(1-Commission)</f>
        <v>36307.706383499921</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0.26487439400617019</v>
      </c>
      <c r="BP41" s="679">
        <f ca="1">Tab_NewTRADER[[#This Row],[L_Sn]]*Tab_NewTRADER[[#This Row],[L_Sp]]+Tab_NewTRADER[[#This Row],[SellMore]]*Tab_NewTRADER[[#This Row],[M]]</f>
        <v>109021</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33.544923076923077</v>
      </c>
      <c r="BT41" s="687">
        <f ca="1">((_xlfn.XLOOKUP(Tab_NewTRADER[[#This Row],[ClickTick]],TabCalc[Ticker],TabCalc[NAfter])+Tab_NewTRADER[[#This Row],[L_Sn]])*(Tab_NewTRADER[[#This Row],[Agiotage]]-Tab_NewTRADER[[#This Row],[M]]))/(Tab_NewTRADER[[#This Row],[L_Sn]]*_xlfn.XLOOKUP(Tab_NewTRADER[[#This Row],[ClickTick]],TabCalc[Ticker],TabCalc[NAfter]))</f>
        <v>-0.92176624440104737</v>
      </c>
      <c r="BU41" s="687">
        <f ca="1">(Tab_NewTRADER[[#This Row],[M]]-Tab_NewTRADER[[#This Row],[Agiotage]])/(Tab_NewTRADER[[#This Row],[M]]-Tab_NewTRADER[[#This Row],[A]])-1</f>
        <v>1.6677990160388467</v>
      </c>
      <c r="BV41" s="1277">
        <f ca="1">_xlfn.XMATCH(Tab_NewTRADER[[#This Row],[ClickTick]]&amp;1, TabConsolid[#Headers])</f>
        <v>116</v>
      </c>
      <c r="BW41" t="b">
        <f ca="1">IF(ABS(Tab_NewTRADER[[#This Row],[L_Bp]])&gt;=Tab_NewTRADER[[#This Row],[M]],"OK")</f>
        <v>0</v>
      </c>
    </row>
    <row r="42" spans="1:75" ht="22"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-11,075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-17,350$</v>
      </c>
      <c r="G42" s="225" t="str">
        <f ca="1">IFERROR(TRUNC(_xlfn.XLOOKUP(Tab_NewTRADER[[#This Row],[ClickTick]],TabCalc[Ticker],ListLastSalep),2)&amp;"x"&amp;_xlfn.XLOOKUP(Tab_NewTRADER[[#This Row],[ClickTick]],TabCalc[Ticker],ListLastSalen)&amp;"=   "&amp;TEXT(-_xlfn.XLOOKUP(Tab_NewTRADER[[#This Row],[ClickTick]],TabCalc[Ticker],ListReverseB),"#,#0")&amp;"$","")</f>
        <v>237.8x200=   -5,520$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13.1% = 181</v>
      </c>
      <c r="I42" s="226" t="str">
        <f ca="1">IFERROR(TRUNC(TabCalc[[#This Row],[L_S1p]],2)&amp;"x"&amp;TabCalc[[#This Row],[L_S1n]]&amp;"=   "&amp;TEXT(TabCalc[[#This Row],[ReverseB1]],"#,#0"),"")</f>
        <v>265.05x500=   27,425</v>
      </c>
      <c r="J42" s="295">
        <f ca="1">_xlfn.XLOOKUP(Tab_NewTRADER[[#This Row],[ClickTick]],TabCalc[Ticker],ListGravity)</f>
        <v>1.3732959086584207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483460</v>
      </c>
      <c r="M42" s="323">
        <f ca="1">_xlfn.XLOOKUP(Tab_NewTRADER[[#This Row],[ClickTick]],TabCalc[Ticker],TabCalc[Agiotage])</f>
        <v>0.15718001402410189</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-9.5330320636970112E-2</v>
      </c>
      <c r="S42" s="683">
        <f ca="1">_xlfn.XLOOKUP(Tab_NewTRADER[[#This Row],[ClickTick]],TabCalc[Ticker],TabCalc[Rev(MinStock)])*(1-Commission)</f>
        <v>-11046.205000000004</v>
      </c>
      <c r="T42" s="782">
        <f ca="1">_xlfn.XLOOKUP(Tab_NewTRADER[[#This Row],[ClickTick]],TabCalc[Ticker],TabCalc[Agiotage])</f>
        <v>0.15718001402410189</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-5,320/-5,320=&gt;-1.1% / -0.4%</v>
      </c>
      <c r="V42" s="739" t="str">
        <f ca="1">_xlfn.XLOOKUP(Tab_NewTRADER[[#This Row],[ClickTick]],[1]!RTData[Ticker_Symbol],[1]!RTData[Currency])</f>
        <v>EUR</v>
      </c>
      <c r="W42" s="749">
        <f ca="1">_xlfn.XLOOKUP(Tab_NewTRADER[[#This Row],[ClickTick]],TabCalc[Ticker],TabCalc[M])</f>
        <v>210.2</v>
      </c>
      <c r="X42" s="1343"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-30/799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5505.6480000000047</v>
      </c>
      <c r="AI42" s="1370" t="str">
        <f ca="1">TEXT(MIN(Tab_NewTRADER[[#This Row],[L_Bn]],Tab_NewTRADER[[#This Row],[N]]),"#,#0")&amp;" x "&amp;TEXT(Tab_NewTRADER[[#This Row],[L_Bp]],"#,#0.#0")</f>
        <v>500 x -232.35</v>
      </c>
      <c r="AJ42" s="1370">
        <f ca="1">IF(Tab_NewTRADER[[#This Row],[M]]&lt;_xlfn.XLOOKUP(Tab_NewTRADER[[#This Row],[ClickTick]],TabCalc[Ticker],TabCalc[Max_Buy_P]), 0,Tab_NewTRADER[[#This Row],[Sale_Back_$]])</f>
        <v>0</v>
      </c>
      <c r="AK42" s="1370" t="str">
        <f ca="1">TEXT(Tab_NewTRADER[[#This Row],[L_Sn]],"#,#0")&amp;" ("&amp;Tab_NewTRADER[[#This Row],[M]]&amp;"/"&amp;TEXT(Tab_NewTRADER[[#This Row],[L_Sp]],"#,#0.#0)")</f>
        <v>200 (210.2/237.80)</v>
      </c>
      <c r="AL42" s="1370">
        <f ca="1">IF(Tab_NewTRADER[[#This Row],[M]]&lt;_xlfn.XLOOKUP(Tab_NewTRADER[[#This Row],[ClickTick]],TabCalc[Ticker],TabCalc[Max_Buy_P]), -Tab_NewTRADER[[#This Row],[Buy_Back]], 0)</f>
        <v>5505.6480000000047</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-114965.75982999995</v>
      </c>
      <c r="AO42" s="760">
        <f ca="1">Tab_NewTRADER[[#This Row],[M]]*Tab_NewTRADER[[#This Row],[N]]*(1-Commission)*Tab_NewTRADER[[#This Row],[Scale]]</f>
        <v>796683.22399999993</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0.11606391925988234</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-0.74606337889802699</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-114965.75982999995</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-0.12577960474732947</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0.1417054860033051</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0.11606391925988234</v>
      </c>
      <c r="BF42" s="729">
        <f ca="1">MIN(Tab_NewTRADER[[#This Row],[L_Sn]],Tab_NewTRADER[[#This Row],[N]])*(Tab_NewTRADER[[#This Row],[M]]-Tab_NewTRADER[[#This Row],[L_Sp]])*(1-Commission)*Tab_NewTRADER[[#This Row],[Scale]]</f>
        <v>-5505.6480000000047</v>
      </c>
      <c r="BG42" s="692">
        <f ca="1">Tab_NewTRADER[[#This Row],[L_Sn]]*(Tab_NewTRADER[[#This Row],[Agiotage]]-Tab_NewTRADER[[#This Row],[M]])/(Tab_NewTRADER[[#This Row],[L_Bn]]*Tab_NewTRADER[[#This Row],[M]])</f>
        <v>-0.39970089435961154</v>
      </c>
      <c r="BH42" s="635">
        <f ca="1">IFERROR((Tab_NewTRADER[[#This Row],[M]]-Tab_NewTRADER[[#This Row],[A]])/Tab_NewTRADER[[#This Row],[A]],0)</f>
        <v>-0.12610748420626577</v>
      </c>
      <c r="BI42" s="638" t="str">
        <f ca="1">TEXT(_xlfn.XLOOKUP(Tab_NewTRADER[[#This Row],[ClickTick]],TabCalc[Ticker],TabCalc[NAfter]),"#,#0")&amp;" : "&amp;TEXT(_xlfn.XLOOKUP(Tab_NewTRADER[[#This Row],[ClickTick]],TabCalc[Ticker],TabCalc[NAfter])*(Tab_NewTRADER[[#This Row],[M]]-Tab_NewTRADER[[#This Row],[A]])*(1-Commission)*Tab_NewTRADER[[#This Row],[Scale]],"#,#0$")</f>
        <v>3,800 : -114,966$</v>
      </c>
      <c r="BJ42" s="684">
        <f ca="1">_xlfn.XLOOKUP(Tab_NewTRADER[[#This Row],[ClickTick]],TabCalc[[#This Row],[Ticker]],TabCalc[[#This Row],[GL]])*(1-Commission)</f>
        <v>-29529.049335000138</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-1.1054885262419785</v>
      </c>
      <c r="BU42" s="687">
        <f ca="1">(Tab_NewTRADER[[#This Row],[M]]-Tab_NewTRADER[[#This Row],[Agiotage]])/(Tab_NewTRADER[[#This Row],[M]]-Tab_NewTRADER[[#This Row],[A]])-1</f>
        <v>-7.9245616613365808</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-553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-1,380$</v>
      </c>
      <c r="G43" s="225" t="str">
        <f ca="1">IFERROR(TRUNC(_xlfn.XLOOKUP(Tab_NewTRADER[[#This Row],[ClickTick]],TabCalc[Ticker],ListLastSalep),2)&amp;"x"&amp;_xlfn.XLOOKUP(Tab_NewTRADER[[#This Row],[ClickTick]],TabCalc[Ticker],ListLastSalen)&amp;"=   "&amp;TEXT(-_xlfn.XLOOKUP(Tab_NewTRADER[[#This Row],[ClickTick]],TabCalc[Ticker],ListReverseB),"#,#0")&amp;"$","")</f>
        <v>16.54x632=   -980$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 = 3,226</v>
      </c>
      <c r="I43" s="226" t="str">
        <f ca="1">IFERROR(TRUNC(TabCalc[[#This Row],[L_S1p]],2)&amp;"x"&amp;TabCalc[[#This Row],[L_S1n]]&amp;"=   "&amp;TEXT(TabCalc[[#This Row],[ReverseB1]],"#,#0"),"")</f>
        <v>21.02x1000=   6,031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187375</v>
      </c>
      <c r="M43" s="323">
        <f ca="1">_xlfn.XLOOKUP(Tab_NewTRADER[[#This Row],[ClickTick]],TabCalc[Ticker],TabCalc[Agiotage])</f>
        <v>0.12795064721805283</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-1.3815789473684151E-2</v>
      </c>
      <c r="S43" s="683">
        <f ca="1">_xlfn.XLOOKUP(Tab_NewTRADER[[#This Row],[ClickTick]],TabCalc[Ticker],TabCalc[Rev(MinStock)])*(1-Commission)</f>
        <v>-551.28292799999747</v>
      </c>
      <c r="T43" s="782">
        <f ca="1">_xlfn.XLOOKUP(Tab_NewTRADER[[#This Row],[ClickTick]],TabCalc[Ticker],TabCalc[Agiotage])</f>
        <v>0.12795064721805283</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1,250/1,250=&gt;1.6% / 1.3%</v>
      </c>
      <c r="V43" s="739" t="str">
        <f ca="1">_xlfn.XLOOKUP(Tab_NewTRADER[[#This Row],[ClickTick]],[1]!RTData[Ticker_Symbol],[1]!RTData[Currency])</f>
        <v>USD</v>
      </c>
      <c r="W43" s="749">
        <f ca="1">_xlfn.XLOOKUP(Tab_NewTRADER[[#This Row],[ClickTick]],TabCalc[Ticker],TabCalc[M])</f>
        <v>14.99</v>
      </c>
      <c r="X43" s="1343"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^68 / 375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70" t="str">
        <f ca="1">TEXT(MIN(Tab_NewTRADER[[#This Row],[L_Bn]],Tab_NewTRADER[[#This Row],[N]]),"#,#0")&amp;" x "&amp;TEXT(Tab_NewTRADER[[#This Row],[L_Bp]],"#,#0.#0")</f>
        <v>2,632 x -15.20</v>
      </c>
      <c r="AJ43" s="1370">
        <f ca="1">IF(Tab_NewTRADER[[#This Row],[M]]&lt;_xlfn.XLOOKUP(Tab_NewTRADER[[#This Row],[ClickTick]],TabCalc[Ticker],TabCalc[Max_Buy_P]), 0,Tab_NewTRADER[[#This Row],[Sale_Back_$]])</f>
        <v>0</v>
      </c>
      <c r="AK43" s="1370" t="str">
        <f ca="1">TEXT(Tab_NewTRADER[[#This Row],[L_Sn]],"#,#0")&amp;" ("&amp;Tab_NewTRADER[[#This Row],[M]]&amp;"/"&amp;TEXT(Tab_NewTRADER[[#This Row],[L_Sp]],"#,#0.#0)")</f>
        <v>632 (14.99/16.54)</v>
      </c>
      <c r="AL43" s="1370">
        <f ca="1">IF(Tab_NewTRADER[[#This Row],[M]]&lt;_xlfn.XLOOKUP(Tab_NewTRADER[[#This Row],[ClickTick]],TabCalc[Ticker],TabCalc[Max_Buy_P]), -Tab_NewTRADER[[#This Row],[Buy_Back]], 0)</f>
        <v>977.05303999999933</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551.28292799999747</v>
      </c>
      <c r="AN43" s="760">
        <f ca="1">Tab_NewTRADER[[#This Row],[N]]*(Tab_NewTRADER[[#This Row],[M]]-Tab_NewTRADER[[#This Row],[A]])*(1-Commission)*Tab_NewTRADER[[#This Row],[Scale]]</f>
        <v>-45504.73926400004</v>
      </c>
      <c r="AO43" s="760">
        <f ca="1">Tab_NewTRADER[[#This Row],[M]]*Tab_NewTRADER[[#This Row],[N]]*(1-Commission)*Tab_NewTRADER[[#This Row],[Scale]]</f>
        <v>373775.64999999997</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0.10853056911123017</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1.1409339559706409E-2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-0.26177285318559446</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1.4009339559706409E-2</v>
      </c>
      <c r="AV43" s="825" cm="1">
        <f t="array" aca="1" ref="AV43" ca="1">_xlfn.IFS(         Tab_NewTRADER[[#This Row],[Trap_vs_Last]]=MDown,Tab_NewTRADER[[#This Row],[L_Bn]]*Tab_NewTRADER[[#This Row],[M]]*(-(Tab_NewTRADER[[#This Row],[L_Bp]]+Tab_NewTRADER[[#This Row],[M]])/Tab_NewTRADER[[#This Row],[M]])*(1-Commission)*Tab_NewTRADER[[#This Row],[Scale]],                               TRUE,"")</f>
        <v>551.28292799999747</v>
      </c>
      <c r="AW43" s="1186" cm="1">
        <f t="array" aca="1" ref="AW43" ca="1">_xlfn.IFS(   Tab_NewTRADER[[#This Row],[Trap_vs_Last]]=MUp,Tab_NewTRADER[[#This Row],[TakeGain_A]]-Commission,        Tab_NewTRADER[[#This Row],[Trap_vs_Last]]=MDown,(Tab_NewTRADER[[#This Row],[A]]-Tab_NewTRADER[[#This Row],[M]])/Tab_NewTRADER[[#This Row],[M]]-Commission,                              TRUE,"")</f>
        <v>0.11914345563709151</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45504.73926400004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-0.10824838963154097</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0.11914345563709151</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9.371221281741228E-2</v>
      </c>
      <c r="BF43" s="729">
        <f ca="1">MIN(Tab_NewTRADER[[#This Row],[L_Sn]],Tab_NewTRADER[[#This Row],[N]])*(Tab_NewTRADER[[#This Row],[M]]-Tab_NewTRADER[[#This Row],[L_Sp]])*(1-Commission)*Tab_NewTRADER[[#This Row],[Scale]]</f>
        <v>-977.05303999999933</v>
      </c>
      <c r="BG43" s="692">
        <f ca="1">Tab_NewTRADER[[#This Row],[L_Sn]]*(Tab_NewTRADER[[#This Row],[Agiotage]]-Tab_NewTRADER[[#This Row],[M]])/(Tab_NewTRADER[[#This Row],[L_Bn]]*Tab_NewTRADER[[#This Row],[M]])</f>
        <v>-0.2380719666950761</v>
      </c>
      <c r="BH43" s="635">
        <f ca="1">IFERROR((Tab_NewTRADER[[#This Row],[M]]-Tab_NewTRADER[[#This Row],[A]])/Tab_NewTRADER[[#This Row],[A]],0)</f>
        <v>-0.10853056911123017</v>
      </c>
      <c r="BI43" s="638" t="str">
        <f ca="1">TEXT(_xlfn.XLOOKUP(Tab_NewTRADER[[#This Row],[ClickTick]],TabCalc[Ticker],TabCalc[NAfter]),"#,#0")&amp;" : "&amp;TEXT(_xlfn.XLOOKUP(Tab_NewTRADER[[#This Row],[ClickTick]],TabCalc[Ticker],TabCalc[NAfter])*(Tab_NewTRADER[[#This Row],[M]]-Tab_NewTRADER[[#This Row],[A]])*(1-Commission)*Tab_NewTRADER[[#This Row],[Scale]],"#,#0$")</f>
        <v>25,000 : -45,505$</v>
      </c>
      <c r="BJ43" s="684">
        <f ca="1">_xlfn.XLOOKUP(Tab_NewTRADER[[#This Row],[ClickTick]],TabCalc[[#This Row],[Ticker]],TabCalc[[#This Row],[GL]])*(1-Commission)</f>
        <v>68216.39502799997</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1.4009339559706409E-2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-2.4110382848766255E-2</v>
      </c>
      <c r="BU43" s="687">
        <f ca="1">(Tab_NewTRADER[[#This Row],[M]]-Tab_NewTRADER[[#This Row],[Agiotage]])/(Tab_NewTRADER[[#This Row],[M]]-Tab_NewTRADER[[#This Row],[A]])-1</f>
        <v>-9.1438814199468936</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-900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-666$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-11,453$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42.7% = 1,310</v>
      </c>
      <c r="I44" s="226" t="str">
        <f ca="1">IFERROR(TRUNC(TabCalc[[#This Row],[L_S1p]],2)&amp;"x"&amp;TabCalc[[#This Row],[L_S1n]]&amp;"=   "&amp;TEXT(TabCalc[[#This Row],[ReverseB1]],"#,#0"),"")</f>
        <v>10.36x4000=   5,640</v>
      </c>
      <c r="J44" s="295">
        <f ca="1">_xlfn.XLOOKUP(Tab_NewTRADER[[#This Row],[ClickTick]],TabCalc[Ticker],ListGravity)</f>
        <v>1.4897575418994415</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7.0318592659626732E-4</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-3.2432432432432511E-2</v>
      </c>
      <c r="S44" s="683">
        <f ca="1">_xlfn.XLOOKUP(Tab_NewTRADER[[#This Row],[ClickTick]],TabCalc[Ticker],TabCalc[Rev(MinStock)])*(1-Commission)</f>
        <v>-897.66000000000213</v>
      </c>
      <c r="T44" s="782">
        <f ca="1">_xlfn.XLOOKUP(Tab_NewTRADER[[#This Row],[ClickTick]],TabCalc[Ticker],TabCalc[Agiotage])</f>
        <v>7.0318592659626732E-4</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640/640=&gt;0.0% / -4.1%</v>
      </c>
      <c r="V44" s="739" t="str">
        <f ca="1">_xlfn.XLOOKUP(Tab_NewTRADER[[#This Row],[ClickTick]],[1]!RTData[Ticker_Symbol],[1]!RTData[Currency])</f>
        <v>USD</v>
      </c>
      <c r="W44" s="749">
        <f ca="1">_xlfn.XLOOKUP(Tab_NewTRADER[[#This Row],[ClickTick]],TabCalc[Ticker],TabCalc[M])</f>
        <v>8.9499999999999993</v>
      </c>
      <c r="X44" s="1343"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-713/143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11422.823140260003</v>
      </c>
      <c r="AI44" s="1370" t="str">
        <f ca="1">TEXT(MIN(Tab_NewTRADER[[#This Row],[L_Bn]],Tab_NewTRADER[[#This Row],[N]]),"#,#0")&amp;" x "&amp;TEXT(Tab_NewTRADER[[#This Row],[L_Bp]],"#,#0.#0")</f>
        <v>3,000 x -9.25</v>
      </c>
      <c r="AJ44" s="1370">
        <f ca="1">IF(Tab_NewTRADER[[#This Row],[M]]&lt;_xlfn.XLOOKUP(Tab_NewTRADER[[#This Row],[ClickTick]],TabCalc[Ticker],TabCalc[Max_Buy_P]), 0,Tab_NewTRADER[[#This Row],[Sale_Back_$]])</f>
        <v>0</v>
      </c>
      <c r="AK44" s="1370" t="str">
        <f ca="1">TEXT(Tab_NewTRADER[[#This Row],[L_Sn]],"#,#0")&amp;" ("&amp;Tab_NewTRADER[[#This Row],[M]]&amp;"/"&amp;TEXT(Tab_NewTRADER[[#This Row],[L_Sp]],"#,#0.#0)")</f>
        <v>3,000 (8.95/12.77)</v>
      </c>
      <c r="AL44" s="1370">
        <f ca="1">IF(Tab_NewTRADER[[#This Row],[M]]&lt;_xlfn.XLOOKUP(Tab_NewTRADER[[#This Row],[ClickTick]],TabCalc[Ticker],TabCalc[Max_Buy_P]), -Tab_NewTRADER[[#This Row],[Buy_Back]], 0)</f>
        <v>11422.823140260003</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-323103.63068599999</v>
      </c>
      <c r="AO44" s="760">
        <f ca="1">Tab_NewTRADER[[#This Row],[M]]*Tab_NewTRADER[[#This Row],[N]]*(1-Commission)*Tab_NewTRADER[[#This Row],[Scale]]</f>
        <v>142827.68</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0.29900319899694333</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-3.7183680495782495E-2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-323103.63068599999</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-0.69165465779009638</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2.2595919692737434</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0.29900319899694333</v>
      </c>
      <c r="BF44" s="729">
        <f ca="1">MIN(Tab_NewTRADER[[#This Row],[L_Sn]],Tab_NewTRADER[[#This Row],[N]])*(Tab_NewTRADER[[#This Row],[M]]-Tab_NewTRADER[[#This Row],[L_Sp]])*(1-Commission)*Tab_NewTRADER[[#This Row],[Scale]]</f>
        <v>-11422.823140260003</v>
      </c>
      <c r="BG44" s="692">
        <f ca="1">Tab_NewTRADER[[#This Row],[L_Sn]]*(Tab_NewTRADER[[#This Row],[Agiotage]]-Tab_NewTRADER[[#This Row],[M]])/(Tab_NewTRADER[[#This Row],[L_Bn]]*Tab_NewTRADER[[#This Row],[M]])</f>
        <v>-0.99992143174004511</v>
      </c>
      <c r="BH44" s="635">
        <f ca="1">IFERROR((Tab_NewTRADER[[#This Row],[M]]-Tab_NewTRADER[[#This Row],[A]])/Tab_NewTRADER[[#This Row],[A]],0)</f>
        <v>-0.69345764767404894</v>
      </c>
      <c r="BI44" s="638" t="str">
        <f ca="1">TEXT(_xlfn.XLOOKUP(Tab_NewTRADER[[#This Row],[ClickTick]],TabCalc[Ticker],TabCalc[NAfter]),"#,#0")&amp;" : "&amp;TEXT(_xlfn.XLOOKUP(Tab_NewTRADER[[#This Row],[ClickTick]],TabCalc[Ticker],TabCalc[NAfter])*(Tab_NewTRADER[[#This Row],[M]]-Tab_NewTRADER[[#This Row],[A]])*(1-Commission)*Tab_NewTRADER[[#This Row],[Scale]],"#,#0$")</f>
        <v>16,000 : -323,104$</v>
      </c>
      <c r="BJ44" s="684">
        <f ca="1">_xlfn.XLOOKUP(Tab_NewTRADER[[#This Row],[ClickTick]],TabCalc[[#This Row],[Ticker]],TabCalc[[#This Row],[GL]])*(1-Commission)</f>
        <v>-711469.67686774</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-3.5424299889040551E-3</v>
      </c>
      <c r="BU44" s="687">
        <f ca="1">(Tab_NewTRADER[[#This Row],[M]]-Tab_NewTRADER[[#This Row],[Agiotage]])/(Tab_NewTRADER[[#This Row],[M]]-Tab_NewTRADER[[#This Row],[A]])-1</f>
        <v>-1.4420144025447412</v>
      </c>
      <c r="BV44" s="1277">
        <f ca="1">_xlfn.XMATCH(Tab_NewTRADER[[#This Row],[ClickTick]]&amp;1, TabConsolid[#Headers])</f>
        <v>125</v>
      </c>
      <c r="BW44" t="str">
        <f ca="1">IF(ABS(Tab_NewTRADER[[#This Row],[L_Bp]])&gt;=Tab_NewTRADER[[#This Row],[M]],"OK")</f>
        <v>OK</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+68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16.8%</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216</v>
      </c>
      <c r="F45" s="226" t="str">
        <f ca="1">TRUNC(TabCalc[[#This Row],[L_B1p]],2)&amp;"x"&amp;TabCalc[[#This Row],[L_B1n]]&amp;"=   "&amp;TEXT(TabCalc[[#This Row],[ReverseS1]],"#,#0")&amp;"$"</f>
        <v>-382.16x100=   22$</v>
      </c>
      <c r="G45" s="225" t="str">
        <f ca="1">IFERROR(TRUNC(_xlfn.XLOOKUP(Tab_NewTRADER[[#This Row],[ClickTick]],TabCalc[Ticker],ListLastSalep),2)&amp;"x"&amp;_xlfn.XLOOKUP(Tab_NewTRADER[[#This Row],[ClickTick]],TabCalc[Ticker],ListLastSalen)&amp;"=   "&amp;TEXT(-_xlfn.XLOOKUP(Tab_NewTRADER[[#This Row],[ClickTick]],TabCalc[Ticker],ListReverseB),"#,#0")&amp;"$","")</f>
        <v>427.54x9=   -209$</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216</v>
      </c>
      <c r="I45" s="226" t="str">
        <f ca="1">IFERROR(TRUNC(TabCalc[[#This Row],[L_S1p]],2)&amp;"x"&amp;TabCalc[[#This Row],[L_S1n]]&amp;"=   "&amp;TEXT(TabCalc[[#This Row],[ReverseB1]],"#,#0"),"")</f>
        <v>333.93x390=   -27,464</v>
      </c>
      <c r="J45" s="295">
        <f ca="1">_xlfn.XLOOKUP(Tab_NewTRADER[[#This Row],[ClickTick]],TabCalc[Ticker],ListGravity)</f>
        <v>0.9677706195127983</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3.9707188888134714E-3</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0.20159876378116559</v>
      </c>
      <c r="S45" s="683">
        <f ca="1">_xlfn.XLOOKUP(Tab_NewTRADER[[#This Row],[ClickTick]],TabCalc[Ticker],TabCalc[Rev(MinStock)])*(1-Commission)</f>
        <v>67.663616000000033</v>
      </c>
      <c r="T45" s="782">
        <f ca="1">_xlfn.XLOOKUP(Tab_NewTRADER[[#This Row],[ClickTick]],TabCalc[Ticker],TabCalc[Agiotage])</f>
        <v>3.9707188888134714E-3</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18/18=&gt;-3.6% / 0.6%</v>
      </c>
      <c r="V45" s="739" t="str">
        <f ca="1">_xlfn.XLOOKUP(Tab_NewTRADER[[#This Row],[ClickTick]],[1]!RTData[Ticker_Symbol],[1]!RTData[Currency])</f>
        <v>USD</v>
      </c>
      <c r="W45" s="749">
        <f ca="1">_xlfn.XLOOKUP(Tab_NewTRADER[[#This Row],[ClickTick]],TabCalc[Ticker],TabCalc[M])</f>
        <v>404.35</v>
      </c>
      <c r="X45" s="1343"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23.129705999999995</v>
      </c>
      <c r="AI45" s="1370" t="str">
        <f ca="1">TEXT(MIN(Tab_NewTRADER[[#This Row],[L_Bn]],Tab_NewTRADER[[#This Row],[N]]),"#,#0")&amp;" x "&amp;TEXT(Tab_NewTRADER[[#This Row],[L_Bp]],"#,#0.#0")</f>
        <v>1 x -336.51</v>
      </c>
      <c r="AJ45" s="1370">
        <f ca="1">IF(Tab_NewTRADER[[#This Row],[M]]&lt;_xlfn.XLOOKUP(Tab_NewTRADER[[#This Row],[ClickTick]],TabCalc[Ticker],TabCalc[Max_Buy_P]), 0,Tab_NewTRADER[[#This Row],[Sale_Back_$]])</f>
        <v>67.663616000000033</v>
      </c>
      <c r="AK45" s="1370" t="str">
        <f ca="1">TEXT(Tab_NewTRADER[[#This Row],[L_Sn]],"#,#0")&amp;" ("&amp;Tab_NewTRADER[[#This Row],[M]]&amp;"/"&amp;TEXT(Tab_NewTRADER[[#This Row],[L_Sp]],"#,#0.#0)")</f>
        <v>9 (404.35/427.54)</v>
      </c>
      <c r="AL45" s="1370">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67.663616000000033</v>
      </c>
      <c r="AO45" s="760">
        <f ca="1">Tab_NewTRADER[[#This Row],[M]]*Tab_NewTRADER[[#This Row],[N]]*(1-Commission)*Tab_NewTRADER[[#This Row],[Scale]]</f>
        <v>403.29869000000002</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5.4240538896945308E-2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0.26106314734251657</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67.663616000000033</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0.20107460699533455</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-0.17037544206751581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5.4240538896945308E-2</v>
      </c>
      <c r="BF45" s="729">
        <f ca="1">MIN(Tab_NewTRADER[[#This Row],[L_Sn]],Tab_NewTRADER[[#This Row],[N]])*(Tab_NewTRADER[[#This Row],[M]]-Tab_NewTRADER[[#This Row],[L_Sp]])*(1-Commission)*Tab_NewTRADER[[#This Row],[Scale]]</f>
        <v>-23.129705999999995</v>
      </c>
      <c r="BG45" s="692">
        <f ca="1">Tab_NewTRADER[[#This Row],[L_Sn]]*(Tab_NewTRADER[[#This Row],[Agiotage]]-Tab_NewTRADER[[#This Row],[M]])/(Tab_NewTRADER[[#This Row],[L_Bn]]*Tab_NewTRADER[[#This Row],[M]])</f>
        <v>-2.2499779049894902E-2</v>
      </c>
      <c r="BH45" s="635">
        <f ca="1">IFERROR((Tab_NewTRADER[[#This Row],[M]]-Tab_NewTRADER[[#This Row],[A]])/Tab_NewTRADER[[#This Row],[A]],0)</f>
        <v>0.20159876378116559</v>
      </c>
      <c r="BI45" s="638" t="str">
        <f ca="1">TEXT(_xlfn.XLOOKUP(Tab_NewTRADER[[#This Row],[ClickTick]],TabCalc[Ticker],TabCalc[NAfter]),"#,#0")&amp;" : "&amp;TEXT(_xlfn.XLOOKUP(Tab_NewTRADER[[#This Row],[ClickTick]],TabCalc[Ticker],TabCalc[NAfter])*(Tab_NewTRADER[[#This Row],[M]]-Tab_NewTRADER[[#This Row],[A]])*(1-Commission)*Tab_NewTRADER[[#This Row],[Scale]],"#,#0$")</f>
        <v>1 : 68$</v>
      </c>
      <c r="BJ45" s="684">
        <f ca="1">_xlfn.XLOOKUP(Tab_NewTRADER[[#This Row],[ClickTick]],TabCalc[[#This Row],[Ticker]],TabCalc[[#This Row],[GL]])*(1-Commission)</f>
        <v>87402.271714000002</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4252.21</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425.221</v>
      </c>
      <c r="BT45" s="687">
        <f ca="1">((_xlfn.XLOOKUP(Tab_NewTRADER[[#This Row],[ClickTick]],TabCalc[Ticker],TabCalc[NAfter])+Tab_NewTRADER[[#This Row],[L_Sn]])*(Tab_NewTRADER[[#This Row],[Agiotage]]-Tab_NewTRADER[[#This Row],[M]]))/(Tab_NewTRADER[[#This Row],[L_Sn]]*_xlfn.XLOOKUP(Tab_NewTRADER[[#This Row],[ClickTick]],TabCalc[Ticker],TabCalc[NAfter]))</f>
        <v>-449.27336586790136</v>
      </c>
      <c r="BU45" s="687">
        <f ca="1">(Tab_NewTRADER[[#This Row],[M]]-Tab_NewTRADER[[#This Row],[Agiotage]])/(Tab_NewTRADER[[#This Row],[M]]-Tab_NewTRADER[[#This Row],[A]])-1</f>
        <v>4.9602893467144904</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-1,226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1,256</v>
      </c>
      <c r="F46" s="226"/>
      <c r="G46" s="225"/>
      <c r="H46" s="493"/>
      <c r="I46" s="1123"/>
      <c r="J46" s="295">
        <f ca="1">_xlfn.XLOOKUP(Tab_NewTRADER[[#This Row],[ClickTick]],TabCalc[Ticker],ListGravity)</f>
        <v>1.1773682030399832</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712175</v>
      </c>
      <c r="M46" s="323">
        <f ca="1">_xlfn.XLOOKUP(Tab_NewTRADER[[#This Row],[ClickTick]],TabCalc[Ticker],TabCalc[Agiotage])</f>
        <v>3.579393845927167E-3</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-5.3508611132932517E-3</v>
      </c>
      <c r="S46" s="683">
        <f ca="1">_xlfn.XLOOKUP(Tab_NewTRADER[[#This Row],[ClickTick]],TabCalc[Ticker],TabCalc[Rev(MinStock)])*(1-Commission)</f>
        <v>-1222.8123999999764</v>
      </c>
      <c r="T46" s="1356">
        <f ca="1">_xlfn.XLOOKUP(Tab_NewTRADER[[#This Row],[ClickTick]],TabCalc[Ticker],TabCalc[Agiotage])</f>
        <v>3.579393845927167E-3</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40,320/40,320=&gt;-1.2% / 0.9%</v>
      </c>
      <c r="V46" s="1358" t="str">
        <f ca="1">_xlfn.XLOOKUP(Tab_NewTRADER[[#This Row],[ClickTick]],[1]!RTData[Ticker_Symbol],[1]!RTData[Currency])</f>
        <v>USD</v>
      </c>
      <c r="W46" s="749">
        <f ca="1">_xlfn.XLOOKUP(Tab_NewTRADER[[#This Row],[ClickTick]],TabCalc[Ticker],TabCalc[M])</f>
        <v>284.87</v>
      </c>
      <c r="X46" s="1343"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^899 / 1,282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1190.8956000000053</v>
      </c>
      <c r="AI46" s="1370" t="str">
        <f ca="1">TEXT(MIN(Tab_NewTRADER[[#This Row],[L_Bn]],Tab_NewTRADER[[#This Row],[N]]),"#,#0")&amp;" x "&amp;TEXT(Tab_NewTRADER[[#This Row],[L_Bp]],"#,#0.#0")</f>
        <v>800 x -286.40</v>
      </c>
      <c r="AJ46" s="1370">
        <f ca="1">IF(Tab_NewTRADER[[#This Row],[M]]&lt;_xlfn.XLOOKUP(Tab_NewTRADER[[#This Row],[ClickTick]],TabCalc[Ticker],TabCalc[Max_Buy_P]), 0,Tab_NewTRADER[[#This Row],[Sale_Back_$]])</f>
        <v>0</v>
      </c>
      <c r="AK46" s="1370" t="str">
        <f ca="1">TEXT(Tab_NewTRADER[[#This Row],[L_Sn]],"#,#0")&amp;" ("&amp;Tab_NewTRADER[[#This Row],[M]]&amp;"/"&amp;TEXT(Tab_NewTRADER[[#This Row],[L_Sp]],"#,#0.#0)")</f>
        <v>300 (284.87/288.85)</v>
      </c>
      <c r="AL46" s="1370">
        <f ca="1">IF(Tab_NewTRADER[[#This Row],[M]]&lt;_xlfn.XLOOKUP(Tab_NewTRADER[[#This Row],[ClickTick]],TabCalc[Ticker],TabCalc[Max_Buy_P]), -Tab_NewTRADER[[#This Row],[Buy_Back]], 0)</f>
        <v>1190.8956000000053</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363180.58834462514</v>
      </c>
      <c r="AO46" s="760">
        <f ca="1">Tab_NewTRADER[[#This Row],[M]]*Tab_NewTRADER[[#This Row],[N]]*(1-Commission)*Tab_NewTRADER[[#This Row],[Scale]]</f>
        <v>1278582.0209999999</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1.3778777912411349E-2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-7.4088846184060406E-2</v>
      </c>
      <c r="AT46" s="1282">
        <f ca="1">_xlfn.XLOOKUP(Tab_NewTRADER[[#This Row],[ClickTick]],TabCalc[Ticker],TabCalc[Up20])</f>
        <v>0</v>
      </c>
      <c r="AU46" s="1361"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363180.58834462514</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0.39571307832036318</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-0.28664950357473007</v>
      </c>
      <c r="BC46" s="1363">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1.3778777912411349E-2</v>
      </c>
      <c r="BF46" s="1135">
        <f ca="1">MIN(Tab_NewTRADER[[#This Row],[L_Sn]],Tab_NewTRADER[[#This Row],[N]])*(Tab_NewTRADER[[#This Row],[M]]-Tab_NewTRADER[[#This Row],[L_Sp]])*(1-Commission)*Tab_NewTRADER[[#This Row],[Scale]]</f>
        <v>-1190.8956000000053</v>
      </c>
      <c r="BG46" s="692">
        <f ca="1">Tab_NewTRADER[[#This Row],[L_Sn]]*(Tab_NewTRADER[[#This Row],[Agiotage]]-Tab_NewTRADER[[#This Row],[M]])/(Tab_NewTRADER[[#This Row],[L_Bn]]*Tab_NewTRADER[[#This Row],[M]])</f>
        <v>-0.37499528812197769</v>
      </c>
      <c r="BH46" s="1136">
        <f ca="1">IFERROR((Tab_NewTRADER[[#This Row],[M]]-Tab_NewTRADER[[#This Row],[A]])/Tab_NewTRADER[[#This Row],[A]],0)</f>
        <v>0.39674461431758895</v>
      </c>
      <c r="BI46" s="638" t="str">
        <f ca="1">TEXT(_xlfn.XLOOKUP(Tab_NewTRADER[[#This Row],[ClickTick]],TabCalc[Ticker],TabCalc[NAfter]),"#,#0")&amp;" : "&amp;TEXT(_xlfn.XLOOKUP(Tab_NewTRADER[[#This Row],[ClickTick]],TabCalc[Ticker],TabCalc[NAfter])*(Tab_NewTRADER[[#This Row],[M]]-Tab_NewTRADER[[#This Row],[A]])*(1-Commission)*Tab_NewTRADER[[#This Row],[Scale]],"#,#0$")</f>
        <v>4,500 : 363,181$</v>
      </c>
      <c r="BJ46" s="684"/>
      <c r="BK46" s="684"/>
      <c r="BL46" s="669" t="str">
        <f ca="1">Tab_NewTRADER[[#This Row],[ClickTick]]&amp;": "&amp;_xlfn.XLOOKUP(Tab_NewTRADER[[#This Row],[ClickTick]],TabCalc[Ticker],TabCalc[Pile?])</f>
        <v xml:space="preserve">TSM: </v>
      </c>
      <c r="BM46" s="351"/>
      <c r="BN46" s="1365"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229090</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286.36250000000001</v>
      </c>
      <c r="BT46" s="687">
        <f ca="1">((_xlfn.XLOOKUP(Tab_NewTRADER[[#This Row],[ClickTick]],TabCalc[Ticker],TabCalc[NAfter])+Tab_NewTRADER[[#This Row],[L_Sn]])*(Tab_NewTRADER[[#This Row],[Agiotage]]-Tab_NewTRADER[[#This Row],[M]]))/(Tab_NewTRADER[[#This Row],[L_Sn]]*_xlfn.XLOOKUP(Tab_NewTRADER[[#This Row],[ClickTick]],TabCalc[Ticker],TabCalc[NAfter]))</f>
        <v>-1.0128583843774368</v>
      </c>
      <c r="BU46" s="687">
        <f ca="1">(Tab_NewTRADER[[#This Row],[M]]-Tab_NewTRADER[[#This Row],[Agiotage]])/(Tab_NewTRADER[[#This Row],[M]]-Tab_NewTRADER[[#This Row],[A]])-1</f>
        <v>2.5204688704159466</v>
      </c>
      <c r="BV46" s="1277">
        <f ca="1">_xlfn.XMATCH(Tab_NewTRADER[[#This Row],[ClickTick]]&amp;1, TabConsolid[#Headers])</f>
        <v>131</v>
      </c>
      <c r="BW46" t="str">
        <f ca="1">IF(ABS(Tab_NewTRADER[[#This Row],[L_Bp]])&gt;=Tab_NewTRADER[[#This Row],[M]],"OK")</f>
        <v>OK</v>
      </c>
    </row>
    <row r="47" spans="1:75" ht="22" hidden="1"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-2,604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-25.0%</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-4,501$</v>
      </c>
      <c r="G47" s="225" t="str">
        <f ca="1">IFERROR(TRUNC(_xlfn.XLOOKUP(Tab_NewTRADER[[#This Row],[ClickTick]],TabCalc[Ticker],ListLastSalep),2)&amp;"x"&amp;_xlfn.XLOOKUP(Tab_NewTRADER[[#This Row],[ClickTick]],TabCalc[Ticker],ListLastSalen)&amp;"=   "&amp;TEXT(-_xlfn.XLOOKUP(Tab_NewTRADER[[#This Row],[ClickTick]],TabCalc[Ticker],ListReverseB),"#,#0")&amp;"$","")</f>
        <v>44.29x350=   -5,075$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48.7% = 345</v>
      </c>
      <c r="I47" s="226" t="str">
        <f ca="1">IFERROR(TRUNC(TabCalc[[#This Row],[L_S1p]],2)&amp;"x"&amp;TabCalc[[#This Row],[L_S1n]]&amp;"=   "&amp;TEXT(TabCalc[[#This Row],[ReverseB1]],"#,#0"),"")</f>
        <v>43.37x2500=   33,925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68540</v>
      </c>
      <c r="M47" s="323">
        <f ca="1">_xlfn.XLOOKUP(Tab_NewTRADER[[#This Row],[ClickTick]],TabCalc[Ticker],TabCalc[Agiotage])</f>
        <v>2.5362318840579712E-2</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-0.19980021857806102</v>
      </c>
      <c r="S47" s="683">
        <f ca="1">_xlfn.XLOOKUP(Tab_NewTRADER[[#This Row],[ClickTick]],TabCalc[Ticker],TabCalc[Rev(MinStock)])*(1-Commission)</f>
        <v>-2597.4739629999985</v>
      </c>
      <c r="T47" s="782">
        <f ca="1">_xlfn.XLOOKUP(Tab_NewTRADER[[#This Row],[ClickTick]],TabCalc[Ticker],TabCalc[Agiotage])</f>
        <v>2.5362318840579712E-2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450/450=&gt;2.0% / 4.2%</v>
      </c>
      <c r="V47" s="739" t="str">
        <f ca="1">_xlfn.XLOOKUP(Tab_NewTRADER[[#This Row],[ClickTick]],[1]!RTData[Ticker_Symbol],[1]!RTData[Currency])</f>
        <v>EUR</v>
      </c>
      <c r="W47" s="749">
        <f ca="1">_xlfn.XLOOKUP(Tab_NewTRADER[[#This Row],[ClickTick]],TabCalc[Ticker],TabCalc[M])</f>
        <v>29.8</v>
      </c>
      <c r="X47" s="1343"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-200/89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70" t="str">
        <f ca="1">TEXT(MIN(Tab_NewTRADER[[#This Row],[L_Bn]],Tab_NewTRADER[[#This Row],[N]]),"#,#0")&amp;" x "&amp;TEXT(Tab_NewTRADER[[#This Row],[L_Bp]],"#,#0.#0")</f>
        <v>350 x -37.24</v>
      </c>
      <c r="AJ47" s="1370">
        <f ca="1">IF(Tab_NewTRADER[[#This Row],[M]]&lt;_xlfn.XLOOKUP(Tab_NewTRADER[[#This Row],[ClickTick]],TabCalc[Ticker],TabCalc[Max_Buy_P]), 0,Tab_NewTRADER[[#This Row],[Sale_Back_$]])</f>
        <v>0</v>
      </c>
      <c r="AK47" s="1370" t="str">
        <f ca="1">TEXT(Tab_NewTRADER[[#This Row],[L_Sn]],"#,#0")&amp;" ("&amp;Tab_NewTRADER[[#This Row],[M]]&amp;"/"&amp;TEXT(Tab_NewTRADER[[#This Row],[L_Sp]],"#,#0.#0)")</f>
        <v>350 (29.8/44.30)</v>
      </c>
      <c r="AL47" s="1370">
        <f ca="1">IF(Tab_NewTRADER[[#This Row],[M]]&lt;_xlfn.XLOOKUP(Tab_NewTRADER[[#This Row],[ClickTick]],TabCalc[Ticker],TabCalc[Max_Buy_P]), -Tab_NewTRADER[[#This Row],[Buy_Back]], 0)</f>
        <v>5061.3756192999981</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2597.4739629999985</v>
      </c>
      <c r="AN47" s="1177">
        <f ca="1">Tab_NewTRADER[[#This Row],[N]]*(Tab_NewTRADER[[#This Row],[M]]-Tab_NewTRADER[[#This Row],[A]])*(1-Commission)*Tab_NewTRADER[[#This Row],[Scale]]</f>
        <v>-35306.015070000001</v>
      </c>
      <c r="AO47" s="1177">
        <f ca="1">Tab_NewTRADER[[#This Row],[M]]*Tab_NewTRADER[[#This Row],[N]]*(1-Commission)*Tab_NewTRADER[[#This Row],[Scale]]</f>
        <v>89167.56</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0.2836426530703004</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0.24708791946308711</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-0.58957441547624567</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0.2496879194630871</v>
      </c>
      <c r="AV47" s="825" cm="1">
        <f t="array" aca="1" ref="AV47" ca="1">_xlfn.IFS(         Tab_NewTRADER[[#This Row],[Trap_vs_Last]]=MDown,Tab_NewTRADER[[#This Row],[L_Bn]]*Tab_NewTRADER[[#This Row],[M]]*(-(Tab_NewTRADER[[#This Row],[L_Bp]]+Tab_NewTRADER[[#This Row],[M]])/Tab_NewTRADER[[#This Row],[M]])*(1-Commission)*Tab_NewTRADER[[#This Row],[Scale]],                               TRUE,"")</f>
        <v>2597.4739629999985</v>
      </c>
      <c r="AW47" s="1186" cm="1">
        <f t="array" aca="1" ref="AW47" ca="1">_xlfn.IFS(   Tab_NewTRADER[[#This Row],[Trap_vs_Last]]=MUp,Tab_NewTRADER[[#This Row],[TakeGain_A]]-Commission,        Tab_NewTRADER[[#This Row],[Trap_vs_Last]]=MDown,(Tab_NewTRADER[[#This Row],[A]]-Tab_NewTRADER[[#This Row],[M]])/Tab_NewTRADER[[#This Row],[M]]-Commission,                              TRUE,"")</f>
        <v>0.39335134228187923</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35306.015070000001</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-7.44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-0.28290518217231758</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0.39335134228187923</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0.32729509194047596</v>
      </c>
      <c r="BF47" s="729">
        <f ca="1">MIN(Tab_NewTRADER[[#This Row],[L_Sn]],Tab_NewTRADER[[#This Row],[N]])*(Tab_NewTRADER[[#This Row],[M]]-Tab_NewTRADER[[#This Row],[L_Sp]])*(1-Commission)*Tab_NewTRADER[[#This Row],[Scale]]</f>
        <v>-5061.3756192999981</v>
      </c>
      <c r="BG47" s="692">
        <f ca="1">Tab_NewTRADER[[#This Row],[L_Sn]]*(Tab_NewTRADER[[#This Row],[Agiotage]]-Tab_NewTRADER[[#This Row],[M]])/(Tab_NewTRADER[[#This Row],[L_Bn]]*Tab_NewTRADER[[#This Row],[M]])</f>
        <v>-0.99914891547514839</v>
      </c>
      <c r="BH47" s="635">
        <f ca="1">IFERROR((Tab_NewTRADER[[#This Row],[M]]-Tab_NewTRADER[[#This Row],[A]])/Tab_NewTRADER[[#This Row],[A]],0)</f>
        <v>-0.2836426530703004</v>
      </c>
      <c r="BI47" s="638" t="str">
        <f ca="1">TEXT(_xlfn.XLOOKUP(Tab_NewTRADER[[#This Row],[ClickTick]],TabCalc[Ticker],TabCalc[NAfter]),"#,#0")&amp;" : "&amp;TEXT(_xlfn.XLOOKUP(Tab_NewTRADER[[#This Row],[ClickTick]],TabCalc[Ticker],TabCalc[NAfter])*(Tab_NewTRADER[[#This Row],[M]]-Tab_NewTRADER[[#This Row],[A]])*(1-Commission)*Tab_NewTRADER[[#This Row],[Scale]],"#,#0$")</f>
        <v>3,000 : -35,306$</v>
      </c>
      <c r="BJ47" s="684">
        <f ca="1">_xlfn.XLOOKUP(Tab_NewTRADER[[#This Row],[ClickTick]],TabCalc[[#This Row],[Ticker]],TabCalc[[#This Row],[GL]])*(1-Commission)</f>
        <v>-199262.76129299999</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0.2496879194630871</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-9.4995272601794342E-2</v>
      </c>
      <c r="BU47" s="687">
        <f ca="1">(Tab_NewTRADER[[#This Row],[M]]-Tab_NewTRADER[[#This Row],[Agiotage]])/(Tab_NewTRADER[[#This Row],[M]]-Tab_NewTRADER[[#This Row],[A]])-1</f>
        <v>-3.5234133813438384</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-21,850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-48.1%</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1.1818821656050955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32875.800000000003</v>
      </c>
      <c r="M48" s="323">
        <f ca="1">_xlfn.XLOOKUP(Tab_NewTRADER[[#This Row],[ClickTick]],TabCalc[Ticker],TabCalc[Agiotage])</f>
        <v>3.1156902902410422E-5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-0.32473118279569896</v>
      </c>
      <c r="S48" s="683">
        <f ca="1">_xlfn.XLOOKUP(Tab_NewTRADER[[#This Row],[ClickTick]],TabCalc[Ticker],TabCalc[Rev(MinStock)])*(1-Commission)</f>
        <v>-21792.890780000002</v>
      </c>
      <c r="T48" s="782">
        <f ca="1">_xlfn.XLOOKUP(Tab_NewTRADER[[#This Row],[ClickTick]],TabCalc[Ticker],TabCalc[Agiotage])</f>
        <v>3.1156902902410422E-5</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2,749/2,749=&gt;4.9% / 4.1%</v>
      </c>
      <c r="V48" s="739" t="str">
        <f ca="1">_xlfn.XLOOKUP(Tab_NewTRADER[[#This Row],[ClickTick]],[1]!RTData[Ticker_Symbol],[1]!RTData[Currency])</f>
        <v>USD</v>
      </c>
      <c r="W48" s="749">
        <f ca="1">_xlfn.XLOOKUP(Tab_NewTRADER[[#This Row],[ClickTick]],TabCalc[Ticker],TabCalc[M])</f>
        <v>6.28</v>
      </c>
      <c r="X48" s="1343"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-22/45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70" t="str">
        <f ca="1">TEXT(MIN(Tab_NewTRADER[[#This Row],[L_Bn]],Tab_NewTRADER[[#This Row],[N]]),"#,#0")&amp;" x "&amp;TEXT(Tab_NewTRADER[[#This Row],[L_Bp]],"#,#0.#0")</f>
        <v>7,235 x -9.30</v>
      </c>
      <c r="AJ48" s="1370">
        <f ca="1">IF(Tab_NewTRADER[[#This Row],[M]]&lt;_xlfn.XLOOKUP(Tab_NewTRADER[[#This Row],[ClickTick]],TabCalc[Ticker],TabCalc[Max_Buy_P]), 0,Tab_NewTRADER[[#This Row],[Sale_Back_$]])</f>
        <v>0</v>
      </c>
      <c r="AK48" s="1370" t="str">
        <f ca="1">TEXT(Tab_NewTRADER[[#This Row],[L_Sn]],"#,#0")&amp;" ("&amp;Tab_NewTRADER[[#This Row],[M]]&amp;"/"&amp;TEXT(Tab_NewTRADER[[#This Row],[L_Sp]],"#,#0.#0)")</f>
        <v>0 (6.28/0.0)</v>
      </c>
      <c r="AL48" s="1370">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21792.890780000002</v>
      </c>
      <c r="AN48" s="1177">
        <f ca="1">Tab_NewTRADER[[#This Row],[N]]*(Tab_NewTRADER[[#This Row],[M]]-Tab_NewTRADER[[#This Row],[A]])*(1-Commission)*Tab_NewTRADER[[#This Row],[Scale]]</f>
        <v>-21792.890780000002</v>
      </c>
      <c r="AO48" s="1177">
        <f ca="1">Tab_NewTRADER[[#This Row],[M]]*Tab_NewTRADER[[#This Row],[N]]*(1-Commission)*Tab_NewTRADER[[#This Row],[Scale]]</f>
        <v>45317.666920000003</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0.32473118279569896</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0.478291719745223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-1.1240694789081886</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0.48089171974522299</v>
      </c>
      <c r="AV48" s="825" cm="1">
        <f t="array" aca="1" ref="AV48" ca="1">_xlfn.IFS(         Tab_NewTRADER[[#This Row],[Trap_vs_Last]]=MDown,Tab_NewTRADER[[#This Row],[L_Bn]]*Tab_NewTRADER[[#This Row],[M]]*(-(Tab_NewTRADER[[#This Row],[L_Bp]]+Tab_NewTRADER[[#This Row],[M]])/Tab_NewTRADER[[#This Row],[M]])*(1-Commission)*Tab_NewTRADER[[#This Row],[Scale]],                               TRUE,"")</f>
        <v>21792.890780000002</v>
      </c>
      <c r="AW48" s="1186" cm="1">
        <f t="array" aca="1" ref="AW48" ca="1">_xlfn.IFS(   Tab_NewTRADER[[#This Row],[Trap_vs_Last]]=MUp,Tab_NewTRADER[[#This Row],[TakeGain_A]]-Commission,        Tab_NewTRADER[[#This Row],[Trap_vs_Last]]=MDown,(Tab_NewTRADER[[#This Row],[A]]-Tab_NewTRADER[[#This Row],[M]])/Tab_NewTRADER[[#This Row],[M]]-Commission,                              TRUE,"")</f>
        <v>0.478291719745223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21792.890780000002</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-3.02</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-0.32388688172043012</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0.478291719745223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-0.32473118279569896</v>
      </c>
      <c r="BI48" s="638" t="str">
        <f ca="1">TEXT(_xlfn.XLOOKUP(Tab_NewTRADER[[#This Row],[ClickTick]],TabCalc[Ticker],TabCalc[NAfter]),"#,#0")&amp;" : "&amp;TEXT(_xlfn.XLOOKUP(Tab_NewTRADER[[#This Row],[ClickTick]],TabCalc[Ticker],TabCalc[NAfter])*(Tab_NewTRADER[[#This Row],[M]]-Tab_NewTRADER[[#This Row],[A]])*(1-Commission)*Tab_NewTRADER[[#This Row],[Scale]],"#,#0$")</f>
        <v>7,235 : -21,793$</v>
      </c>
      <c r="BJ48" s="684">
        <f ca="1">_xlfn.XLOOKUP(Tab_NewTRADER[[#This Row],[ClickTick]],TabCalc[[#This Row],[Ticker]],TabCalc[[#This Row],[GL]])*(1-Commission)</f>
        <v>-21792.890779999994</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0.48089171974522299</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-3.079459881820231</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+60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2,451</v>
      </c>
      <c r="F49" s="226" t="str">
        <f ca="1">TRUNC(TabCalc[[#This Row],[L_B1p]],2)&amp;"x"&amp;TabCalc[[#This Row],[L_B1n]]&amp;"=   "&amp;TEXT(TabCalc[[#This Row],[ReverseS1]],"#,#0")&amp;"$"</f>
        <v>-24.15x3000=   11,670$</v>
      </c>
      <c r="G49" s="225" t="str">
        <f ca="1">IFERROR(TRUNC(_xlfn.XLOOKUP(Tab_NewTRADER[[#This Row],[ClickTick]],TabCalc[Ticker],ListLastSalep),2)&amp;"x"&amp;_xlfn.XLOOKUP(Tab_NewTRADER[[#This Row],[ClickTick]],TabCalc[Ticker],ListLastSalen)&amp;"=   "&amp;TEXT(-_xlfn.XLOOKUP(Tab_NewTRADER[[#This Row],[ClickTick]],TabCalc[Ticker],ListReverseB),"#,#0")&amp;"$","")</f>
        <v>30.08x500=   -1,020$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2,451</v>
      </c>
      <c r="I49" s="226" t="str">
        <f ca="1">IFERROR(TRUNC(TabCalc[[#This Row],[L_S1p]],2)&amp;"x"&amp;TabCalc[[#This Row],[L_S1n]]&amp;"=   "&amp;TEXT(TabCalc[[#This Row],[ReverseB1]],"#,#0"),"")</f>
        <v>25.39x3000=   -7,950</v>
      </c>
      <c r="J49" s="295">
        <f ca="1">_xlfn.XLOOKUP(Tab_NewTRADER[[#This Row],[ClickTick]],TabCalc[Ticker],ListGravity)</f>
        <v>1.2125534950071326</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3.0948271353104243E-2</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1.4285714285713982E-3</v>
      </c>
      <c r="S49" s="683">
        <f ca="1">_xlfn.XLOOKUP(Tab_NewTRADER[[#This Row],[ClickTick]],TabCalc[Ticker],TabCalc[Rev(MinStock)])*(1-Commission)</f>
        <v>59.843999999998722</v>
      </c>
      <c r="T49" s="782">
        <f ca="1">_xlfn.XLOOKUP(Tab_NewTRADER[[#This Row],[ClickTick]],TabCalc[Ticker],TabCalc[Agiotage])</f>
        <v>3.0948271353104243E-2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660/660=&gt;0.5% / -1.2%</v>
      </c>
      <c r="V49" s="739" t="str">
        <f ca="1">_xlfn.XLOOKUP(Tab_NewTRADER[[#This Row],[ClickTick]],[1]!RTData[Ticker_Symbol],[1]!RTData[Currency])</f>
        <v>USD</v>
      </c>
      <c r="W49" s="1068">
        <f ca="1">_xlfn.XLOOKUP(Tab_NewTRADER[[#This Row],[ClickTick]],TabCalc[Ticker],TabCalc[M])</f>
        <v>28.04</v>
      </c>
      <c r="X49" s="1343"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59.843999999998722</v>
      </c>
      <c r="AI49" s="1370" t="str">
        <f ca="1">TEXT(MIN(Tab_NewTRADER[[#This Row],[L_Bn]],Tab_NewTRADER[[#This Row],[N]]),"#,#0")&amp;" x "&amp;TEXT(Tab_NewTRADER[[#This Row],[L_Bp]],"#,#0.#0")</f>
        <v>1,500 x -28.0</v>
      </c>
      <c r="AJ49" s="1370">
        <f ca="1">IF(Tab_NewTRADER[[#This Row],[M]]&lt;_xlfn.XLOOKUP(Tab_NewTRADER[[#This Row],[ClickTick]],TabCalc[Ticker],TabCalc[Max_Buy_P]), 0,Tab_NewTRADER[[#This Row],[Sale_Back_$]])</f>
        <v>59.843999999998722</v>
      </c>
      <c r="AK49" s="1370" t="str">
        <f ca="1">TEXT(Tab_NewTRADER[[#This Row],[L_Sn]],"#,#0")&amp;" ("&amp;Tab_NewTRADER[[#This Row],[M]]&amp;"/"&amp;TEXT(Tab_NewTRADER[[#This Row],[L_Sp]],"#,#0.#0)")</f>
        <v>500 (28.04/30.08)</v>
      </c>
      <c r="AL49" s="1370">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5879.6729999999998</v>
      </c>
      <c r="AO49" s="1177">
        <f ca="1">Tab_NewTRADER[[#This Row],[M]]*Tab_NewTRADER[[#This Row],[N]]*(1-Commission)*Tab_NewTRADER[[#This Row],[Scale]]</f>
        <v>83901.288</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1.4285714285713982E-3</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2.7067669172931755E-2</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6322.7624513902201</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-7.2678459343794577E-2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6.7819148936170193E-2</v>
      </c>
      <c r="BF49" s="729">
        <f ca="1">MIN(Tab_NewTRADER[[#This Row],[L_Sn]],Tab_NewTRADER[[#This Row],[N]])*(Tab_NewTRADER[[#This Row],[M]]-Tab_NewTRADER[[#This Row],[L_Sp]])*(1-Commission)*Tab_NewTRADER[[#This Row],[Scale]]</f>
        <v>-1017.3479999999995</v>
      </c>
      <c r="BG49" s="692">
        <f ca="1">Tab_NewTRADER[[#This Row],[L_Sn]]*(Tab_NewTRADER[[#This Row],[Agiotage]]-Tab_NewTRADER[[#This Row],[M]])/(Tab_NewTRADER[[#This Row],[L_Bn]]*Tab_NewTRADER[[#This Row],[M]])</f>
        <v>-0.33296542711182714</v>
      </c>
      <c r="BH49" s="635">
        <f ca="1">IFERROR((Tab_NewTRADER[[#This Row],[M]]-Tab_NewTRADER[[#This Row],[A]])/Tab_NewTRADER[[#This Row],[A]],0)</f>
        <v>7.5359539789069993E-2</v>
      </c>
      <c r="BI49" s="638" t="str">
        <f ca="1">TEXT(_xlfn.XLOOKUP(Tab_NewTRADER[[#This Row],[ClickTick]],TabCalc[Ticker],TabCalc[NAfter]),"#,#0")&amp;" : "&amp;TEXT(_xlfn.XLOOKUP(Tab_NewTRADER[[#This Row],[ClickTick]],TabCalc[Ticker],TabCalc[NAfter])*(Tab_NewTRADER[[#This Row],[M]]-Tab_NewTRADER[[#This Row],[A]])*(1-Commission)*Tab_NewTRADER[[#This Row],[Scale]],"#,#0$")</f>
        <v>3,000 : 5,880$</v>
      </c>
      <c r="BJ49" s="684">
        <f ca="1">_xlfn.XLOOKUP(Tab_NewTRADER[[#This Row],[ClickTick]],TabCalc[[#This Row],[Ticker]],TabCalc[[#This Row],[GL]])*(1-Commission)</f>
        <v>95766.727437999987</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57100</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28.55</v>
      </c>
      <c r="BT49" s="687">
        <f ca="1">((_xlfn.XLOOKUP(Tab_NewTRADER[[#This Row],[ClickTick]],TabCalc[Ticker],TabCalc[NAfter])+Tab_NewTRADER[[#This Row],[L_Sn]])*(Tab_NewTRADER[[#This Row],[Agiotage]]-Tab_NewTRADER[[#This Row],[M]]))/(Tab_NewTRADER[[#This Row],[L_Sn]]*_xlfn.XLOOKUP(Tab_NewTRADER[[#This Row],[ClickTick]],TabCalc[Ticker],TabCalc[NAfter]))</f>
        <v>-6.5354454033509424E-2</v>
      </c>
      <c r="BU49" s="687">
        <f ca="1">(Tab_NewTRADER[[#This Row],[M]]-Tab_NewTRADER[[#This Row],[Agiotage]])/(Tab_NewTRADER[[#This Row],[M]]-Tab_NewTRADER[[#This Row],[A]])-1</f>
        <v>13.253970345367378</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+2,300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3,125</v>
      </c>
      <c r="F50" s="226" t="str">
        <f ca="1">TRUNC(TabCalc[[#This Row],[L_B1p]],2)&amp;"x"&amp;TabCalc[[#This Row],[L_B1n]]&amp;"=   "&amp;TEXT(TabCalc[[#This Row],[ReverseS1]],"#,#0")&amp;"$"</f>
        <v>-58.8x2000=   1,600$</v>
      </c>
      <c r="G50" s="225" t="str">
        <f ca="1">IFERROR(TRUNC(_xlfn.XLOOKUP(Tab_NewTRADER[[#This Row],[ClickTick]],TabCalc[Ticker],ListLastSalep),2)&amp;"x"&amp;_xlfn.XLOOKUP(Tab_NewTRADER[[#This Row],[ClickTick]],TabCalc[Ticker],ListLastSalen)&amp;"=   "&amp;TEXT(-_xlfn.XLOOKUP(Tab_NewTRADER[[#This Row],[ClickTick]],TabCalc[Ticker],ListReverseB),"#,#0")&amp;"$","")</f>
        <v>61.2x21=   -34$</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3,125</v>
      </c>
      <c r="I50" s="226" t="str">
        <f ca="1">IFERROR(TRUNC(TabCalc[[#This Row],[L_S1p]],2)&amp;"x"&amp;TabCalc[[#This Row],[L_S1n]]&amp;"=   "&amp;TEXT(TabCalc[[#This Row],[ReverseB1]],"#,#0"),"")</f>
        <v>61.2x21=   34</v>
      </c>
      <c r="J50" s="295">
        <f ca="1">_xlfn.XLOOKUP(Tab_NewTRADER[[#This Row],[ClickTick]],TabCalc[Ticker],ListGravity)</f>
        <v>1.0318791946308725</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0.42833015527104329</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1.9674935842600487E-2</v>
      </c>
      <c r="S50" s="683">
        <f ca="1">_xlfn.XLOOKUP(Tab_NewTRADER[[#This Row],[ClickTick]],TabCalc[Ticker],TabCalc[Rev(MinStock)])*(1-Commission)</f>
        <v>2294.0199999999973</v>
      </c>
      <c r="T50" s="782">
        <f ca="1">_xlfn.XLOOKUP(Tab_NewTRADER[[#This Row],[ClickTick]],TabCalc[Ticker],TabCalc[Agiotage])</f>
        <v>0.42833015527104329</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-8,000/-8,000=&gt;0.2% / -0.7%</v>
      </c>
      <c r="V50" s="739" t="str">
        <f ca="1">_xlfn.XLOOKUP(Tab_NewTRADER[[#This Row],[ClickTick]],[1]!RTData[Ticker_Symbol],[1]!RTData[Currency])</f>
        <v>CHF</v>
      </c>
      <c r="W50" s="749">
        <f ca="1">_xlfn.XLOOKUP(Tab_NewTRADER[[#This Row],[ClickTick]],TabCalc[Ticker],TabCalc[M])</f>
        <v>59.6</v>
      </c>
      <c r="X50" s="1343"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59.409500000000001</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^147 / 1,192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2294.0199999999973</v>
      </c>
      <c r="AI50" s="1370" t="str">
        <f ca="1">TEXT(MIN(Tab_NewTRADER[[#This Row],[L_Bn]],Tab_NewTRADER[[#This Row],[N]]),"#,#0")&amp;" x "&amp;TEXT(Tab_NewTRADER[[#This Row],[L_Bp]],"#,#0.#0")</f>
        <v>2,000 x -58.45</v>
      </c>
      <c r="AJ50" s="1370">
        <f ca="1">IF(Tab_NewTRADER[[#This Row],[M]]&lt;_xlfn.XLOOKUP(Tab_NewTRADER[[#This Row],[ClickTick]],TabCalc[Ticker],TabCalc[Max_Buy_P]), 0,Tab_NewTRADER[[#This Row],[Sale_Back_$]])</f>
        <v>0</v>
      </c>
      <c r="AK50" s="1370" t="str">
        <f ca="1">TEXT(Tab_NewTRADER[[#This Row],[L_Sn]],"#,#0")&amp;" ("&amp;Tab_NewTRADER[[#This Row],[M]]&amp;"/"&amp;TEXT(Tab_NewTRADER[[#This Row],[L_Sp]],"#,#0.#0)")</f>
        <v>21 (59.6/61.20)</v>
      </c>
      <c r="AL50" s="1370">
        <f ca="1">IF(Tab_NewTRADER[[#This Row],[M]]&lt;_xlfn.XLOOKUP(Tab_NewTRADER[[#This Row],[ClickTick]],TabCalc[Ticker],TabCalc[Max_Buy_P]), -Tab_NewTRADER[[#This Row],[Buy_Back]], 0)</f>
        <v>33.512640000000026</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3800.0940000000019</v>
      </c>
      <c r="AO50" s="1177">
        <f ca="1">Tab_NewTRADER[[#This Row],[M]]*Tab_NewTRADER[[#This Row],[N]]*(1-Commission)*Tab_NewTRADER[[#This Row],[Scale]]</f>
        <v>1188900.8</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1.9674935842600487E-2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0.70829769033361745</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3812.279221336657</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-0.5%</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-5.7963087248322168E-3</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2.6143790849673224E-2</v>
      </c>
      <c r="BF50" s="729">
        <f ca="1">MIN(Tab_NewTRADER[[#This Row],[L_Sn]],Tab_NewTRADER[[#This Row],[N]])*(Tab_NewTRADER[[#This Row],[M]]-Tab_NewTRADER[[#This Row],[L_Sp]])*(1-Commission)*Tab_NewTRADER[[#This Row],[Scale]]</f>
        <v>-33.512640000000026</v>
      </c>
      <c r="BG50" s="692">
        <f ca="1">Tab_NewTRADER[[#This Row],[L_Sn]]*(Tab_NewTRADER[[#This Row],[Agiotage]]-Tab_NewTRADER[[#This Row],[M]])/(Tab_NewTRADER[[#This Row],[L_Bn]]*Tab_NewTRADER[[#This Row],[M]])</f>
        <v>-1.042453915049755E-2</v>
      </c>
      <c r="BH50" s="635">
        <f ca="1">IFERROR((Tab_NewTRADER[[#This Row],[M]]-Tab_NewTRADER[[#This Row],[A]])/Tab_NewTRADER[[#This Row],[A]],0)</f>
        <v>3.2065578737407335E-3</v>
      </c>
      <c r="BI50" s="638" t="str">
        <f ca="1">TEXT(_xlfn.XLOOKUP(Tab_NewTRADER[[#This Row],[ClickTick]],TabCalc[Ticker],TabCalc[NAfter]),"#,#0")&amp;" : "&amp;TEXT(_xlfn.XLOOKUP(Tab_NewTRADER[[#This Row],[ClickTick]],TabCalc[Ticker],TabCalc[NAfter])*(Tab_NewTRADER[[#This Row],[M]]-Tab_NewTRADER[[#This Row],[A]])*(1-Commission)*Tab_NewTRADER[[#This Row],[Scale]],"#,#0$")</f>
        <v>20,000 : 3,800$</v>
      </c>
      <c r="BJ50" s="684">
        <f ca="1">_xlfn.XLOOKUP(Tab_NewTRADER[[#This Row],[ClickTick]],TabCalc[[#This Row],[Ticker]],TabCalc[[#This Row],[GL]])*(1-Commission)</f>
        <v>146123.39879399992</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358885.2</v>
      </c>
      <c r="BQ50" s="679">
        <f ca="1">INDEX(
  INDEX(TabConsolid[], , _xlfn.XMATCH(Tab_NewTRADER[[#This Row],[ClickTick]]&amp;1, TabConsolid[#Headers])),
  MATCH(
    -Tab_NewTRADER[[#This Row],[M]],
    INDEX(TabConsolid[], , _xlfn.XMATCH(Tab_NewTRADER[[#This Row],[ClickTick]]&amp;2, TabConsolid[#Headers])),
    -1
  )
)</f>
        <v>6000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50" s="1156">
        <f ca="1">Tab_NewTRADER[[#This Row],[ReBuy]]/(Tab_NewTRADER[[#This Row],[L_Sn]]+Tab_NewTRADER[[#This Row],[SellMore]])</f>
        <v>59.605580468360742</v>
      </c>
      <c r="BT50" s="687">
        <f ca="1">((_xlfn.XLOOKUP(Tab_NewTRADER[[#This Row],[ClickTick]],TabCalc[Ticker],TabCalc[NAfter])+Tab_NewTRADER[[#This Row],[L_Sn]])*(Tab_NewTRADER[[#This Row],[Agiotage]]-Tab_NewTRADER[[#This Row],[M]]))/(Tab_NewTRADER[[#This Row],[L_Sn]]*_xlfn.XLOOKUP(Tab_NewTRADER[[#This Row],[ClickTick]],TabCalc[Ticker],TabCalc[NAfter]))</f>
        <v>-2.8206571475269491</v>
      </c>
      <c r="BU50" s="687">
        <f ca="1">(Tab_NewTRADER[[#This Row],[M]]-Tab_NewTRADER[[#This Row],[Agiotage]])/(Tab_NewTRADER[[#This Row],[M]]-Tab_NewTRADER[[#This Row],[A]])-1</f>
        <v>309.61244012981064</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+6,300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11.8%</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3,968/5,000=42,540</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12,450$</v>
      </c>
      <c r="G51" s="225" t="str">
        <f ca="1">IFERROR(TRUNC(_xlfn.XLOOKUP(Tab_NewTRADER[[#This Row],[ClickTick]],TabCalc[Ticker],ListLastSalep),2)&amp;"x"&amp;_xlfn.XLOOKUP(Tab_NewTRADER[[#This Row],[ClickTick]],TabCalc[Ticker],ListLastSalen)&amp;"=   "&amp;TEXT(-_xlfn.XLOOKUP(Tab_NewTRADER[[#This Row],[ClickTick]],TabCalc[Ticker],ListReverseB),"#,#0")&amp;"$","")</f>
        <v>10.07x5000=   3,250$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1" s="226" t="str">
        <f ca="1">IFERROR(TRUNC(TabCalc[[#This Row],[L_S1p]],2)&amp;"x"&amp;TabCalc[[#This Row],[L_S1n]]&amp;"=   "&amp;TEXT(TabCalc[[#This Row],[ReverseB1]],"#,#0"),"")</f>
        <v>10.58x5000=   -700</v>
      </c>
      <c r="J51" s="295">
        <f ca="1">_xlfn.XLOOKUP(Tab_NewTRADER[[#This Row],[ClickTick]],TabCalc[Ticker],ListGravity)</f>
        <v>1.1194029850746268</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5.6187673121244343E-7</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0.13319238900634245</v>
      </c>
      <c r="S51" s="683">
        <f ca="1">_xlfn.XLOOKUP(Tab_NewTRADER[[#This Row],[ClickTick]],TabCalc[Ticker],TabCalc[Rev(MinStock)])*(1-Commission)</f>
        <v>6283.619999999999</v>
      </c>
      <c r="T51" s="782">
        <f ca="1">_xlfn.XLOOKUP(Tab_NewTRADER[[#This Row],[ClickTick]],TabCalc[Ticker],TabCalc[Agiotage])</f>
        <v>5.6187673121244343E-7</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-550/-550=&gt;-0.3% / -1.7%</v>
      </c>
      <c r="V51" s="739" t="str">
        <f ca="1">_xlfn.XLOOKUP(Tab_NewTRADER[[#This Row],[ClickTick]],[1]!RTData[Ticker_Symbol],[1]!RTData[Currency])</f>
        <v>USD</v>
      </c>
      <c r="W51" s="749">
        <f ca="1">_xlfn.XLOOKUP(Tab_NewTRADER[[#This Row],[ClickTick]],TabCalc[Ticker],TabCalc[M])</f>
        <v>10.72</v>
      </c>
      <c r="X51" s="1343"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70" t="str">
        <f ca="1">TEXT(MIN(Tab_NewTRADER[[#This Row],[L_Bn]],Tab_NewTRADER[[#This Row],[N]]),"#,#0")&amp;" x "&amp;TEXT(Tab_NewTRADER[[#This Row],[L_Bp]],"#,#0.#0")</f>
        <v>5,000 x -9.46</v>
      </c>
      <c r="AJ51" s="1370">
        <f ca="1">IF(Tab_NewTRADER[[#This Row],[M]]&lt;_xlfn.XLOOKUP(Tab_NewTRADER[[#This Row],[ClickTick]],TabCalc[Ticker],TabCalc[Max_Buy_P]), 0,Tab_NewTRADER[[#This Row],[Sale_Back_$]])</f>
        <v>6283.619999999999</v>
      </c>
      <c r="AK51" s="1370" t="str">
        <f ca="1">TEXT(Tab_NewTRADER[[#This Row],[L_Sn]],"#,#0")&amp;" ("&amp;Tab_NewTRADER[[#This Row],[M]]&amp;"/"&amp;TEXT(Tab_NewTRADER[[#This Row],[L_Sp]],"#,#0.#0)")</f>
        <v>5,000 (10.72/10.07)</v>
      </c>
      <c r="AL51" s="1370">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3241.5500000000015</v>
      </c>
      <c r="AN51" s="1177">
        <f ca="1">Tab_NewTRADER[[#This Row],[N]]*(Tab_NewTRADER[[#This Row],[M]]-Tab_NewTRADER[[#This Row],[A]])*(1-Commission)*Tab_NewTRADER[[#This Row],[Scale]]</f>
        <v>6283.619999999999</v>
      </c>
      <c r="AO51" s="1177">
        <f ca="1">Tab_NewTRADER[[#This Row],[M]]*Tab_NewTRADER[[#This Row],[N]]*(1-Commission)*Tab_NewTRADER[[#This Row],[Scale]]</f>
        <v>53460.639999999999</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0.13319238900634245</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5.8034328358208986E-2</v>
      </c>
      <c r="AR51" s="825" cm="1">
        <f t="array" aca="1" ref="AR51" ca="1">_xlfn.IFS(   Tab_NewTRADER[[#This Row],[Trap_vs_Last]]=SellMorePercentGain,                     MIN(Tab_NewTRADER[[#This Row],[L_Sn]],Tab_NewTRADER[[#This Row],[N]])*(Tab_NewTRADER[[#This Row],[M]]-Tab_NewTRADER[[#This Row],[L_Sp]])*(1-Commission)*Tab_NewTRADER[[#This Row],[Scale]],                    TRUE,"")</f>
        <v>3241.5500000000015</v>
      </c>
      <c r="AS51" s="1175">
        <f ca="1">_xlfn.XLOOKUP(Tab_NewTRADER[[#This Row],[ClickTick]],TabCalc[Ticker],TabCalc[Ann%RevLB])</f>
        <v>0.90470301966572242</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0.13059238900634246</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7120.550359408031</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5,000x1.26</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0.13284608879492596</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-0.1201373134328358</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-6.4548162859980177E-2</v>
      </c>
      <c r="BF51" s="729">
        <f ca="1">MIN(Tab_NewTRADER[[#This Row],[L_Sn]],Tab_NewTRADER[[#This Row],[N]])*(Tab_NewTRADER[[#This Row],[M]]-Tab_NewTRADER[[#This Row],[L_Sp]])*(1-Commission)*Tab_NewTRADER[[#This Row],[Scale]]</f>
        <v>3241.5500000000015</v>
      </c>
      <c r="BG51" s="692">
        <f ca="1">Tab_NewTRADER[[#This Row],[L_Sn]]*(Tab_NewTRADER[[#This Row],[Agiotage]]-Tab_NewTRADER[[#This Row],[M]])/(Tab_NewTRADER[[#This Row],[L_Bn]]*Tab_NewTRADER[[#This Row],[M]])</f>
        <v>-0.99999994758612576</v>
      </c>
      <c r="BH51" s="635">
        <f ca="1">IFERROR((Tab_NewTRADER[[#This Row],[M]]-Tab_NewTRADER[[#This Row],[A]])/Tab_NewTRADER[[#This Row],[A]],0)</f>
        <v>0.13319238900634245</v>
      </c>
      <c r="BI51" s="638" t="str">
        <f ca="1">TEXT(_xlfn.XLOOKUP(Tab_NewTRADER[[#This Row],[ClickTick]],TabCalc[Ticker],TabCalc[NAfter]),"#,#0")&amp;" : "&amp;TEXT(_xlfn.XLOOKUP(Tab_NewTRADER[[#This Row],[ClickTick]],TabCalc[Ticker],TabCalc[NAfter])*(Tab_NewTRADER[[#This Row],[M]]-Tab_NewTRADER[[#This Row],[A]])*(1-Commission)*Tab_NewTRADER[[#This Row],[Scale]],"#,#0$")</f>
        <v>5,000 : 6,284$</v>
      </c>
      <c r="BJ51" s="684">
        <f ca="1">_xlfn.XLOOKUP(Tab_NewTRADER[[#This Row],[ClickTick]],TabCalc[[#This Row],[Ticker]],TabCalc[[#This Row],[GL]])*(1-Commission)</f>
        <v>-79237.395729999946</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6.0634328358208985E-2</v>
      </c>
      <c r="BP51" s="679">
        <f ca="1">Tab_NewTRADER[[#This Row],[L_Sn]]*Tab_NewTRADER[[#This Row],[L_Sp]]+Tab_NewTRADER[[#This Row],[SellMore]]*Tab_NewTRADER[[#This Row],[M]]</f>
        <v>103950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10.395</v>
      </c>
      <c r="BT51" s="687">
        <f ca="1">((_xlfn.XLOOKUP(Tab_NewTRADER[[#This Row],[ClickTick]],TabCalc[Ticker],TabCalc[NAfter])+Tab_NewTRADER[[#This Row],[L_Sn]])*(Tab_NewTRADER[[#This Row],[Agiotage]]-Tab_NewTRADER[[#This Row],[M]]))/(Tab_NewTRADER[[#This Row],[L_Sn]]*_xlfn.XLOOKUP(Tab_NewTRADER[[#This Row],[ClickTick]],TabCalc[Ticker],TabCalc[NAfter]))</f>
        <v>-4.2879997752493073E-3</v>
      </c>
      <c r="BU51" s="687">
        <f ca="1">(Tab_NewTRADER[[#This Row],[M]]-Tab_NewTRADER[[#This Row],[Agiotage]])/(Tab_NewTRADER[[#This Row],[M]]-Tab_NewTRADER[[#This Row],[A]])-1</f>
        <v>7.5079360620025959</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43"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70" t="str">
        <f ca="1">TEXT(MIN(Tab_NewTRADER[[#This Row],[L_Bn]],Tab_NewTRADER[[#This Row],[N]]),"#,#0")&amp;" x "&amp;TEXT(Tab_NewTRADER[[#This Row],[L_Bp]],"#,#0.#0")</f>
        <v>3,000 x -10.06</v>
      </c>
      <c r="AJ52" s="1370">
        <f ca="1">IF(Tab_NewTRADER[[#This Row],[M]]&lt;_xlfn.XLOOKUP(Tab_NewTRADER[[#This Row],[ClickTick]],TabCalc[Ticker],TabCalc[Max_Buy_P]), 0,Tab_NewTRADER[[#This Row],[Sale_Back_$]])</f>
        <v>5745.3232199999993</v>
      </c>
      <c r="AK52" s="1370" t="str">
        <f ca="1">TEXT(Tab_NewTRADER[[#This Row],[L_Sn]],"#,#0")&amp;" ("&amp;Tab_NewTRADER[[#This Row],[M]]&amp;"/"&amp;TEXT(Tab_NewTRADER[[#This Row],[L_Sp]],"#,#0.#0)")</f>
        <v>4,000 (11.98/11.25)</v>
      </c>
      <c r="AL52" s="1370">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0.2419437148942622</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+540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6,600$</v>
      </c>
      <c r="G53" s="225" t="str">
        <f ca="1">IFERROR(TRUNC(_xlfn.XLOOKUP(Tab_NewTRADER[[#This Row],[ClickTick]],TabCalc[Ticker],ListLastSalep),2)&amp;"x"&amp;_xlfn.XLOOKUP(Tab_NewTRADER[[#This Row],[ClickTick]],TabCalc[Ticker],ListLastSalen)&amp;"=   "&amp;TEXT(-_xlfn.XLOOKUP(Tab_NewTRADER[[#This Row],[ClickTick]],TabCalc[Ticker],ListReverseB),"#,#0")&amp;"$","")</f>
        <v>107.37x1800=   21,456$</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 = 0</v>
      </c>
      <c r="I53" s="226" t="str">
        <f ca="1">IFERROR(TRUNC(TabCalc[[#This Row],[L_S1p]],2)&amp;"x"&amp;TabCalc[[#This Row],[L_S1n]]&amp;"=   "&amp;TEXT(TabCalc[[#This Row],[ReverseB1]],"#,#0"),"")</f>
        <v>114.13x1800=   -9,288</v>
      </c>
      <c r="J53" s="295">
        <f ca="1">_xlfn.XLOOKUP(Tab_NewTRADER[[#This Row],[ClickTick]],TabCalc[Ticker],ListGravity)</f>
        <v>1.0636264565344957</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35787</v>
      </c>
      <c r="M53" s="323">
        <f ca="1">_xlfn.XLOOKUP(Tab_NewTRADER[[#This Row],[ClickTick]],TabCalc[Ticker],TabCalc[Agiotage])</f>
        <v>3.4090178993023115E-4</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1.5320452804494096E-2</v>
      </c>
      <c r="S53" s="683">
        <f ca="1">_xlfn.XLOOKUP(Tab_NewTRADER[[#This Row],[ClickTick]],TabCalc[Ticker],TabCalc[Rev(MinStock)])*(1-Commission)</f>
        <v>538.59600000000341</v>
      </c>
      <c r="T53" s="782">
        <f ca="1">_xlfn.XLOOKUP(Tab_NewTRADER[[#This Row],[ClickTick]],TabCalc[Ticker],TabCalc[Agiotage])</f>
        <v>3.4090178993023115E-4</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420/420=&gt;2.5% / 1.3%</v>
      </c>
      <c r="V53" s="739" t="str">
        <f ca="1">_xlfn.XLOOKUP(Tab_NewTRADER[[#This Row],[ClickTick]],[1]!RTData[Ticker_Symbol],[1]!RTData[Currency])</f>
        <v>USD</v>
      </c>
      <c r="W53" s="749">
        <f ca="1">_xlfn.XLOOKUP(Tab_NewTRADER[[#This Row],[ClickTick]],TabCalc[Ticker],TabCalc[M])</f>
        <v>119.29</v>
      </c>
      <c r="X53" s="1343"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60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538.59600000000341</v>
      </c>
      <c r="AI53" s="1370" t="str">
        <f ca="1">TEXT(MIN(Tab_NewTRADER[[#This Row],[L_Bn]],Tab_NewTRADER[[#This Row],[N]]),"#,#0")&amp;" x "&amp;TEXT(Tab_NewTRADER[[#This Row],[L_Bp]],"#,#0.#0")</f>
        <v>300 x -117.49</v>
      </c>
      <c r="AJ53" s="1370">
        <f ca="1">IF(Tab_NewTRADER[[#This Row],[M]]&lt;_xlfn.XLOOKUP(Tab_NewTRADER[[#This Row],[ClickTick]],TabCalc[Ticker],TabCalc[Max_Buy_P]), 0,Tab_NewTRADER[[#This Row],[Sale_Back_$]])</f>
        <v>538.59600000000341</v>
      </c>
      <c r="AK53" s="1370" t="str">
        <f ca="1">TEXT(Tab_NewTRADER[[#This Row],[L_Sn]],"#,#0")&amp;" ("&amp;Tab_NewTRADER[[#This Row],[M]]&amp;"/"&amp;TEXT(Tab_NewTRADER[[#This Row],[L_Sp]],"#,#0.#0)")</f>
        <v>1,800 (119.29/107.37)</v>
      </c>
      <c r="AL53" s="1370">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3171.7319999999995</v>
      </c>
      <c r="AO53" s="1177">
        <f ca="1">Tab_NewTRADER[[#This Row],[M]]*Tab_NewTRADER[[#This Row],[N]]*(1-Commission)*Tab_NewTRADER[[#This Row],[Scale]]</f>
        <v>59489.922999999995</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1.5320452804494096E-2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0.10606467326188221</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3350.3578347648977</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-5.5915449744320556E-2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-0.11101797522585453</v>
      </c>
      <c r="BF53" s="729">
        <f ca="1">MIN(Tab_NewTRADER[[#This Row],[L_Sn]],Tab_NewTRADER[[#This Row],[N]])*(Tab_NewTRADER[[#This Row],[M]]-Tab_NewTRADER[[#This Row],[L_Sp]])*(1-Commission)*Tab_NewTRADER[[#This Row],[Scale]]</f>
        <v>5944.5040000000008</v>
      </c>
      <c r="BG53" s="692">
        <f ca="1">Tab_NewTRADER[[#This Row],[L_Sn]]*(Tab_NewTRADER[[#This Row],[Agiotage]]-Tab_NewTRADER[[#This Row],[M]])/(Tab_NewTRADER[[#This Row],[L_Bn]]*Tab_NewTRADER[[#This Row],[M]])</f>
        <v>-5.9999828534601436</v>
      </c>
      <c r="BH53" s="635">
        <f ca="1">IFERROR((Tab_NewTRADER[[#This Row],[M]]-Tab_NewTRADER[[#This Row],[A]])/Tab_NewTRADER[[#This Row],[A]],0)</f>
        <v>5.6318073142654732E-2</v>
      </c>
      <c r="BI53" s="638" t="str">
        <f ca="1">TEXT(_xlfn.XLOOKUP(Tab_NewTRADER[[#This Row],[ClickTick]],TabCalc[Ticker],TabCalc[NAfter]),"#,#0")&amp;" : "&amp;TEXT(_xlfn.XLOOKUP(Tab_NewTRADER[[#This Row],[ClickTick]],TabCalc[Ticker],TabCalc[NAfter])*(Tab_NewTRADER[[#This Row],[M]]-Tab_NewTRADER[[#This Row],[A]])*(1-Commission)*Tab_NewTRADER[[#This Row],[Scale]],"#,#0$")</f>
        <v>500 : 3,172$</v>
      </c>
      <c r="BJ53" s="684">
        <f ca="1">_xlfn.XLOOKUP(Tab_NewTRADER[[#This Row],[ClickTick]],TabCalc[[#This Row],[Ticker]],TabCalc[[#This Row],[GL]])*(1-Commission)</f>
        <v>11344.527340000006</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229053</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109.07285714285715</v>
      </c>
      <c r="BT53" s="687">
        <f ca="1">((_xlfn.XLOOKUP(Tab_NewTRADER[[#This Row],[ClickTick]],TabCalc[Ticker],TabCalc[NAfter])+Tab_NewTRADER[[#This Row],[L_Sn]])*(Tab_NewTRADER[[#This Row],[Agiotage]]-Tab_NewTRADER[[#This Row],[M]]))/(Tab_NewTRADER[[#This Row],[L_Sn]]*_xlfn.XLOOKUP(Tab_NewTRADER[[#This Row],[ClickTick]],TabCalc[Ticker],TabCalc[NAfter]))</f>
        <v>-0.3048513510287591</v>
      </c>
      <c r="BU53" s="687">
        <f ca="1">(Tab_NewTRADER[[#This Row],[M]]-Tab_NewTRADER[[#This Row],[Agiotage]])/(Tab_NewTRADER[[#This Row],[M]]-Tab_NewTRADER[[#This Row],[A]])-1</f>
        <v>17.756235707265738</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-2,350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-7.6%</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-15,498$</v>
      </c>
      <c r="G54" s="225" t="str">
        <f ca="1">IFERROR(TRUNC(_xlfn.XLOOKUP(Tab_NewTRADER[[#This Row],[ClickTick]],TabCalc[Ticker],ListLastSalep),2)&amp;"x"&amp;_xlfn.XLOOKUP(Tab_NewTRADER[[#This Row],[ClickTick]],TabCalc[Ticker],ListLastSalen)&amp;"=   "&amp;TEXT(-_xlfn.XLOOKUP(Tab_NewTRADER[[#This Row],[ClickTick]],TabCalc[Ticker],ListReverseB),"#,#0")&amp;"$","")</f>
        <v>10.55x7200=   -31,392$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70.4% = 1,147</v>
      </c>
      <c r="I54" s="226" t="str">
        <f ca="1">IFERROR(TRUNC(TabCalc[[#This Row],[L_S1p]],2)&amp;"x"&amp;TabCalc[[#This Row],[L_S1n]]&amp;"=   "&amp;TEXT(TabCalc[[#This Row],[ReverseB1]],"#,#0"),"")</f>
        <v>8.63x3000=   7,320</v>
      </c>
      <c r="J54" s="295">
        <f ca="1">_xlfn.XLOOKUP(Tab_NewTRADER[[#This Row],[ClickTick]],TabCalc[Ticker],ListGravity)</f>
        <v>1.8416801292407108</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56948</v>
      </c>
      <c r="M54" s="323">
        <f ca="1">_xlfn.XLOOKUP(Tab_NewTRADER[[#This Row],[ClickTick]],TabCalc[Ticker],TabCalc[Agiotage])</f>
        <v>1.1060872052413513</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-7.0570570570570534E-2</v>
      </c>
      <c r="S54" s="683">
        <f ca="1">_xlfn.XLOOKUP(Tab_NewTRADER[[#This Row],[ClickTick]],TabCalc[Ticker],TabCalc[Rev(MinStock)])*(1-Commission)</f>
        <v>-2343.8899999999985</v>
      </c>
      <c r="T54" s="782">
        <f ca="1">_xlfn.XLOOKUP(Tab_NewTRADER[[#This Row],[ClickTick]],TabCalc[Ticker],TabCalc[Agiotage])</f>
        <v>1.1060872052413513</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-200/-200=&gt;-4.0% / -1.7%</v>
      </c>
      <c r="V54" s="739" t="str">
        <f ca="1">_xlfn.XLOOKUP(Tab_NewTRADER[[#This Row],[ClickTick]],[1]!RTData[Ticker_Symbol],[1]!RTData[Currency])</f>
        <v>USD</v>
      </c>
      <c r="W54" s="749">
        <f ca="1">_xlfn.XLOOKUP(Tab_NewTRADER[[#This Row],[ClickTick]],TabCalc[Ticker],TabCalc[M])</f>
        <v>6.19</v>
      </c>
      <c r="X54" s="1343"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-61/62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70" t="str">
        <f ca="1">TEXT(MIN(Tab_NewTRADER[[#This Row],[L_Bn]],Tab_NewTRADER[[#This Row],[N]]),"#,#0")&amp;" x "&amp;TEXT(Tab_NewTRADER[[#This Row],[L_Bp]],"#,#0.#0")</f>
        <v>5,000 x -6.66</v>
      </c>
      <c r="AJ54" s="1370">
        <f ca="1">IF(Tab_NewTRADER[[#This Row],[M]]&lt;_xlfn.XLOOKUP(Tab_NewTRADER[[#This Row],[ClickTick]],TabCalc[Ticker],TabCalc[Max_Buy_P]), 0,Tab_NewTRADER[[#This Row],[Sale_Back_$]])</f>
        <v>0</v>
      </c>
      <c r="AK54" s="1370" t="str">
        <f ca="1">TEXT(Tab_NewTRADER[[#This Row],[L_Sn]],"#,#0")&amp;" ("&amp;Tab_NewTRADER[[#This Row],[M]]&amp;"/"&amp;TEXT(Tab_NewTRADER[[#This Row],[L_Sp]],"#,#0.#0)")</f>
        <v>7,200 (6.19/10.55)</v>
      </c>
      <c r="AL54" s="1370">
        <f ca="1">IF(Tab_NewTRADER[[#This Row],[M]]&lt;_xlfn.XLOOKUP(Tab_NewTRADER[[#This Row],[ClickTick]],TabCalc[Ticker],TabCalc[Max_Buy_P]), -Tab_NewTRADER[[#This Row],[Buy_Back]], 0)</f>
        <v>31310.380800000003</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2343.8899999999985</v>
      </c>
      <c r="AN54" s="1177">
        <f ca="1">Tab_NewTRADER[[#This Row],[N]]*(Tab_NewTRADER[[#This Row],[M]]-Tab_NewTRADER[[#This Row],[A]])*(1-Commission)*Tab_NewTRADER[[#This Row],[Scale]]</f>
        <v>-20714.003199999996</v>
      </c>
      <c r="AO54" s="1177">
        <f ca="1">Tab_NewTRADER[[#This Row],[M]]*Tab_NewTRADER[[#This Row],[N]]*(1-Commission)*Tab_NewTRADER[[#This Row],[Scale]]</f>
        <v>61739.060000000005</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0.2512217544878308</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7.3328917609046806E-2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-0.65142065142065109</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7.5928917609046812E-2</v>
      </c>
      <c r="AV54" s="825" cm="1">
        <f t="array" aca="1" ref="AV54" ca="1">_xlfn.IFS(         Tab_NewTRADER[[#This Row],[Trap_vs_Last]]=MDown,Tab_NewTRADER[[#This Row],[L_Bn]]*Tab_NewTRADER[[#This Row],[M]]*(-(Tab_NewTRADER[[#This Row],[L_Bp]]+Tab_NewTRADER[[#This Row],[M]])/Tab_NewTRADER[[#This Row],[M]])*(1-Commission)*Tab_NewTRADER[[#This Row],[Scale]],                               TRUE,"")</f>
        <v>2343.889999999999</v>
      </c>
      <c r="AW54" s="1186" cm="1">
        <f t="array" aca="1" ref="AW54" ca="1">_xlfn.IFS(   Tab_NewTRADER[[#This Row],[Trap_vs_Last]]=MUp,Tab_NewTRADER[[#This Row],[TakeGain_A]]-Commission,        Tab_NewTRADER[[#This Row],[Trap_vs_Last]]=MDown,(Tab_NewTRADER[[#This Row],[A]]-Tab_NewTRADER[[#This Row],[M]])/Tab_NewTRADER[[#This Row],[M]]-Commission,                              TRUE,"")</f>
        <v>0.33290888529886908</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20714.003199999996</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-0.47</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-0.25056857792616244</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0.33290888529886908</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0.41327014218009478</v>
      </c>
      <c r="BF54" s="729">
        <f ca="1">MIN(Tab_NewTRADER[[#This Row],[L_Sn]],Tab_NewTRADER[[#This Row],[N]])*(Tab_NewTRADER[[#This Row],[M]]-Tab_NewTRADER[[#This Row],[L_Sp]])*(1-Commission)*Tab_NewTRADER[[#This Row],[Scale]]</f>
        <v>-31310.380800000003</v>
      </c>
      <c r="BG54" s="692">
        <f ca="1">Tab_NewTRADER[[#This Row],[L_Sn]]*(Tab_NewTRADER[[#This Row],[Agiotage]]-Tab_NewTRADER[[#This Row],[M]])/(Tab_NewTRADER[[#This Row],[L_Bn]]*Tab_NewTRADER[[#This Row],[M]])</f>
        <v>-1.1826873060504772</v>
      </c>
      <c r="BH54" s="635">
        <f ca="1">IFERROR((Tab_NewTRADER[[#This Row],[M]]-Tab_NewTRADER[[#This Row],[A]])/Tab_NewTRADER[[#This Row],[A]],0)</f>
        <v>-0.2512217544878308</v>
      </c>
      <c r="BI54" s="638" t="str">
        <f ca="1">TEXT(_xlfn.XLOOKUP(Tab_NewTRADER[[#This Row],[ClickTick]],TabCalc[Ticker],TabCalc[NAfter]),"#,#0")&amp;" : "&amp;TEXT(_xlfn.XLOOKUP(Tab_NewTRADER[[#This Row],[ClickTick]],TabCalc[Ticker],TabCalc[NAfter])*(Tab_NewTRADER[[#This Row],[M]]-Tab_NewTRADER[[#This Row],[A]])*(1-Commission)*Tab_NewTRADER[[#This Row],[Scale]],"#,#0$")</f>
        <v>10,000 : -20,714$</v>
      </c>
      <c r="BJ54" s="684">
        <f ca="1">_xlfn.XLOOKUP(Tab_NewTRADER[[#This Row],[ClickTick]],TabCalc[[#This Row],[Ticker]],TabCalc[[#This Row],[GL]])*(1-Commission)</f>
        <v>-60433.094361999982</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7.5928917609046812E-2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-1.2144902787478995E-3</v>
      </c>
      <c r="BU54" s="687">
        <f ca="1">(Tab_NewTRADER[[#This Row],[M]]-Tab_NewTRADER[[#This Row],[Agiotage]])/(Tab_NewTRADER[[#This Row],[M]]-Tab_NewTRADER[[#This Row],[A]])-1</f>
        <v>-3.4479549281387953</v>
      </c>
      <c r="BV54" s="1277">
        <f ca="1">_xlfn.XMATCH(Tab_NewTRADER[[#This Row],[ClickTick]]&amp;1, TabConsolid[#Headers])</f>
        <v>158</v>
      </c>
      <c r="BW54" t="str">
        <f ca="1">IF(ABS(Tab_NewTRADER[[#This Row],[L_Bp]])&gt;=Tab_NewTRADER[[#This Row],[M]],"OK")</f>
        <v>OK</v>
      </c>
    </row>
    <row r="55" spans="1:75" hidden="1"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-5,406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-6,440$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2.2286773255813959</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75658.671999999991</v>
      </c>
      <c r="M55" s="323">
        <f ca="1">_xlfn.XLOOKUP(Tab_NewTRADER[[#This Row],[ClickTick]],TabCalc[Ticker],TabCalc[Agiotage])</f>
        <v>0.15100864553314122</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-0.2820518707088121</v>
      </c>
      <c r="S55" s="683">
        <f ca="1">_xlfn.XLOOKUP(Tab_NewTRADER[[#This Row],[ClickTick]],TabCalc[Ticker],TabCalc[Rev(MinStock)])*(1-Commission)</f>
        <v>-5391.675102000002</v>
      </c>
      <c r="T55" s="782">
        <f ca="1">_xlfn.XLOOKUP(Tab_NewTRADER[[#This Row],[ClickTick]],TabCalc[Ticker],TabCalc[Agiotage])</f>
        <v>0.15100864553314122</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4,040/4,040=&gt;-0.3% / 3.3%</v>
      </c>
      <c r="V55" s="739" t="str">
        <f ca="1">_xlfn.XLOOKUP(Tab_NewTRADER[[#This Row],[ClickTick]],[1]!RTData[Ticker_Symbol],[1]!RTData[Currency])</f>
        <v>EUR</v>
      </c>
      <c r="W55" s="749">
        <f ca="1">_xlfn.XLOOKUP(Tab_NewTRADER[[#This Row],[ClickTick]],TabCalc[Ticker],TabCalc[M])</f>
        <v>0.68799999999999994</v>
      </c>
      <c r="X55" s="1343"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-291/347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70" t="str">
        <f ca="1">TEXT(MIN(Tab_NewTRADER[[#This Row],[L_Bn]],Tab_NewTRADER[[#This Row],[N]]),"#,#0")&amp;" x "&amp;TEXT(Tab_NewTRADER[[#This Row],[L_Bp]],"#,#0.#0")</f>
        <v>20,000 x -0.96</v>
      </c>
      <c r="AJ55" s="1370">
        <f ca="1">IF(Tab_NewTRADER[[#This Row],[M]]&lt;_xlfn.XLOOKUP(Tab_NewTRADER[[#This Row],[ClickTick]],TabCalc[Ticker],TabCalc[Max_Buy_P]), 0,Tab_NewTRADER[[#This Row],[Sale_Back_$]])</f>
        <v>0</v>
      </c>
      <c r="AK55" s="1370" t="str">
        <f ca="1">TEXT(Tab_NewTRADER[[#This Row],[L_Sn]],"#,#0")&amp;" ("&amp;Tab_NewTRADER[[#This Row],[M]]&amp;"/"&amp;TEXT(Tab_NewTRADER[[#This Row],[L_Sp]],"#,#0.#0)")</f>
        <v>0 (0.688/0.0)</v>
      </c>
      <c r="AL55" s="1370">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5391.675102000002</v>
      </c>
      <c r="AN55" s="1177">
        <f ca="1">Tab_NewTRADER[[#This Row],[N]]*(Tab_NewTRADER[[#This Row],[M]]-Tab_NewTRADER[[#This Row],[A]])*(1-Commission)*Tab_NewTRADER[[#This Row],[Scale]]</f>
        <v>-290228.23660160764</v>
      </c>
      <c r="AO55" s="1177">
        <f ca="1">Tab_NewTRADER[[#This Row],[M]]*Tab_NewTRADER[[#This Row],[N]]*(1-Commission)*Tab_NewTRADER[[#This Row],[Scale]]</f>
        <v>346536.65599999996</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0.45578554969610918</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0.39025828488372111</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-0.87533339185493408</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0.3928582848837211</v>
      </c>
      <c r="AV55" s="825" cm="1">
        <f t="array" aca="1" ref="AV55" ca="1">_xlfn.IFS(         Tab_NewTRADER[[#This Row],[Trap_vs_Last]]=MDown,Tab_NewTRADER[[#This Row],[L_Bn]]*Tab_NewTRADER[[#This Row],[M]]*(-(Tab_NewTRADER[[#This Row],[L_Bp]]+Tab_NewTRADER[[#This Row],[M]])/Tab_NewTRADER[[#This Row],[M]])*(1-Commission)*Tab_NewTRADER[[#This Row],[Scale]],                               TRUE,"")</f>
        <v>5391.6751020000011</v>
      </c>
      <c r="AW55" s="1186" cm="1">
        <f t="array" aca="1" ref="AW55" ca="1">_xlfn.IFS(   Tab_NewTRADER[[#This Row],[Trap_vs_Last]]=MUp,Tab_NewTRADER[[#This Row],[TakeGain_A]]-Commission,        Tab_NewTRADER[[#This Row],[Trap_vs_Last]]=MDown,(Tab_NewTRADER[[#This Row],[A]]-Tab_NewTRADER[[#This Row],[M]])/Tab_NewTRADER[[#This Row],[M]]-Commission,                              TRUE,"")</f>
        <v>0.83491092871862782</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290228.23660160764</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-0.27</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-0.45460050726689927</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0.83491092871862782</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-0.45578554969610918</v>
      </c>
      <c r="BI55" s="638" t="str">
        <f ca="1">TEXT(_xlfn.XLOOKUP(Tab_NewTRADER[[#This Row],[ClickTick]],TabCalc[Ticker],TabCalc[NAfter]),"#,#0")&amp;" : "&amp;TEXT(_xlfn.XLOOKUP(Tab_NewTRADER[[#This Row],[ClickTick]],TabCalc[Ticker],TabCalc[NAfter])*(Tab_NewTRADER[[#This Row],[M]]-Tab_NewTRADER[[#This Row],[A]])*(1-Commission)*Tab_NewTRADER[[#This Row],[Scale]],"#,#0$")</f>
        <v>505,000 : -290,228$</v>
      </c>
      <c r="BJ55" s="684">
        <f ca="1">_xlfn.XLOOKUP(Tab_NewTRADER[[#This Row],[ClickTick]],TabCalc[[#This Row],[Ticker]],TabCalc[[#This Row],[GL]])*(1-Commission)</f>
        <v>-290228.23660160758</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AMY</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0.3928582848837211</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-1.9319409011488666</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-2,800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-12.9%</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-5,195$</v>
      </c>
      <c r="G56" s="225" t="str">
        <f ca="1">IFERROR(TRUNC(_xlfn.XLOOKUP(Tab_NewTRADER[[#This Row],[ClickTick]],TabCalc[Ticker],ListLastSalep),2)&amp;"x"&amp;_xlfn.XLOOKUP(Tab_NewTRADER[[#This Row],[ClickTick]],TabCalc[Ticker],ListLastSalen)&amp;"=   "&amp;TEXT(-_xlfn.XLOOKUP(Tab_NewTRADER[[#This Row],[ClickTick]],TabCalc[Ticker],ListReverseB),"#,#0")&amp;"$","")</f>
        <v>3.52x5000=   -6,750$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62.2% = 3,704</v>
      </c>
      <c r="I56" s="226" t="str">
        <f ca="1">IFERROR(TRUNC(TabCalc[[#This Row],[L_S1p]],2)&amp;"x"&amp;TabCalc[[#This Row],[L_S1n]]&amp;"=   "&amp;TEXT(TabCalc[[#This Row],[ReverseB1]],"#,#0"),"")</f>
        <v>3.96x5000=   8,951</v>
      </c>
      <c r="J56" s="295">
        <f ca="1">_xlfn.XLOOKUP(Tab_NewTRADER[[#This Row],[ClickTick]],TabCalc[Ticker],ListGravity)</f>
        <v>1.4976958525345623</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4.5786842046550367E-4</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-0.11428571428571438</v>
      </c>
      <c r="S56" s="683">
        <f ca="1">_xlfn.XLOOKUP(Tab_NewTRADER[[#This Row],[ClickTick]],TabCalc[Ticker],TabCalc[Rev(MinStock)])*(1-Commission)</f>
        <v>-2792.7200000000021</v>
      </c>
      <c r="T56" s="782">
        <f ca="1">_xlfn.XLOOKUP(Tab_NewTRADER[[#This Row],[ClickTick]],TabCalc[Ticker],TabCalc[Agiotage])</f>
        <v>4.5786842046550367E-4</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850/850=&gt;-1.1% / 0.5%</v>
      </c>
      <c r="V56" s="739" t="str">
        <f ca="1">_xlfn.XLOOKUP(Tab_NewTRADER[[#This Row],[ClickTick]],[1]!RTData[Ticker_Symbol],[1]!RTData[Currency])</f>
        <v>USD</v>
      </c>
      <c r="W56" s="749">
        <f ca="1">_xlfn.XLOOKUP(Tab_NewTRADER[[#This Row],[ClickTick]],TabCalc[Ticker],TabCalc[M])</f>
        <v>2.17</v>
      </c>
      <c r="X56" s="1343"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6732.45</v>
      </c>
      <c r="AI56" s="1370" t="str">
        <f ca="1">TEXT(MIN(Tab_NewTRADER[[#This Row],[L_Bn]],Tab_NewTRADER[[#This Row],[N]]),"#,#0")&amp;" x "&amp;TEXT(Tab_NewTRADER[[#This Row],[L_Bp]],"#,#0.#0")</f>
        <v>10,000 x -2.45</v>
      </c>
      <c r="AJ56" s="1370">
        <f ca="1">IF(Tab_NewTRADER[[#This Row],[M]]&lt;_xlfn.XLOOKUP(Tab_NewTRADER[[#This Row],[ClickTick]],TabCalc[Ticker],TabCalc[Max_Buy_P]), 0,Tab_NewTRADER[[#This Row],[Sale_Back_$]])</f>
        <v>0</v>
      </c>
      <c r="AK56" s="1370" t="str">
        <f ca="1">TEXT(Tab_NewTRADER[[#This Row],[L_Sn]],"#,#0")&amp;" ("&amp;Tab_NewTRADER[[#This Row],[M]]&amp;"/"&amp;TEXT(Tab_NewTRADER[[#This Row],[L_Sp]],"#,#0.#0)")</f>
        <v>5,000 (2.17/3.52)</v>
      </c>
      <c r="AL56" s="1370">
        <f ca="1">IF(Tab_NewTRADER[[#This Row],[M]]&lt;_xlfn.XLOOKUP(Tab_NewTRADER[[#This Row],[ClickTick]],TabCalc[Ticker],TabCalc[Max_Buy_P]), -Tab_NewTRADER[[#This Row],[Buy_Back]], 0)</f>
        <v>6732.45</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-2792.7200000000021</v>
      </c>
      <c r="AO56" s="1177">
        <f ca="1">Tab_NewTRADER[[#This Row],[M]]*Tab_NewTRADER[[#This Row],[N]]*(1-Commission)*Tab_NewTRADER[[#This Row],[Scale]]</f>
        <v>21643.579999999998</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0.38352272727272729</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-9.5681063122923668E-2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-2792.7200000000021</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-0.11398857142857152</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0.12643225806451625</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0.38352272727272729</v>
      </c>
      <c r="BF56" s="729">
        <f ca="1">MIN(Tab_NewTRADER[[#This Row],[L_Sn]],Tab_NewTRADER[[#This Row],[N]])*(Tab_NewTRADER[[#This Row],[M]]-Tab_NewTRADER[[#This Row],[L_Sp]])*(1-Commission)*Tab_NewTRADER[[#This Row],[Scale]]</f>
        <v>-6732.45</v>
      </c>
      <c r="BG56" s="692">
        <f ca="1">Tab_NewTRADER[[#This Row],[L_Sn]]*(Tab_NewTRADER[[#This Row],[Agiotage]]-Tab_NewTRADER[[#This Row],[M]])/(Tab_NewTRADER[[#This Row],[L_Bn]]*Tab_NewTRADER[[#This Row],[M]])</f>
        <v>-0.49989450036394795</v>
      </c>
      <c r="BH56" s="635">
        <f ca="1">IFERROR((Tab_NewTRADER[[#This Row],[M]]-Tab_NewTRADER[[#This Row],[A]])/Tab_NewTRADER[[#This Row],[A]],0)</f>
        <v>-0.11428571428571438</v>
      </c>
      <c r="BI56" s="638" t="str">
        <f ca="1">TEXT(_xlfn.XLOOKUP(Tab_NewTRADER[[#This Row],[ClickTick]],TabCalc[Ticker],TabCalc[NAfter]),"#,#0")&amp;" : "&amp;TEXT(_xlfn.XLOOKUP(Tab_NewTRADER[[#This Row],[ClickTick]],TabCalc[Ticker],TabCalc[NAfter])*(Tab_NewTRADER[[#This Row],[M]]-Tab_NewTRADER[[#This Row],[A]])*(1-Commission)*Tab_NewTRADER[[#This Row],[Scale]],"#,#0$")</f>
        <v>10,000 : -2,793$</v>
      </c>
      <c r="BJ56" s="684">
        <f ca="1">_xlfn.XLOOKUP(Tab_NewTRADER[[#This Row],[ClickTick]],TabCalc[[#This Row],[Ticker]],TabCalc[[#This Row],[GL]])*(1-Commission)</f>
        <v>8687.7679209999969</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-6.5086263947386025E-4</v>
      </c>
      <c r="BU56" s="687">
        <f ca="1">(Tab_NewTRADER[[#This Row],[M]]-Tab_NewTRADER[[#This Row],[Agiotage]])/(Tab_NewTRADER[[#This Row],[M]]-Tab_NewTRADER[[#This Row],[A]])-1</f>
        <v>-8.7483647556411874</v>
      </c>
      <c r="BV56" s="1277">
        <f ca="1">_xlfn.XMATCH(Tab_NewTRADER[[#This Row],[ClickTick]]&amp;1, TabConsolid[#Headers])</f>
        <v>164</v>
      </c>
      <c r="BW56" t="str">
        <f ca="1">IF(ABS(Tab_NewTRADER[[#This Row],[L_Bp]])&gt;=Tab_NewTRADER[[#This Row],[M]],"OK")</f>
        <v>OK</v>
      </c>
    </row>
    <row r="57" spans="1:75" hidden="1"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-9,615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-26.9%</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-3,775$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-16,200$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68.0% = 309</v>
      </c>
      <c r="I57" s="226" t="str">
        <f ca="1">IFERROR(TRUNC(TabCalc[[#This Row],[L_S1p]],2)&amp;"x"&amp;TabCalc[[#This Row],[L_S1n]]&amp;"=   "&amp;TEXT(TabCalc[[#This Row],[ReverseB1]],"#,#0"),"")</f>
        <v>40.59x1000=   16,785</v>
      </c>
      <c r="J57" s="295">
        <f ca="1">_xlfn.XLOOKUP(Tab_NewTRADER[[#This Row],[ClickTick]],TabCalc[Ticker],ListGravity)</f>
        <v>1.3388399832003361</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238100</v>
      </c>
      <c r="M57" s="323">
        <f ca="1">_xlfn.XLOOKUP(Tab_NewTRADER[[#This Row],[ClickTick]],TabCalc[Ticker],TabCalc[Agiotage])</f>
        <v>0.10492537313432836</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-0.21211118464592987</v>
      </c>
      <c r="S57" s="683">
        <f ca="1">_xlfn.XLOOKUP(Tab_NewTRADER[[#This Row],[ClickTick]],TabCalc[Ticker],TabCalc[Rev(MinStock)])*(1-Commission)</f>
        <v>-9590.0010000000002</v>
      </c>
      <c r="T57" s="782">
        <f ca="1">_xlfn.XLOOKUP(Tab_NewTRADER[[#This Row],[ClickTick]],TabCalc[Ticker],TabCalc[Agiotage])</f>
        <v>0.10492537313432836</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-2,280/-2,280=&gt;0.3% / -0.8%</v>
      </c>
      <c r="V57" s="739" t="str">
        <f ca="1">_xlfn.XLOOKUP(Tab_NewTRADER[[#This Row],[ClickTick]],[1]!RTData[Ticker_Symbol],[1]!RTData[Currency])</f>
        <v>EUR</v>
      </c>
      <c r="W57" s="749">
        <f ca="1">_xlfn.XLOOKUP(Tab_NewTRADER[[#This Row],[ClickTick]],TabCalc[Ticker],TabCalc[M])</f>
        <v>23.81</v>
      </c>
      <c r="X57" s="1343"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-114/286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70" t="str">
        <f ca="1">TEXT(MIN(Tab_NewTRADER[[#This Row],[L_Bn]],Tab_NewTRADER[[#This Row],[N]]),"#,#0")&amp;" x "&amp;TEXT(Tab_NewTRADER[[#This Row],[L_Bp]],"#,#0.#0")</f>
        <v>1,500 x -30.22</v>
      </c>
      <c r="AJ57" s="1370">
        <f ca="1">IF(Tab_NewTRADER[[#This Row],[M]]&lt;_xlfn.XLOOKUP(Tab_NewTRADER[[#This Row],[ClickTick]],TabCalc[Ticker],TabCalc[Max_Buy_P]), 0,Tab_NewTRADER[[#This Row],[Sale_Back_$]])</f>
        <v>0</v>
      </c>
      <c r="AK57" s="1370" t="str">
        <f ca="1">TEXT(Tab_NewTRADER[[#This Row],[L_Sn]],"#,#0")&amp;" ("&amp;Tab_NewTRADER[[#This Row],[M]]&amp;"/"&amp;TEXT(Tab_NewTRADER[[#This Row],[L_Sp]],"#,#0.#0)")</f>
        <v>1,000 (23.81/40.01)</v>
      </c>
      <c r="AL57" s="1370">
        <f ca="1">IF(Tab_NewTRADER[[#This Row],[M]]&lt;_xlfn.XLOOKUP(Tab_NewTRADER[[#This Row],[ClickTick]],TabCalc[Ticker],TabCalc[Max_Buy_P]), -Tab_NewTRADER[[#This Row],[Buy_Back]], 0)</f>
        <v>16157.88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9590.0010000000002</v>
      </c>
      <c r="AN57" s="1177">
        <f ca="1">Tab_NewTRADER[[#This Row],[N]]*(Tab_NewTRADER[[#This Row],[M]]-Tab_NewTRADER[[#This Row],[A]])*(1-Commission)*Tab_NewTRADER[[#This Row],[Scale]]</f>
        <v>-117623.38200000004</v>
      </c>
      <c r="AO57" s="1177">
        <f ca="1">Tab_NewTRADER[[#This Row],[M]]*Tab_NewTRADER[[#This Row],[N]]*(1-Commission)*Tab_NewTRADER[[#This Row],[Scale]]</f>
        <v>284977.12799999997</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0.2921590486807879</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0.26661461570768585</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-0.53027796161482466</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0.26921461570768584</v>
      </c>
      <c r="AV57" s="825" cm="1">
        <f t="array" aca="1" ref="AV57" ca="1">_xlfn.IFS(         Tab_NewTRADER[[#This Row],[Trap_vs_Last]]=MDown,Tab_NewTRADER[[#This Row],[L_Bn]]*Tab_NewTRADER[[#This Row],[M]]*(-(Tab_NewTRADER[[#This Row],[L_Bp]]+Tab_NewTRADER[[#This Row],[M]])/Tab_NewTRADER[[#This Row],[M]])*(1-Commission)*Tab_NewTRADER[[#This Row],[Scale]],                               TRUE,"")</f>
        <v>9590.0010000000002</v>
      </c>
      <c r="AW57" s="1186" cm="1">
        <f t="array" aca="1" ref="AW57" ca="1">_xlfn.IFS(   Tab_NewTRADER[[#This Row],[Trap_vs_Last]]=MUp,Tab_NewTRADER[[#This Row],[TakeGain_A]]-Commission,        Tab_NewTRADER[[#This Row],[Trap_vs_Last]]=MDown,(Tab_NewTRADER[[#This Row],[A]]-Tab_NewTRADER[[#This Row],[M]])/Tab_NewTRADER[[#This Row],[M]]-Commission,                              TRUE,"")</f>
        <v>0.41014674506509891</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117623.38200000004</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-6.41</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-0.29139943515421785</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0.41014674506509891</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0.40489877530617346</v>
      </c>
      <c r="BF57" s="729">
        <f ca="1">MIN(Tab_NewTRADER[[#This Row],[L_Sn]],Tab_NewTRADER[[#This Row],[N]])*(Tab_NewTRADER[[#This Row],[M]]-Tab_NewTRADER[[#This Row],[L_Sp]])*(1-Commission)*Tab_NewTRADER[[#This Row],[Scale]]</f>
        <v>-16157.88</v>
      </c>
      <c r="BG57" s="692">
        <f ca="1">Tab_NewTRADER[[#This Row],[L_Sn]]*(Tab_NewTRADER[[#This Row],[Agiotage]]-Tab_NewTRADER[[#This Row],[M]])/(Tab_NewTRADER[[#This Row],[L_Bn]]*Tab_NewTRADER[[#This Row],[M]])</f>
        <v>-0.66372881497593927</v>
      </c>
      <c r="BH57" s="635">
        <f ca="1">IFERROR((Tab_NewTRADER[[#This Row],[M]]-Tab_NewTRADER[[#This Row],[A]])/Tab_NewTRADER[[#This Row],[A]],0)</f>
        <v>-0.2921590486807879</v>
      </c>
      <c r="BI57" s="638" t="str">
        <f ca="1">TEXT(_xlfn.XLOOKUP(Tab_NewTRADER[[#This Row],[ClickTick]],TabCalc[Ticker],TabCalc[NAfter]),"#,#0")&amp;" : "&amp;TEXT(_xlfn.XLOOKUP(Tab_NewTRADER[[#This Row],[ClickTick]],TabCalc[Ticker],TabCalc[NAfter])*(Tab_NewTRADER[[#This Row],[M]]-Tab_NewTRADER[[#This Row],[A]])*(1-Commission)*Tab_NewTRADER[[#This Row],[Scale]],"#,#0$")</f>
        <v>12,000 : -117,623$</v>
      </c>
      <c r="BJ57" s="684">
        <f ca="1">_xlfn.XLOOKUP(Tab_NewTRADER[[#This Row],[ClickTick]],TabCalc[[#This Row],[Ticker]],TabCalc[[#This Row],[GL]])*(1-Commission)</f>
        <v>-113531.4447704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0.26921461570768584</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-2.5680497512437811E-2</v>
      </c>
      <c r="BU57" s="687">
        <f ca="1">(Tab_NewTRADER[[#This Row],[M]]-Tab_NewTRADER[[#This Row],[Agiotage]])/(Tab_NewTRADER[[#This Row],[M]]-Tab_NewTRADER[[#This Row],[A]])-1</f>
        <v>-3.412116471825557</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+41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27.2%</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45$</v>
      </c>
      <c r="G58" s="225" t="str">
        <f ca="1">IFERROR(TRUNC(_xlfn.XLOOKUP(Tab_NewTRADER[[#This Row],[ClickTick]],TabCalc[Ticker],ListLastSalep),2)&amp;"x"&amp;_xlfn.XLOOKUP(Tab_NewTRADER[[#This Row],[ClickTick]],TabCalc[Ticker],ListLastSalen)&amp;"=   "&amp;TEXT(-_xlfn.XLOOKUP(Tab_NewTRADER[[#This Row],[ClickTick]],TabCalc[Ticker],ListReverseB),"#,#0")&amp;"$","")</f>
        <v>12.56x2990=   7,864$</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-17.3% = 0</v>
      </c>
      <c r="I58" s="226" t="str">
        <f ca="1">IFERROR(TRUNC(TabCalc[[#This Row],[L_S1p]],2)&amp;"x"&amp;TabCalc[[#This Row],[L_S1n]]&amp;"=   "&amp;TEXT(TabCalc[[#This Row],[ReverseB1]],"#,#0"),"")</f>
        <v>11.65x3000=   -10,616</v>
      </c>
      <c r="J58" s="295">
        <f ca="1">_xlfn.XLOOKUP(Tab_NewTRADER[[#This Row],[ClickTick]],TabCalc[Ticker],ListGravity)</f>
        <v>1.1138637261356155</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7.1240551570914536E-4</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0.37341772151898722</v>
      </c>
      <c r="S58" s="683">
        <f ca="1">_xlfn.XLOOKUP(Tab_NewTRADER[[#This Row],[ClickTick]],TabCalc[Ticker],TabCalc[Rev(MinStock)])*(1-Commission)</f>
        <v>41.192619999999991</v>
      </c>
      <c r="T58" s="782">
        <f ca="1">_xlfn.XLOOKUP(Tab_NewTRADER[[#This Row],[ClickTick]],TabCalc[Ticker],TabCalc[Agiotage])</f>
        <v>7.1240551570914536E-4</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-0.4%</v>
      </c>
      <c r="V58" s="739" t="str">
        <f ca="1">_xlfn.XLOOKUP(Tab_NewTRADER[[#This Row],[ClickTick]],[1]!RTData[Ticker_Symbol],[1]!RTData[Currency])</f>
        <v>EUR</v>
      </c>
      <c r="W58" s="749">
        <f ca="1">_xlfn.XLOOKUP(Tab_NewTRADER[[#This Row],[ClickTick]],TabCalc[Ticker],TabCalc[M])</f>
        <v>15.19</v>
      </c>
      <c r="X58" s="1343"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70" t="str">
        <f ca="1">TEXT(MIN(Tab_NewTRADER[[#This Row],[L_Bn]],Tab_NewTRADER[[#This Row],[N]]),"#,#0")&amp;" x "&amp;TEXT(Tab_NewTRADER[[#This Row],[L_Bp]],"#,#0.#0")</f>
        <v>10 x -11.06</v>
      </c>
      <c r="AJ58" s="1370">
        <f ca="1">IF(Tab_NewTRADER[[#This Row],[M]]&lt;_xlfn.XLOOKUP(Tab_NewTRADER[[#This Row],[ClickTick]],TabCalc[Ticker],TabCalc[Max_Buy_P]), 0,Tab_NewTRADER[[#This Row],[Sale_Back_$]])</f>
        <v>41.192619999999991</v>
      </c>
      <c r="AK58" s="1370" t="str">
        <f ca="1">TEXT(Tab_NewTRADER[[#This Row],[L_Sn]],"#,#0")&amp;" ("&amp;Tab_NewTRADER[[#This Row],[M]]&amp;"/"&amp;TEXT(Tab_NewTRADER[[#This Row],[L_Sp]],"#,#0.#0)")</f>
        <v>2,990 (15.19/12.56)</v>
      </c>
      <c r="AL58" s="1370">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26.231619999999989</v>
      </c>
      <c r="AN58" s="1177">
        <f ca="1">Tab_NewTRADER[[#This Row],[N]]*(Tab_NewTRADER[[#This Row],[M]]-Tab_NewTRADER[[#This Row],[A]])*(1-Commission)*Tab_NewTRADER[[#This Row],[Scale]]</f>
        <v>41.192619999999991</v>
      </c>
      <c r="AO58" s="1177">
        <f ca="1">Tab_NewTRADER[[#This Row],[M]]*Tab_NewTRADER[[#This Row],[N]]*(1-Commission)*Tab_NewTRADER[[#This Row],[Scale]]</f>
        <v>151.50505999999999</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0.37341772151898722</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0.17054022383146802</v>
      </c>
      <c r="AR58" s="825" cm="1">
        <f t="array" aca="1" ref="AR58" ca="1">_xlfn.IFS(   Tab_NewTRADER[[#This Row],[Trap_vs_Last]]=SellMorePercentGain,                     MIN(Tab_NewTRADER[[#This Row],[L_Sn]],Tab_NewTRADER[[#This Row],[N]])*(Tab_NewTRADER[[#This Row],[M]]-Tab_NewTRADER[[#This Row],[L_Sp]])*(1-Commission)*Tab_NewTRADER[[#This Row],[Scale]],                    TRUE,"")</f>
        <v>26.231619999999989</v>
      </c>
      <c r="AS58" s="1175">
        <f ca="1">_xlfn.XLOOKUP(Tab_NewTRADER[[#This Row],[ClickTick]],TabCalc[Ticker],TabCalc[Ann%RevLB])</f>
        <v>0.4481012658227847</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0.37081772151898723</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56.574674303797451</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10x4.13</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0.37244683544303786</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-0.27448940092165891</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-0.20939490445859865</v>
      </c>
      <c r="BF58" s="729">
        <f ca="1">MIN(Tab_NewTRADER[[#This Row],[L_Sn]],Tab_NewTRADER[[#This Row],[N]])*(Tab_NewTRADER[[#This Row],[M]]-Tab_NewTRADER[[#This Row],[L_Sp]])*(1-Commission)*Tab_NewTRADER[[#This Row],[Scale]]</f>
        <v>26.231619999999989</v>
      </c>
      <c r="BG58" s="692">
        <f ca="1">Tab_NewTRADER[[#This Row],[L_Sn]]*(Tab_NewTRADER[[#This Row],[Agiotage]]-Tab_NewTRADER[[#This Row],[M]])/(Tab_NewTRADER[[#This Row],[L_Bn]]*Tab_NewTRADER[[#This Row],[M]])</f>
        <v>-0.49830996167992131</v>
      </c>
      <c r="BH58" s="635">
        <f ca="1">IFERROR((Tab_NewTRADER[[#This Row],[M]]-Tab_NewTRADER[[#This Row],[A]])/Tab_NewTRADER[[#This Row],[A]],0)</f>
        <v>0.37341772151898722</v>
      </c>
      <c r="BI58" s="638" t="str">
        <f ca="1">TEXT(_xlfn.XLOOKUP(Tab_NewTRADER[[#This Row],[ClickTick]],TabCalc[Ticker],TabCalc[NAfter]),"#,#0")&amp;" : "&amp;TEXT(_xlfn.XLOOKUP(Tab_NewTRADER[[#This Row],[ClickTick]],TabCalc[Ticker],TabCalc[NAfter])*(Tab_NewTRADER[[#This Row],[M]]-Tab_NewTRADER[[#This Row],[A]])*(1-Commission)*Tab_NewTRADER[[#This Row],[Scale]],"#,#0$")</f>
        <v>10 : 41$</v>
      </c>
      <c r="BJ58" s="684">
        <f ca="1">_xlfn.XLOOKUP(Tab_NewTRADER[[#This Row],[ClickTick]],TabCalc[[#This Row],[Ticker]],TabCalc[[#This Row],[GL]])*(1-Commission)</f>
        <v>18064.694359000016</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0.17314022383146802</v>
      </c>
      <c r="BP58" s="679">
        <f ca="1">Tab_NewTRADER[[#This Row],[L_Sn]]*Tab_NewTRADER[[#This Row],[L_Sp]]+Tab_NewTRADER[[#This Row],[SellMore]]*Tab_NewTRADER[[#This Row],[M]]</f>
        <v>37706.300000000003</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12.568766666666667</v>
      </c>
      <c r="BT58" s="687">
        <f ca="1">((_xlfn.XLOOKUP(Tab_NewTRADER[[#This Row],[ClickTick]],TabCalc[Ticker],TabCalc[NAfter])+Tab_NewTRADER[[#This Row],[L_Sn]])*(Tab_NewTRADER[[#This Row],[Agiotage]]-Tab_NewTRADER[[#This Row],[M]]))/(Tab_NewTRADER[[#This Row],[L_Sn]]*_xlfn.XLOOKUP(Tab_NewTRADER[[#This Row],[ClickTick]],TabCalc[Ticker],TabCalc[NAfter]))</f>
        <v>-1.5240087887442431</v>
      </c>
      <c r="BU58" s="687">
        <f ca="1">(Tab_NewTRADER[[#This Row],[M]]-Tab_NewTRADER[[#This Row],[Agiotage]])/(Tab_NewTRADER[[#This Row],[M]]-Tab_NewTRADER[[#This Row],[A]])-1</f>
        <v>2.6777936064126617</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+28,240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21.4%</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1,416/36,000=23,357</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7,800$</v>
      </c>
      <c r="G59" s="225" t="str">
        <f ca="1">IFERROR(TRUNC(_xlfn.XLOOKUP(Tab_NewTRADER[[#This Row],[ClickTick]],TabCalc[Ticker],ListLastSalep),2)&amp;"x"&amp;_xlfn.XLOOKUP(Tab_NewTRADER[[#This Row],[ClickTick]],TabCalc[Ticker],ListLastSalen)&amp;"=   "&amp;TEXT(-_xlfn.XLOOKUP(Tab_NewTRADER[[#This Row],[ClickTick]],TabCalc[Ticker],ListReverseB),"#,#0")&amp;"$","")</f>
        <v>15.12x4000=   5,480$</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-8.3% = 0</v>
      </c>
      <c r="I59" s="226" t="str">
        <f ca="1">IFERROR(TRUNC(TabCalc[[#This Row],[L_S1p]],2)&amp;"x"&amp;TabCalc[[#This Row],[L_S1n]]&amp;"=   "&amp;TEXT(TabCalc[[#This Row],[ReverseB1]],"#,#0"),"")</f>
        <v>14.44x8000=   -16,400</v>
      </c>
      <c r="J59" s="295">
        <f ca="1">_xlfn.XLOOKUP(Tab_NewTRADER[[#This Row],[ClickTick]],TabCalc[Ticker],ListGravity)</f>
        <v>0.97772771376591883</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428739.99999999994</v>
      </c>
      <c r="M59" s="323">
        <f ca="1">_xlfn.XLOOKUP(Tab_NewTRADER[[#This Row],[ClickTick]],TabCalc[Ticker],TabCalc[Agiotage])</f>
        <v>0.20727782625951161</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0.27237654320987637</v>
      </c>
      <c r="S59" s="683">
        <f ca="1">_xlfn.XLOOKUP(Tab_NewTRADER[[#This Row],[ClickTick]],TabCalc[Ticker],TabCalc[Rev(MinStock)])*(1-Commission)</f>
        <v>28166.575999999979</v>
      </c>
      <c r="T59" s="782">
        <f ca="1">_xlfn.XLOOKUP(Tab_NewTRADER[[#This Row],[ClickTick]],TabCalc[Ticker],TabCalc[Agiotage])</f>
        <v>0.20727782625951161</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720/720=&gt;-0.1% / 0.1%</v>
      </c>
      <c r="V59" s="739" t="str">
        <f ca="1">_xlfn.XLOOKUP(Tab_NewTRADER[[#This Row],[ClickTick]],[1]!RTData[Ticker_Symbol],[1]!RTData[Currency])</f>
        <v>EUR</v>
      </c>
      <c r="W59" s="749">
        <f ca="1">_xlfn.XLOOKUP(Tab_NewTRADER[[#This Row],[ClickTick]],TabCalc[Ticker],TabCalc[M])</f>
        <v>16.489999999999998</v>
      </c>
      <c r="X59" s="1343"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^95 / 594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70" t="str">
        <f ca="1">TEXT(MIN(Tab_NewTRADER[[#This Row],[L_Bn]],Tab_NewTRADER[[#This Row],[N]]),"#,#0")&amp;" x "&amp;TEXT(Tab_NewTRADER[[#This Row],[L_Bp]],"#,#0.#0")</f>
        <v>8,000 x -12.96</v>
      </c>
      <c r="AJ59" s="1370">
        <f ca="1">IF(Tab_NewTRADER[[#This Row],[M]]&lt;_xlfn.XLOOKUP(Tab_NewTRADER[[#This Row],[ClickTick]],TabCalc[Ticker],TabCalc[Max_Buy_P]), 0,Tab_NewTRADER[[#This Row],[Sale_Back_$]])</f>
        <v>28166.575999999979</v>
      </c>
      <c r="AK59" s="1370" t="str">
        <f ca="1">TEXT(Tab_NewTRADER[[#This Row],[L_Sn]],"#,#0")&amp;" ("&amp;Tab_NewTRADER[[#This Row],[M]]&amp;"/"&amp;TEXT(Tab_NewTRADER[[#This Row],[L_Sp]],"#,#0.#0)")</f>
        <v>4,000 (16.49/15.12)</v>
      </c>
      <c r="AL59" s="1370">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5465.7519999999968</v>
      </c>
      <c r="AN59" s="1177">
        <f ca="1">Tab_NewTRADER[[#This Row],[N]]*(Tab_NewTRADER[[#This Row],[M]]-Tab_NewTRADER[[#This Row],[A]])*(1-Commission)*Tab_NewTRADER[[#This Row],[Scale]]</f>
        <v>109926.64567999994</v>
      </c>
      <c r="AO59" s="1177">
        <f ca="1">Tab_NewTRADER[[#This Row],[M]]*Tab_NewTRADER[[#This Row],[N]]*(1-Commission)*Tab_NewTRADER[[#This Row],[Scale]]</f>
        <v>592096.53599999996</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0.22798322310637298</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8.0480654942389276E-2</v>
      </c>
      <c r="AR59" s="825" cm="1">
        <f t="array" aca="1" ref="AR59" ca="1">_xlfn.IFS(   Tab_NewTRADER[[#This Row],[Trap_vs_Last]]=SellMorePercentGain,                     MIN(Tab_NewTRADER[[#This Row],[L_Sn]],Tab_NewTRADER[[#This Row],[N]])*(Tab_NewTRADER[[#This Row],[M]]-Tab_NewTRADER[[#This Row],[L_Sp]])*(1-Commission)*Tab_NewTRADER[[#This Row],[Scale]],                    TRUE,"")</f>
        <v>5465.7519999999968</v>
      </c>
      <c r="AS59" s="1175">
        <f ca="1">_xlfn.XLOOKUP(Tab_NewTRADER[[#This Row],[ClickTick]],TabCalc[Ticker],TabCalc[Ann%RevLB])</f>
        <v>0.57342430149447654</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0.22538322310637299</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134988.07666739859</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8,000x3.06</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0.2273904667262964</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-0.18825662691193309</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-9.0608465608465555E-2</v>
      </c>
      <c r="BF59" s="729">
        <f ca="1">MIN(Tab_NewTRADER[[#This Row],[L_Sn]],Tab_NewTRADER[[#This Row],[N]])*(Tab_NewTRADER[[#This Row],[M]]-Tab_NewTRADER[[#This Row],[L_Sp]])*(1-Commission)*Tab_NewTRADER[[#This Row],[Scale]]</f>
        <v>5465.7519999999968</v>
      </c>
      <c r="BG59" s="692">
        <f ca="1">Tab_NewTRADER[[#This Row],[L_Sn]]*(Tab_NewTRADER[[#This Row],[Agiotage]]-Tab_NewTRADER[[#This Row],[M]])/(Tab_NewTRADER[[#This Row],[L_Bn]]*Tab_NewTRADER[[#This Row],[M]])</f>
        <v>-0.49371504468588506</v>
      </c>
      <c r="BH59" s="635">
        <f ca="1">IFERROR((Tab_NewTRADER[[#This Row],[M]]-Tab_NewTRADER[[#This Row],[A]])/Tab_NewTRADER[[#This Row],[A]],0)</f>
        <v>0.22798322310637298</v>
      </c>
      <c r="BI59" s="638" t="str">
        <f ca="1">TEXT(_xlfn.XLOOKUP(Tab_NewTRADER[[#This Row],[ClickTick]],TabCalc[Ticker],TabCalc[NAfter]),"#,#0")&amp;" : "&amp;TEXT(_xlfn.XLOOKUP(Tab_NewTRADER[[#This Row],[ClickTick]],TabCalc[Ticker],TabCalc[NAfter])*(Tab_NewTRADER[[#This Row],[M]]-Tab_NewTRADER[[#This Row],[A]])*(1-Commission)*Tab_NewTRADER[[#This Row],[Scale]],"#,#0$")</f>
        <v>36,000 : 109,927$</v>
      </c>
      <c r="BJ59" s="684">
        <f ca="1">_xlfn.XLOOKUP(Tab_NewTRADER[[#This Row],[ClickTick]],TabCalc[[#This Row],[Ticker]],TabCalc[[#This Row],[GL]])*(1-Commission)</f>
        <v>94524.373977199924</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8.3080654942389282E-2</v>
      </c>
      <c r="BP59" s="679">
        <f ca="1">Tab_NewTRADER[[#This Row],[L_Sn]]*Tab_NewTRADER[[#This Row],[L_Sp]]+Tab_NewTRADER[[#This Row],[SellMore]]*Tab_NewTRADER[[#This Row],[M]]</f>
        <v>93460</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15.576666666666666</v>
      </c>
      <c r="BT59" s="687">
        <f ca="1">((_xlfn.XLOOKUP(Tab_NewTRADER[[#This Row],[ClickTick]],TabCalc[Ticker],TabCalc[NAfter])+Tab_NewTRADER[[#This Row],[L_Sn]])*(Tab_NewTRADER[[#This Row],[Agiotage]]-Tab_NewTRADER[[#This Row],[M]]))/(Tab_NewTRADER[[#This Row],[L_Sn]]*_xlfn.XLOOKUP(Tab_NewTRADER[[#This Row],[ClickTick]],TabCalc[Ticker],TabCalc[NAfter]))</f>
        <v>-4.5229783815945801E-3</v>
      </c>
      <c r="BU59" s="687">
        <f ca="1">(Tab_NewTRADER[[#This Row],[M]]-Tab_NewTRADER[[#This Row],[Agiotage]])/(Tab_NewTRADER[[#This Row],[M]]-Tab_NewTRADER[[#This Row],[A]])-1</f>
        <v>4.3185825132983879</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43"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70" t="str">
        <f ca="1">TEXT(MIN(Tab_NewTRADER[[#This Row],[L_Bn]],Tab_NewTRADER[[#This Row],[N]]),"#,#0")&amp;" x "&amp;TEXT(Tab_NewTRADER[[#This Row],[L_Bp]],"#,#0.#0")</f>
        <v>10,000 x -1.72</v>
      </c>
      <c r="AJ60" s="1370">
        <f ca="1">IF(Tab_NewTRADER[[#This Row],[M]]&lt;_xlfn.XLOOKUP(Tab_NewTRADER[[#This Row],[ClickTick]],TabCalc[Ticker],TabCalc[Max_Buy_P]), 0,Tab_NewTRADER[[#This Row],[Sale_Back_$]])</f>
        <v>0</v>
      </c>
      <c r="AK60" s="1370" t="str">
        <f ca="1">TEXT(Tab_NewTRADER[[#This Row],[L_Sn]],"#,#0")&amp;" ("&amp;Tab_NewTRADER[[#This Row],[M]]&amp;"/"&amp;TEXT(Tab_NewTRADER[[#This Row],[L_Sp]],"#,#0.#0)")</f>
        <v>0 (0.2012/0.0)</v>
      </c>
      <c r="AL60" s="1370">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-1.0667395036678633</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+4,240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7.3%</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7,160$</v>
      </c>
      <c r="G61" s="225" t="str">
        <f ca="1">IFERROR(TRUNC(_xlfn.XLOOKUP(Tab_NewTRADER[[#This Row],[ClickTick]],TabCalc[Ticker],ListLastSalep),2)&amp;"x"&amp;_xlfn.XLOOKUP(Tab_NewTRADER[[#This Row],[ClickTick]],TabCalc[Ticker],ListLastSalen)&amp;"=   "&amp;TEXT(-_xlfn.XLOOKUP(Tab_NewTRADER[[#This Row],[ClickTick]],TabCalc[Ticker],ListReverseB),"#,#0")&amp;"$","")</f>
        <v>47.47x1000=   10,790$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18.5% = 0</v>
      </c>
      <c r="I61" s="226" t="str">
        <f ca="1">IFERROR(TRUNC(TabCalc[[#This Row],[L_S1p]],2)&amp;"x"&amp;TabCalc[[#This Row],[L_S1n]]&amp;"=   "&amp;TEXT(TabCalc[[#This Row],[ReverseB1]],"#,#0"),"")</f>
        <v>45.76x1000=   -12,500</v>
      </c>
      <c r="J61" s="295">
        <f ca="1">_xlfn.XLOOKUP(Tab_NewTRADER[[#This Row],[ClickTick]],TabCalc[Ticker],ListGravity)</f>
        <v>1.1103005492619293</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0.14082448702358652</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7.8489448352461952E-2</v>
      </c>
      <c r="S61" s="683">
        <f ca="1">_xlfn.XLOOKUP(Tab_NewTRADER[[#This Row],[ClickTick]],TabCalc[Ticker],TabCalc[Rev(MinStock)])*(1-Commission)</f>
        <v>4228.9759999999942</v>
      </c>
      <c r="T61" s="782">
        <f ca="1">_xlfn.XLOOKUP(Tab_NewTRADER[[#This Row],[ClickTick]],TabCalc[Ticker],TabCalc[Agiotage])</f>
        <v>0.14082448702358652</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-1,960/-1,960=&gt;-2.1% / 0.5%</v>
      </c>
      <c r="V61" s="739" t="str">
        <f ca="1">_xlfn.XLOOKUP(Tab_NewTRADER[[#This Row],[ClickTick]],[1]!RTData[Ticker_Symbol],[1]!RTData[Currency])</f>
        <v>EUR</v>
      </c>
      <c r="W61" s="749">
        <f ca="1">_xlfn.XLOOKUP(Tab_NewTRADER[[#This Row],[ClickTick]],TabCalc[Ticker],TabCalc[M])</f>
        <v>58.26</v>
      </c>
      <c r="X61" s="1343"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^111 / 408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4228.9759999999942</v>
      </c>
      <c r="AI61" s="1370" t="str">
        <f ca="1">TEXT(MIN(Tab_NewTRADER[[#This Row],[L_Bn]],Tab_NewTRADER[[#This Row],[N]]),"#,#0")&amp;" x "&amp;TEXT(Tab_NewTRADER[[#This Row],[L_Bp]],"#,#0.#0")</f>
        <v>1,000 x -54.02</v>
      </c>
      <c r="AJ61" s="1370">
        <f ca="1">IF(Tab_NewTRADER[[#This Row],[M]]&lt;_xlfn.XLOOKUP(Tab_NewTRADER[[#This Row],[ClickTick]],TabCalc[Ticker],TabCalc[Max_Buy_P]), 0,Tab_NewTRADER[[#This Row],[Sale_Back_$]])</f>
        <v>0</v>
      </c>
      <c r="AK61" s="1370" t="str">
        <f ca="1">TEXT(Tab_NewTRADER[[#This Row],[L_Sn]],"#,#0")&amp;" ("&amp;Tab_NewTRADER[[#This Row],[M]]&amp;"/"&amp;TEXT(Tab_NewTRADER[[#This Row],[L_Sp]],"#,#0.#0)")</f>
        <v>1,000 (58.26/47.47)</v>
      </c>
      <c r="AL61" s="1370">
        <f ca="1">IF(Tab_NewTRADER[[#This Row],[M]]&lt;_xlfn.XLOOKUP(Tab_NewTRADER[[#This Row],[ClickTick]],TabCalc[Ticker],TabCalc[Max_Buy_P]), -Tab_NewTRADER[[#This Row],[Buy_Back]], 0)</f>
        <v>-10761.946</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18147.692999999992</v>
      </c>
      <c r="AO61" s="1177">
        <f ca="1">Tab_NewTRADER[[#This Row],[M]]*Tab_NewTRADER[[#This Row],[N]]*(1-Commission)*Tab_NewTRADER[[#This Row],[Scale]]</f>
        <v>406759.66800000001</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7.8489448352461952E-2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0.91149036796407423</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18995.167556650616</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-4.7215271443283788E-2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-0.22730145354961026</v>
      </c>
      <c r="BF61" s="729">
        <f ca="1">MIN(Tab_NewTRADER[[#This Row],[L_Sn]],Tab_NewTRADER[[#This Row],[N]])*(Tab_NewTRADER[[#This Row],[M]]-Tab_NewTRADER[[#This Row],[L_Sp]])*(1-Commission)*Tab_NewTRADER[[#This Row],[Scale]]</f>
        <v>10761.946</v>
      </c>
      <c r="BG61" s="692">
        <f ca="1">Tab_NewTRADER[[#This Row],[L_Sn]]*(Tab_NewTRADER[[#This Row],[Agiotage]]-Tab_NewTRADER[[#This Row],[M]])/(Tab_NewTRADER[[#This Row],[L_Bn]]*Tab_NewTRADER[[#This Row],[M]])</f>
        <v>-0.99758282720522506</v>
      </c>
      <c r="BH61" s="635">
        <f ca="1">IFERROR((Tab_NewTRADER[[#This Row],[M]]-Tab_NewTRADER[[#This Row],[A]])/Tab_NewTRADER[[#This Row],[A]],0)</f>
        <v>4.6698748796920098E-2</v>
      </c>
      <c r="BI61" s="638" t="str">
        <f ca="1">TEXT(_xlfn.XLOOKUP(Tab_NewTRADER[[#This Row],[ClickTick]],TabCalc[Ticker],TabCalc[NAfter]),"#,#0")&amp;" : "&amp;TEXT(_xlfn.XLOOKUP(Tab_NewTRADER[[#This Row],[ClickTick]],TabCalc[Ticker],TabCalc[NAfter])*(Tab_NewTRADER[[#This Row],[M]]-Tab_NewTRADER[[#This Row],[A]])*(1-Commission)*Tab_NewTRADER[[#This Row],[Scale]],"#,#0$")</f>
        <v>7,000 : 18,148$</v>
      </c>
      <c r="BJ61" s="684">
        <f ca="1">_xlfn.XLOOKUP(Tab_NewTRADER[[#This Row],[ClickTick]],TabCalc[[#This Row],[Ticker]],TabCalc[[#This Row],[GL]])*(1-Commission)</f>
        <v>110939.85446999998</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163990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54.663333333333334</v>
      </c>
      <c r="BT61" s="687">
        <f ca="1">((_xlfn.XLOOKUP(Tab_NewTRADER[[#This Row],[ClickTick]],TabCalc[Ticker],TabCalc[NAfter])+Tab_NewTRADER[[#This Row],[L_Sn]])*(Tab_NewTRADER[[#This Row],[Agiotage]]-Tab_NewTRADER[[#This Row],[M]]))/(Tab_NewTRADER[[#This Row],[L_Sn]]*_xlfn.XLOOKUP(Tab_NewTRADER[[#This Row],[ClickTick]],TabCalc[Ticker],TabCalc[NAfter]))</f>
        <v>-6.6421914871973048E-2</v>
      </c>
      <c r="BU61" s="687">
        <f ca="1">(Tab_NewTRADER[[#This Row],[M]]-Tab_NewTRADER[[#This Row],[Agiotage]])/(Tab_NewTRADER[[#This Row],[M]]-Tab_NewTRADER[[#This Row],[A]])-1</f>
        <v>21.359671810433362</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-1,320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4,320$</v>
      </c>
      <c r="G62" s="225" t="str">
        <f ca="1">IFERROR(TRUNC(_xlfn.XLOOKUP(Tab_NewTRADER[[#This Row],[ClickTick]],TabCalc[Ticker],ListLastSalep),2)&amp;"x"&amp;_xlfn.XLOOKUP(Tab_NewTRADER[[#This Row],[ClickTick]],TabCalc[Ticker],ListLastSalen)&amp;"=   "&amp;TEXT(-_xlfn.XLOOKUP(Tab_NewTRADER[[#This Row],[ClickTick]],TabCalc[Ticker],ListReverseB),"#,#0")&amp;"$","")</f>
        <v>13.74x1200=   198$</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0</v>
      </c>
      <c r="I62" s="226" t="str">
        <f ca="1">IFERROR(TRUNC(TabCalc[[#This Row],[L_S1p]],2)&amp;"x"&amp;TabCalc[[#This Row],[L_S1n]]&amp;"=   "&amp;TEXT(TabCalc[[#This Row],[ReverseB1]],"#,#0"),"")</f>
        <v>13.93x2000=   40</v>
      </c>
      <c r="J62" s="295">
        <f ca="1">_xlfn.XLOOKUP(Tab_NewTRADER[[#This Row],[ClickTick]],TabCalc[Ticker],ListGravity)</f>
        <v>1.1015255212077641</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173875</v>
      </c>
      <c r="M62" s="323">
        <f ca="1">_xlfn.XLOOKUP(Tab_NewTRADER[[#This Row],[ClickTick]],TabCalc[Ticker],TabCalc[Agiotage])</f>
        <v>0.10826173304693219</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-3.066202090592331E-2</v>
      </c>
      <c r="S62" s="683">
        <f ca="1">_xlfn.XLOOKUP(Tab_NewTRADER[[#This Row],[ClickTick]],TabCalc[Ticker],TabCalc[Rev(MinStock)])*(1-Commission)</f>
        <v>-1316.5679999999984</v>
      </c>
      <c r="T62" s="782">
        <f ca="1">_xlfn.XLOOKUP(Tab_NewTRADER[[#This Row],[ClickTick]],TabCalc[Ticker],TabCalc[Agiotage])</f>
        <v>0.10826173304693219</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-2,277/-2,277=&gt;1.6% / -0.8%</v>
      </c>
      <c r="V62" s="739" t="str">
        <f ca="1">_xlfn.XLOOKUP(Tab_NewTRADER[[#This Row],[ClickTick]],[1]!RTData[Ticker_Symbol],[1]!RTData[Currency])</f>
        <v>EUR</v>
      </c>
      <c r="W62" s="749">
        <f ca="1">_xlfn.XLOOKUP(Tab_NewTRADER[[#This Row],[ClickTick]],TabCalc[Ticker],TabCalc[M])</f>
        <v>13.91</v>
      </c>
      <c r="X62" s="1343"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 / 275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70" t="str">
        <f ca="1">TEXT(MIN(Tab_NewTRADER[[#This Row],[L_Bn]],Tab_NewTRADER[[#This Row],[N]]),"#,#0")&amp;" x "&amp;TEXT(Tab_NewTRADER[[#This Row],[L_Bp]],"#,#0.#0")</f>
        <v>3,000 x -14.35</v>
      </c>
      <c r="AJ62" s="1370">
        <f ca="1">IF(Tab_NewTRADER[[#This Row],[M]]&lt;_xlfn.XLOOKUP(Tab_NewTRADER[[#This Row],[ClickTick]],TabCalc[Ticker],TabCalc[Max_Buy_P]), 0,Tab_NewTRADER[[#This Row],[Sale_Back_$]])</f>
        <v>0</v>
      </c>
      <c r="AK62" s="1370" t="str">
        <f ca="1">TEXT(Tab_NewTRADER[[#This Row],[L_Sn]],"#,#0")&amp;" ("&amp;Tab_NewTRADER[[#This Row],[M]]&amp;"/"&amp;TEXT(Tab_NewTRADER[[#This Row],[L_Sp]],"#,#0.#0)")</f>
        <v>1,200 (13.91/13.75)</v>
      </c>
      <c r="AL62" s="1370">
        <f ca="1">IF(Tab_NewTRADER[[#This Row],[M]]&lt;_xlfn.XLOOKUP(Tab_NewTRADER[[#This Row],[ClickTick]],TabCalc[Ticker],TabCalc[Max_Buy_P]), -Tab_NewTRADER[[#This Row],[Buy_Back]], 0)</f>
        <v>-197.4852000000011</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197.4852000000011</v>
      </c>
      <c r="AN62" s="1177">
        <f ca="1">Tab_NewTRADER[[#This Row],[N]]*(Tab_NewTRADER[[#This Row],[M]]-Tab_NewTRADER[[#This Row],[A]])*(1-Commission)*Tab_NewTRADER[[#This Row],[Scale]]</f>
        <v>35451.585599999991</v>
      </c>
      <c r="AO62" s="1177">
        <f ca="1">Tab_NewTRADER[[#This Row],[M]]*Tab_NewTRADER[[#This Row],[N]]*(1-Commission)*Tab_NewTRADER[[#This Row],[Scale]]</f>
        <v>274701.91320000001</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0.14817779334150427</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9.261969805895106E-3</v>
      </c>
      <c r="AR62" s="825" cm="1">
        <f t="array" aca="1" ref="AR62" ca="1">_xlfn.IFS(   Tab_NewTRADER[[#This Row],[Trap_vs_Last]]=SellMorePercentGain,                     MIN(Tab_NewTRADER[[#This Row],[L_Sn]],Tab_NewTRADER[[#This Row],[N]])*(Tab_NewTRADER[[#This Row],[M]]-Tab_NewTRADER[[#This Row],[L_Sp]])*(1-Commission)*Tab_NewTRADER[[#This Row],[Scale]],                    TRUE,"")</f>
        <v>197.4852000000011</v>
      </c>
      <c r="AS62" s="1192">
        <f ca="1">_xlfn.XLOOKUP(Tab_NewTRADER[[#This Row],[ClickTick]],TabCalc[Ticker],TabCalc[Ann%RevLB])</f>
        <v>-0.11742901623545098</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0.14557779334150428</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40704.723324665436</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3,000x1.79</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0.14779253107881635</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-0.13165474587717577</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-1.2004365223717783E-2</v>
      </c>
      <c r="BF62" s="729">
        <f ca="1">MIN(Tab_NewTRADER[[#This Row],[L_Sn]],Tab_NewTRADER[[#This Row],[N]])*(Tab_NewTRADER[[#This Row],[M]]-Tab_NewTRADER[[#This Row],[L_Sp]])*(1-Commission)*Tab_NewTRADER[[#This Row],[Scale]]</f>
        <v>197.4852000000011</v>
      </c>
      <c r="BG62" s="692">
        <f ca="1">Tab_NewTRADER[[#This Row],[L_Sn]]*(Tab_NewTRADER[[#This Row],[Agiotage]]-Tab_NewTRADER[[#This Row],[M]])/(Tab_NewTRADER[[#This Row],[L_Bn]]*Tab_NewTRADER[[#This Row],[M]])</f>
        <v>-0.39688679416112344</v>
      </c>
      <c r="BH62" s="635">
        <f ca="1">IFERROR((Tab_NewTRADER[[#This Row],[M]]-Tab_NewTRADER[[#This Row],[A]])/Tab_NewTRADER[[#This Row],[A]],0)</f>
        <v>0.14817779334150427</v>
      </c>
      <c r="BI62" s="638" t="str">
        <f ca="1">TEXT(_xlfn.XLOOKUP(Tab_NewTRADER[[#This Row],[ClickTick]],TabCalc[Ticker],TabCalc[NAfter]),"#,#0")&amp;" : "&amp;TEXT(_xlfn.XLOOKUP(Tab_NewTRADER[[#This Row],[ClickTick]],TabCalc[Ticker],TabCalc[NAfter])*(Tab_NewTRADER[[#This Row],[M]]-Tab_NewTRADER[[#This Row],[A]])*(1-Commission)*Tab_NewTRADER[[#This Row],[Scale]],"#,#0$")</f>
        <v>19,800 : 35,452$</v>
      </c>
      <c r="BJ62" s="684">
        <f ca="1">_xlfn.XLOOKUP(Tab_NewTRADER[[#This Row],[ClickTick]],TabCalc[[#This Row],[Ticker]],TabCalc[[#This Row],[GL]])*(1-Commission)</f>
        <v>96792.732869999978</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1.1861969805895106E-2</v>
      </c>
      <c r="BP62" s="679">
        <f ca="1">Tab_NewTRADER[[#This Row],[L_Sn]]*Tab_NewTRADER[[#This Row],[L_Sp]]+Tab_NewTRADER[[#This Row],[SellMore]]*Tab_NewTRADER[[#This Row],[M]]</f>
        <v>99954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13.8825</v>
      </c>
      <c r="BT62" s="687">
        <f ca="1">((_xlfn.XLOOKUP(Tab_NewTRADER[[#This Row],[ClickTick]],TabCalc[Ticker],TabCalc[NAfter])+Tab_NewTRADER[[#This Row],[L_Sn]])*(Tab_NewTRADER[[#This Row],[Agiotage]]-Tab_NewTRADER[[#This Row],[M]]))/(Tab_NewTRADER[[#This Row],[L_Sn]]*_xlfn.XLOOKUP(Tab_NewTRADER[[#This Row],[ClickTick]],TabCalc[Ticker],TabCalc[NAfter]))</f>
        <v>-1.2198506044024176E-2</v>
      </c>
      <c r="BU62" s="687">
        <f ca="1">(Tab_NewTRADER[[#This Row],[M]]-Tab_NewTRADER[[#This Row],[Agiotage]])/(Tab_NewTRADER[[#This Row],[M]]-Tab_NewTRADER[[#This Row],[A]])-1</f>
        <v>6.6883417084647414</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27.1%</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48,068$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-26.5% = 0</v>
      </c>
      <c r="I63" s="226" t="str">
        <f ca="1">IFERROR(TRUNC(TabCalc[[#This Row],[L_S1p]],2)&amp;"x"&amp;TabCalc[[#This Row],[L_S1n]]&amp;"=   "&amp;TEXT(TabCalc[[#This Row],[ReverseB1]],"#,#0"),"")</f>
        <v>29.29x4000=   -64,360</v>
      </c>
      <c r="J63" s="295">
        <f ca="1">_xlfn.XLOOKUP(Tab_NewTRADER[[#This Row],[ClickTick]],TabCalc[Ticker],ListGravity)</f>
        <v>0.98605244601145869</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7.3873717920976329E-4</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0.37120410938208204</v>
      </c>
      <c r="S63" s="683">
        <f ca="1">_xlfn.XLOOKUP(Tab_NewTRADER[[#This Row],[ClickTick]],TabCalc[Ticker],TabCalc[Rev(MinStock)])*(1-Commission)</f>
        <v>12.253059000000004</v>
      </c>
      <c r="T63" s="782">
        <f ca="1">_xlfn.XLOOKUP(Tab_NewTRADER[[#This Row],[ClickTick]],TabCalc[Ticker],TabCalc[Agiotage])</f>
        <v>7.3873717920976329E-4</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0.1%</v>
      </c>
      <c r="V63" s="739" t="str">
        <f ca="1">_xlfn.XLOOKUP(Tab_NewTRADER[[#This Row],[ClickTick]],[1]!RTData[Ticker_Symbol],[1]!RTData[Currency])</f>
        <v>EUR</v>
      </c>
      <c r="W63" s="749">
        <f ca="1">_xlfn.XLOOKUP(Tab_NewTRADER[[#This Row],[ClickTick]],TabCalc[Ticker],TabCalc[M])</f>
        <v>45.38</v>
      </c>
      <c r="X63" s="1343"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70" t="str">
        <f ca="1">TEXT(MIN(Tab_NewTRADER[[#This Row],[L_Bn]],Tab_NewTRADER[[#This Row],[N]]),"#,#0")&amp;" x "&amp;TEXT(Tab_NewTRADER[[#This Row],[L_Bp]],"#,#0.#0")</f>
        <v>1 x -33.10</v>
      </c>
      <c r="AJ63" s="1370">
        <f ca="1">IF(Tab_NewTRADER[[#This Row],[M]]&lt;_xlfn.XLOOKUP(Tab_NewTRADER[[#This Row],[ClickTick]],TabCalc[Ticker],TabCalc[Max_Buy_P]), 0,Tab_NewTRADER[[#This Row],[Sale_Back_$]])</f>
        <v>12.253059000000004</v>
      </c>
      <c r="AK63" s="1370" t="str">
        <f ca="1">TEXT(Tab_NewTRADER[[#This Row],[L_Sn]],"#,#0")&amp;" ("&amp;Tab_NewTRADER[[#This Row],[M]]&amp;"/"&amp;TEXT(Tab_NewTRADER[[#This Row],[L_Sp]],"#,#0.#0)")</f>
        <v>3,999 (45.38/33.36)</v>
      </c>
      <c r="AL63" s="1370">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11.988748000000003</v>
      </c>
      <c r="AN63" s="1177">
        <f ca="1">Tab_NewTRADER[[#This Row],[N]]*(Tab_NewTRADER[[#This Row],[M]]-Tab_NewTRADER[[#This Row],[A]])*(1-Commission)*Tab_NewTRADER[[#This Row],[Scale]]</f>
        <v>12.253059000000004</v>
      </c>
      <c r="AO63" s="1177">
        <f ca="1">Tab_NewTRADER[[#This Row],[M]]*Tab_NewTRADER[[#This Row],[N]]*(1-Commission)*Tab_NewTRADER[[#This Row],[Scale]]</f>
        <v>45.262011999999999</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0.37120410938208204</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0.2622743940061702</v>
      </c>
      <c r="AR63" s="825" cm="1">
        <f t="array" aca="1" ref="AR63" ca="1">_xlfn.IFS(   Tab_NewTRADER[[#This Row],[Trap_vs_Last]]=SellMorePercentGain,                     MIN(Tab_NewTRADER[[#This Row],[L_Sn]],Tab_NewTRADER[[#This Row],[N]])*(Tab_NewTRADER[[#This Row],[M]]-Tab_NewTRADER[[#This Row],[L_Sp]])*(1-Commission)*Tab_NewTRADER[[#This Row],[Scale]],                    TRUE,"")</f>
        <v>11.988748000000003</v>
      </c>
      <c r="AS63" s="1192">
        <f ca="1">_xlfn.XLOOKUP(Tab_NewTRADER[[#This Row],[ClickTick]],TabCalc[Ticker],TabCalc[Ann%RevLB])</f>
        <v>0.67152502199773634</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0.36860410938208205</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16.80144485330111</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1x12.28</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0.37023897869768863</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-0.2733139709122962</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-0.36031175059952048</v>
      </c>
      <c r="BF63" s="729">
        <f ca="1">MIN(Tab_NewTRADER[[#This Row],[L_Sn]],Tab_NewTRADER[[#This Row],[N]])*(Tab_NewTRADER[[#This Row],[M]]-Tab_NewTRADER[[#This Row],[L_Sp]])*(1-Commission)*Tab_NewTRADER[[#This Row],[Scale]]</f>
        <v>11.988748000000003</v>
      </c>
      <c r="BG63" s="692">
        <f ca="1">Tab_NewTRADER[[#This Row],[L_Sn]]*(Tab_NewTRADER[[#This Row],[Agiotage]]-Tab_NewTRADER[[#This Row],[M]])/(Tab_NewTRADER[[#This Row],[L_Bn]]*Tab_NewTRADER[[#This Row],[M]])</f>
        <v>-1.33297830020582</v>
      </c>
      <c r="BH63" s="635">
        <f ca="1">IFERROR((Tab_NewTRADER[[#This Row],[M]]-Tab_NewTRADER[[#This Row],[A]])/Tab_NewTRADER[[#This Row],[A]],0)</f>
        <v>0.37120410938208204</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37462.86264799998</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0.26487439400617019</v>
      </c>
      <c r="BP63" s="679">
        <f ca="1">Tab_NewTRADER[[#This Row],[L_Sn]]*Tab_NewTRADER[[#This Row],[L_Sp]]+Tab_NewTRADER[[#This Row],[SellMore]]*Tab_NewTRADER[[#This Row],[M]]</f>
        <v>133452.01999999999</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33.363004999999994</v>
      </c>
      <c r="BT63" s="687">
        <f ca="1">((_xlfn.XLOOKUP(Tab_NewTRADER[[#This Row],[ClickTick]],TabCalc[Ticker],TabCalc[NAfter])+Tab_NewTRADER[[#This Row],[L_Sn]])*(Tab_NewTRADER[[#This Row],[Agiotage]]-Tab_NewTRADER[[#This Row],[M]]))/(Tab_NewTRADER[[#This Row],[L_Sn]]*_xlfn.XLOOKUP(Tab_NewTRADER[[#This Row],[ClickTick]],TabCalc[Ticker],TabCalc[NAfter]))</f>
        <v>-45.390608915049555</v>
      </c>
      <c r="BU63" s="687">
        <f ca="1">(Tab_NewTRADER[[#This Row],[M]]-Tab_NewTRADER[[#This Row],[Agiotage]])/(Tab_NewTRADER[[#This Row],[M]]-Tab_NewTRADER[[#This Row],[A]])-1</f>
        <v>2.6938755606691718</v>
      </c>
      <c r="BV63" s="1277">
        <f ca="1">_xlfn.XMATCH(Tab_NewTRADER[[#This Row],[ClickTick]]&amp;1, TabConsolid[#Headers])</f>
        <v>185</v>
      </c>
      <c r="BW63" t="b">
        <f ca="1">IF(ABS(Tab_NewTRADER[[#This Row],[L_Bp]])&gt;=Tab_NewTRADER[[#This Row],[M]],"OK")</f>
        <v>0</v>
      </c>
    </row>
    <row r="64" spans="1:75" hidden="1"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-8,140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-19.4%</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-9,880$</v>
      </c>
      <c r="G64" s="225" t="str">
        <f ca="1">IFERROR(TRUNC(_xlfn.XLOOKUP(Tab_NewTRADER[[#This Row],[ClickTick]],TabCalc[Ticker],ListLastSalep),2)&amp;"x"&amp;_xlfn.XLOOKUP(Tab_NewTRADER[[#This Row],[ClickTick]],TabCalc[Ticker],ListLastSalen)&amp;"=   "&amp;TEXT(-_xlfn.XLOOKUP(Tab_NewTRADER[[#This Row],[ClickTick]],TabCalc[Ticker],ListReverseB),"#,#0")&amp;"$","")</f>
        <v>267.48x500=   -28,640$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27.3% = 87</v>
      </c>
      <c r="I64" s="226" t="str">
        <f ca="1">IFERROR(TRUNC(TabCalc[[#This Row],[L_S1p]],2)&amp;"x"&amp;TabCalc[[#This Row],[L_S1n]]&amp;"=   "&amp;TEXT(TabCalc[[#This Row],[ReverseB1]],"#,#0"),"")</f>
        <v>263.8x500=   26,800</v>
      </c>
      <c r="J64" s="295">
        <f ca="1">_xlfn.XLOOKUP(Tab_NewTRADER[[#This Row],[ClickTick]],TabCalc[Ticker],ListGravity)</f>
        <v>1.3732959086584207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0.15718001402410189</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-0.16221602231964932</v>
      </c>
      <c r="S64" s="683">
        <f ca="1">_xlfn.XLOOKUP(Tab_NewTRADER[[#This Row],[ClickTick]],TabCalc[Ticker],TabCalc[Rev(MinStock)])*(1-Commission)</f>
        <v>-8118.836000000003</v>
      </c>
      <c r="T64" s="782">
        <f ca="1">_xlfn.XLOOKUP(Tab_NewTRADER[[#This Row],[ClickTick]],TabCalc[Ticker],TabCalc[Agiotage])</f>
        <v>0.15718001402410189</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-561/-561=&gt;-1.1% / -0.4%</v>
      </c>
      <c r="V64" s="739" t="str">
        <f ca="1">_xlfn.XLOOKUP(Tab_NewTRADER[[#This Row],[ClickTick]],[1]!RTData[Ticker_Symbol],[1]!RTData[Currency])</f>
        <v>EUR</v>
      </c>
      <c r="W64" s="749">
        <f ca="1">_xlfn.XLOOKUP(Tab_NewTRADER[[#This Row],[ClickTick]],TabCalc[Ticker],TabCalc[M])</f>
        <v>210.2</v>
      </c>
      <c r="X64" s="1343"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84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70" t="str">
        <f ca="1">TEXT(MIN(Tab_NewTRADER[[#This Row],[L_Bn]],Tab_NewTRADER[[#This Row],[N]]),"#,#0")&amp;" x "&amp;TEXT(Tab_NewTRADER[[#This Row],[L_Bp]],"#,#0.#0")</f>
        <v>200 x -250.90</v>
      </c>
      <c r="AJ64" s="1370">
        <f ca="1">IF(Tab_NewTRADER[[#This Row],[M]]&lt;_xlfn.XLOOKUP(Tab_NewTRADER[[#This Row],[ClickTick]],TabCalc[Ticker],TabCalc[Max_Buy_P]), 0,Tab_NewTRADER[[#This Row],[Sale_Back_$]])</f>
        <v>0</v>
      </c>
      <c r="AK64" s="1370" t="str">
        <f ca="1">TEXT(Tab_NewTRADER[[#This Row],[L_Sn]],"#,#0")&amp;" ("&amp;Tab_NewTRADER[[#This Row],[M]]&amp;"/"&amp;TEXT(Tab_NewTRADER[[#This Row],[L_Sp]],"#,#0.#0)")</f>
        <v>500 (210.2/267.48)</v>
      </c>
      <c r="AL64" s="1370">
        <f ca="1">IF(Tab_NewTRADER[[#This Row],[M]]&lt;_xlfn.XLOOKUP(Tab_NewTRADER[[#This Row],[ClickTick]],TabCalc[Ticker],TabCalc[Max_Buy_P]), -Tab_NewTRADER[[#This Row],[Buy_Back]], 0)</f>
        <v>22909.559872000013</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8118.836000000003</v>
      </c>
      <c r="AN64" s="1177">
        <f ca="1">Tab_NewTRADER[[#This Row],[N]]*(Tab_NewTRADER[[#This Row],[M]]-Tab_NewTRADER[[#This Row],[A]])*(1-Commission)*Tab_NewTRADER[[#This Row],[Scale]]</f>
        <v>-18025.691032000002</v>
      </c>
      <c r="AO64" s="1177">
        <f ca="1">Tab_NewTRADER[[#This Row],[M]]*Tab_NewTRADER[[#This Row],[N]]*(1-Commission)*Tab_NewTRADER[[#This Row],[Scale]]</f>
        <v>84071.045479999986</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0.17655501681859678</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0.19102511893434834</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-0.4991262225219979</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0.19362511893434833</v>
      </c>
      <c r="AV64" s="825" cm="1">
        <f t="array" aca="1" ref="AV64" ca="1">_xlfn.IFS(         Tab_NewTRADER[[#This Row],[Trap_vs_Last]]=MDown,Tab_NewTRADER[[#This Row],[L_Bn]]*Tab_NewTRADER[[#This Row],[M]]*(-(Tab_NewTRADER[[#This Row],[L_Bp]]+Tab_NewTRADER[[#This Row],[M]])/Tab_NewTRADER[[#This Row],[M]])*(1-Commission)*Tab_NewTRADER[[#This Row],[Scale]],                               TRUE,"")</f>
        <v>8118.836000000003</v>
      </c>
      <c r="AW64" s="1186" cm="1">
        <f t="array" aca="1" ref="AW64" ca="1">_xlfn.IFS(   Tab_NewTRADER[[#This Row],[Trap_vs_Last]]=MUp,Tab_NewTRADER[[#This Row],[TakeGain_A]]-Commission,        Tab_NewTRADER[[#This Row],[Trap_vs_Last]]=MDown,(Tab_NewTRADER[[#This Row],[A]]-Tab_NewTRADER[[#This Row],[M]])/Tab_NewTRADER[[#This Row],[M]]-Commission,                              TRUE,"")</f>
        <v>0.21181021613426007</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18025.691032000002</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-40.700000000000003</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-0.17609597377486844</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0.21181021613426007</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0.21414685210109177</v>
      </c>
      <c r="BF64" s="729">
        <f ca="1">MIN(Tab_NewTRADER[[#This Row],[L_Sn]],Tab_NewTRADER[[#This Row],[N]])*(Tab_NewTRADER[[#This Row],[M]]-Tab_NewTRADER[[#This Row],[L_Sp]])*(1-Commission)*Tab_NewTRADER[[#This Row],[Scale]]</f>
        <v>-22909.559872000013</v>
      </c>
      <c r="BG64" s="692">
        <f ca="1">Tab_NewTRADER[[#This Row],[L_Sn]]*(Tab_NewTRADER[[#This Row],[Agiotage]]-Tab_NewTRADER[[#This Row],[M]])/(Tab_NewTRADER[[#This Row],[L_Bn]]*Tab_NewTRADER[[#This Row],[M]])</f>
        <v>-2.4981305897475723</v>
      </c>
      <c r="BH64" s="635">
        <f ca="1">IFERROR((Tab_NewTRADER[[#This Row],[M]]-Tab_NewTRADER[[#This Row],[A]])/Tab_NewTRADER[[#This Row],[A]],0)</f>
        <v>-0.17655501681859678</v>
      </c>
      <c r="BI64" s="638" t="str">
        <f ca="1">TEXT(_xlfn.XLOOKUP(Tab_NewTRADER[[#This Row],[ClickTick]],TabCalc[Ticker],TabCalc[NAfter]),"#,#0")&amp;" : "&amp;TEXT(_xlfn.XLOOKUP(Tab_NewTRADER[[#This Row],[ClickTick]],TabCalc[Ticker],TabCalc[NAfter])*(Tab_NewTRADER[[#This Row],[M]]-Tab_NewTRADER[[#This Row],[A]])*(1-Commission)*Tab_NewTRADER[[#This Row],[Scale]],"#,#0$")</f>
        <v>401 : -18,026$</v>
      </c>
      <c r="BJ64" s="684">
        <f ca="1">_xlfn.XLOOKUP(Tab_NewTRADER[[#This Row],[ClickTick]],TabCalc[[#This Row],[Ticker]],TabCalc[[#This Row],[GL]])*(1-Commission)</f>
        <v>47958.320323799919</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0.19362511893434833</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-0.94388319604670468</v>
      </c>
      <c r="BU64" s="687">
        <f ca="1">(Tab_NewTRADER[[#This Row],[M]]-Tab_NewTRADER[[#This Row],[Agiotage]])/(Tab_NewTRADER[[#This Row],[M]]-Tab_NewTRADER[[#This Row],[A]])-1</f>
        <v>-5.6604693279788227</v>
      </c>
      <c r="BV64" s="1277">
        <f ca="1">_xlfn.XMATCH(Tab_NewTRADER[[#This Row],[ClickTick]]&amp;1, TabConsolid[#Headers])</f>
        <v>188</v>
      </c>
      <c r="BW64" t="str">
        <f ca="1">IF(ABS(Tab_NewTRADER[[#This Row],[L_Bp]])&gt;=Tab_NewTRADER[[#This Row],[M]],"OK")</f>
        <v>OK</v>
      </c>
    </row>
    <row r="65" spans="1:75" hidden="1"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-297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-25.6%</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-73$</v>
      </c>
      <c r="G65" s="225" t="str">
        <f ca="1">IFERROR(TRUNC(_xlfn.XLOOKUP(Tab_NewTRADER[[#This Row],[ClickTick]],TabCalc[Ticker],ListLastSalep),2)&amp;"x"&amp;_xlfn.XLOOKUP(Tab_NewTRADER[[#This Row],[ClickTick]],TabCalc[Ticker],ListLastSalen)&amp;"=   "&amp;TEXT(-_xlfn.XLOOKUP(Tab_NewTRADER[[#This Row],[ClickTick]],TabCalc[Ticker],ListReverseB),"#,#0")&amp;"$","")</f>
        <v>45.93x488=   -7,871$</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54.1% = 310</v>
      </c>
      <c r="I65" s="226" t="str">
        <f ca="1">IFERROR(TRUNC(TabCalc[[#This Row],[L_S1p]],2)&amp;"x"&amp;TabCalc[[#This Row],[L_S1n]]&amp;"=   "&amp;TEXT(TabCalc[[#This Row],[ReverseB1]],"#,#0"),"")</f>
        <v>51.5x490=   10,633</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15347</v>
      </c>
      <c r="M65" s="323">
        <f ca="1">_xlfn.XLOOKUP(Tab_NewTRADER[[#This Row],[ClickTick]],TabCalc[Ticker],TabCalc[Agiotage])</f>
        <v>2.5362318840579712E-2</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-0.20374081496325977</v>
      </c>
      <c r="S65" s="683">
        <f ca="1">_xlfn.XLOOKUP(Tab_NewTRADER[[#This Row],[ClickTick]],TabCalc[Ticker],TabCalc[Rev(MinStock)])*(1-Commission)</f>
        <v>-296.60182499999985</v>
      </c>
      <c r="T65" s="782">
        <f ca="1">_xlfn.XLOOKUP(Tab_NewTRADER[[#This Row],[ClickTick]],TabCalc[Ticker],TabCalc[Agiotage])</f>
        <v>2.5362318840579712E-2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84/84=&gt;2.0% / 4.2%</v>
      </c>
      <c r="V65" s="739" t="str">
        <f ca="1">_xlfn.XLOOKUP(Tab_NewTRADER[[#This Row],[ClickTick]],[1]!RTData[Ticker_Symbol],[1]!RTData[Currency])</f>
        <v>EUR</v>
      </c>
      <c r="W65" s="749">
        <f ca="1">_xlfn.XLOOKUP(Tab_NewTRADER[[#This Row],[ClickTick]],TabCalc[Ticker],TabCalc[M])</f>
        <v>29.8</v>
      </c>
      <c r="X65" s="1343"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0/17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70" t="str">
        <f ca="1">TEXT(MIN(Tab_NewTRADER[[#This Row],[L_Bn]],Tab_NewTRADER[[#This Row],[N]]),"#,#0")&amp;" x "&amp;TEXT(Tab_NewTRADER[[#This Row],[L_Bp]],"#,#0.#0")</f>
        <v>39 x -37.43</v>
      </c>
      <c r="AJ65" s="1370">
        <f ca="1">IF(Tab_NewTRADER[[#This Row],[M]]&lt;_xlfn.XLOOKUP(Tab_NewTRADER[[#This Row],[ClickTick]],TabCalc[Ticker],TabCalc[Max_Buy_P]), 0,Tab_NewTRADER[[#This Row],[Sale_Back_$]])</f>
        <v>0</v>
      </c>
      <c r="AK65" s="1370" t="str">
        <f ca="1">TEXT(Tab_NewTRADER[[#This Row],[L_Sn]],"#,#0")&amp;" ("&amp;Tab_NewTRADER[[#This Row],[M]]&amp;"/"&amp;TEXT(Tab_NewTRADER[[#This Row],[L_Sp]],"#,#0.#0)")</f>
        <v>488 (29.8/45.93)</v>
      </c>
      <c r="AL65" s="1370">
        <f ca="1">IF(Tab_NewTRADER[[#This Row],[M]]&lt;_xlfn.XLOOKUP(Tab_NewTRADER[[#This Row],[ClickTick]],TabCalc[Ticker],TabCalc[Max_Buy_P]), -Tab_NewTRADER[[#This Row],[Buy_Back]], 0)</f>
        <v>7850.9742559999995</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296.60182499999985</v>
      </c>
      <c r="AN65" s="1177">
        <f ca="1">Tab_NewTRADER[[#This Row],[N]]*(Tab_NewTRADER[[#This Row],[M]]-Tab_NewTRADER[[#This Row],[A]])*(1-Commission)*Tab_NewTRADER[[#This Row],[Scale]]</f>
        <v>-6781.0782369999997</v>
      </c>
      <c r="AO65" s="1177">
        <f ca="1">Tab_NewTRADER[[#This Row],[M]]*Tab_NewTRADER[[#This Row],[N]]*(1-Commission)*Tab_NewTRADER[[#This Row],[Scale]]</f>
        <v>16644.611199999999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0.28947187468000579</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0.25327248322147639</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-0.60120240480961895</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0.25587248322147638</v>
      </c>
      <c r="AV65" s="825" cm="1">
        <f t="array" aca="1" ref="AV65" ca="1">_xlfn.IFS(         Tab_NewTRADER[[#This Row],[Trap_vs_Last]]=MDown,Tab_NewTRADER[[#This Row],[L_Bn]]*Tab_NewTRADER[[#This Row],[M]]*(-(Tab_NewTRADER[[#This Row],[L_Bp]]+Tab_NewTRADER[[#This Row],[M]])/Tab_NewTRADER[[#This Row],[M]])*(1-Commission)*Tab_NewTRADER[[#This Row],[Scale]],                               TRUE,"")</f>
        <v>296.60182499999979</v>
      </c>
      <c r="AW65" s="1186" cm="1">
        <f t="array" aca="1" ref="AW65" ca="1">_xlfn.IFS(   Tab_NewTRADER[[#This Row],[Trap_vs_Last]]=MUp,Tab_NewTRADER[[#This Row],[TakeGain_A]]-Commission,        Tab_NewTRADER[[#This Row],[Trap_vs_Last]]=MDown,(Tab_NewTRADER[[#This Row],[A]]-Tab_NewTRADER[[#This Row],[M]])/Tab_NewTRADER[[#This Row],[M]]-Commission,                              TRUE,"")</f>
        <v>0.40480382310642377</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6781.0782369999997</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-7.62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-0.28871924780583774</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0.40480382310642377</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0.35118658828652294</v>
      </c>
      <c r="BF65" s="729">
        <f ca="1">MIN(Tab_NewTRADER[[#This Row],[L_Sn]],Tab_NewTRADER[[#This Row],[N]])*(Tab_NewTRADER[[#This Row],[M]]-Tab_NewTRADER[[#This Row],[L_Sp]])*(1-Commission)*Tab_NewTRADER[[#This Row],[Scale]]</f>
        <v>-7850.9742559999995</v>
      </c>
      <c r="BG65" s="692">
        <f ca="1">Tab_NewTRADER[[#This Row],[L_Sn]]*(Tab_NewTRADER[[#This Row],[Agiotage]]-Tab_NewTRADER[[#This Row],[M]])/(Tab_NewTRADER[[#This Row],[L_Bn]]*Tab_NewTRADER[[#This Row],[M]])</f>
        <v>-12.502171044919805</v>
      </c>
      <c r="BH65" s="635">
        <f ca="1">IFERROR((Tab_NewTRADER[[#This Row],[M]]-Tab_NewTRADER[[#This Row],[A]])/Tab_NewTRADER[[#This Row],[A]],0)</f>
        <v>-0.28947187468000579</v>
      </c>
      <c r="BI65" s="638" t="str">
        <f ca="1">TEXT(_xlfn.XLOOKUP(Tab_NewTRADER[[#This Row],[ClickTick]],TabCalc[Ticker],TabCalc[NAfter]),"#,#0")&amp;" : "&amp;TEXT(_xlfn.XLOOKUP(Tab_NewTRADER[[#This Row],[ClickTick]],TabCalc[Ticker],TabCalc[NAfter])*(Tab_NewTRADER[[#This Row],[M]]-Tab_NewTRADER[[#This Row],[A]])*(1-Commission)*Tab_NewTRADER[[#This Row],[Scale]],"#,#0$")</f>
        <v>560 : -6,781$</v>
      </c>
      <c r="BJ65" s="684">
        <f ca="1">_xlfn.XLOOKUP(Tab_NewTRADER[[#This Row],[ClickTick]],TabCalc[[#This Row],[Ticker]],TabCalc[[#This Row],[GL]])*(1-Commission)</f>
        <v>-230.98936210000224</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0.25587248322147638</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-0.11418259766486781</v>
      </c>
      <c r="BU65" s="687">
        <f ca="1">(Tab_NewTRADER[[#This Row],[M]]-Tab_NewTRADER[[#This Row],[Agiotage]])/(Tab_NewTRADER[[#This Row],[M]]-Tab_NewTRADER[[#This Row],[A]])-1</f>
        <v>-3.4524780053773485</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+21,347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27.0%</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68/350=18,504</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23,611$</v>
      </c>
      <c r="G66" s="225" t="str">
        <f ca="1">IFERROR(TRUNC(_xlfn.XLOOKUP(Tab_NewTRADER[[#This Row],[ClickTick]],TabCalc[Ticker],ListLastSalep),2)&amp;"x"&amp;_xlfn.XLOOKUP(Tab_NewTRADER[[#This Row],[ClickTick]],TabCalc[Ticker],ListLastSalen)&amp;"=   "&amp;TEXT(-_xlfn.XLOOKUP(Tab_NewTRADER[[#This Row],[ClickTick]],TabCalc[Ticker],ListReverseB),"#,#0")&amp;"$","")</f>
        <v>260x150=   1,862$</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66" s="226" t="str">
        <f ca="1">IFERROR(TRUNC(TabCalc[[#This Row],[L_S1p]],2)&amp;"x"&amp;TabCalc[[#This Row],[L_S1n]]&amp;"=   "&amp;TEXT(TabCalc[[#This Row],[ReverseB1]],"#,#0"),"")</f>
        <v>230.21x300=   -12,660</v>
      </c>
      <c r="J66" s="295">
        <f ca="1">_xlfn.XLOOKUP(Tab_NewTRADER[[#This Row],[ClickTick]],TabCalc[Ticker],ListGravity)</f>
        <v>1.0147607283139384</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1.663350115283337E-3</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0.37027162977867206</v>
      </c>
      <c r="S66" s="683">
        <f ca="1">_xlfn.XLOOKUP(Tab_NewTRADER[[#This Row],[ClickTick]],TabCalc[Ticker],TabCalc[Rev(MinStock)])*(1-Commission)</f>
        <v>21291.398060000003</v>
      </c>
      <c r="T66" s="782">
        <f ca="1">_xlfn.XLOOKUP(Tab_NewTRADER[[#This Row],[ClickTick]],TabCalc[Ticker],TabCalc[Agiotage])</f>
        <v>1.663350115283337E-3</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476/476=&gt;-0.7% / -0.2%</v>
      </c>
      <c r="V66" s="739" t="str">
        <f ca="1">_xlfn.XLOOKUP(Tab_NewTRADER[[#This Row],[ClickTick]],[1]!RTData[Ticker_Symbol],[1]!RTData[Currency])</f>
        <v>USD</v>
      </c>
      <c r="W66" s="749">
        <f ca="1">_xlfn.XLOOKUP(Tab_NewTRADER[[#This Row],[ClickTick]],TabCalc[Ticker],TabCalc[M])</f>
        <v>272.41000000000003</v>
      </c>
      <c r="X66" s="1343"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95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70" t="str">
        <f ca="1">TEXT(MIN(Tab_NewTRADER[[#This Row],[L_Bn]],Tab_NewTRADER[[#This Row],[N]]),"#,#0")&amp;" x "&amp;TEXT(Tab_NewTRADER[[#This Row],[L_Bp]],"#,#0.#0")</f>
        <v>290 x -198.80</v>
      </c>
      <c r="AJ66" s="1370">
        <f ca="1">IF(Tab_NewTRADER[[#This Row],[M]]&lt;_xlfn.XLOOKUP(Tab_NewTRADER[[#This Row],[ClickTick]],TabCalc[Ticker],TabCalc[Max_Buy_P]), 0,Tab_NewTRADER[[#This Row],[Sale_Back_$]])</f>
        <v>21291.398060000003</v>
      </c>
      <c r="AK66" s="1370" t="str">
        <f ca="1">TEXT(Tab_NewTRADER[[#This Row],[L_Sn]],"#,#0")&amp;" ("&amp;Tab_NewTRADER[[#This Row],[M]]&amp;"/"&amp;TEXT(Tab_NewTRADER[[#This Row],[L_Sp]],"#,#0.#0)")</f>
        <v>150 (272.41/260.0)</v>
      </c>
      <c r="AL66" s="1370">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1856.6601000000035</v>
      </c>
      <c r="AN66" s="1177">
        <f ca="1">Tab_NewTRADER[[#This Row],[N]]*(Tab_NewTRADER[[#This Row],[M]]-Tab_NewTRADER[[#This Row],[A]])*(1-Commission)*Tab_NewTRADER[[#This Row],[Scale]]</f>
        <v>25328.514993920013</v>
      </c>
      <c r="AO66" s="1177">
        <f ca="1">Tab_NewTRADER[[#This Row],[M]]*Tab_NewTRADER[[#This Row],[N]]*(1-Commission)*Tab_NewTRADER[[#This Row],[Scale]]</f>
        <v>95095.606900000013</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0.36304386927890148</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4.2956330531184701E-2</v>
      </c>
      <c r="AR66" s="825" cm="1">
        <f t="array" aca="1" ref="AR66" ca="1">_xlfn.IFS(   Tab_NewTRADER[[#This Row],[Trap_vs_Last]]=SellMorePercentGain,                     MIN(Tab_NewTRADER[[#This Row],[L_Sn]],Tab_NewTRADER[[#This Row],[N]])*(Tab_NewTRADER[[#This Row],[M]]-Tab_NewTRADER[[#This Row],[L_Sp]])*(1-Commission)*Tab_NewTRADER[[#This Row],[Scale]],                    TRUE,"")</f>
        <v>1856.6601000000035</v>
      </c>
      <c r="AS66" s="1175">
        <f ca="1">_xlfn.XLOOKUP(Tab_NewTRADER[[#This Row],[ClickTick]],TabCalc[Ticker],TabCalc[Ann%RevLB])</f>
        <v>0.8383508598762387</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0.36044386927890149</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34523.877080401406</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290x72.55</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0.3620999552187763</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-0.26894789786403905</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-4.7730769230769327E-2</v>
      </c>
      <c r="BF66" s="729">
        <f ca="1">MIN(Tab_NewTRADER[[#This Row],[L_Sn]],Tab_NewTRADER[[#This Row],[N]])*(Tab_NewTRADER[[#This Row],[M]]-Tab_NewTRADER[[#This Row],[L_Sp]])*(1-Commission)*Tab_NewTRADER[[#This Row],[Scale]]</f>
        <v>1856.6601000000035</v>
      </c>
      <c r="BG66" s="692">
        <f ca="1">Tab_NewTRADER[[#This Row],[L_Sn]]*(Tab_NewTRADER[[#This Row],[Agiotage]]-Tab_NewTRADER[[#This Row],[M]])/(Tab_NewTRADER[[#This Row],[L_Bn]]*Tab_NewTRADER[[#This Row],[M]])</f>
        <v>-0.51723822100665584</v>
      </c>
      <c r="BH66" s="635">
        <f ca="1">IFERROR((Tab_NewTRADER[[#This Row],[M]]-Tab_NewTRADER[[#This Row],[A]])/Tab_NewTRADER[[#This Row],[A]],0)</f>
        <v>0.36304386927890148</v>
      </c>
      <c r="BI66" s="638" t="str">
        <f ca="1">TEXT(_xlfn.XLOOKUP(Tab_NewTRADER[[#This Row],[ClickTick]],TabCalc[Ticker],TabCalc[NAfter]),"#,#0")&amp;" : "&amp;TEXT(_xlfn.XLOOKUP(Tab_NewTRADER[[#This Row],[ClickTick]],TabCalc[Ticker],TabCalc[NAfter])*(Tab_NewTRADER[[#This Row],[M]]-Tab_NewTRADER[[#This Row],[A]])*(1-Commission)*Tab_NewTRADER[[#This Row],[Scale]],"#,#0$")</f>
        <v>350 : 25,329$</v>
      </c>
      <c r="BJ66" s="684">
        <f ca="1">_xlfn.XLOOKUP(Tab_NewTRADER[[#This Row],[ClickTick]],TabCalc[[#This Row],[Ticker]],TabCalc[[#This Row],[GL]])*(1-Commission)</f>
        <v>127565.80431599998</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4.5556330531184699E-2</v>
      </c>
      <c r="BP66" s="679">
        <f ca="1">Tab_NewTRADER[[#This Row],[L_Sn]]*Tab_NewTRADER[[#This Row],[L_Sp]]+Tab_NewTRADER[[#This Row],[SellMore]]*Tab_NewTRADER[[#This Row],[M]]</f>
        <v>55344.600000000006</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263.54571428571433</v>
      </c>
      <c r="BT66" s="687">
        <f ca="1">((_xlfn.XLOOKUP(Tab_NewTRADER[[#This Row],[ClickTick]],TabCalc[Ticker],TabCalc[NAfter])+Tab_NewTRADER[[#This Row],[L_Sn]])*(Tab_NewTRADER[[#This Row],[Agiotage]]-Tab_NewTRADER[[#This Row],[M]]))/(Tab_NewTRADER[[#This Row],[L_Sn]]*_xlfn.XLOOKUP(Tab_NewTRADER[[#This Row],[ClickTick]],TabCalc[Ticker],TabCalc[NAfter]))</f>
        <v>-2.5943651109512835</v>
      </c>
      <c r="BU66" s="687">
        <f ca="1">(Tab_NewTRADER[[#This Row],[M]]-Tab_NewTRADER[[#This Row],[Agiotage]])/(Tab_NewTRADER[[#This Row],[M]]-Tab_NewTRADER[[#This Row],[A]])-1</f>
        <v>2.7544651261211075</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+10,720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9.1%</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233/1,500=54,732</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10,300$</v>
      </c>
      <c r="G67" s="225" t="str">
        <f ca="1">IFERROR(TRUNC(_xlfn.XLOOKUP(Tab_NewTRADER[[#This Row],[ClickTick]],TabCalc[Ticker],ListLastSalep),2)&amp;"x"&amp;_xlfn.XLOOKUP(Tab_NewTRADER[[#This Row],[ClickTick]],TabCalc[Ticker],ListLastSalen)&amp;"=   "&amp;TEXT(-_xlfn.XLOOKUP(Tab_NewTRADER[[#This Row],[ClickTick]],TabCalc[Ticker],ListReverseB),"#,#0")&amp;"$","")</f>
        <v>221.65x500=   6,520$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67" s="226" t="str">
        <f ca="1">IFERROR(TRUNC(TabCalc[[#This Row],[L_S1p]],2)&amp;"x"&amp;TabCalc[[#This Row],[L_S1n]]&amp;"=   "&amp;TEXT(TabCalc[[#This Row],[ReverseB1]],"#,#0"),"")</f>
        <v>232.72x500=   -985</v>
      </c>
      <c r="J67" s="295">
        <f ca="1">_xlfn.XLOOKUP(Tab_NewTRADER[[#This Row],[ClickTick]],TabCalc[Ticker],ListGravity)</f>
        <v>1.2289577740849631</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2.7120209366645639E-3</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0.10053927315357561</v>
      </c>
      <c r="S67" s="683">
        <f ca="1">_xlfn.XLOOKUP(Tab_NewTRADER[[#This Row],[ClickTick]],TabCalc[Ticker],TabCalc[Rev(MinStock)])*(1-Commission)</f>
        <v>10692.127999999997</v>
      </c>
      <c r="T67" s="782">
        <f ca="1">_xlfn.XLOOKUP(Tab_NewTRADER[[#This Row],[ClickTick]],TabCalc[Ticker],TabCalc[Agiotage])</f>
        <v>2.7120209366645639E-3</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-555/-555=&gt;0.6% / -1.2%</v>
      </c>
      <c r="V67" s="739" t="str">
        <f ca="1">_xlfn.XLOOKUP(Tab_NewTRADER[[#This Row],[ClickTick]],[1]!RTData[Ticker_Symbol],[1]!RTData[Currency])</f>
        <v>USD</v>
      </c>
      <c r="W67" s="749">
        <f ca="1">_xlfn.XLOOKUP(Tab_NewTRADER[[#This Row],[ClickTick]],TabCalc[Ticker],TabCalc[M])</f>
        <v>234.69</v>
      </c>
      <c r="X67" s="1343"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^180 / 352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70" t="str">
        <f ca="1">TEXT(MIN(Tab_NewTRADER[[#This Row],[L_Bn]],Tab_NewTRADER[[#This Row],[N]]),"#,#0")&amp;" x "&amp;TEXT(Tab_NewTRADER[[#This Row],[L_Bp]],"#,#0.#0")</f>
        <v>500 x -213.25</v>
      </c>
      <c r="AJ67" s="1370">
        <f ca="1">IF(Tab_NewTRADER[[#This Row],[M]]&lt;_xlfn.XLOOKUP(Tab_NewTRADER[[#This Row],[ClickTick]],TabCalc[Ticker],TabCalc[Max_Buy_P]), 0,Tab_NewTRADER[[#This Row],[Sale_Back_$]])</f>
        <v>0</v>
      </c>
      <c r="AK67" s="1370" t="str">
        <f ca="1">TEXT(Tab_NewTRADER[[#This Row],[L_Sn]],"#,#0")&amp;" ("&amp;Tab_NewTRADER[[#This Row],[M]]&amp;"/"&amp;TEXT(Tab_NewTRADER[[#This Row],[L_Sp]],"#,#0.#0)")</f>
        <v>500 (234.69/221.65)</v>
      </c>
      <c r="AL67" s="1370">
        <f ca="1">IF(Tab_NewTRADER[[#This Row],[M]]&lt;_xlfn.XLOOKUP(Tab_NewTRADER[[#This Row],[ClickTick]],TabCalc[Ticker],TabCalc[Max_Buy_P]), -Tab_NewTRADER[[#This Row],[Buy_Back]], 0)</f>
        <v>-6503.0479999999961</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6503.0479999999961</v>
      </c>
      <c r="AN67" s="1177">
        <f ca="1">Tab_NewTRADER[[#This Row],[N]]*(Tab_NewTRADER[[#This Row],[M]]-Tab_NewTRADER[[#This Row],[A]])*(1-Commission)*Tab_NewTRADER[[#This Row],[Scale]]</f>
        <v>44868.039000000012</v>
      </c>
      <c r="AO67" s="1177">
        <f ca="1">Tab_NewTRADER[[#This Row],[M]]*Tab_NewTRADER[[#This Row],[N]]*(1-Commission)*Tab_NewTRADER[[#This Row],[Scale]]</f>
        <v>351119.70899999997</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0.1465070835368833</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5.2962657122161118E-2</v>
      </c>
      <c r="AR67" s="825" cm="1">
        <f t="array" aca="1" ref="AR67" ca="1">_xlfn.IFS(   Tab_NewTRADER[[#This Row],[Trap_vs_Last]]=SellMorePercentGain,                     MIN(Tab_NewTRADER[[#This Row],[L_Sn]],Tab_NewTRADER[[#This Row],[N]])*(Tab_NewTRADER[[#This Row],[M]]-Tab_NewTRADER[[#This Row],[L_Sp]])*(1-Commission)*Tab_NewTRADER[[#This Row],[Scale]],                    TRUE,"")</f>
        <v>6503.0479999999961</v>
      </c>
      <c r="AS67" s="1175">
        <f ca="1">_xlfn.XLOOKUP(Tab_NewTRADER[[#This Row],[ClickTick]],TabCalc[Ticker],TabCalc[Ann%RevLB])</f>
        <v>0.2276360901590391</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0.14390708353688331</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51441.524537909158</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500x29.99</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0.1461261651196874</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-0.13038558950104395</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-5.8831491089555571E-2</v>
      </c>
      <c r="BF67" s="729">
        <f ca="1">MIN(Tab_NewTRADER[[#This Row],[L_Sn]],Tab_NewTRADER[[#This Row],[N]])*(Tab_NewTRADER[[#This Row],[M]]-Tab_NewTRADER[[#This Row],[L_Sp]])*(1-Commission)*Tab_NewTRADER[[#This Row],[Scale]]</f>
        <v>6503.0479999999961</v>
      </c>
      <c r="BG67" s="692">
        <f ca="1">Tab_NewTRADER[[#This Row],[L_Sn]]*(Tab_NewTRADER[[#This Row],[Agiotage]]-Tab_NewTRADER[[#This Row],[M]])/(Tab_NewTRADER[[#This Row],[L_Bn]]*Tab_NewTRADER[[#This Row],[M]])</f>
        <v>-0.9999884442416096</v>
      </c>
      <c r="BH67" s="635">
        <f ca="1">IFERROR((Tab_NewTRADER[[#This Row],[M]]-Tab_NewTRADER[[#This Row],[A]])/Tab_NewTRADER[[#This Row],[A]],0)</f>
        <v>0.1465070835368833</v>
      </c>
      <c r="BI67" s="638" t="str">
        <f ca="1">TEXT(_xlfn.XLOOKUP(Tab_NewTRADER[[#This Row],[ClickTick]],TabCalc[Ticker],TabCalc[NAfter]),"#,#0")&amp;" : "&amp;TEXT(_xlfn.XLOOKUP(Tab_NewTRADER[[#This Row],[ClickTick]],TabCalc[Ticker],TabCalc[NAfter])*(Tab_NewTRADER[[#This Row],[M]]-Tab_NewTRADER[[#This Row],[A]])*(1-Commission)*Tab_NewTRADER[[#This Row],[Scale]],"#,#0$")</f>
        <v>1,500 : 44,868$</v>
      </c>
      <c r="BJ67" s="684">
        <f ca="1">_xlfn.XLOOKUP(Tab_NewTRADER[[#This Row],[ClickTick]],TabCalc[[#This Row],[Ticker]],TabCalc[[#This Row],[GL]])*(1-Commission)</f>
        <v>179914.84301340001</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5.5562657122161116E-2</v>
      </c>
      <c r="BP67" s="679">
        <f ca="1">Tab_NewTRADER[[#This Row],[L_Sn]]*Tab_NewTRADER[[#This Row],[L_Sp]]+Tab_NewTRADER[[#This Row],[SellMore]]*Tab_NewTRADER[[#This Row],[M]]</f>
        <v>228170</v>
      </c>
      <c r="BQ67" s="679">
        <f ca="1">INDEX(
  INDEX(TabConsolid[], , _xlfn.XMATCH(Tab_NewTRADER[[#This Row],[ClickTick]]&amp;1, TabConsolid[#Headers])),
  MATCH(
    -Tab_NewTRADER[[#This Row],[M]],
    INDEX(TabConsolid[], , _xlfn.XMATCH(Tab_NewTRADER[[#This Row],[ClickTick]]&amp;2, TabConsolid[#Headers])),
    -1
  )
)</f>
        <v>500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228.17</v>
      </c>
      <c r="BT67" s="687">
        <f ca="1">((_xlfn.XLOOKUP(Tab_NewTRADER[[#This Row],[ClickTick]],TabCalc[Ticker],TabCalc[NAfter])+Tab_NewTRADER[[#This Row],[L_Sn]])*(Tab_NewTRADER[[#This Row],[Agiotage]]-Tab_NewTRADER[[#This Row],[M]]))/(Tab_NewTRADER[[#This Row],[L_Sn]]*_xlfn.XLOOKUP(Tab_NewTRADER[[#This Row],[ClickTick]],TabCalc[Ticker],TabCalc[NAfter]))</f>
        <v>-0.62583276794416887</v>
      </c>
      <c r="BU67" s="687">
        <f ca="1">(Tab_NewTRADER[[#This Row],[M]]-Tab_NewTRADER[[#This Row],[Agiotage]])/(Tab_NewTRADER[[#This Row],[M]]-Tab_NewTRADER[[#This Row],[A]])-1</f>
        <v>6.8255181053372214</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+19,340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31.7%</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18/250=15,770</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10,495$</v>
      </c>
      <c r="G68" s="225" t="str">
        <f ca="1">IFERROR(TRUNC(_xlfn.XLOOKUP(Tab_NewTRADER[[#This Row],[ClickTick]],TabCalc[Ticker],ListLastSalep),2)&amp;"x"&amp;_xlfn.XLOOKUP(Tab_NewTRADER[[#This Row],[ClickTick]],TabCalc[Ticker],ListLastSalen)&amp;"=   "&amp;TEXT(-_xlfn.XLOOKUP(Tab_NewTRADER[[#This Row],[ClickTick]],TabCalc[Ticker],ListReverseB),"#,#0")&amp;"$","")</f>
        <v>660.2x54=   11,405$</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-24.2% = 0</v>
      </c>
      <c r="I68" s="226" t="str">
        <f ca="1">IFERROR(TRUNC(TabCalc[[#This Row],[L_S1p]],2)&amp;"x"&amp;TabCalc[[#This Row],[L_S1n]]&amp;"=   "&amp;TEXT(TabCalc[[#This Row],[ReverseB1]],"#,#0"),"")</f>
        <v>606.66x66=   -17,473</v>
      </c>
      <c r="J68" s="295">
        <f ca="1">_xlfn.XLOOKUP(Tab_NewTRADER[[#This Row],[ClickTick]],TabCalc[Ticker],ListGravity)</f>
        <v>1.0809080330502641</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78426</v>
      </c>
      <c r="M68" s="323">
        <f ca="1">_xlfn.XLOOKUP(Tab_NewTRADER[[#This Row],[ClickTick]],TabCalc[Ticker],TabCalc[Agiotage])</f>
        <v>0.1427007365316057</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0.46426711028213263</v>
      </c>
      <c r="S68" s="683">
        <f ca="1">_xlfn.XLOOKUP(Tab_NewTRADER[[#This Row],[ClickTick]],TabCalc[Ticker],TabCalc[Rev(MinStock)])*(1-Commission)</f>
        <v>19290.015219999994</v>
      </c>
      <c r="T68" s="782">
        <f ca="1">_xlfn.XLOOKUP(Tab_NewTRADER[[#This Row],[ClickTick]],TabCalc[Ticker],TabCalc[Agiotage])</f>
        <v>0.1427007365316057</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-1,975/-1,975=&gt;-2.7% / -0.3%</v>
      </c>
      <c r="V68" s="739" t="str">
        <f ca="1">_xlfn.XLOOKUP(Tab_NewTRADER[[#This Row],[ClickTick]],[1]!RTData[Ticker_Symbol],[1]!RTData[Currency])</f>
        <v>EUR</v>
      </c>
      <c r="W68" s="749">
        <f ca="1">_xlfn.XLOOKUP(Tab_NewTRADER[[#This Row],[ClickTick]],TabCalc[Ticker],TabCalc[M])</f>
        <v>871.4</v>
      </c>
      <c r="X68" s="1343"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^176 / 218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70" t="str">
        <f ca="1">TEXT(MIN(Tab_NewTRADER[[#This Row],[L_Bn]],Tab_NewTRADER[[#This Row],[N]]),"#,#0")&amp;" x "&amp;TEXT(Tab_NewTRADER[[#This Row],[L_Bp]],"#,#0.#0")</f>
        <v>70 x -595.11</v>
      </c>
      <c r="AJ68" s="1370">
        <f ca="1">IF(Tab_NewTRADER[[#This Row],[M]]&lt;_xlfn.XLOOKUP(Tab_NewTRADER[[#This Row],[ClickTick]],TabCalc[Ticker],TabCalc[Max_Buy_P]), 0,Tab_NewTRADER[[#This Row],[Sale_Back_$]])</f>
        <v>19290.015219999994</v>
      </c>
      <c r="AK68" s="1370" t="str">
        <f ca="1">TEXT(Tab_NewTRADER[[#This Row],[L_Sn]],"#,#0")&amp;" ("&amp;Tab_NewTRADER[[#This Row],[M]]&amp;"/"&amp;TEXT(Tab_NewTRADER[[#This Row],[L_Sp]],"#,#0.#0)")</f>
        <v>54 (871.4/660.20)</v>
      </c>
      <c r="AL68" s="1370">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11375.147519999995</v>
      </c>
      <c r="AN68" s="1177">
        <f ca="1">Tab_NewTRADER[[#This Row],[N]]*(Tab_NewTRADER[[#This Row],[M]]-Tab_NewTRADER[[#This Row],[A]])*(1-Commission)*Tab_NewTRADER[[#This Row],[Scale]]</f>
        <v>54115.694418799976</v>
      </c>
      <c r="AO68" s="1177">
        <f ca="1">Tab_NewTRADER[[#This Row],[M]]*Tab_NewTRADER[[#This Row],[N]]*(1-Commission)*Tab_NewTRADER[[#This Row],[Scale]]</f>
        <v>217283.59</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0.33165650770968891</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0.239768602249254</v>
      </c>
      <c r="AR68" s="825" cm="1">
        <f t="array" aca="1" ref="AR68" ca="1">_xlfn.IFS(   Tab_NewTRADER[[#This Row],[Trap_vs_Last]]=SellMorePercentGain,                     MIN(Tab_NewTRADER[[#This Row],[L_Sn]],Tab_NewTRADER[[#This Row],[N]])*(Tab_NewTRADER[[#This Row],[M]]-Tab_NewTRADER[[#This Row],[L_Sp]])*(1-Commission)*Tab_NewTRADER[[#This Row],[Scale]],                    TRUE,"")</f>
        <v>11375.147519999995</v>
      </c>
      <c r="AS68" s="1342">
        <f ca="1">_xlfn.XLOOKUP(Tab_NewTRADER[[#This Row],[ClickTick]],TabCalc[Ticker],TabCalc[Ann%RevLB])</f>
        <v>1.6226811621511432</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0.32905650770968892</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72063.516642023882</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70x217.02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0.33079420078964372</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-0.25165559788845526</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-0.31990305967888505</v>
      </c>
      <c r="BF68" s="729">
        <f ca="1">MIN(Tab_NewTRADER[[#This Row],[L_Sn]],Tab_NewTRADER[[#This Row],[N]])*(Tab_NewTRADER[[#This Row],[M]]-Tab_NewTRADER[[#This Row],[L_Sp]])*(1-Commission)*Tab_NewTRADER[[#This Row],[Scale]]</f>
        <v>11375.147519999995</v>
      </c>
      <c r="BG68" s="692">
        <f ca="1">Tab_NewTRADER[[#This Row],[L_Sn]]*(Tab_NewTRADER[[#This Row],[Agiotage]]-Tab_NewTRADER[[#This Row],[M]])/(Tab_NewTRADER[[#This Row],[L_Bn]]*Tab_NewTRADER[[#This Row],[M]])</f>
        <v>-0.77130224204444886</v>
      </c>
      <c r="BH68" s="635">
        <f ca="1">IFERROR((Tab_NewTRADER[[#This Row],[M]]-Tab_NewTRADER[[#This Row],[A]])/Tab_NewTRADER[[#This Row],[A]],0)</f>
        <v>0.33165650770968891</v>
      </c>
      <c r="BI68" s="638" t="str">
        <f ca="1">TEXT(_xlfn.XLOOKUP(Tab_NewTRADER[[#This Row],[ClickTick]],TabCalc[Ticker],TabCalc[NAfter]),"#,#0")&amp;" : "&amp;TEXT(_xlfn.XLOOKUP(Tab_NewTRADER[[#This Row],[ClickTick]],TabCalc[Ticker],TabCalc[NAfter])*(Tab_NewTRADER[[#This Row],[M]]-Tab_NewTRADER[[#This Row],[A]])*(1-Commission)*Tab_NewTRADER[[#This Row],[Scale]],"#,#0$")</f>
        <v>250 : 54,116$</v>
      </c>
      <c r="BJ68" s="684">
        <f ca="1">_xlfn.XLOOKUP(Tab_NewTRADER[[#This Row],[ClickTick]],TabCalc[[#This Row],[Ticker]],TabCalc[[#This Row],[GL]])*(1-Commission)</f>
        <v>175946.90354920001</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0.24236860224925399</v>
      </c>
      <c r="BP68" s="679">
        <f ca="1">Tab_NewTRADER[[#This Row],[L_Sn]]*Tab_NewTRADER[[#This Row],[L_Sp]]+Tab_NewTRADER[[#This Row],[SellMore]]*Tab_NewTRADER[[#This Row],[M]]</f>
        <v>148932.79999999999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809.4173913043478</v>
      </c>
      <c r="BT68" s="687">
        <f ca="1">((_xlfn.XLOOKUP(Tab_NewTRADER[[#This Row],[ClickTick]],TabCalc[Ticker],TabCalc[NAfter])+Tab_NewTRADER[[#This Row],[L_Sn]])*(Tab_NewTRADER[[#This Row],[Agiotage]]-Tab_NewTRADER[[#This Row],[M]]))/(Tab_NewTRADER[[#This Row],[L_Sn]]*_xlfn.XLOOKUP(Tab_NewTRADER[[#This Row],[ClickTick]],TabCalc[Ticker],TabCalc[NAfter]))</f>
        <v>-19.619423627858843</v>
      </c>
      <c r="BU68" s="687">
        <f ca="1">(Tab_NewTRADER[[#This Row],[M]]-Tab_NewTRADER[[#This Row],[Agiotage]])/(Tab_NewTRADER[[#This Row],[M]]-Tab_NewTRADER[[#This Row],[A]])-1</f>
        <v>3.0145102064120071</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+5,061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11.1%</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-13,033$</v>
      </c>
      <c r="G69" s="225" t="str">
        <f ca="1">IFERROR(TRUNC(_xlfn.XLOOKUP(Tab_NewTRADER[[#This Row],[ClickTick]],TabCalc[Ticker],ListLastSalep),2)&amp;"x"&amp;_xlfn.XLOOKUP(Tab_NewTRADER[[#This Row],[ClickTick]],TabCalc[Ticker],ListLastSalen)&amp;"=   "&amp;TEXT(-_xlfn.XLOOKUP(Tab_NewTRADER[[#This Row],[ClickTick]],TabCalc[Ticker],ListReverseB),"#,#0")&amp;"$","")</f>
        <v>3.16x11000=   -10,890$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45.6% = 5,051</v>
      </c>
      <c r="I69" s="226" t="str">
        <f ca="1">IFERROR(TRUNC(TabCalc[[#This Row],[L_S1p]],2)&amp;"x"&amp;TabCalc[[#This Row],[L_S1n]]&amp;"=   "&amp;TEXT(TabCalc[[#This Row],[ReverseB1]],"#,#0"),"")</f>
        <v>4.48x5000=   11,555</v>
      </c>
      <c r="J69" s="295">
        <f ca="1">_xlfn.XLOOKUP(Tab_NewTRADER[[#This Row],[ClickTick]],TabCalc[Ticker],ListGravity)</f>
        <v>1.4976958525345623</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236855.5</v>
      </c>
      <c r="M69" s="323">
        <f ca="1">_xlfn.XLOOKUP(Tab_NewTRADER[[#This Row],[ClickTick]],TabCalc[Ticker],TabCalc[Agiotage])</f>
        <v>4.5786842046550367E-4</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0.12493519958527728</v>
      </c>
      <c r="S69" s="683">
        <f ca="1">_xlfn.XLOOKUP(Tab_NewTRADER[[#This Row],[ClickTick]],TabCalc[Ticker],TabCalc[Rev(MinStock)])*(1-Commission)</f>
        <v>5047.8413999999966</v>
      </c>
      <c r="T69" s="782">
        <f ca="1">_xlfn.XLOOKUP(Tab_NewTRADER[[#This Row],[ClickTick]],TabCalc[Ticker],TabCalc[Agiotage])</f>
        <v>4.5786842046550367E-4</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9,350/9,350=&gt;-1.1% / 0.5%</v>
      </c>
      <c r="V69" s="739" t="str">
        <f ca="1">_xlfn.XLOOKUP(Tab_NewTRADER[[#This Row],[ClickTick]],[1]!RTData[Ticker_Symbol],[1]!RTData[Currency])</f>
        <v>USD</v>
      </c>
      <c r="W69" s="749">
        <f ca="1">_xlfn.XLOOKUP(Tab_NewTRADER[[#This Row],[ClickTick]],TabCalc[Ticker],TabCalc[M])</f>
        <v>2.17</v>
      </c>
      <c r="X69" s="1343"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-143/239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10861.686000000002</v>
      </c>
      <c r="AI69" s="1370" t="str">
        <f ca="1">TEXT(MIN(Tab_NewTRADER[[#This Row],[L_Bn]],Tab_NewTRADER[[#This Row],[N]]),"#,#0")&amp;" x "&amp;TEXT(Tab_NewTRADER[[#This Row],[L_Bp]],"#,#0.#0")</f>
        <v>21,000 x -1.93</v>
      </c>
      <c r="AJ69" s="1370">
        <f ca="1">IF(Tab_NewTRADER[[#This Row],[M]]&lt;_xlfn.XLOOKUP(Tab_NewTRADER[[#This Row],[ClickTick]],TabCalc[Ticker],TabCalc[Max_Buy_P]), 0,Tab_NewTRADER[[#This Row],[Sale_Back_$]])</f>
        <v>0</v>
      </c>
      <c r="AK69" s="1370" t="str">
        <f ca="1">TEXT(Tab_NewTRADER[[#This Row],[L_Sn]],"#,#0")&amp;" ("&amp;Tab_NewTRADER[[#This Row],[M]]&amp;"/"&amp;TEXT(Tab_NewTRADER[[#This Row],[L_Sp]],"#,#0.#0)")</f>
        <v>11,000 (2.17/3.16)</v>
      </c>
      <c r="AL69" s="1370">
        <f ca="1">IF(Tab_NewTRADER[[#This Row],[M]]&lt;_xlfn.XLOOKUP(Tab_NewTRADER[[#This Row],[ClickTick]],TabCalc[Ticker],TabCalc[Max_Buy_P]), -Tab_NewTRADER[[#This Row],[Buy_Back]], 0)</f>
        <v>10861.686000000002</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-122133.12610000002</v>
      </c>
      <c r="AO69" s="1177">
        <f ca="1">Tab_NewTRADER[[#This Row],[M]]*Tab_NewTRADER[[#This Row],[N]]*(1-Commission)*Tab_NewTRADER[[#This Row],[Scale]]</f>
        <v>238079.37999999998</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0.31329113924050639</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0.23923761622712669</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-122133.12610000002</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-0.33817698694315274</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0.51039329702555514</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0.31329113924050639</v>
      </c>
      <c r="BF69" s="729">
        <f ca="1">MIN(Tab_NewTRADER[[#This Row],[L_Sn]],Tab_NewTRADER[[#This Row],[N]])*(Tab_NewTRADER[[#This Row],[M]]-Tab_NewTRADER[[#This Row],[L_Sp]])*(1-Commission)*Tab_NewTRADER[[#This Row],[Scale]]</f>
        <v>-10861.686000000002</v>
      </c>
      <c r="BG69" s="692">
        <f ca="1">Tab_NewTRADER[[#This Row],[L_Sn]]*(Tab_NewTRADER[[#This Row],[Agiotage]]-Tab_NewTRADER[[#This Row],[M]])/(Tab_NewTRADER[[#This Row],[L_Bn]]*Tab_NewTRADER[[#This Row],[M]])</f>
        <v>-0.52369900038127881</v>
      </c>
      <c r="BH69" s="635">
        <f ca="1">IFERROR((Tab_NewTRADER[[#This Row],[M]]-Tab_NewTRADER[[#This Row],[A]])/Tab_NewTRADER[[#This Row],[A]],0)</f>
        <v>-0.33905853914492956</v>
      </c>
      <c r="BI69" s="638" t="str">
        <f ca="1">TEXT(_xlfn.XLOOKUP(Tab_NewTRADER[[#This Row],[ClickTick]],TabCalc[Ticker],TabCalc[NAfter]),"#,#0")&amp;" : "&amp;TEXT(_xlfn.XLOOKUP(Tab_NewTRADER[[#This Row],[ClickTick]],TabCalc[Ticker],TabCalc[NAfter])*(Tab_NewTRADER[[#This Row],[M]]-Tab_NewTRADER[[#This Row],[A]])*(1-Commission)*Tab_NewTRADER[[#This Row],[Scale]],"#,#0$")</f>
        <v>110,000 : -122,133$</v>
      </c>
      <c r="BJ69" s="684">
        <f ca="1">_xlfn.XLOOKUP(Tab_NewTRADER[[#This Row],[ClickTick]],TabCalc[[#This Row],[Ticker]],TabCalc[[#This Row],[GL]])*(1-Commission)</f>
        <v>-143005.13740799998</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-2.1695421315795344E-4</v>
      </c>
      <c r="BU69" s="687">
        <f ca="1">(Tab_NewTRADER[[#This Row],[M]]-Tab_NewTRADER[[#This Row],[Agiotage]])/(Tab_NewTRADER[[#This Row],[M]]-Tab_NewTRADER[[#This Row],[A]])-1</f>
        <v>-2.9489318993540197</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-3,805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-1,967$</v>
      </c>
      <c r="G70" s="225" t="str">
        <f ca="1">IFERROR(TRUNC(_xlfn.XLOOKUP(Tab_NewTRADER[[#This Row],[ClickTick]],TabCalc[Ticker],ListLastSalep),2)&amp;"x"&amp;_xlfn.XLOOKUP(Tab_NewTRADER[[#This Row],[ClickTick]],TabCalc[Ticker],ListLastSalen)&amp;"=   "&amp;TEXT(-_xlfn.XLOOKUP(Tab_NewTRADER[[#This Row],[ClickTick]],TabCalc[Ticker],ListReverseB),"#,#0")&amp;"$","")</f>
        <v>122.97x330=   -5,666$</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16.2% = 291</v>
      </c>
      <c r="I70" s="226" t="str">
        <f ca="1">IFERROR(TRUNC(TabCalc[[#This Row],[L_S1p]],2)&amp;"x"&amp;TabCalc[[#This Row],[L_S1n]]&amp;"=   "&amp;TEXT(TabCalc[[#This Row],[ReverseB1]],"#,#0"),"")</f>
        <v>119.32x800=   10,816</v>
      </c>
      <c r="J70" s="295">
        <f ca="1">_xlfn.XLOOKUP(Tab_NewTRADER[[#This Row],[ClickTick]],TabCalc[Ticker],ListGravity)</f>
        <v>1.2672249527410206</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5.8750465755093165E-4</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-6.3551070986015284E-2</v>
      </c>
      <c r="S70" s="683">
        <f ca="1">_xlfn.XLOOKUP(Tab_NewTRADER[[#This Row],[ClickTick]],TabCalc[Ticker],TabCalc[Rev(MinStock)])*(1-Commission)</f>
        <v>-3795.5059600000036</v>
      </c>
      <c r="T70" s="782">
        <f ca="1">_xlfn.XLOOKUP(Tab_NewTRADER[[#This Row],[ClickTick]],TabCalc[Ticker],TabCalc[Agiotage])</f>
        <v>5.8750465755093165E-4</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-2,064/-2,064=&gt;0.2% / -1.7%</v>
      </c>
      <c r="V70" s="739" t="str">
        <f ca="1">_xlfn.XLOOKUP(Tab_NewTRADER[[#This Row],[ClickTick]],[1]!RTData[Ticker_Symbol],[1]!RTData[Currency])</f>
        <v>USD</v>
      </c>
      <c r="W70" s="749">
        <f ca="1">_xlfn.XLOOKUP(Tab_NewTRADER[[#This Row],[ClickTick]],TabCalc[Ticker],TabCalc[M])</f>
        <v>105.8</v>
      </c>
      <c r="X70" s="1343"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127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70" t="str">
        <f ca="1">TEXT(MIN(Tab_NewTRADER[[#This Row],[L_Bn]],Tab_NewTRADER[[#This Row],[N]]),"#,#0")&amp;" x "&amp;TEXT(Tab_NewTRADER[[#This Row],[L_Bp]],"#,#0.#0")</f>
        <v>530 x -112.98</v>
      </c>
      <c r="AJ70" s="1370">
        <f ca="1">IF(Tab_NewTRADER[[#This Row],[M]]&lt;_xlfn.XLOOKUP(Tab_NewTRADER[[#This Row],[ClickTick]],TabCalc[Ticker],TabCalc[Max_Buy_P]), 0,Tab_NewTRADER[[#This Row],[Sale_Back_$]])</f>
        <v>0</v>
      </c>
      <c r="AK70" s="1370" t="str">
        <f ca="1">TEXT(Tab_NewTRADER[[#This Row],[L_Sn]],"#,#0")&amp;" ("&amp;Tab_NewTRADER[[#This Row],[M]]&amp;"/"&amp;TEXT(Tab_NewTRADER[[#This Row],[L_Sp]],"#,#0.#0)")</f>
        <v>330 (105.8/122.97)</v>
      </c>
      <c r="AL70" s="1370">
        <f ca="1">IF(Tab_NewTRADER[[#This Row],[M]]&lt;_xlfn.XLOOKUP(Tab_NewTRADER[[#This Row],[ClickTick]],TabCalc[Ticker],TabCalc[Max_Buy_P]), -Tab_NewTRADER[[#This Row],[Buy_Back]], 0)</f>
        <v>5651.3681400000005</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3795.5059600000036</v>
      </c>
      <c r="AN70" s="1177">
        <f ca="1">Tab_NewTRADER[[#This Row],[N]]*(Tab_NewTRADER[[#This Row],[M]]-Tab_NewTRADER[[#This Row],[A]])*(1-Commission)*Tab_NewTRADER[[#This Row],[Scale]]</f>
        <v>-5673.3109400000139</v>
      </c>
      <c r="AO70" s="1177">
        <f ca="1">Tab_NewTRADER[[#This Row],[M]]*Tab_NewTRADER[[#This Row],[N]]*(1-Commission)*Tab_NewTRADER[[#This Row],[Scale]]</f>
        <v>126629.90399999999</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4.2881126831066665E-2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6.5263894139886633E-2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-0.54472346559441676</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6.7863894139886638E-2</v>
      </c>
      <c r="AV70" s="825" cm="1">
        <f t="array" aca="1" ref="AV70" ca="1">_xlfn.IFS(         Tab_NewTRADER[[#This Row],[Trap_vs_Last]]=MDown,Tab_NewTRADER[[#This Row],[L_Bn]]*Tab_NewTRADER[[#This Row],[M]]*(-(Tab_NewTRADER[[#This Row],[L_Bp]]+Tab_NewTRADER[[#This Row],[M]])/Tab_NewTRADER[[#This Row],[M]])*(1-Commission)*Tab_NewTRADER[[#This Row],[Scale]],                               TRUE,"")</f>
        <v>3795.5059600000031</v>
      </c>
      <c r="AW70" s="1186" cm="1">
        <f t="array" aca="1" ref="AW70" ca="1">_xlfn.IFS(   Tab_NewTRADER[[#This Row],[Trap_vs_Last]]=MUp,Tab_NewTRADER[[#This Row],[TakeGain_A]]-Commission,        Tab_NewTRADER[[#This Row],[Trap_vs_Last]]=MDown,(Tab_NewTRADER[[#This Row],[A]]-Tab_NewTRADER[[#This Row],[M]])/Tab_NewTRADER[[#This Row],[M]]-Commission,                              TRUE,"")</f>
        <v>4.2202299936988145E-2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5673.3109400000139</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-7.18</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-4.2769635901305891E-2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4.2202299936988145E-2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0.13962755143530944</v>
      </c>
      <c r="BF70" s="729">
        <f ca="1">MIN(Tab_NewTRADER[[#This Row],[L_Sn]],Tab_NewTRADER[[#This Row],[N]])*(Tab_NewTRADER[[#This Row],[M]]-Tab_NewTRADER[[#This Row],[L_Sp]])*(1-Commission)*Tab_NewTRADER[[#This Row],[Scale]]</f>
        <v>-5651.3681400000005</v>
      </c>
      <c r="BG70" s="692">
        <f ca="1">Tab_NewTRADER[[#This Row],[L_Sn]]*(Tab_NewTRADER[[#This Row],[Agiotage]]-Tab_NewTRADER[[#This Row],[M]])/(Tab_NewTRADER[[#This Row],[L_Bn]]*Tab_NewTRADER[[#This Row],[M]])</f>
        <v>-0.62263805192179988</v>
      </c>
      <c r="BH70" s="635">
        <f ca="1">IFERROR((Tab_NewTRADER[[#This Row],[M]]-Tab_NewTRADER[[#This Row],[A]])/Tab_NewTRADER[[#This Row],[A]],0)</f>
        <v>-4.2881126831066665E-2</v>
      </c>
      <c r="BI70" s="638" t="str">
        <f ca="1">TEXT(_xlfn.XLOOKUP(Tab_NewTRADER[[#This Row],[ClickTick]],TabCalc[Ticker],TabCalc[NAfter]),"#,#0")&amp;" : "&amp;TEXT(_xlfn.XLOOKUP(Tab_NewTRADER[[#This Row],[ClickTick]],TabCalc[Ticker],TabCalc[NAfter])*(Tab_NewTRADER[[#This Row],[M]]-Tab_NewTRADER[[#This Row],[A]])*(1-Commission)*Tab_NewTRADER[[#This Row],[Scale]],"#,#0$")</f>
        <v>1,200 : -5,673$</v>
      </c>
      <c r="BJ70" s="684">
        <f ca="1">_xlfn.XLOOKUP(Tab_NewTRADER[[#This Row],[ClickTick]],TabCalc[[#This Row],[Ticker]],TabCalc[[#This Row],[GL]])*(1-Commission)</f>
        <v>30111.625687999978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6.7863894139886638E-2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-0.40877045736836853</v>
      </c>
      <c r="BU70" s="687">
        <f ca="1">(Tab_NewTRADER[[#This Row],[M]]-Tab_NewTRADER[[#This Row],[Agiotage]])/(Tab_NewTRADER[[#This Row],[M]]-Tab_NewTRADER[[#This Row],[A]])-1</f>
        <v>-23.32015875150061</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36.8%</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43,853$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-31.1% = 0</v>
      </c>
      <c r="I71" s="226" t="str">
        <f ca="1">IFERROR(TRUNC(TabCalc[[#This Row],[L_S1p]],2)&amp;"x"&amp;TabCalc[[#This Row],[L_S1n]]&amp;"=   "&amp;TEXT(TabCalc[[#This Row],[ReverseB1]],"#,#0"),"")</f>
        <v>48.66x4000=   -87,599</v>
      </c>
      <c r="J71" s="295">
        <f ca="1">_xlfn.XLOOKUP(Tab_NewTRADER[[#This Row],[ClickTick]],TabCalc[Ticker],ListGravity)</f>
        <v>1.0367609126984128</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8.6062636309864679E-5</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0.58135365307037212</v>
      </c>
      <c r="S71" s="683">
        <f ca="1">_xlfn.XLOOKUP(Tab_NewTRADER[[#This Row],[ClickTick]],TabCalc[Ticker],TabCalc[Rev(MinStock)])*(1-Commission)</f>
        <v>0</v>
      </c>
      <c r="T71" s="782">
        <f ca="1">_xlfn.XLOOKUP(Tab_NewTRADER[[#This Row],[ClickTick]],TabCalc[Ticker],TabCalc[Agiotage])</f>
        <v>8.6062636309864679E-5</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-1.9%</v>
      </c>
      <c r="V71" s="739" t="str">
        <f ca="1">_xlfn.XLOOKUP(Tab_NewTRADER[[#This Row],[ClickTick]],[1]!RTData[Ticker_Symbol],[1]!RTData[Currency])</f>
        <v>USD</v>
      </c>
      <c r="W71" s="749">
        <f ca="1">_xlfn.XLOOKUP(Tab_NewTRADER[[#This Row],[ClickTick]],TabCalc[Ticker],TabCalc[M])</f>
        <v>70.56</v>
      </c>
      <c r="X71" s="1343"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70" t="str">
        <f ca="1">TEXT(MIN(Tab_NewTRADER[[#This Row],[L_Bn]],Tab_NewTRADER[[#This Row],[N]]),"#,#0")&amp;" x "&amp;TEXT(Tab_NewTRADER[[#This Row],[L_Bp]],"#,#0.#0")</f>
        <v>0 x -44.62</v>
      </c>
      <c r="AJ71" s="1370">
        <f ca="1">IF(Tab_NewTRADER[[#This Row],[M]]&lt;_xlfn.XLOOKUP(Tab_NewTRADER[[#This Row],[ClickTick]],TabCalc[Ticker],TabCalc[Max_Buy_P]), 0,Tab_NewTRADER[[#This Row],[Sale_Back_$]])</f>
        <v>0</v>
      </c>
      <c r="AK71" s="1370" t="str">
        <f ca="1">TEXT(Tab_NewTRADER[[#This Row],[L_Sn]],"#,#0")&amp;" ("&amp;Tab_NewTRADER[[#This Row],[M]]&amp;"/"&amp;TEXT(Tab_NewTRADER[[#This Row],[L_Sp]],"#,#0.#0)")</f>
        <v>2,000 (70.56/48.63)</v>
      </c>
      <c r="AL71" s="1370">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0.44060487390596625</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-1.0%</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0x70.56</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-0.31335113378684804</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-0.45085476236495908</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-0.99999878029143552</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-1.2197085644816141E-6</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48.0%</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79,180$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-20.8% = 0</v>
      </c>
      <c r="I72" s="226" t="str">
        <f ca="1">IFERROR(TRUNC(TabCalc[[#This Row],[L_S1p]],2)&amp;"x"&amp;TabCalc[[#This Row],[L_S1n]]&amp;"=   "&amp;TEXT(TabCalc[[#This Row],[ReverseB1]],"#,#0"),"")</f>
        <v>212.3x25000=   -42,200</v>
      </c>
      <c r="J72" s="295">
        <f ca="1">_xlfn.XLOOKUP(Tab_NewTRADER[[#This Row],[ClickTick]],TabCalc[Ticker],ListGravity)</f>
        <v>1.217775387037523</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0.10512331511079581</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0.92319337908760613</v>
      </c>
      <c r="S72" s="683">
        <f ca="1">_xlfn.XLOOKUP(Tab_NewTRADER[[#This Row],[ClickTick]],TabCalc[Ticker],TabCalc[Rev(MinStock)])*(1-Commission)</f>
        <v>0</v>
      </c>
      <c r="T72" s="782">
        <f ca="1">_xlfn.XLOOKUP(Tab_NewTRADER[[#This Row],[ClickTick]],TabCalc[Ticker],TabCalc[Agiotage])</f>
        <v>0.10512331511079581</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-1.7%</v>
      </c>
      <c r="V72" s="739" t="str">
        <f ca="1">_xlfn.XLOOKUP(Tab_NewTRADER[[#This Row],[ClickTick]],[1]!RTData[Ticker_Symbol],[1]!RTData[Currency])</f>
        <v>GBp</v>
      </c>
      <c r="W72" s="749">
        <f ca="1">_xlfn.XLOOKUP(Tab_NewTRADER[[#This Row],[ClickTick]],TabCalc[Ticker],TabCalc[M])</f>
        <v>381.1</v>
      </c>
      <c r="X72" s="1343"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70" t="str">
        <f ca="1">TEXT(MIN(Tab_NewTRADER[[#This Row],[L_Bn]],Tab_NewTRADER[[#This Row],[N]]),"#,#0")&amp;" x "&amp;TEXT(Tab_NewTRADER[[#This Row],[L_Bp]],"#,#0.#0")</f>
        <v>0 x -198.16</v>
      </c>
      <c r="AJ72" s="1370">
        <f ca="1">IF(Tab_NewTRADER[[#This Row],[M]]&lt;_xlfn.XLOOKUP(Tab_NewTRADER[[#This Row],[ClickTick]],TabCalc[Ticker],TabCalc[Max_Buy_P]), 0,Tab_NewTRADER[[#This Row],[Sale_Back_$]])</f>
        <v>0</v>
      </c>
      <c r="AK72" s="1370" t="str">
        <f ca="1">TEXT(Tab_NewTRADER[[#This Row],[L_Sn]],"#,#0")&amp;" ("&amp;Tab_NewTRADER[[#This Row],[M]]&amp;"/"&amp;TEXT(Tab_NewTRADER[[#This Row],[L_Sp]],"#,#0.#0)")</f>
        <v>100,000 (381.1/301.92)</v>
      </c>
      <c r="AL72" s="1370">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0.82674033948143821</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-1.3%</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0x3.811</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-0.21036699029126213</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-0.26225490196078433</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-3.9988966327461473</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-2.7584181346318459E-4</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-42,128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-47,772$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-19,866$</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401.0% = 50</v>
      </c>
      <c r="I73" s="226" t="str">
        <f ca="1">IFERROR(TRUNC(TabCalc[[#This Row],[L_S1p]],2)&amp;"x"&amp;TabCalc[[#This Row],[L_S1n]]&amp;"=   "&amp;TEXT(TabCalc[[#This Row],[ReverseB1]],"#,#0"),"")</f>
        <v>126.78x299=   30,501</v>
      </c>
      <c r="J73" s="295">
        <f ca="1">_xlfn.XLOOKUP(Tab_NewTRADER[[#This Row],[ClickTick]],TabCalc[Ticker],ListGravity)</f>
        <v>1.6269681065805408</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111465</v>
      </c>
      <c r="M73" s="323">
        <f ca="1">_xlfn.XLOOKUP(Tab_NewTRADER[[#This Row],[ClickTick]],TabCalc[Ticker],TabCalc[Agiotage])</f>
        <v>1.1079459906615486E-3</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-0.36180518697536374</v>
      </c>
      <c r="S73" s="683">
        <f ca="1">_xlfn.XLOOKUP(Tab_NewTRADER[[#This Row],[ClickTick]],TabCalc[Ticker],TabCalc[Rev(MinStock)])*(1-Commission)</f>
        <v>-42018.267720000011</v>
      </c>
      <c r="T73" s="782">
        <f ca="1">_xlfn.XLOOKUP(Tab_NewTRADER[[#This Row],[ClickTick]],TabCalc[Ticker],TabCalc[Agiotage])</f>
        <v>1.1079459906615486E-3</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1,675/1,675=&gt;0.8% / -0.8%</v>
      </c>
      <c r="V73" s="739" t="str">
        <f ca="1">_xlfn.XLOOKUP(Tab_NewTRADER[[#This Row],[ClickTick]],[1]!RTData[Ticker_Symbol],[1]!RTData[Currency])</f>
        <v>USD</v>
      </c>
      <c r="W73" s="749">
        <f ca="1">_xlfn.XLOOKUP(Tab_NewTRADER[[#This Row],[ClickTick]],TabCalc[Ticker],TabCalc[M])</f>
        <v>24.77</v>
      </c>
      <c r="X73" s="1343"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-175/124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70" t="str">
        <f ca="1">TEXT(MIN(Tab_NewTRADER[[#This Row],[L_Bn]],Tab_NewTRADER[[#This Row],[N]]),"#,#0")&amp;" x "&amp;TEXT(Tab_NewTRADER[[#This Row],[L_Bp]],"#,#0.#0")</f>
        <v>3,000 x -38.81</v>
      </c>
      <c r="AJ73" s="1370">
        <f ca="1">IF(Tab_NewTRADER[[#This Row],[M]]&lt;_xlfn.XLOOKUP(Tab_NewTRADER[[#This Row],[ClickTick]],TabCalc[Ticker],TabCalc[Max_Buy_P]), 0,Tab_NewTRADER[[#This Row],[Sale_Back_$]])</f>
        <v>0</v>
      </c>
      <c r="AK73" s="1370" t="str">
        <f ca="1">TEXT(Tab_NewTRADER[[#This Row],[L_Sn]],"#,#0")&amp;" ("&amp;Tab_NewTRADER[[#This Row],[M]]&amp;"/"&amp;TEXT(Tab_NewTRADER[[#This Row],[L_Sp]],"#,#0.#0)")</f>
        <v>200 (24.77/124.10)</v>
      </c>
      <c r="AL73" s="1370">
        <f ca="1">IF(Tab_NewTRADER[[#This Row],[M]]&lt;_xlfn.XLOOKUP(Tab_NewTRADER[[#This Row],[ClickTick]],TabCalc[Ticker],TabCalc[Max_Buy_P]), -Tab_NewTRADER[[#This Row],[Buy_Back]], 0)</f>
        <v>19814.348399999999</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42018.267720000011</v>
      </c>
      <c r="AN73" s="1177">
        <f ca="1">Tab_NewTRADER[[#This Row],[N]]*(Tab_NewTRADER[[#This Row],[M]]-Tab_NewTRADER[[#This Row],[A]])*(1-Commission)*Tab_NewTRADER[[#This Row],[Scale]]</f>
        <v>-184340.04200369999</v>
      </c>
      <c r="AO73" s="1177">
        <f ca="1">Tab_NewTRADER[[#This Row],[M]]*Tab_NewTRADER[[#This Row],[N]]*(1-Commission)*Tab_NewTRADER[[#This Row],[Scale]]</f>
        <v>123527.98999999999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0.59876318045741295</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0.564319660880097</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-0.43561828532150815</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0.56691966088009704</v>
      </c>
      <c r="AV73" s="825" cm="1">
        <f t="array" aca="1" ref="AV73" ca="1">_xlfn.IFS(         Tab_NewTRADER[[#This Row],[Trap_vs_Last]]=MDown,Tab_NewTRADER[[#This Row],[L_Bn]]*Tab_NewTRADER[[#This Row],[M]]*(-(Tab_NewTRADER[[#This Row],[L_Bp]]+Tab_NewTRADER[[#This Row],[M]])/Tab_NewTRADER[[#This Row],[M]])*(1-Commission)*Tab_NewTRADER[[#This Row],[Scale]],                               TRUE,"")</f>
        <v>42018.267720000011</v>
      </c>
      <c r="AW73" s="1186" cm="1">
        <f t="array" aca="1" ref="AW73" ca="1">_xlfn.IFS(   Tab_NewTRADER[[#This Row],[Trap_vs_Last]]=MUp,Tab_NewTRADER[[#This Row],[TakeGain_A]]-Commission,        Tab_NewTRADER[[#This Row],[Trap_vs_Last]]=MDown,(Tab_NewTRADER[[#This Row],[A]]-Tab_NewTRADER[[#This Row],[M]])/Tab_NewTRADER[[#This Row],[M]]-Commission,                              TRUE,"")</f>
        <v>1.4896937060960842</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184340.04200369999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0.7%</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-14.04</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-0.59720639618822369</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1.4896937060960842</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0.800402900886382</v>
      </c>
      <c r="BF73" s="729">
        <f ca="1">MIN(Tab_NewTRADER[[#This Row],[L_Sn]],Tab_NewTRADER[[#This Row],[N]])*(Tab_NewTRADER[[#This Row],[M]]-Tab_NewTRADER[[#This Row],[L_Sp]])*(1-Commission)*Tab_NewTRADER[[#This Row],[Scale]]</f>
        <v>-19814.348399999999</v>
      </c>
      <c r="BG73" s="692">
        <f ca="1">Tab_NewTRADER[[#This Row],[L_Sn]]*(Tab_NewTRADER[[#This Row],[Agiotage]]-Tab_NewTRADER[[#This Row],[M]])/(Tab_NewTRADER[[#This Row],[L_Bn]]*Tab_NewTRADER[[#This Row],[M]])</f>
        <v>-6.6663684710023791E-2</v>
      </c>
      <c r="BH73" s="635">
        <f ca="1">IFERROR((Tab_NewTRADER[[#This Row],[M]]-Tab_NewTRADER[[#This Row],[A]])/Tab_NewTRADER[[#This Row],[A]],0)</f>
        <v>-0.59876318045741295</v>
      </c>
      <c r="BI73" s="638" t="str">
        <f ca="1">TEXT(_xlfn.XLOOKUP(Tab_NewTRADER[[#This Row],[ClickTick]],TabCalc[Ticker],TabCalc[NAfter]),"#,#0")&amp;" : "&amp;TEXT(_xlfn.XLOOKUP(Tab_NewTRADER[[#This Row],[ClickTick]],TabCalc[Ticker],TabCalc[NAfter])*(Tab_NewTRADER[[#This Row],[M]]-Tab_NewTRADER[[#This Row],[A]])*(1-Commission)*Tab_NewTRADER[[#This Row],[Scale]],"#,#0$")</f>
        <v>5,000 : -184,340$</v>
      </c>
      <c r="BJ73" s="684">
        <f ca="1">_xlfn.XLOOKUP(Tab_NewTRADER[[#This Row],[ClickTick]],TabCalc[[#This Row],[Ticker]],TabCalc[[#This Row],[GL]])*(1-Commission)</f>
        <v>-174113.12181039999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0.56691966088009704</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-0.12879823868084855</v>
      </c>
      <c r="BU73" s="687">
        <f ca="1">(Tab_NewTRADER[[#This Row],[M]]-Tab_NewTRADER[[#This Row],[Agiotage]])/(Tab_NewTRADER[[#This Row],[M]]-Tab_NewTRADER[[#This Row],[A]])-1</f>
        <v>-1.6700793996285694</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+15,920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-10,600$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-6,000$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35.5% = 10,000</v>
      </c>
      <c r="I74" s="226" t="str">
        <f ca="1">IFERROR(TRUNC(TabCalc[[#This Row],[L_S1p]],2)&amp;"x"&amp;TabCalc[[#This Row],[L_S1n]]&amp;"=   "&amp;TEXT(TabCalc[[#This Row],[ReverseB1]],"#,#0"),"")</f>
        <v>1.52x28000=   3,080</v>
      </c>
      <c r="J74" s="295">
        <f ca="1">_xlfn.XLOOKUP(Tab_NewTRADER[[#This Row],[ClickTick]],TabCalc[Ticker],ListGravity)</f>
        <v>1.7021276595744681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126900</v>
      </c>
      <c r="M74" s="323">
        <f ca="1">_xlfn.XLOOKUP(Tab_NewTRADER[[#This Row],[ClickTick]],TabCalc[Ticker],TabCalc[Agiotage])</f>
        <v>6.7201642321426539E-5</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0.39328063241106709</v>
      </c>
      <c r="S74" s="683">
        <f ca="1">_xlfn.XLOOKUP(Tab_NewTRADER[[#This Row],[ClickTick]],TabCalc[Ticker],TabCalc[Rev(MinStock)])*(1-Commission)</f>
        <v>15878.607999999997</v>
      </c>
      <c r="T74" s="782">
        <f ca="1">_xlfn.XLOOKUP(Tab_NewTRADER[[#This Row],[ClickTick]],TabCalc[Ticker],TabCalc[Agiotage])</f>
        <v>6.7201642321426539E-5</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1,200/1,200=&gt;5.3% / -3.4%</v>
      </c>
      <c r="V74" s="739" t="str">
        <f ca="1">_xlfn.XLOOKUP(Tab_NewTRADER[[#This Row],[ClickTick]],[1]!RTData[Ticker_Symbol],[1]!RTData[Currency])</f>
        <v>USD</v>
      </c>
      <c r="W74" s="749">
        <f ca="1">_xlfn.XLOOKUP(Tab_NewTRADER[[#This Row],[ClickTick]],TabCalc[Ticker],TabCalc[M])</f>
        <v>1.41</v>
      </c>
      <c r="X74" s="1343"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-275/169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5984.4</v>
      </c>
      <c r="AI74" s="1370" t="str">
        <f ca="1">TEXT(MIN(Tab_NewTRADER[[#This Row],[L_Bn]],Tab_NewTRADER[[#This Row],[N]]),"#,#0")&amp;" x "&amp;TEXT(Tab_NewTRADER[[#This Row],[L_Bp]],"#,#0.#0")</f>
        <v>40,000 x -1.01</v>
      </c>
      <c r="AJ74" s="1370">
        <f ca="1">IF(Tab_NewTRADER[[#This Row],[M]]&lt;_xlfn.XLOOKUP(Tab_NewTRADER[[#This Row],[ClickTick]],TabCalc[Ticker],TabCalc[Max_Buy_P]), 0,Tab_NewTRADER[[#This Row],[Sale_Back_$]])</f>
        <v>0</v>
      </c>
      <c r="AK74" s="1370" t="str">
        <f ca="1">TEXT(Tab_NewTRADER[[#This Row],[L_Sn]],"#,#0")&amp;" ("&amp;Tab_NewTRADER[[#This Row],[M]]&amp;"/"&amp;TEXT(Tab_NewTRADER[[#This Row],[L_Sp]],"#,#0.#0)")</f>
        <v>12,000 (1.41/1.91)</v>
      </c>
      <c r="AL74" s="1370">
        <f ca="1">IF(Tab_NewTRADER[[#This Row],[M]]&lt;_xlfn.XLOOKUP(Tab_NewTRADER[[#This Row],[ClickTick]],TabCalc[Ticker],TabCalc[Max_Buy_P]), -Tab_NewTRADER[[#This Row],[Buy_Back]], 0)</f>
        <v>5984.4</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-94168.5236</v>
      </c>
      <c r="AO74" s="1177">
        <f ca="1">Tab_NewTRADER[[#This Row],[M]]*Tab_NewTRADER[[#This Row],[N]]*(1-Commission)*Tab_NewTRADER[[#This Row],[Scale]]</f>
        <v>168760.08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0.26178010471204188</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0.98320158102766775</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-94168.5236</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-0.35722125380290881</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0.55540236406619392</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0.26178010471204188</v>
      </c>
      <c r="BF74" s="729">
        <f ca="1">MIN(Tab_NewTRADER[[#This Row],[L_Sn]],Tab_NewTRADER[[#This Row],[N]])*(Tab_NewTRADER[[#This Row],[M]]-Tab_NewTRADER[[#This Row],[L_Sp]])*(1-Commission)*Tab_NewTRADER[[#This Row],[Scale]]</f>
        <v>-5984.4</v>
      </c>
      <c r="BG74" s="692">
        <f ca="1">Tab_NewTRADER[[#This Row],[L_Sn]]*(Tab_NewTRADER[[#This Row],[Agiotage]]-Tab_NewTRADER[[#This Row],[M]])/(Tab_NewTRADER[[#This Row],[L_Bn]]*Tab_NewTRADER[[#This Row],[M]])</f>
        <v>-0.29998570177822947</v>
      </c>
      <c r="BH74" s="635">
        <f ca="1">IFERROR((Tab_NewTRADER[[#This Row],[M]]-Tab_NewTRADER[[#This Row],[A]])/Tab_NewTRADER[[#This Row],[A]],0)</f>
        <v>-0.35815245017335956</v>
      </c>
      <c r="BI74" s="638" t="str">
        <f ca="1">TEXT(_xlfn.XLOOKUP(Tab_NewTRADER[[#This Row],[ClickTick]],TabCalc[Ticker],TabCalc[NAfter]),"#,#0")&amp;" : "&amp;TEXT(_xlfn.XLOOKUP(Tab_NewTRADER[[#This Row],[ClickTick]],TabCalc[Ticker],TabCalc[NAfter])*(Tab_NewTRADER[[#This Row],[M]]-Tab_NewTRADER[[#This Row],[A]])*(1-Commission)*Tab_NewTRADER[[#This Row],[Scale]],"#,#0$")</f>
        <v>120,000 : -94,169$</v>
      </c>
      <c r="BJ74" s="684">
        <f ca="1">_xlfn.XLOOKUP(Tab_NewTRADER[[#This Row],[ClickTick]],TabCalc[[#This Row],[Ticker]],TabCalc[[#This Row],[GL]])*(1-Commission)</f>
        <v>-273876.95368600002</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-1.2924383984945387E-4</v>
      </c>
      <c r="BU74" s="687">
        <f ca="1">(Tab_NewTRADER[[#This Row],[M]]-Tab_NewTRADER[[#This Row],[Agiotage]])/(Tab_NewTRADER[[#This Row],[M]]-Tab_NewTRADER[[#This Row],[A]])-1</f>
        <v>-2.7920216896108778</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+16,216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9.8%</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3,086/17,000=50,895</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15,684$</v>
      </c>
      <c r="G75" s="225" t="str">
        <f ca="1">IFERROR(TRUNC(_xlfn.XLOOKUP(Tab_NewTRADER[[#This Row],[ClickTick]],TabCalc[Ticker],ListLastSalep),2)&amp;"x"&amp;_xlfn.XLOOKUP(Tab_NewTRADER[[#This Row],[ClickTick]],TabCalc[Ticker],ListLastSalen)&amp;"=   "&amp;TEXT(-_xlfn.XLOOKUP(Tab_NewTRADER[[#This Row],[ClickTick]],TabCalc[Ticker],ListReverseB),"#,#0")&amp;"$","")</f>
        <v>15.86x5000=   3,150$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-3.8% = 0</v>
      </c>
      <c r="I75" s="226" t="str">
        <f ca="1">IFERROR(TRUNC(TabCalc[[#This Row],[L_S1p]],2)&amp;"x"&amp;TabCalc[[#This Row],[L_S1n]]&amp;"=   "&amp;TEXT(TabCalc[[#This Row],[ReverseB1]],"#,#0"),"")</f>
        <v>15.21x2000=   -2,560</v>
      </c>
      <c r="J75" s="295">
        <f ca="1">_xlfn.XLOOKUP(Tab_NewTRADER[[#This Row],[ClickTick]],TabCalc[Ticker],ListGravity)</f>
        <v>0.97772771376591883</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159952.99999999997</v>
      </c>
      <c r="M75" s="323">
        <f ca="1">_xlfn.XLOOKUP(Tab_NewTRADER[[#This Row],[ClickTick]],TabCalc[Ticker],TabCalc[Agiotage])</f>
        <v>0.20727782625951161</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0.10894418291862806</v>
      </c>
      <c r="S75" s="683">
        <f ca="1">_xlfn.XLOOKUP(Tab_NewTRADER[[#This Row],[ClickTick]],TabCalc[Ticker],TabCalc[Rev(MinStock)])*(1-Commission)</f>
        <v>16174.037879999991</v>
      </c>
      <c r="T75" s="782">
        <f ca="1">_xlfn.XLOOKUP(Tab_NewTRADER[[#This Row],[ClickTick]],TabCalc[Ticker],TabCalc[Agiotage])</f>
        <v>0.20727782625951161</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340/340=&gt;-0.1% / 0.1%</v>
      </c>
      <c r="V75" s="739" t="str">
        <f ca="1">_xlfn.XLOOKUP(Tab_NewTRADER[[#This Row],[ClickTick]],[1]!RTData[Ticker_Symbol],[1]!RTData[Currency])</f>
        <v>EUR</v>
      </c>
      <c r="W75" s="749">
        <f ca="1">_xlfn.XLOOKUP(Tab_NewTRADER[[#This Row],[ClickTick]],TabCalc[Ticker],TabCalc[M])</f>
        <v>16.489999999999998</v>
      </c>
      <c r="X75" s="1343"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 / 280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70" t="str">
        <f ca="1">TEXT(MIN(Tab_NewTRADER[[#This Row],[L_Bn]],Tab_NewTRADER[[#This Row],[N]]),"#,#0")&amp;" x "&amp;TEXT(Tab_NewTRADER[[#This Row],[L_Bp]],"#,#0.#0")</f>
        <v>10,010 x -14.87</v>
      </c>
      <c r="AJ75" s="1370">
        <f ca="1">IF(Tab_NewTRADER[[#This Row],[M]]&lt;_xlfn.XLOOKUP(Tab_NewTRADER[[#This Row],[ClickTick]],TabCalc[Ticker],TabCalc[Max_Buy_P]), 0,Tab_NewTRADER[[#This Row],[Sale_Back_$]])</f>
        <v>16174.037879999991</v>
      </c>
      <c r="AK75" s="1370" t="str">
        <f ca="1">TEXT(Tab_NewTRADER[[#This Row],[L_Sn]],"#,#0")&amp;" ("&amp;Tab_NewTRADER[[#This Row],[M]]&amp;"/"&amp;TEXT(Tab_NewTRADER[[#This Row],[L_Sp]],"#,#0.#0)")</f>
        <v>5,000 (16.49/15.86)</v>
      </c>
      <c r="AL75" s="1370">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3141.8099999999949</v>
      </c>
      <c r="AN75" s="1177">
        <f ca="1">Tab_NewTRADER[[#This Row],[N]]*(Tab_NewTRADER[[#This Row],[M]]-Tab_NewTRADER[[#This Row],[A]])*(1-Commission)*Tab_NewTRADER[[#This Row],[Scale]]</f>
        <v>27119.804699999968</v>
      </c>
      <c r="AO75" s="1177">
        <f ca="1">Tab_NewTRADER[[#This Row],[M]]*Tab_NewTRADER[[#This Row],[N]]*(1-Commission)*Tab_NewTRADER[[#This Row],[Scale]]</f>
        <v>279601.14199999999</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0.10741310621218722</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3.560497271073372E-2</v>
      </c>
      <c r="AR75" s="825" cm="1">
        <f t="array" aca="1" ref="AR75" ca="1">_xlfn.IFS(   Tab_NewTRADER[[#This Row],[Trap_vs_Last]]=SellMorePercentGain,                     MIN(Tab_NewTRADER[[#This Row],[L_Sn]],Tab_NewTRADER[[#This Row],[N]])*(Tab_NewTRADER[[#This Row],[M]]-Tab_NewTRADER[[#This Row],[L_Sp]])*(1-Commission)*Tab_NewTRADER[[#This Row],[Scale]],                    TRUE,"")</f>
        <v>3141.8099999999949</v>
      </c>
      <c r="AS75" s="1342">
        <f ca="1">_xlfn.XLOOKUP(Tab_NewTRADER[[#This Row],[ClickTick]],TabCalc[Ticker],TabCalc[Ann%RevLB])</f>
        <v>0.66474416696112038</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0.10481310621218722</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30032.827162694841</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10,010x1.59</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0.10713383213603553</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-9.9594613491242365E-2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-3.9722572509457696E-2</v>
      </c>
      <c r="BF75" s="729">
        <f ca="1">MIN(Tab_NewTRADER[[#This Row],[L_Sn]],Tab_NewTRADER[[#This Row],[N]])*(Tab_NewTRADER[[#This Row],[M]]-Tab_NewTRADER[[#This Row],[L_Sp]])*(1-Commission)*Tab_NewTRADER[[#This Row],[Scale]]</f>
        <v>3141.8099999999949</v>
      </c>
      <c r="BG75" s="692">
        <f ca="1">Tab_NewTRADER[[#This Row],[L_Sn]]*(Tab_NewTRADER[[#This Row],[Agiotage]]-Tab_NewTRADER[[#This Row],[M]])/(Tab_NewTRADER[[#This Row],[L_Bn]]*Tab_NewTRADER[[#This Row],[M]])</f>
        <v>-0.49322182286302202</v>
      </c>
      <c r="BH75" s="635">
        <f ca="1">IFERROR((Tab_NewTRADER[[#This Row],[M]]-Tab_NewTRADER[[#This Row],[A]])/Tab_NewTRADER[[#This Row],[A]],0)</f>
        <v>0.10741310621218722</v>
      </c>
      <c r="BI75" s="638" t="str">
        <f ca="1">TEXT(_xlfn.XLOOKUP(Tab_NewTRADER[[#This Row],[ClickTick]],TabCalc[Ticker],TabCalc[NAfter]),"#,#0")&amp;" : "&amp;TEXT(_xlfn.XLOOKUP(Tab_NewTRADER[[#This Row],[ClickTick]],TabCalc[Ticker],TabCalc[NAfter])*(Tab_NewTRADER[[#This Row],[M]]-Tab_NewTRADER[[#This Row],[A]])*(1-Commission)*Tab_NewTRADER[[#This Row],[Scale]],"#,#0$")</f>
        <v>17,000 : 27,120$</v>
      </c>
      <c r="BJ75" s="684">
        <f ca="1">_xlfn.XLOOKUP(Tab_NewTRADER[[#This Row],[ClickTick]],TabCalc[[#This Row],[Ticker]],TabCalc[[#This Row],[GL]])*(1-Commission)</f>
        <v>43414.364406400076</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3.8204972710733719E-2</v>
      </c>
      <c r="BP75" s="679">
        <f ca="1">Tab_NewTRADER[[#This Row],[L_Sn]]*Tab_NewTRADER[[#This Row],[L_Sp]]+Tab_NewTRADER[[#This Row],[SellMore]]*Tab_NewTRADER[[#This Row],[M]]</f>
        <v>194565.09999999998</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16.227281067556294</v>
      </c>
      <c r="BT75" s="687">
        <f ca="1">((_xlfn.XLOOKUP(Tab_NewTRADER[[#This Row],[ClickTick]],TabCalc[Ticker],TabCalc[NAfter])+Tab_NewTRADER[[#This Row],[L_Sn]])*(Tab_NewTRADER[[#This Row],[Agiotage]]-Tab_NewTRADER[[#This Row],[M]]))/(Tab_NewTRADER[[#This Row],[L_Sn]]*_xlfn.XLOOKUP(Tab_NewTRADER[[#This Row],[ClickTick]],TabCalc[Ticker],TabCalc[NAfter]))</f>
        <v>-4.2143516214387146E-3</v>
      </c>
      <c r="BU75" s="687">
        <f ca="1">(Tab_NewTRADER[[#This Row],[M]]-Tab_NewTRADER[[#This Row],[Agiotage]])/(Tab_NewTRADER[[#This Row],[M]]-Tab_NewTRADER[[#This Row],[A]])-1</f>
        <v>9.1802569630418223</v>
      </c>
      <c r="BV75" s="1277">
        <f ca="1">_xlfn.XMATCH(Tab_NewTRADER[[#This Row],[ClickTick]]&amp;1, TabConsolid[#Headers])</f>
        <v>221</v>
      </c>
      <c r="BW75" t="b">
        <f ca="1">IF(ABS(Tab_NewTRADER[[#This Row],[L_Bp]])&gt;=Tab_NewTRADER[[#This Row],[M]],"OK")</f>
        <v>0</v>
      </c>
    </row>
    <row r="76" spans="1:75"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+2,078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14,620</v>
      </c>
      <c r="F76" s="226" t="str">
        <f ca="1">TRUNC(TabCalc[[#This Row],[L_B1p]],2)&amp;"x"&amp;TabCalc[[#This Row],[L_B1n]]&amp;"=   "&amp;TEXT(TabCalc[[#This Row],[ReverseS1]],"#,#0")&amp;"$"</f>
        <v>-480.9x10000=   -1,950$</v>
      </c>
      <c r="G76" s="225" t="str">
        <f ca="1">IFERROR(TRUNC(_xlfn.XLOOKUP(Tab_NewTRADER[[#This Row],[ClickTick]],TabCalc[Ticker],ListLastSalep),2)&amp;"x"&amp;_xlfn.XLOOKUP(Tab_NewTRADER[[#This Row],[ClickTick]],TabCalc[Ticker],ListLastSalen)&amp;"=   "&amp;TEXT(-_xlfn.XLOOKUP(Tab_NewTRADER[[#This Row],[ClickTick]],TabCalc[Ticker],ListReverseB),"#,#0")&amp;"$","")</f>
        <v>495.6x10000=   -3,420$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7.4% = 146</v>
      </c>
      <c r="I76" s="226" t="str">
        <f ca="1">IFERROR(TRUNC(TabCalc[[#This Row],[L_S1p]],2)&amp;"x"&amp;TabCalc[[#This Row],[L_S1n]]&amp;"=   "&amp;TEXT(TabCalc[[#This Row],[ReverseB1]],"#,#0"),"")</f>
        <v>544.2x18000=   14,904</v>
      </c>
      <c r="J76" s="295">
        <f ca="1">_xlfn.XLOOKUP(Tab_NewTRADER[[#This Row],[ClickTick]],TabCalc[Ticker],ListGravity)</f>
        <v>1.3572821846553966</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48723.840000000004</v>
      </c>
      <c r="M76" s="323">
        <f ca="1">_xlfn.XLOOKUP(Tab_NewTRADER[[#This Row],[ClickTick]],TabCalc[Ticker],TabCalc[Agiotage])</f>
        <v>0.15127421790290552</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2.3037183211015246E-2</v>
      </c>
      <c r="S76" s="683">
        <f ca="1">_xlfn.XLOOKUP(Tab_NewTRADER[[#This Row],[ClickTick]],TabCalc[Ticker],TabCalc[Rev(MinStock)])*(1-Commission)</f>
        <v>2072.597199999997</v>
      </c>
      <c r="T76" s="782">
        <f ca="1">_xlfn.XLOOKUP(Tab_NewTRADER[[#This Row],[ClickTick]],TabCalc[Ticker],TabCalc[Agiotage])</f>
        <v>0.15127421790290552</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-1,980/-1,980=&gt;-1.5% / -1.7%</v>
      </c>
      <c r="V76" s="739" t="str">
        <f ca="1">_xlfn.XLOOKUP(Tab_NewTRADER[[#This Row],[ClickTick]],[1]!RTData[Ticker_Symbol],[1]!RTData[Currency])</f>
        <v>GBp</v>
      </c>
      <c r="W76" s="749">
        <f ca="1">_xlfn.XLOOKUP(Tab_NewTRADER[[#This Row],[ClickTick]],TabCalc[Ticker],TabCalc[M])</f>
        <v>461.4</v>
      </c>
      <c r="X76" s="1343"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138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3411.1080000000047</v>
      </c>
      <c r="AI76" s="1370" t="str">
        <f ca="1">TEXT(MIN(Tab_NewTRADER[[#This Row],[L_Bn]],Tab_NewTRADER[[#This Row],[N]]),"#,#0")&amp;" x "&amp;TEXT(Tab_NewTRADER[[#This Row],[L_Bp]],"#,#0.#0")</f>
        <v>20,000 x -451.01</v>
      </c>
      <c r="AJ76" s="1370">
        <f ca="1">IF(Tab_NewTRADER[[#This Row],[M]]&lt;_xlfn.XLOOKUP(Tab_NewTRADER[[#This Row],[ClickTick]],TabCalc[Ticker],TabCalc[Max_Buy_P]), 0,Tab_NewTRADER[[#This Row],[Sale_Back_$]])</f>
        <v>0</v>
      </c>
      <c r="AK76" s="1370" t="str">
        <f ca="1">TEXT(Tab_NewTRADER[[#This Row],[L_Sn]],"#,#0")&amp;" ("&amp;Tab_NewTRADER[[#This Row],[M]]&amp;"/"&amp;TEXT(Tab_NewTRADER[[#This Row],[L_Sp]],"#,#0.#0)")</f>
        <v>10,000 (461.4/495.60)</v>
      </c>
      <c r="AL76" s="1370">
        <f ca="1">IF(Tab_NewTRADER[[#This Row],[M]]&lt;_xlfn.XLOOKUP(Tab_NewTRADER[[#This Row],[ClickTick]],TabCalc[Ticker],TabCalc[Max_Buy_P]), -Tab_NewTRADER[[#This Row],[Buy_Back]], 0)</f>
        <v>3411.1080000000047</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127.66719999998594</v>
      </c>
      <c r="AO76" s="1177">
        <f ca="1">Tab_NewTRADER[[#This Row],[M]]*Tab_NewTRADER[[#This Row],[N]]*(1-Commission)*Tab_NewTRADER[[#This Row],[Scale]]</f>
        <v>138060.10799999998</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6.9007263922518242E-2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0.140565863660432</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127.66719999998594</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9.2317126081035723E-4</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-3.5247218610026435E-3</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6.9007263922518242E-2</v>
      </c>
      <c r="BF76" s="729">
        <f ca="1">MIN(Tab_NewTRADER[[#This Row],[L_Sn]],Tab_NewTRADER[[#This Row],[N]])*(Tab_NewTRADER[[#This Row],[M]]-Tab_NewTRADER[[#This Row],[L_Sp]])*(1-Commission)*Tab_NewTRADER[[#This Row],[Scale]]</f>
        <v>-3411.1080000000047</v>
      </c>
      <c r="BG76" s="692">
        <f ca="1">Tab_NewTRADER[[#This Row],[L_Sn]]*(Tab_NewTRADER[[#This Row],[Agiotage]]-Tab_NewTRADER[[#This Row],[M]])/(Tab_NewTRADER[[#This Row],[L_Bn]]*Tab_NewTRADER[[#This Row],[M]])</f>
        <v>-0.49983607041839739</v>
      </c>
      <c r="BH76" s="635">
        <f ca="1">IFERROR((Tab_NewTRADER[[#This Row],[M]]-Tab_NewTRADER[[#This Row],[A]])/Tab_NewTRADER[[#This Row],[A]],0)</f>
        <v>9.2557776299414206E-4</v>
      </c>
      <c r="BI76" s="638" t="str">
        <f ca="1">TEXT(_xlfn.XLOOKUP(Tab_NewTRADER[[#This Row],[ClickTick]],TabCalc[Ticker],TabCalc[NAfter]),"#,#0")&amp;" : "&amp;TEXT(_xlfn.XLOOKUP(Tab_NewTRADER[[#This Row],[ClickTick]],TabCalc[Ticker],TabCalc[NAfter])*(Tab_NewTRADER[[#This Row],[M]]-Tab_NewTRADER[[#This Row],[A]])*(1-Commission)*Tab_NewTRADER[[#This Row],[Scale]],"#,#0$")</f>
        <v>30,000 : 128$</v>
      </c>
      <c r="BJ76" s="684">
        <f ca="1">_xlfn.XLOOKUP(Tab_NewTRADER[[#This Row],[ClickTick]],TabCalc[[#This Row],[Ticker]],TabCalc[[#This Row],[GL]])*(1-Commission)</f>
        <v>30390.182552200004</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14184000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6" s="1156">
        <f ca="1">Tab_NewTRADER[[#This Row],[ReBuy]]/(Tab_NewTRADER[[#This Row],[L_Sn]]+Tab_NewTRADER[[#This Row],[SellMore]])</f>
        <v>472.8</v>
      </c>
      <c r="BT76" s="687">
        <f ca="1">((_xlfn.XLOOKUP(Tab_NewTRADER[[#This Row],[ClickTick]],TabCalc[Ticker],TabCalc[NAfter])+Tab_NewTRADER[[#This Row],[L_Sn]])*(Tab_NewTRADER[[#This Row],[Agiotage]]-Tab_NewTRADER[[#This Row],[M]]))/(Tab_NewTRADER[[#This Row],[L_Sn]]*_xlfn.XLOOKUP(Tab_NewTRADER[[#This Row],[ClickTick]],TabCalc[Ticker],TabCalc[NAfter]))</f>
        <v>-6.1499830104279618E-2</v>
      </c>
      <c r="BU76" s="687">
        <f ca="1">(Tab_NewTRADER[[#This Row],[M]]-Tab_NewTRADER[[#This Row],[Agiotage]])/(Tab_NewTRADER[[#This Row],[M]]-Tab_NewTRADER[[#This Row],[A]])-1</f>
        <v>1080.051701051909</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30.0%</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3,510$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77" s="226" t="str">
        <f ca="1">IFERROR(TRUNC(TabCalc[[#This Row],[L_S1p]],2)&amp;"x"&amp;TabCalc[[#This Row],[L_S1n]]&amp;"=   "&amp;TEXT(TabCalc[[#This Row],[ReverseB1]],"#,#0"),"")</f>
        <v>11.41x2000=   -3,560</v>
      </c>
      <c r="J77" s="295">
        <f ca="1">_xlfn.XLOOKUP(Tab_NewTRADER[[#This Row],[ClickTick]],TabCalc[Ticker],ListGravity)</f>
        <v>0.92987111448066728</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6.9210674470169585E-5</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0.42826204656199246</v>
      </c>
      <c r="S77" s="683">
        <f ca="1">_xlfn.XLOOKUP(Tab_NewTRADER[[#This Row],[ClickTick]],TabCalc[Ticker],TabCalc[Rev(MinStock)])*(1-Commission)</f>
        <v>0</v>
      </c>
      <c r="T77" s="782">
        <f ca="1">_xlfn.XLOOKUP(Tab_NewTRADER[[#This Row],[ClickTick]],TabCalc[Ticker],TabCalc[Agiotage])</f>
        <v>6.9210674470169585E-5</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-0.7%</v>
      </c>
      <c r="V77" s="739" t="str">
        <f ca="1">_xlfn.XLOOKUP(Tab_NewTRADER[[#This Row],[ClickTick]],[1]!RTData[Ticker_Symbol],[1]!RTData[Currency])</f>
        <v>USD</v>
      </c>
      <c r="W77" s="749">
        <f ca="1">_xlfn.XLOOKUP(Tab_NewTRADER[[#This Row],[ClickTick]],TabCalc[Ticker],TabCalc[M])</f>
        <v>13.19</v>
      </c>
      <c r="X77" s="1343"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70" t="str">
        <f ca="1">TEXT(MIN(Tab_NewTRADER[[#This Row],[L_Bn]],Tab_NewTRADER[[#This Row],[N]]),"#,#0")&amp;" x "&amp;TEXT(Tab_NewTRADER[[#This Row],[L_Bp]],"#,#0.#0")</f>
        <v>0 x -9.24</v>
      </c>
      <c r="AJ77" s="1370">
        <f ca="1">IF(Tab_NewTRADER[[#This Row],[M]]&lt;_xlfn.XLOOKUP(Tab_NewTRADER[[#This Row],[ClickTick]],TabCalc[Ticker],TabCalc[Max_Buy_P]), 0,Tab_NewTRADER[[#This Row],[Sale_Back_$]])</f>
        <v>0</v>
      </c>
      <c r="AK77" s="1370" t="str">
        <f ca="1">TEXT(Tab_NewTRADER[[#This Row],[L_Sn]],"#,#0")&amp;" ("&amp;Tab_NewTRADER[[#This Row],[M]]&amp;"/"&amp;TEXT(Tab_NewTRADER[[#This Row],[L_Sp]],"#,#0.#0)")</f>
        <v>3,000 (13.19/12.02)</v>
      </c>
      <c r="AL77" s="1370">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0.56681741456734291</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-1.0%</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-9.1303563305534505E-2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-9.7337770382695504E-2</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-0.29999842583757835</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-5.2472080720455949E-6</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50.3%</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54,320$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46.6% = 0</v>
      </c>
      <c r="I78" s="226" t="str">
        <f ca="1">IFERROR(TRUNC(TabCalc[[#This Row],[L_S1p]],2)&amp;"x"&amp;TabCalc[[#This Row],[L_S1n]]&amp;"=   "&amp;TEXT(TabCalc[[#This Row],[ReverseB1]],"#,#0"),"")</f>
        <v>23.05x2000=   -70,402</v>
      </c>
      <c r="J78" s="295">
        <f ca="1">_xlfn.XLOOKUP(Tab_NewTRADER[[#This Row],[ClickTick]],TabCalc[Ticker],ListGravity)</f>
        <v>1.1103005492619293</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0.14082448702358652</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1.0131306150656529</v>
      </c>
      <c r="S78" s="683">
        <f ca="1">_xlfn.XLOOKUP(Tab_NewTRADER[[#This Row],[ClickTick]],TabCalc[Ticker],TabCalc[Rev(MinStock)])*(1-Commission)</f>
        <v>0</v>
      </c>
      <c r="T78" s="782">
        <f ca="1">_xlfn.XLOOKUP(Tab_NewTRADER[[#This Row],[ClickTick]],TabCalc[Ticker],TabCalc[Agiotage])</f>
        <v>0.14082448702358652</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0.5%</v>
      </c>
      <c r="V78" s="739" t="str">
        <f ca="1">_xlfn.XLOOKUP(Tab_NewTRADER[[#This Row],[ClickTick]],[1]!RTData[Ticker_Symbol],[1]!RTData[Currency])</f>
        <v>EUR</v>
      </c>
      <c r="W78" s="749">
        <f ca="1">_xlfn.XLOOKUP(Tab_NewTRADER[[#This Row],[ClickTick]],TabCalc[Ticker],TabCalc[M])</f>
        <v>58.26</v>
      </c>
      <c r="X78" s="1343"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70" t="str">
        <f ca="1">TEXT(MIN(Tab_NewTRADER[[#This Row],[L_Bn]],Tab_NewTRADER[[#This Row],[N]]),"#,#0")&amp;" x "&amp;TEXT(Tab_NewTRADER[[#This Row],[L_Bp]],"#,#0.#0")</f>
        <v>0 x -28.94</v>
      </c>
      <c r="AJ78" s="1370">
        <f ca="1">IF(Tab_NewTRADER[[#This Row],[M]]&lt;_xlfn.XLOOKUP(Tab_NewTRADER[[#This Row],[ClickTick]],TabCalc[Ticker],TabCalc[Max_Buy_P]), 0,Tab_NewTRADER[[#This Row],[Sale_Back_$]])</f>
        <v>0</v>
      </c>
      <c r="AK78" s="1370" t="str">
        <f ca="1">TEXT(Tab_NewTRADER[[#This Row],[L_Sn]],"#,#0")&amp;" ("&amp;Tab_NewTRADER[[#This Row],[M]]&amp;"/"&amp;TEXT(Tab_NewTRADER[[#This Row],[L_Sp]],"#,#0.#0)")</f>
        <v>2,000 (58.26/31.10)</v>
      </c>
      <c r="AL78" s="1370">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1.1997599388935363</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0x58.26</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-0.46878606247854443</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-0.87331189710610913</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-0.99758282720522506</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-2.4171727947749355E-3</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-9,615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-21.2%</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-3,118$</v>
      </c>
      <c r="G79" s="225" t="str">
        <f ca="1">IFERROR(TRUNC(_xlfn.XLOOKUP(Tab_NewTRADER[[#This Row],[ClickTick]],TabCalc[Ticker],ListLastSalep),2)&amp;"x"&amp;_xlfn.XLOOKUP(Tab_NewTRADER[[#This Row],[ClickTick]],TabCalc[Ticker],ListLastSalen)&amp;"=   "&amp;TEXT(-_xlfn.XLOOKUP(Tab_NewTRADER[[#This Row],[ClickTick]],TabCalc[Ticker],ListReverseB),"#,#0")&amp;"$","")</f>
        <v>192.01x200=   -8,180$</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27.1% = 122</v>
      </c>
      <c r="I79" s="226" t="str">
        <f ca="1">IFERROR(TRUNC(TabCalc[[#This Row],[L_S1p]],2)&amp;"x"&amp;TabCalc[[#This Row],[L_S1n]]&amp;"=   "&amp;TEXT(TabCalc[[#This Row],[ReverseB1]],"#,#0"),"")</f>
        <v>189.91x600=   23,280</v>
      </c>
      <c r="J79" s="295">
        <f ca="1">_xlfn.XLOOKUP(Tab_NewTRADER[[#This Row],[ClickTick]],TabCalc[Ticker],ListGravity)</f>
        <v>1.3729773013036859</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52888.500000000007</v>
      </c>
      <c r="M79" s="323">
        <f ca="1">_xlfn.XLOOKUP(Tab_NewTRADER[[#This Row],[ClickTick]],TabCalc[Ticker],TabCalc[Agiotage])</f>
        <v>1.5818336471835091E-5</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-0.17498362087792085</v>
      </c>
      <c r="S79" s="683">
        <f ca="1">_xlfn.XLOOKUP(Tab_NewTRADER[[#This Row],[ClickTick]],TabCalc[Ticker],TabCalc[Rev(MinStock)])*(1-Commission)</f>
        <v>-9590.0009999999947</v>
      </c>
      <c r="T79" s="782">
        <f ca="1">_xlfn.XLOOKUP(Tab_NewTRADER[[#This Row],[ClickTick]],TabCalc[Ticker],TabCalc[Agiotage])</f>
        <v>1.5818336471835091E-5</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180/180=&gt;0.5% / -2.3%</v>
      </c>
      <c r="V79" s="739" t="str">
        <f ca="1">_xlfn.XLOOKUP(Tab_NewTRADER[[#This Row],[ClickTick]],[1]!RTData[Ticker_Symbol],[1]!RTData[Currency])</f>
        <v>USD</v>
      </c>
      <c r="W79" s="749">
        <f ca="1">_xlfn.XLOOKUP(Tab_NewTRADER[[#This Row],[ClickTick]],TabCalc[Ticker],TabCalc[M])</f>
        <v>151.11000000000001</v>
      </c>
      <c r="X79" s="1343"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136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70" t="str">
        <f ca="1">TEXT(MIN(Tab_NewTRADER[[#This Row],[L_Bn]],Tab_NewTRADER[[#This Row],[N]]),"#,#0")&amp;" x "&amp;TEXT(Tab_NewTRADER[[#This Row],[L_Bp]],"#,#0.#0")</f>
        <v>300 x -183.16</v>
      </c>
      <c r="AJ79" s="1370">
        <f ca="1">IF(Tab_NewTRADER[[#This Row],[M]]&lt;_xlfn.XLOOKUP(Tab_NewTRADER[[#This Row],[ClickTick]],TabCalc[Ticker],TabCalc[Max_Buy_P]), 0,Tab_NewTRADER[[#This Row],[Sale_Back_$]])</f>
        <v>0</v>
      </c>
      <c r="AK79" s="1370" t="str">
        <f ca="1">TEXT(Tab_NewTRADER[[#This Row],[L_Sn]],"#,#0")&amp;" ("&amp;Tab_NewTRADER[[#This Row],[M]]&amp;"/"&amp;TEXT(Tab_NewTRADER[[#This Row],[L_Sp]],"#,#0.#0)")</f>
        <v>200 (151.11/192.01)</v>
      </c>
      <c r="AL79" s="1370">
        <f ca="1">IF(Tab_NewTRADER[[#This Row],[M]]&lt;_xlfn.XLOOKUP(Tab_NewTRADER[[#This Row],[ClickTick]],TabCalc[Ticker],TabCalc[Max_Buy_P]), -Tab_NewTRADER[[#This Row],[Buy_Back]], 0)</f>
        <v>8158.7319999999954</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9590.0009999999947</v>
      </c>
      <c r="AN79" s="1177">
        <f ca="1">Tab_NewTRADER[[#This Row],[N]]*(Tab_NewTRADER[[#This Row],[M]]-Tab_NewTRADER[[#This Row],[A]])*(1-Commission)*Tab_NewTRADER[[#This Row],[Scale]]</f>
        <v>-26775.202999999976</v>
      </c>
      <c r="AO79" s="1177">
        <f ca="1">Tab_NewTRADER[[#This Row],[M]]*Tab_NewTRADER[[#This Row],[N]]*(1-Commission)*Tab_NewTRADER[[#This Row],[Scale]]</f>
        <v>135645.4026</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0.16485102306501917</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0.20949714777314526</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-2.4228501352327503</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0.21209714777314526</v>
      </c>
      <c r="AV79" s="825" cm="1">
        <f t="array" aca="1" ref="AV79" ca="1">_xlfn.IFS(         Tab_NewTRADER[[#This Row],[Trap_vs_Last]]=MDown,Tab_NewTRADER[[#This Row],[L_Bn]]*Tab_NewTRADER[[#This Row],[M]]*(-(Tab_NewTRADER[[#This Row],[L_Bp]]+Tab_NewTRADER[[#This Row],[M]])/Tab_NewTRADER[[#This Row],[M]])*(1-Commission)*Tab_NewTRADER[[#This Row],[Scale]],                               TRUE,"")</f>
        <v>9590.0009999999947</v>
      </c>
      <c r="AW79" s="1186" cm="1">
        <f t="array" aca="1" ref="AW79" ca="1">_xlfn.IFS(   Tab_NewTRADER[[#This Row],[Trap_vs_Last]]=MUp,Tab_NewTRADER[[#This Row],[TakeGain_A]]-Commission,        Tab_NewTRADER[[#This Row],[Trap_vs_Last]]=MDown,(Tab_NewTRADER[[#This Row],[A]]-Tab_NewTRADER[[#This Row],[M]])/Tab_NewTRADER[[#This Row],[M]]-Commission,                              TRUE,"")</f>
        <v>0.19479115728792107</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26775.202999999976</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-32.049999999999997</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-0.16442241040505012</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0.19479115728792107</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0.21300973907608967</v>
      </c>
      <c r="BF79" s="729">
        <f ca="1">MIN(Tab_NewTRADER[[#This Row],[L_Sn]],Tab_NewTRADER[[#This Row],[N]])*(Tab_NewTRADER[[#This Row],[M]]-Tab_NewTRADER[[#This Row],[L_Sp]])*(1-Commission)*Tab_NewTRADER[[#This Row],[Scale]]</f>
        <v>-8158.7319999999954</v>
      </c>
      <c r="BG79" s="692">
        <f ca="1">Tab_NewTRADER[[#This Row],[L_Sn]]*(Tab_NewTRADER[[#This Row],[Agiotage]]-Tab_NewTRADER[[#This Row],[M]])/(Tab_NewTRADER[[#This Row],[L_Bn]]*Tab_NewTRADER[[#This Row],[M]])</f>
        <v>-0.66666659687937491</v>
      </c>
      <c r="BH79" s="635">
        <f ca="1">IFERROR((Tab_NewTRADER[[#This Row],[M]]-Tab_NewTRADER[[#This Row],[A]])/Tab_NewTRADER[[#This Row],[A]],0)</f>
        <v>-0.16485102306501917</v>
      </c>
      <c r="BI79" s="638" t="str">
        <f ca="1">TEXT(_xlfn.XLOOKUP(Tab_NewTRADER[[#This Row],[ClickTick]],TabCalc[Ticker],TabCalc[NAfter]),"#,#0")&amp;" : "&amp;TEXT(_xlfn.XLOOKUP(Tab_NewTRADER[[#This Row],[ClickTick]],TabCalc[Ticker],TabCalc[NAfter])*(Tab_NewTRADER[[#This Row],[M]]-Tab_NewTRADER[[#This Row],[A]])*(1-Commission)*Tab_NewTRADER[[#This Row],[Scale]],"#,#0$")</f>
        <v>900 : -26,775$</v>
      </c>
      <c r="BJ79" s="684">
        <f ca="1">_xlfn.XLOOKUP(Tab_NewTRADER[[#This Row],[ClickTick]],TabCalc[[#This Row],[Ticker]],TabCalc[[#This Row],[GL]])*(1-Commission)</f>
        <v>14910.980390000019</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0.21209714777314526</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-0.92344990333238841</v>
      </c>
      <c r="BU79" s="687">
        <f ca="1">(Tab_NewTRADER[[#This Row],[M]]-Tab_NewTRADER[[#This Row],[Agiotage]])/(Tab_NewTRADER[[#This Row],[M]]-Tab_NewTRADER[[#This Row],[A]])-1</f>
        <v>-6.066082539150579</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29.0%</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15,858$</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-20.1% = 0</v>
      </c>
      <c r="I80" s="226" t="str">
        <f ca="1">IFERROR(TRUNC(TabCalc[[#This Row],[L_S1p]],2)&amp;"x"&amp;TabCalc[[#This Row],[L_S1n]]&amp;"=   "&amp;TEXT(TabCalc[[#This Row],[ReverseB1]],"#,#0"),"")</f>
        <v>495.03x100=   -29,545</v>
      </c>
      <c r="J80" s="295">
        <f ca="1">_xlfn.XLOOKUP(Tab_NewTRADER[[#This Row],[ClickTick]],TabCalc[Ticker],ListGravity)</f>
        <v>1.0143736716931484</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2.8609005735359916E-4</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0.40754609807844183</v>
      </c>
      <c r="S80" s="683">
        <f ca="1">_xlfn.XLOOKUP(Tab_NewTRADER[[#This Row],[ClickTick]],TabCalc[Ticker],TabCalc[Rev(MinStock)])*(1-Commission)</f>
        <v>0</v>
      </c>
      <c r="T80" s="782">
        <f ca="1">_xlfn.XLOOKUP(Tab_NewTRADER[[#This Row],[ClickTick]],TabCalc[Ticker],TabCalc[Agiotage])</f>
        <v>2.8609005735359916E-4</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-1.9%</v>
      </c>
      <c r="V80" s="739" t="str">
        <f ca="1">_xlfn.XLOOKUP(Tab_NewTRADER[[#This Row],[ClickTick]],[1]!RTData[Ticker_Symbol],[1]!RTData[Currency])</f>
        <v>USD</v>
      </c>
      <c r="W80" s="749">
        <f ca="1">_xlfn.XLOOKUP(Tab_NewTRADER[[#This Row],[ClickTick]],TabCalc[Ticker],TabCalc[M])</f>
        <v>790.48</v>
      </c>
      <c r="X80" s="1343"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70" t="str">
        <f ca="1">TEXT(MIN(Tab_NewTRADER[[#This Row],[L_Bn]],Tab_NewTRADER[[#This Row],[N]]),"#,#0")&amp;" x "&amp;TEXT(Tab_NewTRADER[[#This Row],[L_Bp]],"#,#0.#0")</f>
        <v>0 x -561.60</v>
      </c>
      <c r="AJ80" s="1370">
        <f ca="1">IF(Tab_NewTRADER[[#This Row],[M]]&lt;_xlfn.XLOOKUP(Tab_NewTRADER[[#This Row],[ClickTick]],TabCalc[Ticker],TabCalc[Max_Buy_P]), 0,Tab_NewTRADER[[#This Row],[Sale_Back_$]])</f>
        <v>0</v>
      </c>
      <c r="AK80" s="1370" t="str">
        <f ca="1">TEXT(Tab_NewTRADER[[#This Row],[L_Sn]],"#,#0")&amp;" ("&amp;Tab_NewTRADER[[#This Row],[M]]&amp;"/"&amp;TEXT(Tab_NewTRADER[[#This Row],[L_Sp]],"#,#0.#0)")</f>
        <v>100 (790.48/631.90)</v>
      </c>
      <c r="AL80" s="1370">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0.35610824103941519</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0x790.48</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-0.20321228620584963</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-0.25095742997309706</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-0.99999963808058734</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-3.6191941266139338E-7</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-52,383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-537.6%</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-21,720$</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2.4752475247524752</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10266.65</v>
      </c>
      <c r="M81" s="323">
        <f ca="1">_xlfn.XLOOKUP(Tab_NewTRADER[[#This Row],[ClickTick]],TabCalc[Ticker],TabCalc[Agiotage])</f>
        <v>2.335548082497526E-3</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-0.8431677018633541</v>
      </c>
      <c r="S81" s="683">
        <f ca="1">_xlfn.XLOOKUP(Tab_NewTRADER[[#This Row],[ClickTick]],TabCalc[Ticker],TabCalc[Rev(MinStock)])*(1-Commission)</f>
        <v>-52247.013654000002</v>
      </c>
      <c r="T81" s="782">
        <f ca="1">_xlfn.XLOOKUP(Tab_NewTRADER[[#This Row],[ClickTick]],TabCalc[Ticker],TabCalc[Agiotage])</f>
        <v>2.335548082497526E-3</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-2,173/-2,173=&gt;8.3% / -4.7%</v>
      </c>
      <c r="V81" s="739" t="str">
        <f ca="1">_xlfn.XLOOKUP(Tab_NewTRADER[[#This Row],[ClickTick]],[1]!RTData[Ticker_Symbol],[1]!RTData[Currency])</f>
        <v>USD</v>
      </c>
      <c r="W81" s="749">
        <f ca="1">_xlfn.XLOOKUP(Tab_NewTRADER[[#This Row],[ClickTick]],TabCalc[Ticker],TabCalc[M])</f>
        <v>1.01</v>
      </c>
      <c r="X81" s="1343"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-321/16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70" t="str">
        <f ca="1">TEXT(MIN(Tab_NewTRADER[[#This Row],[L_Bn]],Tab_NewTRADER[[#This Row],[N]]),"#,#0")&amp;" x "&amp;TEXT(Tab_NewTRADER[[#This Row],[L_Bp]],"#,#0.#0")</f>
        <v>9,647 x -6.44</v>
      </c>
      <c r="AJ81" s="1370">
        <f ca="1">IF(Tab_NewTRADER[[#This Row],[M]]&lt;_xlfn.XLOOKUP(Tab_NewTRADER[[#This Row],[ClickTick]],TabCalc[Ticker],TabCalc[Max_Buy_P]), 0,Tab_NewTRADER[[#This Row],[Sale_Back_$]])</f>
        <v>0</v>
      </c>
      <c r="AK81" s="1370" t="str">
        <f ca="1">TEXT(Tab_NewTRADER[[#This Row],[L_Sn]],"#,#0")&amp;" ("&amp;Tab_NewTRADER[[#This Row],[M]]&amp;"/"&amp;TEXT(Tab_NewTRADER[[#This Row],[L_Sp]],"#,#0.#0)")</f>
        <v>0 (1.01/0.0)</v>
      </c>
      <c r="AL81" s="1370">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52247.013654000002</v>
      </c>
      <c r="AN81" s="1177">
        <f ca="1">Tab_NewTRADER[[#This Row],[N]]*(Tab_NewTRADER[[#This Row],[M]]-Tab_NewTRADER[[#This Row],[A]])*(1-Commission)*Tab_NewTRADER[[#This Row],[Scale]]</f>
        <v>-319881.79928399995</v>
      </c>
      <c r="AO81" s="1177">
        <f ca="1">Tab_NewTRADER[[#This Row],[M]]*Tab_NewTRADER[[#This Row],[N]]*(1-Commission)*Tab_NewTRADER[[#This Row],[Scale]]</f>
        <v>15632.429731999999</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0.95340755061909899</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5.3736376237623764</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-1.0151851928789548</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5.3762376237623766</v>
      </c>
      <c r="AV81" s="825" cm="1">
        <f t="array" aca="1" ref="AV81" ca="1">_xlfn.IFS(         Tab_NewTRADER[[#This Row],[Trap_vs_Last]]=MDown,Tab_NewTRADER[[#This Row],[L_Bn]]*Tab_NewTRADER[[#This Row],[M]]*(-(Tab_NewTRADER[[#This Row],[L_Bp]]+Tab_NewTRADER[[#This Row],[M]])/Tab_NewTRADER[[#This Row],[M]])*(1-Commission)*Tab_NewTRADER[[#This Row],[Scale]],                               TRUE,"")</f>
        <v>52247.013653999995</v>
      </c>
      <c r="AW81" s="1186" cm="1">
        <f t="array" aca="1" ref="AW81" ca="1">_xlfn.IFS(   Tab_NewTRADER[[#This Row],[Trap_vs_Last]]=MUp,Tab_NewTRADER[[#This Row],[TakeGain_A]]-Commission,        Tab_NewTRADER[[#This Row],[Trap_vs_Last]]=MDown,(Tab_NewTRADER[[#This Row],[A]]-Tab_NewTRADER[[#This Row],[M]])/Tab_NewTRADER[[#This Row],[M]]-Commission,                              TRUE,"")</f>
        <v>20.460105079632847</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319881.79928399995</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-1.2%</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-5.43</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-0.95092869098748933</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20.460105079632847</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-0.95340755061909899</v>
      </c>
      <c r="BI81" s="638" t="str">
        <f ca="1">TEXT(_xlfn.XLOOKUP(Tab_NewTRADER[[#This Row],[ClickTick]],TabCalc[Ticker],TabCalc[NAfter]),"#,#0")&amp;" : "&amp;TEXT(_xlfn.XLOOKUP(Tab_NewTRADER[[#This Row],[ClickTick]],TabCalc[Ticker],TabCalc[NAfter])*(Tab_NewTRADER[[#This Row],[M]]-Tab_NewTRADER[[#This Row],[A]])*(1-Commission)*Tab_NewTRADER[[#This Row],[Scale]],"#,#0$")</f>
        <v>15,518 : -319,882$</v>
      </c>
      <c r="BJ81" s="684">
        <f ca="1">_xlfn.XLOOKUP(Tab_NewTRADER[[#This Row],[ClickTick]],TabCalc[[#This Row],[Ticker]],TabCalc[[#This Row],[GL]])*(1-Commission)</f>
        <v>-319881.79928399995</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5.3762376237623766</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-1.048756387402024</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+2,565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6.5%</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6,161</v>
      </c>
      <c r="F82" s="226" t="str">
        <f ca="1">TRUNC(TabCalc[[#This Row],[L_B1p]],2)&amp;"x"&amp;TabCalc[[#This Row],[L_B1n]]&amp;"=   "&amp;TEXT(TabCalc[[#This Row],[ReverseS1]],"#,#0")&amp;"$"</f>
        <v>-33.84x1200=   -1,206$</v>
      </c>
      <c r="G82" s="225" t="str">
        <f ca="1">IFERROR(TRUNC(_xlfn.XLOOKUP(Tab_NewTRADER[[#This Row],[ClickTick]],TabCalc[Ticker],ListLastSalep),2)&amp;"x"&amp;_xlfn.XLOOKUP(Tab_NewTRADER[[#This Row],[ClickTick]],TabCalc[Ticker],ListLastSalen)&amp;"=   "&amp;TEXT(-_xlfn.XLOOKUP(Tab_NewTRADER[[#This Row],[ClickTick]],TabCalc[Ticker],ListReverseB),"#,#0")&amp;"$","")</f>
        <v>33.64x1200=   -974$</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6,161</v>
      </c>
      <c r="I82" s="226" t="str">
        <f ca="1">IFERROR(TRUNC(TabCalc[[#This Row],[L_S1p]],2)&amp;"x"&amp;TabCalc[[#This Row],[L_S1n]]&amp;"=   "&amp;TEXT(TabCalc[[#This Row],[ReverseB1]],"#,#0"),"")</f>
        <v>28.54x2000=   -8,590</v>
      </c>
      <c r="J82" s="295">
        <f ca="1">_xlfn.XLOOKUP(Tab_NewTRADER[[#This Row],[ClickTick]],TabCalc[Ticker],ListGravity)</f>
        <v>1.0377243794731232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3.330641905530884E-6</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6.9634561884719962E-2</v>
      </c>
      <c r="S82" s="683">
        <f ca="1">_xlfn.XLOOKUP(Tab_NewTRADER[[#This Row],[ClickTick]],TabCalc[Ticker],TabCalc[Rev(MinStock)])*(1-Commission)</f>
        <v>2558.4506880000031</v>
      </c>
      <c r="T82" s="782">
        <f ca="1">_xlfn.XLOOKUP(Tab_NewTRADER[[#This Row],[ClickTick]],TabCalc[Ticker],TabCalc[Agiotage])</f>
        <v>3.330641905530884E-6</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342/342=&gt;2.7% / -0.6%</v>
      </c>
      <c r="V82" s="739" t="str">
        <f ca="1">_xlfn.XLOOKUP(Tab_NewTRADER[[#This Row],[ClickTick]],[1]!RTData[Ticker_Symbol],[1]!RTData[Currency])</f>
        <v>USD</v>
      </c>
      <c r="W82" s="749">
        <f ca="1">_xlfn.XLOOKUP(Tab_NewTRADER[[#This Row],[ClickTick]],TabCalc[Ticker],TabCalc[M])</f>
        <v>32.835000000000001</v>
      </c>
      <c r="X82" s="1343"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-18/39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971.29804199999523</v>
      </c>
      <c r="AI82" s="1370" t="str">
        <f ca="1">TEXT(MIN(Tab_NewTRADER[[#This Row],[L_Bn]],Tab_NewTRADER[[#This Row],[N]]),"#,#0")&amp;" x "&amp;TEXT(Tab_NewTRADER[[#This Row],[L_Bp]],"#,#0.#0")</f>
        <v>1,200 x -30.70</v>
      </c>
      <c r="AJ82" s="1370">
        <f ca="1">IF(Tab_NewTRADER[[#This Row],[M]]&lt;_xlfn.XLOOKUP(Tab_NewTRADER[[#This Row],[ClickTick]],TabCalc[Ticker],TabCalc[Max_Buy_P]), 0,Tab_NewTRADER[[#This Row],[Sale_Back_$]])</f>
        <v>2558.4506880000031</v>
      </c>
      <c r="AK82" s="1370" t="str">
        <f ca="1">TEXT(Tab_NewTRADER[[#This Row],[L_Sn]],"#,#0")&amp;" ("&amp;Tab_NewTRADER[[#This Row],[M]]&amp;"/"&amp;TEXT(Tab_NewTRADER[[#This Row],[L_Sp]],"#,#0.#0)")</f>
        <v>1,200 (32.835/33.65)</v>
      </c>
      <c r="AL82" s="1370">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2558.4506880000031</v>
      </c>
      <c r="AO82" s="1177">
        <f ca="1">Tab_NewTRADER[[#This Row],[M]]*Tab_NewTRADER[[#This Row],[N]]*(1-Commission)*Tab_NewTRADER[[#This Row],[Scale]]</f>
        <v>39299.554799999998</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2.4119132659316114E-2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8.644290440861789E-2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2558.4506880000031</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6.9453512023819691E-2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-6.7701263895233829E-2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2.4119132659316114E-2</v>
      </c>
      <c r="BF82" s="729">
        <f ca="1">MIN(Tab_NewTRADER[[#This Row],[L_Sn]],Tab_NewTRADER[[#This Row],[N]])*(Tab_NewTRADER[[#This Row],[M]]-Tab_NewTRADER[[#This Row],[L_Sp]])*(1-Commission)*Tab_NewTRADER[[#This Row],[Scale]]</f>
        <v>-971.29804199999523</v>
      </c>
      <c r="BG82" s="692">
        <f ca="1">Tab_NewTRADER[[#This Row],[L_Sn]]*(Tab_NewTRADER[[#This Row],[Agiotage]]-Tab_NewTRADER[[#This Row],[M]])/(Tab_NewTRADER[[#This Row],[L_Bn]]*Tab_NewTRADER[[#This Row],[M]])</f>
        <v>-0.99999989856427884</v>
      </c>
      <c r="BH82" s="635">
        <f ca="1">IFERROR((Tab_NewTRADER[[#This Row],[M]]-Tab_NewTRADER[[#This Row],[A]])/Tab_NewTRADER[[#This Row],[A]],0)</f>
        <v>6.9634561884719962E-2</v>
      </c>
      <c r="BI82" s="638" t="str">
        <f ca="1">TEXT(_xlfn.XLOOKUP(Tab_NewTRADER[[#This Row],[ClickTick]],TabCalc[Ticker],TabCalc[NAfter]),"#,#0")&amp;" : "&amp;TEXT(_xlfn.XLOOKUP(Tab_NewTRADER[[#This Row],[ClickTick]],TabCalc[Ticker],TabCalc[NAfter])*(Tab_NewTRADER[[#This Row],[M]]-Tab_NewTRADER[[#This Row],[A]])*(1-Commission)*Tab_NewTRADER[[#This Row],[Scale]],"#,#0$")</f>
        <v>1,200 : 2,558$</v>
      </c>
      <c r="BJ82" s="684">
        <f ca="1">_xlfn.XLOOKUP(Tab_NewTRADER[[#This Row],[ClickTick]],TabCalc[[#This Row],[Ticker]],TabCalc[[#This Row],[GL]])*(1-Commission)</f>
        <v>-18350.614030000004</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79777.829999999987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33.240762499999995</v>
      </c>
      <c r="BT82" s="687">
        <f ca="1">((_xlfn.XLOOKUP(Tab_NewTRADER[[#This Row],[ClickTick]],TabCalc[Ticker],TabCalc[NAfter])+Tab_NewTRADER[[#This Row],[L_Sn]])*(Tab_NewTRADER[[#This Row],[Agiotage]]-Tab_NewTRADER[[#This Row],[M]]))/(Tab_NewTRADER[[#This Row],[L_Sn]]*_xlfn.XLOOKUP(Tab_NewTRADER[[#This Row],[ClickTick]],TabCalc[Ticker],TabCalc[NAfter]))</f>
        <v>-5.4724994448930163E-2</v>
      </c>
      <c r="BU82" s="687">
        <f ca="1">(Tab_NewTRADER[[#This Row],[M]]-Tab_NewTRADER[[#This Row],[Agiotage]])/(Tab_NewTRADER[[#This Row],[M]]-Tab_NewTRADER[[#This Row],[A]])-1</f>
        <v>14.360683322117355</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-2,016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-216$</v>
      </c>
      <c r="G83" s="225" t="str">
        <f ca="1">IFERROR(TRUNC(_xlfn.XLOOKUP(Tab_NewTRADER[[#This Row],[ClickTick]],TabCalc[Ticker],ListLastSalep),2)&amp;"x"&amp;_xlfn.XLOOKUP(Tab_NewTRADER[[#This Row],[ClickTick]],TabCalc[Ticker],ListLastSalen)&amp;"=   "&amp;TEXT(-_xlfn.XLOOKUP(Tab_NewTRADER[[#This Row],[ClickTick]],TabCalc[Ticker],ListReverseB),"#,#0")&amp;"$","")</f>
        <v>592.68x100=   -4,695$</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8.6% = 106</v>
      </c>
      <c r="I83" s="226" t="str">
        <f ca="1">IFERROR(TRUNC(TabCalc[[#This Row],[L_S1p]],2)&amp;"x"&amp;TabCalc[[#This Row],[L_S1n]]&amp;"=   "&amp;TEXT(TabCalc[[#This Row],[ReverseB1]],"#,#0"),"")</f>
        <v>546.67x100=   94</v>
      </c>
      <c r="J83" s="295">
        <f ca="1">_xlfn.XLOOKUP(Tab_NewTRADER[[#This Row],[ClickTick]],TabCalc[Ticker],ListGravity)</f>
        <v>1.2006041449068219</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2.2444521480915932E-4</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-3.5625298202830884E-2</v>
      </c>
      <c r="S83" s="683">
        <f ca="1">_xlfn.XLOOKUP(Tab_NewTRADER[[#This Row],[ClickTick]],TabCalc[Ticker],TabCalc[Rev(MinStock)])*(1-Commission)</f>
        <v>-2010.7583999999968</v>
      </c>
      <c r="T83" s="782">
        <f ca="1">_xlfn.XLOOKUP(Tab_NewTRADER[[#This Row],[ClickTick]],TabCalc[Ticker],TabCalc[Agiotage])</f>
        <v>2.2444521480915932E-4</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-2,062/-2,062=&gt;-0.4% / -1.8%</v>
      </c>
      <c r="V83" s="739" t="str">
        <f ca="1">_xlfn.XLOOKUP(Tab_NewTRADER[[#This Row],[ClickTick]],[1]!RTData[Ticker_Symbol],[1]!RTData[Currency])</f>
        <v>USD</v>
      </c>
      <c r="W83" s="749">
        <f ca="1">_xlfn.XLOOKUP(Tab_NewTRADER[[#This Row],[ClickTick]],TabCalc[Ticker],TabCalc[M])</f>
        <v>545.73</v>
      </c>
      <c r="X83" s="1343"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109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70" t="str">
        <f ca="1">TEXT(MIN(Tab_NewTRADER[[#This Row],[L_Bn]],Tab_NewTRADER[[#This Row],[N]]),"#,#0")&amp;" x "&amp;TEXT(Tab_NewTRADER[[#This Row],[L_Bp]],"#,#0.#0")</f>
        <v>100 x -565.89</v>
      </c>
      <c r="AJ83" s="1370">
        <f ca="1">IF(Tab_NewTRADER[[#This Row],[M]]&lt;_xlfn.XLOOKUP(Tab_NewTRADER[[#This Row],[ClickTick]],TabCalc[Ticker],TabCalc[Max_Buy_P]), 0,Tab_NewTRADER[[#This Row],[Sale_Back_$]])</f>
        <v>0</v>
      </c>
      <c r="AK83" s="1370" t="str">
        <f ca="1">TEXT(Tab_NewTRADER[[#This Row],[L_Sn]],"#,#0")&amp;" ("&amp;Tab_NewTRADER[[#This Row],[M]]&amp;"/"&amp;TEXT(Tab_NewTRADER[[#This Row],[L_Sp]],"#,#0.#0)")</f>
        <v>100 (545.73/592.68)</v>
      </c>
      <c r="AL83" s="1370">
        <f ca="1">IF(Tab_NewTRADER[[#This Row],[M]]&lt;_xlfn.XLOOKUP(Tab_NewTRADER[[#This Row],[ClickTick]],TabCalc[Ticker],TabCalc[Max_Buy_P]), -Tab_NewTRADER[[#This Row],[Buy_Back]], 0)</f>
        <v>4682.7929999999924</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2010.7583999999968</v>
      </c>
      <c r="AN83" s="1177">
        <f ca="1">Tab_NewTRADER[[#This Row],[N]]*(Tab_NewTRADER[[#This Row],[M]]-Tab_NewTRADER[[#This Row],[A]])*(1-Commission)*Tab_NewTRADER[[#This Row],[Scale]]</f>
        <v>-2118.4776000000006</v>
      </c>
      <c r="AO83" s="1177">
        <f ca="1">Tab_NewTRADER[[#This Row],[M]]*Tab_NewTRADER[[#This Row],[N]]*(1-Commission)*Tab_NewTRADER[[#This Row],[Scale]]</f>
        <v>108862.22039999999</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1.9088703154489087E-2</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3.4341344620966358E-2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-0.23750198801887257</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3.6941344620966356E-2</v>
      </c>
      <c r="AV83" s="825" cm="1">
        <f t="array" aca="1" ref="AV83" ca="1">_xlfn.IFS(         Tab_NewTRADER[[#This Row],[Trap_vs_Last]]=MDown,Tab_NewTRADER[[#This Row],[L_Bn]]*Tab_NewTRADER[[#This Row],[M]]*(-(Tab_NewTRADER[[#This Row],[L_Bp]]+Tab_NewTRADER[[#This Row],[M]])/Tab_NewTRADER[[#This Row],[M]])*(1-Commission)*Tab_NewTRADER[[#This Row],[Scale]],                               TRUE,"")</f>
        <v>2010.7583999999968</v>
      </c>
      <c r="AW83" s="1186" cm="1">
        <f t="array" aca="1" ref="AW83" ca="1">_xlfn.IFS(   Tab_NewTRADER[[#This Row],[Trap_vs_Last]]=MUp,Tab_NewTRADER[[#This Row],[TakeGain_A]]-Commission,        Tab_NewTRADER[[#This Row],[Trap_vs_Last]]=MDown,(Tab_NewTRADER[[#This Row],[A]]-Tab_NewTRADER[[#This Row],[M]])/Tab_NewTRADER[[#This Row],[M]]-Commission,                              TRUE,"")</f>
        <v>1.6860172612830529E-2</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2118.4776000000006</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-20.16</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-1.9039072526287414E-2</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1.6860172612830529E-2</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7.9216440575015076E-2</v>
      </c>
      <c r="BF83" s="729">
        <f ca="1">MIN(Tab_NewTRADER[[#This Row],[L_Sn]],Tab_NewTRADER[[#This Row],[N]])*(Tab_NewTRADER[[#This Row],[M]]-Tab_NewTRADER[[#This Row],[L_Sp]])*(1-Commission)*Tab_NewTRADER[[#This Row],[Scale]]</f>
        <v>-4682.7929999999924</v>
      </c>
      <c r="BG83" s="692">
        <f ca="1">Tab_NewTRADER[[#This Row],[L_Sn]]*(Tab_NewTRADER[[#This Row],[Agiotage]]-Tab_NewTRADER[[#This Row],[M]])/(Tab_NewTRADER[[#This Row],[L_Bn]]*Tab_NewTRADER[[#This Row],[M]])</f>
        <v>-0.9999995887248001</v>
      </c>
      <c r="BH83" s="635">
        <f ca="1">IFERROR((Tab_NewTRADER[[#This Row],[M]]-Tab_NewTRADER[[#This Row],[A]])/Tab_NewTRADER[[#This Row],[A]],0)</f>
        <v>-1.9088703154489087E-2</v>
      </c>
      <c r="BI83" s="638" t="str">
        <f ca="1">TEXT(_xlfn.XLOOKUP(Tab_NewTRADER[[#This Row],[ClickTick]],TabCalc[Ticker],TabCalc[NAfter]),"#,#0")&amp;" : "&amp;TEXT(_xlfn.XLOOKUP(Tab_NewTRADER[[#This Row],[ClickTick]],TabCalc[Ticker],TabCalc[NAfter])*(Tab_NewTRADER[[#This Row],[M]]-Tab_NewTRADER[[#This Row],[A]])*(1-Commission)*Tab_NewTRADER[[#This Row],[Scale]],"#,#0$")</f>
        <v>200 : -2,118$</v>
      </c>
      <c r="BJ83" s="684">
        <f ca="1">_xlfn.XLOOKUP(Tab_NewTRADER[[#This Row],[ClickTick]],TabCalc[[#This Row],[Ticker]],TabCalc[[#This Row],[GL]])*(1-Commission)</f>
        <v>46374.870026599987</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3.6941344620966356E-2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-8.1859466333217767</v>
      </c>
      <c r="BU83" s="687">
        <f ca="1">(Tab_NewTRADER[[#This Row],[M]]-Tab_NewTRADER[[#This Row],[Agiotage]])/(Tab_NewTRADER[[#This Row],[M]]-Tab_NewTRADER[[#This Row],[A]])-1</f>
        <v>-52.386984515516474</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-12,505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-39.9%</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10,596$</v>
      </c>
      <c r="G84" s="225" t="str">
        <f ca="1">IFERROR(TRUNC(_xlfn.XLOOKUP(Tab_NewTRADER[[#This Row],[ClickTick]],TabCalc[Ticker],ListLastSalep),2)&amp;"x"&amp;_xlfn.XLOOKUP(Tab_NewTRADER[[#This Row],[ClickTick]],TabCalc[Ticker],ListLastSalen)&amp;"=   "&amp;TEXT(-_xlfn.XLOOKUP(Tab_NewTRADER[[#This Row],[ClickTick]],TabCalc[Ticker],ListReverseB),"#,#0")&amp;"$","")</f>
        <v>13.35x5000=   -31,935$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91.6% = 783</v>
      </c>
      <c r="I84" s="226" t="str">
        <f ca="1">IFERROR(TRUNC(TabCalc[[#This Row],[L_S1p]],2)&amp;"x"&amp;TabCalc[[#This Row],[L_S1n]]&amp;"=   "&amp;TEXT(TabCalc[[#This Row],[ReverseB1]],"#,#0"),"")</f>
        <v>14.95x2700=   21,546</v>
      </c>
      <c r="J84" s="295">
        <f ca="1">_xlfn.XLOOKUP(Tab_NewTRADER[[#This Row],[ClickTick]],TabCalc[Ticker],ListGravity)</f>
        <v>1.8095408895265426</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26486</v>
      </c>
      <c r="M84" s="323">
        <f ca="1">_xlfn.XLOOKUP(Tab_NewTRADER[[#This Row],[ClickTick]],TabCalc[Ticker],TabCalc[Agiotage])</f>
        <v>9.0168926976243643E-5</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-0.28504021007713765</v>
      </c>
      <c r="S84" s="683">
        <f ca="1">_xlfn.XLOOKUP(Tab_NewTRADER[[#This Row],[ClickTick]],TabCalc[Ticker],TabCalc[Rev(MinStock)])*(1-Commission)</f>
        <v>-12472.088039999999</v>
      </c>
      <c r="T84" s="782">
        <f ca="1">_xlfn.XLOOKUP(Tab_NewTRADER[[#This Row],[ClickTick]],TabCalc[Ticker],TabCalc[Agiotage])</f>
        <v>9.0168926976243643E-5</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325/325=&gt;-2.4% / -1.3%</v>
      </c>
      <c r="V84" s="739" t="str">
        <f ca="1">_xlfn.XLOOKUP(Tab_NewTRADER[[#This Row],[ClickTick]],[1]!RTData[Ticker_Symbol],[1]!RTData[Currency])</f>
        <v>USD</v>
      </c>
      <c r="W84" s="749">
        <f ca="1">_xlfn.XLOOKUP(Tab_NewTRADER[[#This Row],[ClickTick]],TabCalc[Ticker],TabCalc[M])</f>
        <v>6.97</v>
      </c>
      <c r="X84" s="1343"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-89/45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70" t="str">
        <f ca="1">TEXT(MIN(Tab_NewTRADER[[#This Row],[L_Bn]],Tab_NewTRADER[[#This Row],[N]]),"#,#0")&amp;" x "&amp;TEXT(Tab_NewTRADER[[#This Row],[L_Bp]],"#,#0.#0")</f>
        <v>4,500 x -9.75</v>
      </c>
      <c r="AJ84" s="1370">
        <f ca="1">IF(Tab_NewTRADER[[#This Row],[M]]&lt;_xlfn.XLOOKUP(Tab_NewTRADER[[#This Row],[ClickTick]],TabCalc[Ticker],TabCalc[Max_Buy_P]), 0,Tab_NewTRADER[[#This Row],[Sale_Back_$]])</f>
        <v>0</v>
      </c>
      <c r="AK84" s="1370" t="str">
        <f ca="1">TEXT(Tab_NewTRADER[[#This Row],[L_Sn]],"#,#0")&amp;" ("&amp;Tab_NewTRADER[[#This Row],[M]]&amp;"/"&amp;TEXT(Tab_NewTRADER[[#This Row],[L_Sp]],"#,#0.#0)")</f>
        <v>5,000 (6.97/13.36)</v>
      </c>
      <c r="AL84" s="1370">
        <f ca="1">IF(Tab_NewTRADER[[#This Row],[M]]&lt;_xlfn.XLOOKUP(Tab_NewTRADER[[#This Row],[ClickTick]],TabCalc[Ticker],TabCalc[Max_Buy_P]), -Tab_NewTRADER[[#This Row],[Buy_Back]], 0)</f>
        <v>31851.968999999994</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12472.088039999999</v>
      </c>
      <c r="AN84" s="1177">
        <f ca="1">Tab_NewTRADER[[#This Row],[N]]*(Tab_NewTRADER[[#This Row],[M]]-Tab_NewTRADER[[#This Row],[A]])*(1-Commission)*Tab_NewTRADER[[#This Row],[Scale]]</f>
        <v>-9220.3645599999927</v>
      </c>
      <c r="AO84" s="1177">
        <f ca="1">Tab_NewTRADER[[#This Row],[M]]*Tab_NewTRADER[[#This Row],[N]]*(1-Commission)*Tab_NewTRADER[[#This Row],[Scale]]</f>
        <v>45187.206999999995</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0.16946840845178857</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0.39608005738880914</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-0.32576024008815735</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0.39868005738880913</v>
      </c>
      <c r="AV84" s="825" cm="1">
        <f t="array" aca="1" ref="AV84" ca="1">_xlfn.IFS(         Tab_NewTRADER[[#This Row],[Trap_vs_Last]]=MDown,Tab_NewTRADER[[#This Row],[L_Bn]]*Tab_NewTRADER[[#This Row],[M]]*(-(Tab_NewTRADER[[#This Row],[L_Bp]]+Tab_NewTRADER[[#This Row],[M]])/Tab_NewTRADER[[#This Row],[M]])*(1-Commission)*Tab_NewTRADER[[#This Row],[Scale]],                               TRUE,"")</f>
        <v>12472.088039999999</v>
      </c>
      <c r="AW84" s="1186" cm="1">
        <f t="array" aca="1" ref="AW84" ca="1">_xlfn.IFS(   Tab_NewTRADER[[#This Row],[Trap_vs_Last]]=MUp,Tab_NewTRADER[[#This Row],[TakeGain_A]]-Commission,        Tab_NewTRADER[[#This Row],[Trap_vs_Last]]=MDown,(Tab_NewTRADER[[#This Row],[A]]-Tab_NewTRADER[[#This Row],[M]])/Tab_NewTRADER[[#This Row],[M]]-Commission,                              TRUE,"")</f>
        <v>0.20144811830923726</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9220.3645599999927</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-2.77</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-0.1690277905898139</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0.20144811830923726</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0.47817623717900726</v>
      </c>
      <c r="BF84" s="729">
        <f ca="1">MIN(Tab_NewTRADER[[#This Row],[L_Sn]],Tab_NewTRADER[[#This Row],[N]])*(Tab_NewTRADER[[#This Row],[M]]-Tab_NewTRADER[[#This Row],[L_Sp]])*(1-Commission)*Tab_NewTRADER[[#This Row],[Scale]]</f>
        <v>-31851.968999999994</v>
      </c>
      <c r="BG84" s="692">
        <f ca="1">Tab_NewTRADER[[#This Row],[L_Sn]]*(Tab_NewTRADER[[#This Row],[Agiotage]]-Tab_NewTRADER[[#This Row],[M]])/(Tab_NewTRADER[[#This Row],[L_Bn]]*Tab_NewTRADER[[#This Row],[M]])</f>
        <v>-1.1110967369795988</v>
      </c>
      <c r="BH84" s="635">
        <f ca="1">IFERROR((Tab_NewTRADER[[#This Row],[M]]-Tab_NewTRADER[[#This Row],[A]])/Tab_NewTRADER[[#This Row],[A]],0)</f>
        <v>-0.16946840845178857</v>
      </c>
      <c r="BI84" s="638" t="str">
        <f ca="1">TEXT(_xlfn.XLOOKUP(Tab_NewTRADER[[#This Row],[ClickTick]],TabCalc[Ticker],TabCalc[NAfter]),"#,#0")&amp;" : "&amp;TEXT(_xlfn.XLOOKUP(Tab_NewTRADER[[#This Row],[ClickTick]],TabCalc[Ticker],TabCalc[NAfter])*(Tab_NewTRADER[[#This Row],[M]]-Tab_NewTRADER[[#This Row],[A]])*(1-Commission)*Tab_NewTRADER[[#This Row],[Scale]],"#,#0$")</f>
        <v>6,500 : -9,220$</v>
      </c>
      <c r="BJ84" s="684">
        <f ca="1">_xlfn.XLOOKUP(Tab_NewTRADER[[#This Row],[ClickTick]],TabCalc[[#This Row],[Ticker]],TabCalc[[#This Row],[GL]])*(1-Commission)</f>
        <v>-88672.749859999996</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0.39868005738880913</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-2.4662757863796853E-3</v>
      </c>
      <c r="BU84" s="687">
        <f ca="1">(Tab_NewTRADER[[#This Row],[M]]-Tab_NewTRADER[[#This Row],[Agiotage]])/(Tab_NewTRADER[[#This Row],[M]]-Tab_NewTRADER[[#This Row],[A]])-1</f>
        <v>-5.9007414112300083</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25.3%</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11,300$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21.5% = 0</v>
      </c>
      <c r="I85" s="226" t="str">
        <f ca="1">IFERROR(TRUNC(TabCalc[[#This Row],[L_S1p]],2)&amp;"x"&amp;TabCalc[[#This Row],[L_S1n]]&amp;"=   "&amp;TEXT(TabCalc[[#This Row],[ReverseB1]],"#,#0"),"")</f>
        <v>99.4x1000=   -31,860</v>
      </c>
      <c r="J85" s="295">
        <f ca="1">_xlfn.XLOOKUP(Tab_NewTRADER[[#This Row],[ClickTick]],TabCalc[Ticker],ListGravity)</f>
        <v>0.97100411397226882</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1.0841290013074536E-3</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0.33889591578603767</v>
      </c>
      <c r="S85" s="683">
        <f ca="1">_xlfn.XLOOKUP(Tab_NewTRADER[[#This Row],[ClickTick]],TabCalc[Ticker],TabCalc[Rev(MinStock)])*(1-Commission)</f>
        <v>0</v>
      </c>
      <c r="T85" s="782">
        <f ca="1">_xlfn.XLOOKUP(Tab_NewTRADER[[#This Row],[ClickTick]],TabCalc[Ticker],TabCalc[Agiotage])</f>
        <v>1.0841290013074536E-3</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-0.5%</v>
      </c>
      <c r="V85" s="739" t="str">
        <f ca="1">_xlfn.XLOOKUP(Tab_NewTRADER[[#This Row],[ClickTick]],[1]!RTData[Ticker_Symbol],[1]!RTData[Currency])</f>
        <v>USD</v>
      </c>
      <c r="W85" s="749">
        <f ca="1">_xlfn.XLOOKUP(Tab_NewTRADER[[#This Row],[ClickTick]],TabCalc[Ticker],TabCalc[M])</f>
        <v>131.26</v>
      </c>
      <c r="X85" s="1343"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70" t="str">
        <f ca="1">TEXT(MIN(Tab_NewTRADER[[#This Row],[L_Bn]],Tab_NewTRADER[[#This Row],[N]]),"#,#0")&amp;" x "&amp;TEXT(Tab_NewTRADER[[#This Row],[L_Bp]],"#,#0.#0")</f>
        <v>0 x -98.04</v>
      </c>
      <c r="AJ85" s="1370">
        <f ca="1">IF(Tab_NewTRADER[[#This Row],[M]]&lt;_xlfn.XLOOKUP(Tab_NewTRADER[[#This Row],[ClickTick]],TabCalc[Ticker],TabCalc[Max_Buy_P]), 0,Tab_NewTRADER[[#This Row],[Sale_Back_$]])</f>
        <v>0</v>
      </c>
      <c r="AK85" s="1370" t="str">
        <f ca="1">TEXT(Tab_NewTRADER[[#This Row],[L_Sn]],"#,#0")&amp;" ("&amp;Tab_NewTRADER[[#This Row],[M]]&amp;"/"&amp;TEXT(Tab_NewTRADER[[#This Row],[L_Sp]],"#,#0.#0)")</f>
        <v>400 (131.26/103.01)</v>
      </c>
      <c r="AL85" s="1370">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0.38730961804118591</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-0.2%</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0x131.26</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-0.217817888160902</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-0.27423903388489523</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-0.39999669623952067</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-8.2594011984182814E-6</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+198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4,956$</v>
      </c>
      <c r="G86" s="225" t="str">
        <f ca="1">IFERROR(TRUNC(_xlfn.XLOOKUP(Tab_NewTRADER[[#This Row],[ClickTick]],TabCalc[Ticker],ListLastSalep),2)&amp;"x"&amp;_xlfn.XLOOKUP(Tab_NewTRADER[[#This Row],[ClickTick]],TabCalc[Ticker],ListLastSalen)&amp;"=   "&amp;TEXT(-_xlfn.XLOOKUP(Tab_NewTRADER[[#This Row],[ClickTick]],TabCalc[Ticker],ListReverseB),"#,#0")&amp;"$","")</f>
        <v>12.03x2000=   3,760$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13.5% = 0</v>
      </c>
      <c r="I86" s="226" t="str">
        <f ca="1">IFERROR(TRUNC(TabCalc[[#This Row],[L_S1p]],2)&amp;"x"&amp;TabCalc[[#This Row],[L_S1n]]&amp;"=   "&amp;TEXT(TabCalc[[#This Row],[ReverseB1]],"#,#0"),"")</f>
        <v>11.84x2000=   -4,130</v>
      </c>
      <c r="J86" s="295">
        <f ca="1">_xlfn.XLOOKUP(Tab_NewTRADER[[#This Row],[ClickTick]],TabCalc[Ticker],ListGravity)</f>
        <v>1.1015255212077641</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0.10826173304693219</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1.2004365223717783E-2</v>
      </c>
      <c r="S86" s="683">
        <f ca="1">_xlfn.XLOOKUP(Tab_NewTRADER[[#This Row],[ClickTick]],TabCalc[Ticker],TabCalc[Rev(MinStock)])*(1-Commission)</f>
        <v>197.4852000000011</v>
      </c>
      <c r="T86" s="782">
        <f ca="1">_xlfn.XLOOKUP(Tab_NewTRADER[[#This Row],[ClickTick]],TabCalc[Ticker],TabCalc[Agiotage])</f>
        <v>0.10826173304693219</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-138/-138=&gt;1.6% / -0.8%</v>
      </c>
      <c r="V86" s="739" t="str">
        <f ca="1">_xlfn.XLOOKUP(Tab_NewTRADER[[#This Row],[ClickTick]],[1]!RTData[Ticker_Symbol],[1]!RTData[Currency])</f>
        <v>EUR</v>
      </c>
      <c r="W86" s="749">
        <f ca="1">_xlfn.XLOOKUP(Tab_NewTRADER[[#This Row],[ClickTick]],TabCalc[Ticker],TabCalc[M])</f>
        <v>13.91</v>
      </c>
      <c r="X86" s="1343"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197.4852000000011</v>
      </c>
      <c r="AI86" s="1370" t="str">
        <f ca="1">TEXT(MIN(Tab_NewTRADER[[#This Row],[L_Bn]],Tab_NewTRADER[[#This Row],[N]]),"#,#0")&amp;" x "&amp;TEXT(Tab_NewTRADER[[#This Row],[L_Bp]],"#,#0.#0")</f>
        <v>1,200 x -13.75</v>
      </c>
      <c r="AJ86" s="1370">
        <f ca="1">IF(Tab_NewTRADER[[#This Row],[M]]&lt;_xlfn.XLOOKUP(Tab_NewTRADER[[#This Row],[ClickTick]],TabCalc[Ticker],TabCalc[Max_Buy_P]), 0,Tab_NewTRADER[[#This Row],[Sale_Back_$]])</f>
        <v>197.4852000000011</v>
      </c>
      <c r="AK86" s="1370" t="str">
        <f ca="1">TEXT(Tab_NewTRADER[[#This Row],[L_Sn]],"#,#0")&amp;" ("&amp;Tab_NewTRADER[[#This Row],[M]]&amp;"/"&amp;TEXT(Tab_NewTRADER[[#This Row],[L_Sp]],"#,#0.#0)")</f>
        <v>2,000 (13.91/12.03)</v>
      </c>
      <c r="AL86" s="1370">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197.4852000000011</v>
      </c>
      <c r="AO86" s="1177">
        <f ca="1">Tab_NewTRADER[[#This Row],[M]]*Tab_NewTRADER[[#This Row],[N]]*(1-Commission)*Tab_NewTRADER[[#This Row],[Scale]]</f>
        <v>16648.6008</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1.2004365223717783E-2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7.324697424641359E-2</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199.85588446708007</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-1.4461969805895106E-2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-0.1562759767248546</v>
      </c>
      <c r="BF86" s="729">
        <f ca="1">MIN(Tab_NewTRADER[[#This Row],[L_Sn]],Tab_NewTRADER[[#This Row],[N]])*(Tab_NewTRADER[[#This Row],[M]]-Tab_NewTRADER[[#This Row],[L_Sp]])*(1-Commission)*Tab_NewTRADER[[#This Row],[Scale]]</f>
        <v>2250.1344000000008</v>
      </c>
      <c r="BG86" s="692">
        <f ca="1">Tab_NewTRADER[[#This Row],[L_Sn]]*(Tab_NewTRADER[[#This Row],[Agiotage]]-Tab_NewTRADER[[#This Row],[M]])/(Tab_NewTRADER[[#This Row],[L_Bn]]*Tab_NewTRADER[[#This Row],[M]])</f>
        <v>-1.6536949756713475</v>
      </c>
      <c r="BH86" s="635">
        <f ca="1">IFERROR((Tab_NewTRADER[[#This Row],[M]]-Tab_NewTRADER[[#This Row],[A]])/Tab_NewTRADER[[#This Row],[A]],0)</f>
        <v>1.2004365223717783E-2</v>
      </c>
      <c r="BI86" s="638" t="str">
        <f ca="1">TEXT(_xlfn.XLOOKUP(Tab_NewTRADER[[#This Row],[ClickTick]],TabCalc[Ticker],TabCalc[NAfter]),"#,#0")&amp;" : "&amp;TEXT(_xlfn.XLOOKUP(Tab_NewTRADER[[#This Row],[ClickTick]],TabCalc[Ticker],TabCalc[NAfter])*(Tab_NewTRADER[[#This Row],[M]]-Tab_NewTRADER[[#This Row],[A]])*(1-Commission)*Tab_NewTRADER[[#This Row],[Scale]],"#,#0$")</f>
        <v>1,200 : 197$</v>
      </c>
      <c r="BJ86" s="684">
        <f ca="1">_xlfn.XLOOKUP(Tab_NewTRADER[[#This Row],[ClickTick]],TabCalc[[#This Row],[Ticker]],TabCalc[[#This Row],[GL]])*(1-Commission)</f>
        <v>6147.1756800000112</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40752</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12.734999999999999</v>
      </c>
      <c r="BT86" s="687">
        <f ca="1">((_xlfn.XLOOKUP(Tab_NewTRADER[[#This Row],[ClickTick]],TabCalc[Ticker],TabCalc[NAfter])+Tab_NewTRADER[[#This Row],[L_Sn]])*(Tab_NewTRADER[[#This Row],[Agiotage]]-Tab_NewTRADER[[#This Row],[M]]))/(Tab_NewTRADER[[#This Row],[L_Sn]]*_xlfn.XLOOKUP(Tab_NewTRADER[[#This Row],[ClickTick]],TabCalc[Ticker],TabCalc[NAfter]))</f>
        <v>-1.8402317689270756E-2</v>
      </c>
      <c r="BU86" s="687">
        <f ca="1">(Tab_NewTRADER[[#This Row],[M]]-Tab_NewTRADER[[#This Row],[Agiotage]])/(Tab_NewTRADER[[#This Row],[M]]-Tab_NewTRADER[[#This Row],[A]])-1</f>
        <v>82.646898587593881</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-4,470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-4,788$</v>
      </c>
      <c r="G87" s="225" t="str">
        <f ca="1">IFERROR(TRUNC(_xlfn.XLOOKUP(Tab_NewTRADER[[#This Row],[ClickTick]],TabCalc[Ticker],ListLastSalep),2)&amp;"x"&amp;_xlfn.XLOOKUP(Tab_NewTRADER[[#This Row],[ClickTick]],TabCalc[Ticker],ListLastSalen)&amp;"=   "&amp;TEXT(-_xlfn.XLOOKUP(Tab_NewTRADER[[#This Row],[ClickTick]],TabCalc[Ticker],ListReverseB),"#,#0")&amp;"$","")</f>
        <v>51.86x1000=   -9,090$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21.3% = 550</v>
      </c>
      <c r="I87" s="226" t="str">
        <f ca="1">IFERROR(TRUNC(TabCalc[[#This Row],[L_S1p]],2)&amp;"x"&amp;TabCalc[[#This Row],[L_S1n]]&amp;"=   "&amp;TEXT(TabCalc[[#This Row],[ReverseB1]],"#,#0"),"")</f>
        <v>62.9x2000=   40,260</v>
      </c>
      <c r="J87" s="295">
        <f ca="1">_xlfn.XLOOKUP(Tab_NewTRADER[[#This Row],[ClickTick]],TabCalc[Ticker],ListGravity)</f>
        <v>1.1670105213935</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124033.00000000001</v>
      </c>
      <c r="M87" s="323">
        <f ca="1">_xlfn.XLOOKUP(Tab_NewTRADER[[#This Row],[ClickTick]],TabCalc[Ticker],TabCalc[Agiotage])</f>
        <v>1.2908707883083764E-3</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-9.4623200677392008E-2</v>
      </c>
      <c r="S87" s="683">
        <f ca="1">_xlfn.XLOOKUP(Tab_NewTRADER[[#This Row],[ClickTick]],TabCalc[Ticker],TabCalc[Rev(MinStock)])*(1-Commission)</f>
        <v>-4458.3779999999988</v>
      </c>
      <c r="T87" s="782">
        <f ca="1">_xlfn.XLOOKUP(Tab_NewTRADER[[#This Row],[ClickTick]],TabCalc[Ticker],TabCalc[Agiotage])</f>
        <v>1.2908707883083764E-3</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2,980/2,980=&gt;2.2% / 1.8%</v>
      </c>
      <c r="V87" s="739" t="str">
        <f ca="1">_xlfn.XLOOKUP(Tab_NewTRADER[[#This Row],[ClickTick]],[1]!RTData[Ticker_Symbol],[1]!RTData[Currency])</f>
        <v>USD</v>
      </c>
      <c r="W87" s="749">
        <f ca="1">_xlfn.XLOOKUP(Tab_NewTRADER[[#This Row],[ClickTick]],TabCalc[Ticker],TabCalc[M])</f>
        <v>42.77</v>
      </c>
      <c r="X87" s="1343"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-63/171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70" t="str">
        <f ca="1">TEXT(MIN(Tab_NewTRADER[[#This Row],[L_Bn]],Tab_NewTRADER[[#This Row],[N]]),"#,#0")&amp;" x "&amp;TEXT(Tab_NewTRADER[[#This Row],[L_Bp]],"#,#0.#0")</f>
        <v>1,000 x -47.24</v>
      </c>
      <c r="AJ87" s="1370">
        <f ca="1">IF(Tab_NewTRADER[[#This Row],[M]]&lt;_xlfn.XLOOKUP(Tab_NewTRADER[[#This Row],[ClickTick]],TabCalc[Ticker],TabCalc[Max_Buy_P]), 0,Tab_NewTRADER[[#This Row],[Sale_Back_$]])</f>
        <v>0</v>
      </c>
      <c r="AK87" s="1370" t="str">
        <f ca="1">TEXT(Tab_NewTRADER[[#This Row],[L_Sn]],"#,#0")&amp;" ("&amp;Tab_NewTRADER[[#This Row],[M]]&amp;"/"&amp;TEXT(Tab_NewTRADER[[#This Row],[L_Sp]],"#,#0.#0)")</f>
        <v>1,000 (42.77/51.86)</v>
      </c>
      <c r="AL87" s="1370">
        <f ca="1">IF(Tab_NewTRADER[[#This Row],[M]]&lt;_xlfn.XLOOKUP(Tab_NewTRADER[[#This Row],[ClickTick]],TabCalc[Ticker],TabCalc[Max_Buy_P]), -Tab_NewTRADER[[#This Row],[Buy_Back]], 0)</f>
        <v>9066.3659999999963</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4458.3779999999988</v>
      </c>
      <c r="AN87" s="1177">
        <f ca="1">Tab_NewTRADER[[#This Row],[N]]*(Tab_NewTRADER[[#This Row],[M]]-Tab_NewTRADER[[#This Row],[A]])*(1-Commission)*Tab_NewTRADER[[#This Row],[Scale]]</f>
        <v>-46137.629459999975</v>
      </c>
      <c r="AO87" s="1177">
        <f ca="1">Tab_NewTRADER[[#This Row],[M]]*Tab_NewTRADER[[#This Row],[N]]*(1-Commission)*Tab_NewTRADER[[#This Row],[Scale]]</f>
        <v>170635.19199999998</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0.21283862593684755</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0.10191250876782788</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-0.13903817242392297</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0.10451250876782789</v>
      </c>
      <c r="AV87" s="825" cm="1">
        <f t="array" aca="1" ref="AV87" ca="1">_xlfn.IFS(         Tab_NewTRADER[[#This Row],[Trap_vs_Last]]=MDown,Tab_NewTRADER[[#This Row],[L_Bn]]*Tab_NewTRADER[[#This Row],[M]]*(-(Tab_NewTRADER[[#This Row],[L_Bp]]+Tab_NewTRADER[[#This Row],[M]])/Tab_NewTRADER[[#This Row],[M]])*(1-Commission)*Tab_NewTRADER[[#This Row],[Scale]],                               TRUE,"")</f>
        <v>4458.3779999999988</v>
      </c>
      <c r="AW87" s="1186" cm="1">
        <f t="array" aca="1" ref="AW87" ca="1">_xlfn.IFS(   Tab_NewTRADER[[#This Row],[Trap_vs_Last]]=MUp,Tab_NewTRADER[[#This Row],[TakeGain_A]]-Commission,        Tab_NewTRADER[[#This Row],[Trap_vs_Last]]=MDown,(Tab_NewTRADER[[#This Row],[A]]-Tab_NewTRADER[[#This Row],[M]])/Tab_NewTRADER[[#This Row],[M]]-Commission,                              TRUE,"")</f>
        <v>0.26778753799392085</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46137.629459999975</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-4.47</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-0.21228524550941175</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0.26778753799392085</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0.17527959892016962</v>
      </c>
      <c r="BF87" s="729">
        <f ca="1">MIN(Tab_NewTRADER[[#This Row],[L_Sn]],Tab_NewTRADER[[#This Row],[N]])*(Tab_NewTRADER[[#This Row],[M]]-Tab_NewTRADER[[#This Row],[L_Sp]])*(1-Commission)*Tab_NewTRADER[[#This Row],[Scale]]</f>
        <v>-9066.3659999999963</v>
      </c>
      <c r="BG87" s="692">
        <f ca="1">Tab_NewTRADER[[#This Row],[L_Sn]]*(Tab_NewTRADER[[#This Row],[Agiotage]]-Tab_NewTRADER[[#This Row],[M]])/(Tab_NewTRADER[[#This Row],[L_Bn]]*Tab_NewTRADER[[#This Row],[M]])</f>
        <v>-0.99996981831217435</v>
      </c>
      <c r="BH87" s="635">
        <f ca="1">IFERROR((Tab_NewTRADER[[#This Row],[M]]-Tab_NewTRADER[[#This Row],[A]])/Tab_NewTRADER[[#This Row],[A]],0)</f>
        <v>-0.21283862593684755</v>
      </c>
      <c r="BI87" s="638" t="str">
        <f ca="1">TEXT(_xlfn.XLOOKUP(Tab_NewTRADER[[#This Row],[ClickTick]],TabCalc[Ticker],TabCalc[NAfter]),"#,#0")&amp;" : "&amp;TEXT(_xlfn.XLOOKUP(Tab_NewTRADER[[#This Row],[ClickTick]],TabCalc[Ticker],TabCalc[NAfter])*(Tab_NewTRADER[[#This Row],[M]]-Tab_NewTRADER[[#This Row],[A]])*(1-Commission)*Tab_NewTRADER[[#This Row],[Scale]],"#,#0$")</f>
        <v>4,000 : -46,138$</v>
      </c>
      <c r="BJ87" s="684">
        <f ca="1">_xlfn.XLOOKUP(Tab_NewTRADER[[#This Row],[ClickTick]],TabCalc[[#This Row],[Ticker]],TabCalc[[#This Row],[GL]])*(1-Commission)</f>
        <v>-63074.405052399998</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0.10451250876782789</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-5.3460886411514613E-2</v>
      </c>
      <c r="BU87" s="687">
        <f ca="1">(Tab_NewTRADER[[#This Row],[M]]-Tab_NewTRADER[[#This Row],[Agiotage]])/(Tab_NewTRADER[[#This Row],[M]]-Tab_NewTRADER[[#This Row],[A]])-1</f>
        <v>-4.6982836773145102</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+192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0.5%</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1,033</v>
      </c>
      <c r="F88" s="226" t="str">
        <f ca="1">TRUNC(TabCalc[[#This Row],[L_B1p]],2)&amp;"x"&amp;TabCalc[[#This Row],[L_B1n]]&amp;"=   "&amp;TEXT(TabCalc[[#This Row],[ReverseS1]],"#,#0")&amp;"$"</f>
        <v>-27.92x2000=   -4,584$</v>
      </c>
      <c r="G88" s="225" t="str">
        <f ca="1">IFERROR(TRUNC(_xlfn.XLOOKUP(Tab_NewTRADER[[#This Row],[ClickTick]],TabCalc[Ticker],ListLastSalep),2)&amp;"x"&amp;_xlfn.XLOOKUP(Tab_NewTRADER[[#This Row],[ClickTick]],TabCalc[Ticker],ListLastSalen)&amp;"=   "&amp;TEXT(-_xlfn.XLOOKUP(Tab_NewTRADER[[#This Row],[ClickTick]],TabCalc[Ticker],ListReverseB),"#,#0")&amp;"$","")</f>
        <v>29.9x2010=   -9,733$</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19.3% = 1,033</v>
      </c>
      <c r="I88" s="226" t="str">
        <f ca="1">IFERROR(TRUNC(TabCalc[[#This Row],[L_S1p]],2)&amp;"x"&amp;TabCalc[[#This Row],[L_S1n]]&amp;"=   "&amp;TEXT(TabCalc[[#This Row],[ReverseB1]],"#,#0"),"")</f>
        <v>28.22x1990=   6,298</v>
      </c>
      <c r="J88" s="295">
        <f ca="1">_xlfn.XLOOKUP(Tab_NewTRADER[[#This Row],[ClickTick]],TabCalc[Ticker],ListGravity)</f>
        <v>1.1473224261771748</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7518</v>
      </c>
      <c r="M88" s="323">
        <f ca="1">_xlfn.XLOOKUP(Tab_NewTRADER[[#This Row],[ClickTick]],TabCalc[Ticker],TabCalc[Agiotage])</f>
        <v>2.3622780176557525E-4</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4.8115477145147332E-3</v>
      </c>
      <c r="S88" s="683">
        <f ca="1">_xlfn.XLOOKUP(Tab_NewTRADER[[#This Row],[ClickTick]],TabCalc[Ticker],TabCalc[Rev(MinStock)])*(1-Commission)</f>
        <v>191.50079999999591</v>
      </c>
      <c r="T88" s="782">
        <f ca="1">_xlfn.XLOOKUP(Tab_NewTRADER[[#This Row],[ClickTick]],TabCalc[Ticker],TabCalc[Agiotage])</f>
        <v>2.3622780176557525E-4</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-976/-976=&gt;-0.2% / -2.8%</v>
      </c>
      <c r="V88" s="739" t="str">
        <f ca="1">_xlfn.XLOOKUP(Tab_NewTRADER[[#This Row],[ClickTick]],[1]!RTData[Ticker_Symbol],[1]!RTData[Currency])</f>
        <v>USD</v>
      </c>
      <c r="W88" s="749">
        <f ca="1">_xlfn.XLOOKUP(Tab_NewTRADER[[#This Row],[ClickTick]],TabCalc[Ticker],TabCalc[M])</f>
        <v>25.06</v>
      </c>
      <c r="X88" s="1343"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-8/40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191.50079999999591</v>
      </c>
      <c r="AI88" s="1370" t="str">
        <f ca="1">TEXT(MIN(Tab_NewTRADER[[#This Row],[L_Bn]],Tab_NewTRADER[[#This Row],[N]]),"#,#0")&amp;" x "&amp;TEXT(Tab_NewTRADER[[#This Row],[L_Bp]],"#,#0.#0")</f>
        <v>1,600 x -24.94</v>
      </c>
      <c r="AJ88" s="1370">
        <f ca="1">IF(Tab_NewTRADER[[#This Row],[M]]&lt;_xlfn.XLOOKUP(Tab_NewTRADER[[#This Row],[ClickTick]],TabCalc[Ticker],TabCalc[Max_Buy_P]), 0,Tab_NewTRADER[[#This Row],[Sale_Back_$]])</f>
        <v>191.50079999999591</v>
      </c>
      <c r="AK88" s="1370" t="str">
        <f ca="1">TEXT(Tab_NewTRADER[[#This Row],[L_Sn]],"#,#0")&amp;" ("&amp;Tab_NewTRADER[[#This Row],[M]]&amp;"/"&amp;TEXT(Tab_NewTRADER[[#This Row],[L_Sp]],"#,#0.#0)")</f>
        <v>2,010 (25.06/29.90)</v>
      </c>
      <c r="AL88" s="1370">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191.50079999999591</v>
      </c>
      <c r="AO88" s="1177">
        <f ca="1">Tab_NewTRADER[[#This Row],[M]]*Tab_NewTRADER[[#This Row],[N]]*(1-Commission)*Tab_NewTRADER[[#This Row],[Scale]]</f>
        <v>39991.750399999997</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4.8115477145147332E-3</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4.7982193274939168E-3</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192.42221523656366</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-7.3885075818035696E-3</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0.16193457337587205</v>
      </c>
      <c r="BF88" s="729">
        <f ca="1">MIN(Tab_NewTRADER[[#This Row],[L_Sn]],Tab_NewTRADER[[#This Row],[N]])*(Tab_NewTRADER[[#This Row],[M]]-Tab_NewTRADER[[#This Row],[L_Sp]])*(1-Commission)*Tab_NewTRADER[[#This Row],[Scale]]</f>
        <v>-7727.3764480000027</v>
      </c>
      <c r="BG88" s="692">
        <f ca="1">Tab_NewTRADER[[#This Row],[L_Sn]]*(Tab_NewTRADER[[#This Row],[Agiotage]]-Tab_NewTRADER[[#This Row],[M]])/(Tab_NewTRADER[[#This Row],[L_Bn]]*Tab_NewTRADER[[#This Row],[M]])</f>
        <v>-1.256238157973824</v>
      </c>
      <c r="BH88" s="635">
        <f ca="1">IFERROR((Tab_NewTRADER[[#This Row],[M]]-Tab_NewTRADER[[#This Row],[A]])/Tab_NewTRADER[[#This Row],[A]],0)</f>
        <v>4.8115477145147332E-3</v>
      </c>
      <c r="BI88" s="638" t="str">
        <f ca="1">TEXT(_xlfn.XLOOKUP(Tab_NewTRADER[[#This Row],[ClickTick]],TabCalc[Ticker],TabCalc[NAfter]),"#,#0")&amp;" : "&amp;TEXT(_xlfn.XLOOKUP(Tab_NewTRADER[[#This Row],[ClickTick]],TabCalc[Ticker],TabCalc[NAfter])*(Tab_NewTRADER[[#This Row],[M]]-Tab_NewTRADER[[#This Row],[A]])*(1-Commission)*Tab_NewTRADER[[#This Row],[Scale]],"#,#0$")</f>
        <v>1,600 : 192$</v>
      </c>
      <c r="BJ88" s="684">
        <f ca="1">_xlfn.XLOOKUP(Tab_NewTRADER[[#This Row],[ClickTick]],TabCalc[[#This Row],[Ticker]],TabCalc[[#This Row],[GL]])*(1-Commission)</f>
        <v>-7836.6495972000012</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100199.42199999999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27.756072576177282</v>
      </c>
      <c r="BT88" s="687">
        <f ca="1">((_xlfn.XLOOKUP(Tab_NewTRADER[[#This Row],[ClickTick]],TabCalc[Ticker],TabCalc[NAfter])+Tab_NewTRADER[[#This Row],[L_Sn]])*(Tab_NewTRADER[[#This Row],[Agiotage]]-Tab_NewTRADER[[#This Row],[M]]))/(Tab_NewTRADER[[#This Row],[L_Sn]]*_xlfn.XLOOKUP(Tab_NewTRADER[[#This Row],[ClickTick]],TabCalc[Ticker],TabCalc[NAfter]))</f>
        <v>-2.8129896522896648E-2</v>
      </c>
      <c r="BU88" s="687">
        <f ca="1">(Tab_NewTRADER[[#This Row],[M]]-Tab_NewTRADER[[#This Row],[Agiotage]])/(Tab_NewTRADER[[#This Row],[M]]-Tab_NewTRADER[[#This Row],[A]])-1</f>
        <v>207.83136476832308</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+8,190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15.7%</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7,937/43,000=31,825</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24,250$</v>
      </c>
      <c r="G89" s="225" t="str">
        <f ca="1">IFERROR(TRUNC(_xlfn.XLOOKUP(Tab_NewTRADER[[#This Row],[ClickTick]],TabCalc[Ticker],ListLastSalep),2)&amp;"x"&amp;_xlfn.XLOOKUP(Tab_NewTRADER[[#This Row],[ClickTick]],TabCalc[Ticker],ListLastSalen)&amp;"=   "&amp;TEXT(-_xlfn.XLOOKUP(Tab_NewTRADER[[#This Row],[ClickTick]],TabCalc[Ticker],ListReverseB),"#,#0")&amp;"$","")</f>
        <v>3.95x5000=   275$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89" s="226" t="str">
        <f ca="1">IFERROR(TRUNC(TabCalc[[#This Row],[L_S1p]],2)&amp;"x"&amp;TabCalc[[#This Row],[L_S1n]]&amp;"=   "&amp;TEXT(TabCalc[[#This Row],[ReverseB1]],"#,#0"),"")</f>
        <v>5.83x3000=   5,470</v>
      </c>
      <c r="J89" s="295">
        <f ca="1">_xlfn.XLOOKUP(Tab_NewTRADER[[#This Row],[ClickTick]],TabCalc[Ticker],ListGravity)</f>
        <v>0.98599750623441407</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144360</v>
      </c>
      <c r="M89" s="323">
        <f ca="1">_xlfn.XLOOKUP(Tab_NewTRADER[[#This Row],[ClickTick]],TabCalc[Ticker],TabCalc[Agiotage])</f>
        <v>1.0834344622670705E-4</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0.18639053254437868</v>
      </c>
      <c r="S89" s="683">
        <f ca="1">_xlfn.XLOOKUP(Tab_NewTRADER[[#This Row],[ClickTick]],TabCalc[Ticker],TabCalc[Rev(MinStock)])*(1-Commission)</f>
        <v>8168.7059999999974</v>
      </c>
      <c r="T89" s="782">
        <f ca="1">_xlfn.XLOOKUP(Tab_NewTRADER[[#This Row],[ClickTick]],TabCalc[Ticker],TabCalc[Agiotage])</f>
        <v>1.0834344622670705E-4</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0/0=&gt;1.5% / 0.0%</v>
      </c>
      <c r="V89" s="739" t="str">
        <f ca="1">_xlfn.XLOOKUP(Tab_NewTRADER[[#This Row],[ClickTick]],[1]!RTData[Ticker_Symbol],[1]!RTData[Currency])</f>
        <v>USD</v>
      </c>
      <c r="W89" s="749">
        <f ca="1">_xlfn.XLOOKUP(Tab_NewTRADER[[#This Row],[ClickTick]],TabCalc[Ticker],TabCalc[M])</f>
        <v>4.01</v>
      </c>
      <c r="X89" s="1343"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172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70" t="str">
        <f ca="1">TEXT(MIN(Tab_NewTRADER[[#This Row],[L_Bn]],Tab_NewTRADER[[#This Row],[N]]),"#,#0")&amp;" x "&amp;TEXT(Tab_NewTRADER[[#This Row],[L_Bp]],"#,#0.#0")</f>
        <v>13,000 x -3.38</v>
      </c>
      <c r="AJ89" s="1370">
        <f ca="1">IF(Tab_NewTRADER[[#This Row],[M]]&lt;_xlfn.XLOOKUP(Tab_NewTRADER[[#This Row],[ClickTick]],TabCalc[Ticker],TabCalc[Max_Buy_P]), 0,Tab_NewTRADER[[#This Row],[Sale_Back_$]])</f>
        <v>0</v>
      </c>
      <c r="AK89" s="1370" t="str">
        <f ca="1">TEXT(Tab_NewTRADER[[#This Row],[L_Sn]],"#,#0")&amp;" ("&amp;Tab_NewTRADER[[#This Row],[M]]&amp;"/"&amp;TEXT(Tab_NewTRADER[[#This Row],[L_Sp]],"#,#0.#0)")</f>
        <v>5,000 (4.01/3.96)</v>
      </c>
      <c r="AL89" s="1370">
        <f ca="1">IF(Tab_NewTRADER[[#This Row],[M]]&lt;_xlfn.XLOOKUP(Tab_NewTRADER[[#This Row],[ClickTick]],TabCalc[Ticker],TabCalc[Max_Buy_P]), -Tab_NewTRADER[[#This Row],[Buy_Back]], 0)</f>
        <v>-274.28499999999855</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274.28499999999855</v>
      </c>
      <c r="AN89" s="1177">
        <f ca="1">Tab_NewTRADER[[#This Row],[N]]*(Tab_NewTRADER[[#This Row],[M]]-Tab_NewTRADER[[#This Row],[A]])*(1-Commission)*Tab_NewTRADER[[#This Row],[Scale]]</f>
        <v>30680.023999999983</v>
      </c>
      <c r="AO89" s="1177">
        <f ca="1">Tab_NewTRADER[[#This Row],[M]]*Tab_NewTRADER[[#This Row],[N]]*(1-Commission)*Tab_NewTRADER[[#This Row],[Scale]]</f>
        <v>171981.682</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0.21712430295757734</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1.111571072319195E-2</v>
      </c>
      <c r="AR89" s="825" cm="1">
        <f t="array" aca="1" ref="AR89" ca="1">_xlfn.IFS(   Tab_NewTRADER[[#This Row],[Trap_vs_Last]]=SellMorePercentGain,                     MIN(Tab_NewTRADER[[#This Row],[L_Sn]],Tab_NewTRADER[[#This Row],[N]])*(Tab_NewTRADER[[#This Row],[M]]-Tab_NewTRADER[[#This Row],[L_Sp]])*(1-Commission)*Tab_NewTRADER[[#This Row],[Scale]],                    TRUE,"")</f>
        <v>274.28499999999855</v>
      </c>
      <c r="AS89" s="1175">
        <f ca="1">_xlfn.XLOOKUP(Tab_NewTRADER[[#This Row],[ClickTick]],TabCalc[Ticker],TabCalc[Ann%RevLB])</f>
        <v>1.1982248520710057</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0.21452430295757735</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37341.402825721721</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13,000x0.71</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0.21655977976988763</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-0.18099123122426483</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-1.3906447534766046E-2</v>
      </c>
      <c r="BF89" s="729">
        <f ca="1">MIN(Tab_NewTRADER[[#This Row],[L_Sn]],Tab_NewTRADER[[#This Row],[N]])*(Tab_NewTRADER[[#This Row],[M]]-Tab_NewTRADER[[#This Row],[L_Sp]])*(1-Commission)*Tab_NewTRADER[[#This Row],[Scale]]</f>
        <v>274.28499999999855</v>
      </c>
      <c r="BG89" s="692">
        <f ca="1">Tab_NewTRADER[[#This Row],[L_Sn]]*(Tab_NewTRADER[[#This Row],[Agiotage]]-Tab_NewTRADER[[#This Row],[M]])/(Tab_NewTRADER[[#This Row],[L_Bn]]*Tab_NewTRADER[[#This Row],[M]])</f>
        <v>-0.38460499295547412</v>
      </c>
      <c r="BH89" s="635">
        <f ca="1">IFERROR((Tab_NewTRADER[[#This Row],[M]]-Tab_NewTRADER[[#This Row],[A]])/Tab_NewTRADER[[#This Row],[A]],0)</f>
        <v>0.21712430295757734</v>
      </c>
      <c r="BI89" s="638" t="str">
        <f ca="1">TEXT(_xlfn.XLOOKUP(Tab_NewTRADER[[#This Row],[ClickTick]],TabCalc[Ticker],TabCalc[NAfter]),"#,#0")&amp;" : "&amp;TEXT(_xlfn.XLOOKUP(Tab_NewTRADER[[#This Row],[ClickTick]],TabCalc[Ticker],TabCalc[NAfter])*(Tab_NewTRADER[[#This Row],[M]]-Tab_NewTRADER[[#This Row],[A]])*(1-Commission)*Tab_NewTRADER[[#This Row],[Scale]],"#,#0$")</f>
        <v>43,000 : 30,680$</v>
      </c>
      <c r="BJ89" s="684">
        <f ca="1">_xlfn.XLOOKUP(Tab_NewTRADER[[#This Row],[ClickTick]],TabCalc[[#This Row],[Ticker]],TabCalc[[#This Row],[GL]])*(1-Commission)</f>
        <v>30301.111740000004</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1.371571072319195E-2</v>
      </c>
      <c r="BP89" s="679">
        <f ca="1">Tab_NewTRADER[[#This Row],[L_Sn]]*Tab_NewTRADER[[#This Row],[L_Sp]]+Tab_NewTRADER[[#This Row],[SellMore]]*Tab_NewTRADER[[#This Row],[M]]</f>
        <v>31805</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3.975625</v>
      </c>
      <c r="BT89" s="687">
        <f ca="1">((_xlfn.XLOOKUP(Tab_NewTRADER[[#This Row],[ClickTick]],TabCalc[Ticker],TabCalc[NAfter])+Tab_NewTRADER[[#This Row],[L_Sn]])*(Tab_NewTRADER[[#This Row],[Agiotage]]-Tab_NewTRADER[[#This Row],[M]]))/(Tab_NewTRADER[[#This Row],[L_Sn]]*_xlfn.XLOOKUP(Tab_NewTRADER[[#This Row],[ClickTick]],TabCalc[Ticker],TabCalc[NAfter]))</f>
        <v>-8.9523162564921442E-4</v>
      </c>
      <c r="BU89" s="687">
        <f ca="1">(Tab_NewTRADER[[#This Row],[M]]-Tab_NewTRADER[[#This Row],[Agiotage]])/(Tab_NewTRADER[[#This Row],[M]]-Tab_NewTRADER[[#This Row],[A]])-1</f>
        <v>4.605505241606382</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11,855$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90" s="226" t="str">
        <f ca="1">IFERROR(TRUNC(TabCalc[[#This Row],[L_S1p]],2)&amp;"x"&amp;TabCalc[[#This Row],[L_S1n]]&amp;"=   "&amp;TEXT(TabCalc[[#This Row],[ReverseB1]],"#,#0"),"")</f>
        <v>33.25x1300=   -6,474</v>
      </c>
      <c r="J90" s="295">
        <f ca="1">_xlfn.XLOOKUP(Tab_NewTRADER[[#This Row],[ClickTick]],TabCalc[Ticker],ListGravity)</f>
        <v>1.0833225215799112</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0.65011551878952545</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3.9166492249062879E-2</v>
      </c>
      <c r="S90" s="683">
        <f ca="1">_xlfn.XLOOKUP(Tab_NewTRADER[[#This Row],[ClickTick]],TabCalc[Ticker],TabCalc[Rev(MinStock)])*(1-Commission)</f>
        <v>0</v>
      </c>
      <c r="T90" s="782">
        <f ca="1">_xlfn.XLOOKUP(Tab_NewTRADER[[#This Row],[ClickTick]],TabCalc[Ticker],TabCalc[Agiotage])</f>
        <v>0.65011551878952545</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0.6%</v>
      </c>
      <c r="V90" s="739" t="str">
        <f ca="1">_xlfn.XLOOKUP(Tab_NewTRADER[[#This Row],[ClickTick]],[1]!RTData[Ticker_Symbol],[1]!RTData[Currency])</f>
        <v>USD</v>
      </c>
      <c r="W90" s="749">
        <f ca="1">_xlfn.XLOOKUP(Tab_NewTRADER[[#This Row],[ClickTick]],TabCalc[Ticker],TabCalc[M])</f>
        <v>38.229999999999997</v>
      </c>
      <c r="X90" s="1343"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70" t="str">
        <f ca="1">TEXT(MIN(Tab_NewTRADER[[#This Row],[L_Bn]],Tab_NewTRADER[[#This Row],[N]]),"#,#0")&amp;" x "&amp;TEXT(Tab_NewTRADER[[#This Row],[L_Bp]],"#,#0.#0")</f>
        <v>0 x -36.79</v>
      </c>
      <c r="AJ90" s="1370">
        <f ca="1">IF(Tab_NewTRADER[[#This Row],[M]]&lt;_xlfn.XLOOKUP(Tab_NewTRADER[[#This Row],[ClickTick]],TabCalc[Ticker],TabCalc[Max_Buy_P]), 0,Tab_NewTRADER[[#This Row],[Sale_Back_$]])</f>
        <v>0</v>
      </c>
      <c r="AK90" s="1370" t="str">
        <f ca="1">TEXT(Tab_NewTRADER[[#This Row],[L_Sn]],"#,#0")&amp;" ("&amp;Tab_NewTRADER[[#This Row],[M]]&amp;"/"&amp;TEXT(Tab_NewTRADER[[#This Row],[L_Sp]],"#,#0.#0)")</f>
        <v>5,000 (38.23/35.86)</v>
      </c>
      <c r="AL90" s="1370">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4.3788624874728684E-2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0x38.23</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-6.4619356526288141E-2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-6.6120081430045316E-2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-2.1369448351061919</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-1.7005375851151583E-2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-9,876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-27.2%</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204$</v>
      </c>
      <c r="G91" s="225" t="str">
        <f ca="1">IFERROR(TRUNC(_xlfn.XLOOKUP(Tab_NewTRADER[[#This Row],[ClickTick]],TabCalc[Ticker],ListLastSalep),2)&amp;"x"&amp;_xlfn.XLOOKUP(Tab_NewTRADER[[#This Row],[ClickTick]],TabCalc[Ticker],ListLastSalen)&amp;"=   "&amp;TEXT(-_xlfn.XLOOKUP(Tab_NewTRADER[[#This Row],[ClickTick]],TabCalc[Ticker],ListReverseB),"#,#0")&amp;"$","")</f>
        <v>61.26x2000=   -1,560$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 = 6,410</v>
      </c>
      <c r="I91" s="226" t="str">
        <f ca="1">IFERROR(TRUNC(TabCalc[[#This Row],[L_S1p]],2)&amp;"x"&amp;TabCalc[[#This Row],[L_S1n]]&amp;"=   "&amp;TEXT(TabCalc[[#This Row],[ReverseB1]],"#,#0"),"")</f>
        <v>67.82x1500=   11,010</v>
      </c>
      <c r="J91" s="295">
        <f ca="1">_xlfn.XLOOKUP(Tab_NewTRADER[[#This Row],[ClickTick]],TabCalc[Ticker],ListGravity)</f>
        <v>1.4633806216931218</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9072</v>
      </c>
      <c r="M91" s="323">
        <f ca="1">_xlfn.XLOOKUP(Tab_NewTRADER[[#This Row],[ClickTick]],TabCalc[Ticker],TabCalc[Agiotage])</f>
        <v>2.7026738112069636E-3</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-0.21393293475435407</v>
      </c>
      <c r="S91" s="683">
        <f ca="1">_xlfn.XLOOKUP(Tab_NewTRADER[[#This Row],[ClickTick]],TabCalc[Ticker],TabCalc[Rev(MinStock)])*(1-Commission)</f>
        <v>-9850.3223999999991</v>
      </c>
      <c r="T91" s="782">
        <f ca="1">_xlfn.XLOOKUP(Tab_NewTRADER[[#This Row],[ClickTick]],TabCalc[Ticker],TabCalc[Agiotage])</f>
        <v>2.7026738112069636E-3</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-330/-330=&gt;-7.6% / -2.9%</v>
      </c>
      <c r="V91" s="739" t="str">
        <f ca="1">_xlfn.XLOOKUP(Tab_NewTRADER[[#This Row],[ClickTick]],[1]!RTData[Ticker_Symbol],[1]!RTData[Currency])</f>
        <v>USD</v>
      </c>
      <c r="W91" s="749">
        <f ca="1">_xlfn.XLOOKUP(Tab_NewTRADER[[#This Row],[ClickTick]],TabCalc[Ticker],TabCalc[M])</f>
        <v>60.48</v>
      </c>
      <c r="X91" s="1343"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-171/36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70" t="str">
        <f ca="1">TEXT(MIN(Tab_NewTRADER[[#This Row],[L_Bn]],Tab_NewTRADER[[#This Row],[N]]),"#,#0")&amp;" x "&amp;TEXT(Tab_NewTRADER[[#This Row],[L_Bp]],"#,#0.#0")</f>
        <v>600 x -76.94</v>
      </c>
      <c r="AJ91" s="1370">
        <f ca="1">IF(Tab_NewTRADER[[#This Row],[M]]&lt;_xlfn.XLOOKUP(Tab_NewTRADER[[#This Row],[ClickTick]],TabCalc[Ticker],TabCalc[Max_Buy_P]), 0,Tab_NewTRADER[[#This Row],[Sale_Back_$]])</f>
        <v>0</v>
      </c>
      <c r="AK91" s="1370" t="str">
        <f ca="1">TEXT(Tab_NewTRADER[[#This Row],[L_Sn]],"#,#0")&amp;" ("&amp;Tab_NewTRADER[[#This Row],[M]]&amp;"/"&amp;TEXT(Tab_NewTRADER[[#This Row],[L_Sp]],"#,#0.#0)")</f>
        <v>2,000 (60.48/61.26)</v>
      </c>
      <c r="AL91" s="1370">
        <f ca="1">IF(Tab_NewTRADER[[#This Row],[M]]&lt;_xlfn.XLOOKUP(Tab_NewTRADER[[#This Row],[ClickTick]],TabCalc[Ticker],TabCalc[Max_Buy_P]), -Tab_NewTRADER[[#This Row],[Buy_Back]], 0)</f>
        <v>466.78320000000065</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9850.3223999999991</v>
      </c>
      <c r="AN91" s="1177">
        <f ca="1">Tab_NewTRADER[[#This Row],[N]]*(Tab_NewTRADER[[#This Row],[M]]-Tab_NewTRADER[[#This Row],[A]])*(1-Commission)*Tab_NewTRADER[[#This Row],[Scale]]</f>
        <v>-9850.3223999999991</v>
      </c>
      <c r="AO91" s="1177">
        <f ca="1">Tab_NewTRADER[[#This Row],[M]]*Tab_NewTRADER[[#This Row],[N]]*(1-Commission)*Tab_NewTRADER[[#This Row],[Scale]]</f>
        <v>36193.6512</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0.21393293475435407</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0.26955608465608472</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-1.3053535001960588</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0.27215608465608471</v>
      </c>
      <c r="AV91" s="825" cm="1">
        <f t="array" aca="1" ref="AV91" ca="1">_xlfn.IFS(         Tab_NewTRADER[[#This Row],[Trap_vs_Last]]=MDown,Tab_NewTRADER[[#This Row],[L_Bn]]*Tab_NewTRADER[[#This Row],[M]]*(-(Tab_NewTRADER[[#This Row],[L_Bp]]+Tab_NewTRADER[[#This Row],[M]])/Tab_NewTRADER[[#This Row],[M]])*(1-Commission)*Tab_NewTRADER[[#This Row],[Scale]],                               TRUE,"")</f>
        <v>9850.3224000000009</v>
      </c>
      <c r="AW91" s="1186" cm="1">
        <f t="array" aca="1" ref="AW91" ca="1">_xlfn.IFS(   Tab_NewTRADER[[#This Row],[Trap_vs_Last]]=MUp,Tab_NewTRADER[[#This Row],[TakeGain_A]]-Commission,        Tab_NewTRADER[[#This Row],[Trap_vs_Last]]=MDown,(Tab_NewTRADER[[#This Row],[A]]-Tab_NewTRADER[[#This Row],[M]])/Tab_NewTRADER[[#This Row],[M]]-Commission,                              TRUE,"")</f>
        <v>0.26955608465608472</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9850.3223999999991</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-1.5%</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-16.46</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-0.21337670912399273</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0.26955608465608472</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1.2732615083251733E-2</v>
      </c>
      <c r="BF91" s="729">
        <f ca="1">MIN(Tab_NewTRADER[[#This Row],[L_Sn]],Tab_NewTRADER[[#This Row],[N]])*(Tab_NewTRADER[[#This Row],[M]]-Tab_NewTRADER[[#This Row],[L_Sp]])*(1-Commission)*Tab_NewTRADER[[#This Row],[Scale]]</f>
        <v>-466.78320000000065</v>
      </c>
      <c r="BG91" s="692">
        <f ca="1">Tab_NewTRADER[[#This Row],[L_Sn]]*(Tab_NewTRADER[[#This Row],[Agiotage]]-Tab_NewTRADER[[#This Row],[M]])/(Tab_NewTRADER[[#This Row],[L_Bn]]*Tab_NewTRADER[[#This Row],[M]])</f>
        <v>-3.3331843764433855</v>
      </c>
      <c r="BH91" s="635">
        <f ca="1">IFERROR((Tab_NewTRADER[[#This Row],[M]]-Tab_NewTRADER[[#This Row],[A]])/Tab_NewTRADER[[#This Row],[A]],0)</f>
        <v>-0.21393293475435407</v>
      </c>
      <c r="BI91" s="638" t="str">
        <f ca="1">TEXT(_xlfn.XLOOKUP(Tab_NewTRADER[[#This Row],[ClickTick]],TabCalc[Ticker],TabCalc[NAfter]),"#,#0")&amp;" : "&amp;TEXT(_xlfn.XLOOKUP(Tab_NewTRADER[[#This Row],[ClickTick]],TabCalc[Ticker],TabCalc[NAfter])*(Tab_NewTRADER[[#This Row],[M]]-Tab_NewTRADER[[#This Row],[A]])*(1-Commission)*Tab_NewTRADER[[#This Row],[Scale]],"#,#0$")</f>
        <v>600 : -9,850$</v>
      </c>
      <c r="BJ91" s="684">
        <f ca="1">_xlfn.XLOOKUP(Tab_NewTRADER[[#This Row],[ClickTick]],TabCalc[[#This Row],[Ticker]],TabCalc[[#This Row],[GL]])*(1-Commission)</f>
        <v>-170913.36686000001</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0.27215608465608471</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-0.13103414420674236</v>
      </c>
      <c r="BU91" s="687">
        <f ca="1">(Tab_NewTRADER[[#This Row],[M]]-Tab_NewTRADER[[#This Row],[Agiotage]])/(Tab_NewTRADER[[#This Row],[M]]-Tab_NewTRADER[[#This Row],[A]])-1</f>
        <v>-4.6741978934501081</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-2,511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428</v>
      </c>
      <c r="F92" s="226" t="str">
        <f ca="1">TRUNC(TabCalc[[#This Row],[L_B1p]],2)&amp;"x"&amp;TabCalc[[#This Row],[L_B1n]]&amp;"=   "&amp;TEXT(TabCalc[[#This Row],[ReverseS1]],"#,#0")&amp;"$"</f>
        <v>-152.18x1000=   40,690$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-11,670$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428</v>
      </c>
      <c r="I92" s="226" t="str">
        <f ca="1">IFERROR(TRUNC(TabCalc[[#This Row],[L_S1p]],2)&amp;"x"&amp;TabCalc[[#This Row],[L_S1n]]&amp;"=   "&amp;TEXT(TabCalc[[#This Row],[ReverseB1]],"#,#0"),"")</f>
        <v>194.28x250=   352</v>
      </c>
      <c r="J92" s="295">
        <f ca="1">_xlfn.XLOOKUP(Tab_NewTRADER[[#This Row],[ClickTick]],TabCalc[Ticker],ListGravity)</f>
        <v>1.190537927101156</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1.8178756496513504E-5</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-4.159212880143115E-2</v>
      </c>
      <c r="S92" s="683">
        <f ca="1">_xlfn.XLOOKUP(Tab_NewTRADER[[#This Row],[ClickTick]],TabCalc[Ticker],TabCalc[Rev(MinStock)])*(1-Commission)</f>
        <v>-2504.4714000000013</v>
      </c>
      <c r="T92" s="782">
        <f ca="1">_xlfn.XLOOKUP(Tab_NewTRADER[[#This Row],[ClickTick]],TabCalc[Ticker],TabCalc[Agiotage])</f>
        <v>1.8178756496513504E-5</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-4,965/-4,965=&gt;0.3% / -1.9%</v>
      </c>
      <c r="V92" s="739" t="str">
        <f ca="1">_xlfn.XLOOKUP(Tab_NewTRADER[[#This Row],[ClickTick]],[1]!RTData[Ticker_Symbol],[1]!RTData[Currency])</f>
        <v>USD</v>
      </c>
      <c r="W92" s="749">
        <f ca="1">_xlfn.XLOOKUP(Tab_NewTRADER[[#This Row],[ClickTick]],TabCalc[Ticker],TabCalc[M])</f>
        <v>192.87</v>
      </c>
      <c r="X92" s="1343"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^282 / 289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70" t="str">
        <f ca="1">TEXT(MIN(Tab_NewTRADER[[#This Row],[L_Bn]],Tab_NewTRADER[[#This Row],[N]]),"#,#0")&amp;" x "&amp;TEXT(Tab_NewTRADER[[#This Row],[L_Bp]],"#,#0.#0")</f>
        <v>300 x -201.24</v>
      </c>
      <c r="AJ92" s="1370">
        <f ca="1">IF(Tab_NewTRADER[[#This Row],[M]]&lt;_xlfn.XLOOKUP(Tab_NewTRADER[[#This Row],[ClickTick]],TabCalc[Ticker],TabCalc[Max_Buy_P]), 0,Tab_NewTRADER[[#This Row],[Sale_Back_$]])</f>
        <v>0</v>
      </c>
      <c r="AK92" s="1370" t="str">
        <f ca="1">TEXT(Tab_NewTRADER[[#This Row],[L_Sn]],"#,#0")&amp;" ("&amp;Tab_NewTRADER[[#This Row],[M]]&amp;"/"&amp;TEXT(Tab_NewTRADER[[#This Row],[L_Sp]],"#,#0.#0)")</f>
        <v>1,000 (192.87/204.54)</v>
      </c>
      <c r="AL92" s="1370">
        <f ca="1">IF(Tab_NewTRADER[[#This Row],[M]]&lt;_xlfn.XLOOKUP(Tab_NewTRADER[[#This Row],[ClickTick]],TabCalc[Ticker],TabCalc[Max_Buy_P]), -Tab_NewTRADER[[#This Row],[Buy_Back]], 0)</f>
        <v>11639.657999999987</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2504.4714000000013</v>
      </c>
      <c r="AN92" s="1177">
        <f ca="1">Tab_NewTRADER[[#This Row],[N]]*(Tab_NewTRADER[[#This Row],[M]]-Tab_NewTRADER[[#This Row],[A]])*(1-Commission)*Tab_NewTRADER[[#This Row],[Scale]]</f>
        <v>48456.798901000002</v>
      </c>
      <c r="AO92" s="1177">
        <f ca="1">Tab_NewTRADER[[#This Row],[M]]*Tab_NewTRADER[[#This Row],[N]]*(1-Commission)*Tab_NewTRADER[[#This Row],[Scale]]</f>
        <v>288552.80699999997</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-0.20182259290633259</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4.0797106859542721E-2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-0.3743291592128804</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4.339710685954272E-2</v>
      </c>
      <c r="AV92" s="825" cm="1">
        <f t="array" aca="1" ref="AV92" ca="1">_xlfn.IFS(         Tab_NewTRADER[[#This Row],[Trap_vs_Last]]=MDown,Tab_NewTRADER[[#This Row],[L_Bn]]*Tab_NewTRADER[[#This Row],[M]]*(-(Tab_NewTRADER[[#This Row],[L_Bp]]+Tab_NewTRADER[[#This Row],[M]])/Tab_NewTRADER[[#This Row],[M]])*(1-Commission)*Tab_NewTRADER[[#This Row],[Scale]],                               TRUE,"")</f>
        <v>2504.4714000000013</v>
      </c>
      <c r="AW92" s="1186" cm="1">
        <f t="array" aca="1" ref="AW92" ca="1">_xlfn.IFS(   Tab_NewTRADER[[#This Row],[Trap_vs_Last]]=MUp,Tab_NewTRADER[[#This Row],[TakeGain_A]]-Commission,        Tab_NewTRADER[[#This Row],[Trap_vs_Last]]=MDown,(Tab_NewTRADER[[#This Row],[A]]-Tab_NewTRADER[[#This Row],[M]])/Tab_NewTRADER[[#This Row],[M]]-Commission,                              TRUE,"")</f>
        <v>-0.17053043673631635</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-48456.798901000002</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-8.3699999999999992</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0.20129785416477611</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-0.17053043673631635</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5.7054854796127839E-2</v>
      </c>
      <c r="BF92" s="729">
        <f ca="1">MIN(Tab_NewTRADER[[#This Row],[L_Sn]],Tab_NewTRADER[[#This Row],[N]])*(Tab_NewTRADER[[#This Row],[M]]-Tab_NewTRADER[[#This Row],[L_Sp]])*(1-Commission)*Tab_NewTRADER[[#This Row],[Scale]]</f>
        <v>-11639.657999999987</v>
      </c>
      <c r="BG92" s="692">
        <f ca="1">Tab_NewTRADER[[#This Row],[L_Sn]]*(Tab_NewTRADER[[#This Row],[Agiotage]]-Tab_NewTRADER[[#This Row],[M]])/(Tab_NewTRADER[[#This Row],[L_Bn]]*Tab_NewTRADER[[#This Row],[M]])</f>
        <v>-3.3333330191535491</v>
      </c>
      <c r="BH92" s="635">
        <f ca="1">IFERROR((Tab_NewTRADER[[#This Row],[M]]-Tab_NewTRADER[[#This Row],[A]])/Tab_NewTRADER[[#This Row],[A]],0)</f>
        <v>0.20182259290633259</v>
      </c>
      <c r="BI92" s="638" t="str">
        <f ca="1">TEXT(_xlfn.XLOOKUP(Tab_NewTRADER[[#This Row],[ClickTick]],TabCalc[Ticker],TabCalc[NAfter]),"#,#0")&amp;" : "&amp;TEXT(_xlfn.XLOOKUP(Tab_NewTRADER[[#This Row],[ClickTick]],TabCalc[Ticker],TabCalc[NAfter])*(Tab_NewTRADER[[#This Row],[M]]-Tab_NewTRADER[[#This Row],[A]])*(1-Commission)*Tab_NewTRADER[[#This Row],[Scale]],"#,#0$")</f>
        <v>1,500 : 48,457$</v>
      </c>
      <c r="BJ92" s="684">
        <f ca="1">_xlfn.XLOOKUP(Tab_NewTRADER[[#This Row],[ClickTick]],TabCalc[[#This Row],[Ticker]],TabCalc[[#This Row],[GL]])*(1-Commission)</f>
        <v>281736.42379520001</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4.339710685954272E-2</v>
      </c>
      <c r="BP92" s="679">
        <f ca="1">Tab_NewTRADER[[#This Row],[L_Sn]]*Tab_NewTRADER[[#This Row],[L_Sp]]+Tab_NewTRADER[[#This Row],[SellMore]]*Tab_NewTRADER[[#This Row],[M]]</f>
        <v>397410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198.70500000000001</v>
      </c>
      <c r="BT92" s="687">
        <f ca="1">((_xlfn.XLOOKUP(Tab_NewTRADER[[#This Row],[ClickTick]],TabCalc[Ticker],TabCalc[NAfter])+Tab_NewTRADER[[#This Row],[L_Sn]])*(Tab_NewTRADER[[#This Row],[Agiotage]]-Tab_NewTRADER[[#This Row],[M]]))/(Tab_NewTRADER[[#This Row],[L_Sn]]*_xlfn.XLOOKUP(Tab_NewTRADER[[#This Row],[ClickTick]],TabCalc[Ticker],TabCalc[NAfter]))</f>
        <v>-0.32144996970207246</v>
      </c>
      <c r="BU92" s="687">
        <f ca="1">(Tab_NewTRADER[[#This Row],[M]]-Tab_NewTRADER[[#This Row],[Agiotage]])/(Tab_NewTRADER[[#This Row],[M]]-Tab_NewTRADER[[#This Row],[A]])-1</f>
        <v>4.9548460968767687</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43"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70" t="str">
        <f ca="1">TEXT(MIN(Tab_NewTRADER[[#This Row],[L_Bn]],Tab_NewTRADER[[#This Row],[N]]),"#,#0")&amp;" x "&amp;TEXT(Tab_NewTRADER[[#This Row],[L_Bp]],"#,#0.#0")</f>
        <v>10 x -30.96</v>
      </c>
      <c r="AJ93" s="1370">
        <f ca="1">IF(Tab_NewTRADER[[#This Row],[M]]&lt;_xlfn.XLOOKUP(Tab_NewTRADER[[#This Row],[ClickTick]],TabCalc[Ticker],TabCalc[Max_Buy_P]), 0,Tab_NewTRADER[[#This Row],[Sale_Back_$]])</f>
        <v>238.20698735600004</v>
      </c>
      <c r="AK93" s="1370" t="str">
        <f ca="1">TEXT(Tab_NewTRADER[[#This Row],[L_Sn]],"#,#0")&amp;" ("&amp;Tab_NewTRADER[[#This Row],[M]]&amp;"/"&amp;TEXT(Tab_NewTRADER[[#This Row],[L_Sp]],"#,#0.#0)")</f>
        <v>1,590 (54.84/36.08)</v>
      </c>
      <c r="AL93" s="1370">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0.87337097808564734</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+369,155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47.3%</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1,044/77,100=10,576</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0.89662921348314617</v>
      </c>
      <c r="S94" s="683">
        <f ca="1">_xlfn.XLOOKUP(Tab_NewTRADER[[#This Row],[ClickTick]],TabCalc[Ticker],TabCalc[Rev(MinStock)])*(1-Commission)</f>
        <v>368194.99752000003</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-6,014/-6,014=&gt;-0.3% / 0.4%</v>
      </c>
      <c r="V94" s="739" t="str">
        <f ca="1">_xlfn.XLOOKUP(Tab_NewTRADER[[#This Row],[ClickTick]],[1]!RTData[Ticker_Symbol],[1]!RTData[Currency])</f>
        <v>USD</v>
      </c>
      <c r="W94" s="749">
        <f ca="1">_xlfn.XLOOKUP(Tab_NewTRADER[[#This Row],[ClickTick]],TabCalc[Ticker],TabCalc[M])</f>
        <v>10.128</v>
      </c>
      <c r="X94" s="1343"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^369 / 781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368194.99752000003</v>
      </c>
      <c r="AI94" s="1370" t="str">
        <f ca="1">TEXT(MIN(Tab_NewTRADER[[#This Row],[L_Bn]],Tab_NewTRADER[[#This Row],[N]]),"#,#0")&amp;" x "&amp;TEXT(Tab_NewTRADER[[#This Row],[L_Bp]],"#,#0.#0")</f>
        <v>77,100 x -5.34</v>
      </c>
      <c r="AJ94" s="1370">
        <f ca="1">IF(Tab_NewTRADER[[#This Row],[M]]&lt;_xlfn.XLOOKUP(Tab_NewTRADER[[#This Row],[ClickTick]],TabCalc[Ticker],TabCalc[Max_Buy_P]), 0,Tab_NewTRADER[[#This Row],[Sale_Back_$]])</f>
        <v>368194.99752000003</v>
      </c>
      <c r="AK94" s="1370" t="str">
        <f ca="1">TEXT(Tab_NewTRADER[[#This Row],[L_Sn]],"#,#0")&amp;" ("&amp;Tab_NewTRADER[[#This Row],[M]]&amp;"/"&amp;TEXT(Tab_NewTRADER[[#This Row],[L_Sp]],"#,#0.#0)")</f>
        <v>0 (10.128/0.0)</v>
      </c>
      <c r="AL94" s="1370">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368194.99752000003</v>
      </c>
      <c r="AO94" s="1177">
        <f ca="1">Tab_NewTRADER[[#This Row],[M]]*Tab_NewTRADER[[#This Row],[N]]*(1-Commission)*Tab_NewTRADER[[#This Row],[Scale]]</f>
        <v>778838.54112000007</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0.89662921348314617</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0.25376298494806027</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698329.38855478656</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-0.47534881516587679</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0.89662921348314617</v>
      </c>
      <c r="BI94" s="638" t="str">
        <f ca="1">TEXT(_xlfn.XLOOKUP(Tab_NewTRADER[[#This Row],[ClickTick]],TabCalc[Ticker],TabCalc[NAfter]),"#,#0")&amp;" : "&amp;TEXT(_xlfn.XLOOKUP(Tab_NewTRADER[[#This Row],[ClickTick]],TabCalc[Ticker],TabCalc[NAfter])*(Tab_NewTRADER[[#This Row],[M]]-Tab_NewTRADER[[#This Row],[A]])*(1-Commission)*Tab_NewTRADER[[#This Row],[Scale]],"#,#0$")</f>
        <v>77,100 : 368,195$</v>
      </c>
      <c r="BJ94" s="684">
        <f ca="1">_xlfn.XLOOKUP(Tab_NewTRADER[[#This Row],[ClickTick]],TabCalc[[#This Row],[Ticker]],TabCalc[[#This Row],[GL]])*(1-Commission)</f>
        <v>368194.99752000003</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780868.8</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10.128</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0.9064327485380117</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+29,532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16.9%</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34/200=29,507</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12,960$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95" s="226" t="str">
        <f ca="1">IFERROR(TRUNC(TabCalc[[#This Row],[L_S1p]],2)&amp;"x"&amp;TabCalc[[#This Row],[L_S1n]]&amp;"=   "&amp;TEXT(TabCalc[[#This Row],[ReverseB1]],"#,#0"),"")</f>
        <v>0x0=   0</v>
      </c>
      <c r="J95" s="295">
        <f ca="1">_xlfn.XLOOKUP(Tab_NewTRADER[[#This Row],[ClickTick]],TabCalc[Ticker],ListGravity)</f>
        <v>1.0809080330502641</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0.1427007365316057</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0.20402354436676151</v>
      </c>
      <c r="S95" s="683">
        <f ca="1">_xlfn.XLOOKUP(Tab_NewTRADER[[#This Row],[ClickTick]],TabCalc[Ticker],TabCalc[Rev(MinStock)])*(1-Commission)</f>
        <v>29455.216799999991</v>
      </c>
      <c r="T95" s="782">
        <f ca="1">_xlfn.XLOOKUP(Tab_NewTRADER[[#This Row],[ClickTick]],TabCalc[Ticker],TabCalc[Agiotage])</f>
        <v>0.1427007365316057</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-1,580/-1,580=&gt;-2.7% / -0.3%</v>
      </c>
      <c r="V95" s="739" t="str">
        <f ca="1">_xlfn.XLOOKUP(Tab_NewTRADER[[#This Row],[ClickTick]],[1]!RTData[Ticker_Symbol],[1]!RTData[Currency])</f>
        <v>EUR</v>
      </c>
      <c r="W95" s="749">
        <f ca="1">_xlfn.XLOOKUP(Tab_NewTRADER[[#This Row],[ClickTick]],TabCalc[Ticker],TabCalc[M])</f>
        <v>871.4</v>
      </c>
      <c r="X95" s="1343"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 / 174 K$</v>
      </c>
      <c r="AF95" s="1360"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70" t="str">
        <f ca="1">TEXT(MIN(Tab_NewTRADER[[#This Row],[L_Bn]],Tab_NewTRADER[[#This Row],[N]]),"#,#0")&amp;" x "&amp;TEXT(Tab_NewTRADER[[#This Row],[L_Bp]],"#,#0.#0")</f>
        <v>200 x -723.74</v>
      </c>
      <c r="AJ95" s="1370">
        <f ca="1">IF(Tab_NewTRADER[[#This Row],[M]]&lt;_xlfn.XLOOKUP(Tab_NewTRADER[[#This Row],[ClickTick]],TabCalc[Ticker],TabCalc[Max_Buy_P]), 0,Tab_NewTRADER[[#This Row],[Sale_Back_$]])</f>
        <v>29455.216799999991</v>
      </c>
      <c r="AK95" s="1370" t="str">
        <f ca="1">TEXT(Tab_NewTRADER[[#This Row],[L_Sn]],"#,#0")&amp;" ("&amp;Tab_NewTRADER[[#This Row],[M]]&amp;"/"&amp;TEXT(Tab_NewTRADER[[#This Row],[L_Sp]],"#,#0.#0)")</f>
        <v>300 (871.4/828.20)</v>
      </c>
      <c r="AL95" s="1370">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8617.5359999999855</v>
      </c>
      <c r="AN95" s="1177">
        <f ca="1">Tab_NewTRADER[[#This Row],[N]]*(Tab_NewTRADER[[#This Row],[M]]-Tab_NewTRADER[[#This Row],[A]])*(1-Commission)*Tab_NewTRADER[[#This Row],[Scale]]</f>
        <v>29455.216799999991</v>
      </c>
      <c r="AO95" s="1177">
        <f ca="1">Tab_NewTRADER[[#This Row],[M]]*Tab_NewTRADER[[#This Row],[N]]*(1-Commission)*Tab_NewTRADER[[#This Row],[Scale]]</f>
        <v>173826.872</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0.20402354436676151</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4.6975395914620077E-2</v>
      </c>
      <c r="AR95" s="825" cm="1">
        <f t="array" aca="1" ref="AR95" ca="1">_xlfn.IFS(   Tab_NewTRADER[[#This Row],[Trap_vs_Last]]=SellMorePercentGain,                     MIN(Tab_NewTRADER[[#This Row],[L_Sn]],Tab_NewTRADER[[#This Row],[N]])*(Tab_NewTRADER[[#This Row],[M]]-Tab_NewTRADER[[#This Row],[L_Sp]])*(1-Commission)*Tab_NewTRADER[[#This Row],[Scale]],                    TRUE,"")</f>
        <v>8617.5359999999855</v>
      </c>
      <c r="AS95" s="1175">
        <f ca="1">_xlfn.XLOOKUP(Tab_NewTRADER[[#This Row],[ClickTick]],TabCalc[Ticker],TabCalc[Ann%RevLB])</f>
        <v>0.23924585007177246</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0.20142354436676152</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35464.774531627372</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200x147.66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0.20349308315140793</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-0.17205145742483355</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-5.2161313692344759E-2</v>
      </c>
      <c r="BF95" s="729">
        <f ca="1">MIN(Tab_NewTRADER[[#This Row],[L_Sn]],Tab_NewTRADER[[#This Row],[N]])*(Tab_NewTRADER[[#This Row],[M]]-Tab_NewTRADER[[#This Row],[L_Sp]])*(1-Commission)*Tab_NewTRADER[[#This Row],[Scale]]</f>
        <v>8617.5359999999855</v>
      </c>
      <c r="BG95" s="692">
        <f ca="1">Tab_NewTRADER[[#This Row],[L_Sn]]*(Tab_NewTRADER[[#This Row],[Agiotage]]-Tab_NewTRADER[[#This Row],[M]])/(Tab_NewTRADER[[#This Row],[L_Bn]]*Tab_NewTRADER[[#This Row],[M]])</f>
        <v>-0.59990174381234906</v>
      </c>
      <c r="BH95" s="635">
        <f ca="1">IFERROR((Tab_NewTRADER[[#This Row],[M]]-Tab_NewTRADER[[#This Row],[A]])/Tab_NewTRADER[[#This Row],[A]],0)</f>
        <v>0.20402354436676151</v>
      </c>
      <c r="BI95" s="638" t="str">
        <f ca="1">TEXT(_xlfn.XLOOKUP(Tab_NewTRADER[[#This Row],[ClickTick]],TabCalc[Ticker],TabCalc[NAfter]),"#,#0")&amp;" : "&amp;TEXT(_xlfn.XLOOKUP(Tab_NewTRADER[[#This Row],[ClickTick]],TabCalc[Ticker],TabCalc[NAfter])*(Tab_NewTRADER[[#This Row],[M]]-Tab_NewTRADER[[#This Row],[A]])*(1-Commission)*Tab_NewTRADER[[#This Row],[Scale]],"#,#0$")</f>
        <v>200 : 29,455$</v>
      </c>
      <c r="BJ95" s="684">
        <f ca="1">_xlfn.XLOOKUP(Tab_NewTRADER[[#This Row],[ClickTick]],TabCalc[[#This Row],[Ticker]],TabCalc[[#This Row],[GL]])*(1-Commission)</f>
        <v>60711.737999999998</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4.9575395914620075E-2</v>
      </c>
      <c r="BP95" s="679">
        <f ca="1">Tab_NewTRADER[[#This Row],[L_Sn]]*Tab_NewTRADER[[#This Row],[L_Sp]]+Tab_NewTRADER[[#This Row],[SellMore]]*Tab_NewTRADER[[#This Row],[M]]</f>
        <v>422740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845.48</v>
      </c>
      <c r="BT95" s="687">
        <f ca="1">((_xlfn.XLOOKUP(Tab_NewTRADER[[#This Row],[ClickTick]],TabCalc[Ticker],TabCalc[NAfter])+Tab_NewTRADER[[#This Row],[L_Sn]])*(Tab_NewTRADER[[#This Row],[Agiotage]]-Tab_NewTRADER[[#This Row],[M]]))/(Tab_NewTRADER[[#This Row],[L_Sn]]*_xlfn.XLOOKUP(Tab_NewTRADER[[#This Row],[ClickTick]],TabCalc[Ticker],TabCalc[NAfter]))</f>
        <v>-7.2604774938622363</v>
      </c>
      <c r="BU95" s="687">
        <f ca="1">(Tab_NewTRADER[[#This Row],[M]]-Tab_NewTRADER[[#This Row],[Agiotage]])/(Tab_NewTRADER[[#This Row],[M]]-Tab_NewTRADER[[#This Row],[A]])-1</f>
        <v>4.9004286825373731</v>
      </c>
      <c r="BV95" s="1277">
        <f ca="1">_xlfn.XMATCH(Tab_NewTRADER[[#This Row],[ClickTick]]&amp;1, TabConsolid[#Headers])</f>
        <v>281</v>
      </c>
      <c r="BW95" t="b">
        <f ca="1">IF(ABS(Tab_NewTRADER[[#This Row],[L_Bp]])&gt;=Tab_NewTRADER[[#This Row],[M]],"OK")</f>
        <v>0</v>
      </c>
    </row>
    <row r="96" spans="1:75" ht="23"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-14.82x5000=    +1,850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5,376</v>
      </c>
      <c r="F96" s="1122" t="str">
        <f ca="1">TRUNC(TabCalc[[#This Row],[L_B1p]],2)&amp;"x"&amp;TabCalc[[#This Row],[L_B1n]]&amp;"=   "&amp;TEXT(TabCalc[[#This Row],[ReverseS1]],"#,#0")&amp;"$"</f>
        <v>-15.54x3000=   -1,073$</v>
      </c>
      <c r="G96" s="225" t="str">
        <f ca="1">IFERROR(TRUNC(_xlfn.XLOOKUP(Tab_NewTRADER[[#This Row],[ClickTick]],TabCalc[Ticker],ListLastSalep),2)&amp;"x"&amp;_xlfn.XLOOKUP(Tab_NewTRADER[[#This Row],[ClickTick]],TabCalc[Ticker],ListLastSalen)&amp;"=   "&amp;TEXT(-_xlfn.XLOOKUP(Tab_NewTRADER[[#This Row],[ClickTick]],TabCalc[Ticker],ListReverseB),"#,#0")&amp;"$","")</f>
        <v>16.12x3000=   -2,790$</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5,376</v>
      </c>
      <c r="I96" s="226" t="str">
        <f ca="1">IFERROR(TRUNC(TabCalc[[#This Row],[L_S1p]],2)&amp;"x"&amp;TabCalc[[#This Row],[L_S1n]]&amp;"=   "&amp;TEXT(TabCalc[[#This Row],[ReverseB1]],"#,#0"),"")</f>
        <v>15.96x12000=   9,240</v>
      </c>
      <c r="J96" s="295">
        <f ca="1">_xlfn.XLOOKUP(Tab_NewTRADER[[#This Row],[ClickTick]],TabCalc[Ticker],ListGravity)</f>
        <v>1.1138637261356155</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7.1240551570914536E-4</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5000</v>
      </c>
      <c r="Q96" s="728">
        <f ca="1">_xlfn.XLOOKUP(Tab_NewTRADER[[#This Row],[ClickTick]],TabCalc[Ticker],TabCalc[L_Bp])</f>
        <v>-14.82</v>
      </c>
      <c r="R96" s="764">
        <f ca="1">(Tab_NewTRADER[[#This Row],[M]]+Tab_NewTRADER[[#This Row],[L_Bp]])/ABS(Tab_NewTRADER[[#This Row],[L_Bp]])</f>
        <v>2.4966261808367019E-2</v>
      </c>
      <c r="S96" s="683">
        <f ca="1">_xlfn.XLOOKUP(Tab_NewTRADER[[#This Row],[ClickTick]],TabCalc[Ticker],TabCalc[Rev(MinStock)])*(1-Commission)</f>
        <v>1845.189999999996</v>
      </c>
      <c r="T96" s="1357">
        <f ca="1">_xlfn.XLOOKUP(Tab_NewTRADER[[#This Row],[ClickTick]],TabCalc[Ticker],TabCalc[Agiotage])</f>
        <v>7.1240551570914536E-4</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-90/-90=&gt;0.2% / -0.4%</v>
      </c>
      <c r="V96" s="1359" t="str">
        <f ca="1">_xlfn.XLOOKUP(Tab_NewTRADER[[#This Row],[ClickTick]],[1]!RTData[Ticker_Symbol],[1]!RTData[Currency])</f>
        <v>EUR</v>
      </c>
      <c r="W96" s="749">
        <f ca="1">_xlfn.XLOOKUP(Tab_NewTRADER[[#This Row],[ClickTick]],TabCalc[Ticker],TabCalc[M])</f>
        <v>15.19</v>
      </c>
      <c r="X96" s="1343"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18000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^303 / 273 K$</v>
      </c>
      <c r="AF96" s="1360"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6" s="1177" t="str" cm="1">
        <f t="array" aca="1" ref="AG96" ca="1">_xlfn.IFS(       Tab_NewTRADER[[#This Row],[Trap_vs_Last]]=RePurchaseGain,TEXT(Tab_NewTRADER[[#This Row],[L_Sn]],"#,#0")&amp;" x "&amp;TEXT(Tab_NewTRADER[[#This Row],[L_Sp]],"#,#0.#0"),     Tab_NewTRADER[[#This Row],[Trap_vs_Last]]=ReSaleGain,Tab_NewTRADER[[#This Row],[ToSell]],               TRUE,"")</f>
        <v>3,000 x 16.12</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2782.7460000000042</v>
      </c>
      <c r="AI96" s="1370" t="str">
        <f ca="1">TEXT(MIN(Tab_NewTRADER[[#This Row],[L_Bn]],Tab_NewTRADER[[#This Row],[N]]),"#,#0")&amp;" x "&amp;TEXT(Tab_NewTRADER[[#This Row],[L_Bp]],"#,#0.#0")</f>
        <v>5,000 x -14.82</v>
      </c>
      <c r="AJ96" s="1370">
        <f ca="1">IF(Tab_NewTRADER[[#This Row],[M]]&lt;_xlfn.XLOOKUP(Tab_NewTRADER[[#This Row],[ClickTick]],TabCalc[Ticker],TabCalc[Max_Buy_P]), 0,Tab_NewTRADER[[#This Row],[Sale_Back_$]])</f>
        <v>0</v>
      </c>
      <c r="AK96" s="1370" t="str">
        <f ca="1">TEXT(Tab_NewTRADER[[#This Row],[L_Sn]],"#,#0")&amp;" ("&amp;Tab_NewTRADER[[#This Row],[M]]&amp;"/"&amp;TEXT(Tab_NewTRADER[[#This Row],[L_Sp]],"#,#0.#0)")</f>
        <v>3,000 (15.19/16.12)</v>
      </c>
      <c r="AL96" s="1370">
        <f ca="1">IF(Tab_NewTRADER[[#This Row],[M]]&lt;_xlfn.XLOOKUP(Tab_NewTRADER[[#This Row],[ClickTick]],TabCalc[Ticker],TabCalc[Max_Buy_P]), -Tab_NewTRADER[[#This Row],[Buy_Back]], 0)</f>
        <v>2782.7460000000042</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15312.544601400012</v>
      </c>
      <c r="AO96" s="1177">
        <f ca="1">Tab_NewTRADER[[#This Row],[M]]*Tab_NewTRADER[[#This Row],[N]]*(1-Commission)*Tab_NewTRADER[[#This Row],[Scale]]</f>
        <v>272709.10800000001</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5.7692307692307779E-2</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0.1182612401448964</v>
      </c>
      <c r="AT96" s="1282">
        <f ca="1">_xlfn.XLOOKUP(Tab_NewTRADER[[#This Row],[ClickTick]],TabCalc[Ticker],TabCalc[Up20])</f>
        <v>0</v>
      </c>
      <c r="AU96" s="1362"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15312.544601400012</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6" s="1133"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5.9335415297621034E-2</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-5.8749736668861137E-2</v>
      </c>
      <c r="BC96" s="1364">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5.7692307692307779E-2</v>
      </c>
      <c r="BF96" s="729">
        <f ca="1">MIN(Tab_NewTRADER[[#This Row],[L_Sn]],Tab_NewTRADER[[#This Row],[N]])*(Tab_NewTRADER[[#This Row],[M]]-Tab_NewTRADER[[#This Row],[L_Sp]])*(1-Commission)*Tab_NewTRADER[[#This Row],[Scale]]</f>
        <v>-2782.7460000000042</v>
      </c>
      <c r="BG96" s="692">
        <f ca="1">Tab_NewTRADER[[#This Row],[L_Sn]]*(Tab_NewTRADER[[#This Row],[Agiotage]]-Tab_NewTRADER[[#This Row],[M]])/(Tab_NewTRADER[[#This Row],[L_Bn]]*Tab_NewTRADER[[#This Row],[M]])</f>
        <v>-0.59997186021662763</v>
      </c>
      <c r="BH96" s="635">
        <f ca="1">IFERROR((Tab_NewTRADER[[#This Row],[M]]-Tab_NewTRADER[[#This Row],[A]])/Tab_NewTRADER[[#This Row],[A]],0)</f>
        <v>5.9490089530400074E-2</v>
      </c>
      <c r="BI96" s="638" t="str">
        <f ca="1">TEXT(_xlfn.XLOOKUP(Tab_NewTRADER[[#This Row],[ClickTick]],TabCalc[Ticker],TabCalc[NAfter]),"#,#0")&amp;" : "&amp;TEXT(_xlfn.XLOOKUP(Tab_NewTRADER[[#This Row],[ClickTick]],TabCalc[Ticker],TabCalc[NAfter])*(Tab_NewTRADER[[#This Row],[M]]-Tab_NewTRADER[[#This Row],[A]])*(1-Commission)*Tab_NewTRADER[[#This Row],[Scale]],"#,#0$")</f>
        <v>18,000 : 15,313$</v>
      </c>
      <c r="BJ96" s="684">
        <f ca="1">_xlfn.XLOOKUP(Tab_NewTRADER[[#This Row],[ClickTick]],TabCalc[[#This Row],[Ticker]],TabCalc[[#This Row],[GL]])*(1-Commission)</f>
        <v>301786.33114540001</v>
      </c>
      <c r="BK96" s="684"/>
      <c r="BL96" s="669" t="str">
        <f ca="1">Tab_NewTRADER[[#This Row],[ClickTick]]&amp;": "&amp;_xlfn.XLOOKUP(Tab_NewTRADER[[#This Row],[ClickTick]],TabCalc[Ticker],TabCalc[Pile?])</f>
        <v>JBEOAN: Pile</v>
      </c>
      <c r="BM96" s="351" t="s">
        <v>2037</v>
      </c>
      <c r="BN96" s="1366"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124310</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15.53875</v>
      </c>
      <c r="BT96" s="687">
        <f ca="1">((_xlfn.XLOOKUP(Tab_NewTRADER[[#This Row],[ClickTick]],TabCalc[Ticker],TabCalc[NAfter])+Tab_NewTRADER[[#This Row],[L_Sn]])*(Tab_NewTRADER[[#This Row],[Agiotage]]-Tab_NewTRADER[[#This Row],[M]]))/(Tab_NewTRADER[[#This Row],[L_Sn]]*_xlfn.XLOOKUP(Tab_NewTRADER[[#This Row],[ClickTick]],TabCalc[Ticker],TabCalc[NAfter]))</f>
        <v>-5.9069451756327794E-3</v>
      </c>
      <c r="BU96" s="687">
        <f ca="1">(Tab_NewTRADER[[#This Row],[M]]-Tab_NewTRADER[[#This Row],[Agiotage]])/(Tab_NewTRADER[[#This Row],[M]]-Tab_NewTRADER[[#This Row],[A]])-1</f>
        <v>16.808687265235001</v>
      </c>
      <c r="BV96" s="1277">
        <f ca="1">_xlfn.XMATCH(Tab_NewTRADER[[#This Row],[ClickTick]]&amp;1, TabConsolid[#Headers])</f>
        <v>284</v>
      </c>
    </row>
    <row r="97" spans="1:74" ht="28" thickBot="1" x14ac:dyDescent="0.4">
      <c r="A97" s="224" t="s">
        <v>1086</v>
      </c>
      <c r="B97" s="1386"/>
      <c r="C97" s="1387"/>
      <c r="D97" s="671"/>
      <c r="E97" s="752"/>
      <c r="F97" s="1386"/>
      <c r="G97" s="1388"/>
      <c r="H97" s="1387"/>
      <c r="I97" s="1389"/>
      <c r="J97" s="1387"/>
      <c r="K97" s="1387"/>
      <c r="L97" s="672"/>
      <c r="M97" s="1387"/>
      <c r="N97" s="1390"/>
      <c r="O97" s="703"/>
      <c r="P97" s="857"/>
      <c r="Q97" s="855"/>
      <c r="R97" s="1391"/>
      <c r="S97" s="702">
        <f ca="1">SUBTOTAL(109,Tab_NewTRADER[Sale_Back_$])</f>
        <v>-1303.6018000000136</v>
      </c>
      <c r="T97" s="786"/>
      <c r="U97" s="697">
        <f ca="1">SUBTOTAL(109,Tab_NewTRADER[SncOpenYest%])</f>
        <v>0</v>
      </c>
      <c r="V97" s="740"/>
      <c r="W97" s="1069"/>
      <c r="X97" s="1344"/>
      <c r="Y97" s="804"/>
      <c r="Z97" s="866"/>
      <c r="AA97" s="1"/>
      <c r="AB97" s="1"/>
      <c r="AC97" s="767"/>
      <c r="AD97" s="767"/>
      <c r="AE97" s="844"/>
      <c r="AF97" s="1174"/>
      <c r="AG97" s="1174"/>
      <c r="AH97" s="738">
        <f ca="1">SUBTOTAL(109,Tab_NewTRADER[Sell/Buy_nL])</f>
        <v>26206.685000000016</v>
      </c>
      <c r="AI97" s="1371"/>
      <c r="AJ97" s="932">
        <f ca="1">SUBTOTAL(109,Tab_NewTRADER[Sale_Real_GL])</f>
        <v>11470.1</v>
      </c>
      <c r="AK97" s="738"/>
      <c r="AL97" s="932">
        <f ca="1">SUBTOTAL(109,Tab_NewTRADER[Buy/Sell_Virt_GL])</f>
        <v>22331.786000000015</v>
      </c>
      <c r="AM97" s="761">
        <f ca="1">SUBTOTAL(109,Tab_NewTRADER[GL_nM])</f>
        <v>0</v>
      </c>
      <c r="AN97" s="932">
        <f ca="1">SUBTOTAL(109,Tab_NewTRADER[GL_NA])</f>
        <v>531166.37837139994</v>
      </c>
      <c r="AO97" s="932">
        <f ca="1">SUBTOTAL(109,Tab_NewTRADER[M_VALUE])</f>
        <v>3996761.3319999999</v>
      </c>
      <c r="AP97" s="761"/>
      <c r="AQ97" s="929"/>
      <c r="AR97" s="932">
        <f ca="1">SUBTOTAL(109,Tab_NewTRADER[vs.LS$])</f>
        <v>0</v>
      </c>
      <c r="AS97" s="1285"/>
      <c r="AT97" s="1285"/>
      <c r="AU97" s="761"/>
      <c r="AV97" s="932">
        <f ca="1">SUBTOTAL(109,Tab_NewTRADER[vs.LB$])</f>
        <v>0</v>
      </c>
      <c r="AW97" s="761"/>
      <c r="AX97" s="761"/>
      <c r="AY97" s="761"/>
      <c r="AZ97" s="738"/>
      <c r="BA97" s="819">
        <f ca="1">SUBTOTAL(109,Tab_NewTRADER[SellMore(/A)])</f>
        <v>4.7562117130410725E-2</v>
      </c>
      <c r="BB97" s="820">
        <f ca="1">SUBTOTAL(109,Tab_NewTRADER[BuyMore])</f>
        <v>9.3895247225539491E-2</v>
      </c>
      <c r="BC97" s="1390"/>
      <c r="BD97" s="682"/>
      <c r="BE97" s="1392"/>
      <c r="BF97" s="730">
        <f ca="1">SUBTOTAL(109,Tab_NewTRADER[Buy_Back])</f>
        <v>-26206.685000000016</v>
      </c>
      <c r="BG97" s="693">
        <f ca="1">SUBTOTAL(104,Tab_NewTRADER[Rev_B@Y])</f>
        <v>-0.39970089435961154</v>
      </c>
      <c r="BH97" s="1387"/>
      <c r="BI97" s="674"/>
      <c r="BJ97" s="685">
        <f ca="1">SUBTOTAL(109,Tab_NewTRADER[GL_Total])</f>
        <v>1074049.8079957999</v>
      </c>
      <c r="BK97" s="685"/>
      <c r="BL97" s="673"/>
      <c r="BM97" s="1393">
        <f>SUBTOTAL(103,Tab_NewTRADER[Status])</f>
        <v>5</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7"/>
      <c r="AO98" s="1376"/>
      <c r="AP98" s="1376"/>
      <c r="AR98" s="798"/>
      <c r="AS98" s="798"/>
      <c r="AT98" s="798"/>
      <c r="AU98" s="798"/>
      <c r="AV98" s="798"/>
      <c r="AW98" s="798"/>
      <c r="AX98" s="798"/>
      <c r="AY98" s="798"/>
      <c r="AZ98" s="327"/>
      <c r="BA98" s="329"/>
      <c r="BB98" s="330"/>
      <c r="BC98" s="807">
        <f ca="1">SUM(Tab_NewTRADER[SellMore(/A)])</f>
        <v>-1.107826305448103</v>
      </c>
      <c r="BD98" s="808">
        <f ca="1">SUM(Tab_NewTRADER[BuyMore])</f>
        <v>51.898723097653097</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9" t="s">
        <v>2735</v>
      </c>
      <c r="AN99" s="502" t="s">
        <v>2734</v>
      </c>
      <c r="AO99" s="1378">
        <f ca="1">Tab_NewTRADER[[#Totals],[GL_NA]]/Tab_NewTRADER[[#Totals],[M_VALUE]]</f>
        <v>0.1328991986883544</v>
      </c>
      <c r="AP99" s="948"/>
      <c r="AS99" s="93">
        <f ca="1">SUM(AR3:AR96)</f>
        <v>79649.626136999985</v>
      </c>
      <c r="AT99" s="93"/>
      <c r="AU99" s="93"/>
      <c r="AV99" s="93"/>
      <c r="AW99" s="93"/>
      <c r="AY99" s="93">
        <f ca="1">SUM(AX3:AX96)</f>
        <v>5186385.2143198634</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80">
        <f ca="1">SUM(Tab_NewTRADER[GL_nM])</f>
        <v>524620.97777519992</v>
      </c>
      <c r="AN101" s="1381">
        <f ca="1">SUM(AN3:AN96)</f>
        <v>1047431.7294556538</v>
      </c>
      <c r="AO101" s="1382">
        <f ca="1">SUM(AO3:AO96)</f>
        <v>33962005.41429399</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83">
        <f ca="1">Tab_NewTRADER[[#Totals],[GL_NA]]/AN101</f>
        <v>0.50711312578572065</v>
      </c>
      <c r="AO102" s="1384">
        <f ca="1">Tab_NewTRADER[[#Totals],[M_VALUE]]/AO101</f>
        <v>0.11768331355126149</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t="e">
        <f>AV114/[1]DataRT!$B$99</f>
        <v>#DIV/0!</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2887" priority="102" operator="containsText" text="x0">
      <formula>NOT(ISERROR(SEARCH("x0",G3)))</formula>
    </cfRule>
    <cfRule type="containsText" dxfId="2886" priority="123" operator="containsText" text=" -">
      <formula>NOT(ISERROR(SEARCH(" -",G3)))</formula>
    </cfRule>
  </conditionalFormatting>
  <conditionalFormatting sqref="I3:I96">
    <cfRule type="containsText" dxfId="2885"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2884" priority="119" operator="containsText" text=" 0">
      <formula>NOT(ISERROR(SEARCH(" 0",B3)))</formula>
    </cfRule>
  </conditionalFormatting>
  <conditionalFormatting sqref="B3:B96">
    <cfRule type="containsText" dxfId="2883" priority="120" operator="containsText" text=" -">
      <formula>NOT(ISERROR(SEARCH(" -",B3)))</formula>
    </cfRule>
  </conditionalFormatting>
  <conditionalFormatting sqref="H3:I96">
    <cfRule type="containsText" dxfId="2882" priority="115" operator="containsText" text="Free">
      <formula>NOT(ISERROR(SEARCH("Free",H3)))</formula>
    </cfRule>
    <cfRule type="containsText" dxfId="2881" priority="116" operator="containsText" text="Buy">
      <formula>NOT(ISERROR(SEARCH("Buy",H3)))</formula>
    </cfRule>
    <cfRule type="containsText" dxfId="2880" priority="117" operator="containsText" text="Refill">
      <formula>NOT(ISERROR(SEARCH("Refill",H3)))</formula>
    </cfRule>
    <cfRule type="containsText" dxfId="2879" priority="118" operator="containsText" text="S_more">
      <formula>NOT(ISERROR(SEARCH("S_more",H3)))</formula>
    </cfRule>
  </conditionalFormatting>
  <conditionalFormatting sqref="D98 C2:C96">
    <cfRule type="containsText" dxfId="2878" priority="111" operator="containsText" text="Free">
      <formula>NOT(ISERROR(SEARCH("Free",C2)))</formula>
    </cfRule>
    <cfRule type="containsText" dxfId="2877" priority="112" operator="containsText" text="Sell">
      <formula>NOT(ISERROR(SEARCH("Sell",C2)))</formula>
    </cfRule>
    <cfRule type="containsText" dxfId="2876" priority="113" operator="containsText" text="Re-Sell">
      <formula>NOT(ISERROR(SEARCH("Re-Sell",C2)))</formula>
    </cfRule>
    <cfRule type="containsText" dxfId="2875" priority="114" operator="containsText" text="B_more">
      <formula>NOT(ISERROR(SEARCH("B_more",C2)))</formula>
    </cfRule>
  </conditionalFormatting>
  <conditionalFormatting sqref="N98 E3:E96">
    <cfRule type="containsText" dxfId="2874" priority="100" operator="containsText" text="Free">
      <formula>NOT(ISERROR(SEARCH("Free",E3)))</formula>
    </cfRule>
    <cfRule type="containsText" dxfId="2873" priority="106" operator="containsText" text="M&lt;min">
      <formula>NOT(ISERROR(SEARCH("M&lt;min",E3)))</formula>
    </cfRule>
    <cfRule type="containsText" dxfId="2872" priority="107" operator="containsText" text="A&lt;M">
      <formula>NOT(ISERROR(SEARCH("A&lt;M",E3)))</formula>
    </cfRule>
    <cfRule type="containsText" dxfId="2871" priority="108" operator="containsText" text="M&gt;Last Sale">
      <formula>NOT(ISERROR(SEARCH("M&gt;Last Sale",E3)))</formula>
    </cfRule>
    <cfRule type="containsText" dxfId="2870" priority="109" operator="containsText" text="M&gt;Y">
      <formula>NOT(ISERROR(SEARCH("M&gt;Y",E3)))</formula>
    </cfRule>
  </conditionalFormatting>
  <conditionalFormatting sqref="C3:C96">
    <cfRule type="expression" dxfId="2869" priority="103">
      <formula>#REF!=0</formula>
    </cfRule>
  </conditionalFormatting>
  <conditionalFormatting sqref="N98 E3:E96">
    <cfRule type="containsText" dxfId="2868" priority="105" operator="containsText" text="A&gt;M">
      <formula>NOT(ISERROR(SEARCH("A&gt;M",E3)))</formula>
    </cfRule>
  </conditionalFormatting>
  <conditionalFormatting sqref="BM2:BQ96">
    <cfRule type="containsText" dxfId="2867" priority="99" operator="containsText" text="Trade">
      <formula>NOT(ISERROR(SEARCH("Trade",BM2)))</formula>
    </cfRule>
  </conditionalFormatting>
  <conditionalFormatting sqref="D3:E96">
    <cfRule type="expression" dxfId="2866" priority="124">
      <formula>#REF!=0</formula>
    </cfRule>
    <cfRule type="expression" dxfId="2865"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864" priority="96" operator="greaterThan">
      <formula>0</formula>
    </cfRule>
    <cfRule type="cellIs" dxfId="2863" priority="97" operator="lessThan">
      <formula>0</formula>
    </cfRule>
  </conditionalFormatting>
  <conditionalFormatting sqref="BL3:BL96">
    <cfRule type="containsText" dxfId="2862" priority="95" operator="containsText" text="Pile">
      <formula>NOT(ISERROR(SEARCH("Pile",BL3)))</formula>
    </cfRule>
  </conditionalFormatting>
  <conditionalFormatting sqref="BS97:BV97">
    <cfRule type="expression" dxfId="2861" priority="94">
      <formula>$BN98&gt;=$BM98</formula>
    </cfRule>
  </conditionalFormatting>
  <conditionalFormatting sqref="BS2:BU3 BT4:BU94 BS4:BS96 BV2:BV94">
    <cfRule type="expression" dxfId="2860" priority="128">
      <formula>$BS3&gt;=$BR3</formula>
    </cfRule>
  </conditionalFormatting>
  <conditionalFormatting sqref="U97">
    <cfRule type="cellIs" dxfId="2859" priority="93" operator="lessThan">
      <formula>"/ -"</formula>
    </cfRule>
  </conditionalFormatting>
  <conditionalFormatting sqref="S2:S97">
    <cfRule type="cellIs" dxfId="2858" priority="91" operator="lessThan">
      <formula>-1000</formula>
    </cfRule>
    <cfRule type="cellIs" dxfId="2857" priority="92" operator="greaterThan">
      <formula>1000</formula>
    </cfRule>
  </conditionalFormatting>
  <conditionalFormatting sqref="O3:O96">
    <cfRule type="containsText" dxfId="2856" priority="90" operator="containsText" text="Pile">
      <formula>NOT(ISERROR(SEARCH("Pile",O3)))</formula>
    </cfRule>
  </conditionalFormatting>
  <conditionalFormatting sqref="BG3:BG96">
    <cfRule type="cellIs" dxfId="2855" priority="87" operator="lessThan">
      <formula>0</formula>
    </cfRule>
    <cfRule type="expression" dxfId="2854" priority="129">
      <formula>AND($BG3&gt;50%,$BG3&lt;100%)</formula>
    </cfRule>
    <cfRule type="cellIs" dxfId="2853" priority="130" operator="greaterThan">
      <formula>1</formula>
    </cfRule>
  </conditionalFormatting>
  <conditionalFormatting sqref="U3:U96">
    <cfRule type="containsText" dxfId="2852" priority="7" operator="containsText" text="/ -">
      <formula>NOT(ISERROR(SEARCH("/ -",U3)))</formula>
    </cfRule>
    <cfRule type="containsText" dxfId="2851" priority="85" operator="containsText" text="&gt;-">
      <formula>NOT(ISERROR(SEARCH("&gt;-",U3)))</formula>
    </cfRule>
  </conditionalFormatting>
  <conditionalFormatting sqref="BR2:BR96">
    <cfRule type="containsText" dxfId="2850" priority="83" operator="containsText" text="Trade">
      <formula>NOT(ISERROR(SEARCH("Trade",BR2)))</formula>
    </cfRule>
  </conditionalFormatting>
  <conditionalFormatting sqref="AI101">
    <cfRule type="containsText" dxfId="2849" priority="78" operator="containsText" text="More">
      <formula>NOT(ISERROR(SEARCH("More",AI101)))</formula>
    </cfRule>
    <cfRule type="containsText" dxfId="2848" priority="79" operator="containsText" text="Up">
      <formula>NOT(ISERROR(SEARCH("Up",AI101)))</formula>
    </cfRule>
    <cfRule type="containsText" dxfId="2847" priority="80" operator="containsText" text="Down">
      <formula>NOT(ISERROR(SEARCH("Down",AI101)))</formula>
    </cfRule>
  </conditionalFormatting>
  <conditionalFormatting sqref="AI101">
    <cfRule type="containsText" dxfId="2846" priority="81" operator="containsText" text="Buy">
      <formula>NOT(ISERROR(SEARCH("Buy",AI101)))</formula>
    </cfRule>
    <cfRule type="containsText" dxfId="2845" priority="82" operator="containsText" text="Sell">
      <formula>NOT(ISERROR(SEARCH("Sell",AI101)))</formula>
    </cfRule>
  </conditionalFormatting>
  <conditionalFormatting sqref="AI102">
    <cfRule type="containsText" dxfId="2844" priority="73" operator="containsText" text="More">
      <formula>NOT(ISERROR(SEARCH("More",AI102)))</formula>
    </cfRule>
    <cfRule type="containsText" dxfId="2843" priority="74" operator="containsText" text="Up">
      <formula>NOT(ISERROR(SEARCH("Up",AI102)))</formula>
    </cfRule>
    <cfRule type="containsText" dxfId="2842" priority="75" operator="containsText" text="Down">
      <formula>NOT(ISERROR(SEARCH("Down",AI102)))</formula>
    </cfRule>
  </conditionalFormatting>
  <conditionalFormatting sqref="AI102">
    <cfRule type="containsText" dxfId="2841" priority="76" operator="containsText" text="Buy">
      <formula>NOT(ISERROR(SEARCH("Buy",AI102)))</formula>
    </cfRule>
    <cfRule type="containsText" dxfId="2840" priority="77" operator="containsText" text="Sell">
      <formula>NOT(ISERROR(SEARCH("Sell",AI102)))</formula>
    </cfRule>
  </conditionalFormatting>
  <conditionalFormatting sqref="AI105">
    <cfRule type="containsText" dxfId="2839" priority="68" operator="containsText" text="More">
      <formula>NOT(ISERROR(SEARCH("More",AI105)))</formula>
    </cfRule>
    <cfRule type="containsText" dxfId="2838" priority="69" operator="containsText" text="Up">
      <formula>NOT(ISERROR(SEARCH("Up",AI105)))</formula>
    </cfRule>
    <cfRule type="containsText" dxfId="2837" priority="70" operator="containsText" text="Down">
      <formula>NOT(ISERROR(SEARCH("Down",AI105)))</formula>
    </cfRule>
  </conditionalFormatting>
  <conditionalFormatting sqref="AI105">
    <cfRule type="containsText" dxfId="2836" priority="71" operator="containsText" text="Buy">
      <formula>NOT(ISERROR(SEARCH("Buy",AI105)))</formula>
    </cfRule>
    <cfRule type="containsText" dxfId="2835" priority="72" operator="containsText" text="Sell">
      <formula>NOT(ISERROR(SEARCH("Sell",AI105)))</formula>
    </cfRule>
  </conditionalFormatting>
  <conditionalFormatting sqref="AI106">
    <cfRule type="containsText" dxfId="2834" priority="63" operator="containsText" text="More">
      <formula>NOT(ISERROR(SEARCH("More",AI106)))</formula>
    </cfRule>
    <cfRule type="containsText" dxfId="2833" priority="64" operator="containsText" text="Up">
      <formula>NOT(ISERROR(SEARCH("Up",AI106)))</formula>
    </cfRule>
    <cfRule type="containsText" dxfId="2832" priority="65" operator="containsText" text="Down">
      <formula>NOT(ISERROR(SEARCH("Down",AI106)))</formula>
    </cfRule>
  </conditionalFormatting>
  <conditionalFormatting sqref="AI106">
    <cfRule type="containsText" dxfId="2831" priority="66" operator="containsText" text="Buy">
      <formula>NOT(ISERROR(SEARCH("Buy",AI106)))</formula>
    </cfRule>
    <cfRule type="containsText" dxfId="2830" priority="67" operator="containsText" text="Sell">
      <formula>NOT(ISERROR(SEARCH("Sell",AI106)))</formula>
    </cfRule>
  </conditionalFormatting>
  <conditionalFormatting sqref="BB3:BB96">
    <cfRule type="containsText" dxfId="2829" priority="58" operator="containsText" text="More">
      <formula>NOT(ISERROR(SEARCH("More",BB3)))</formula>
    </cfRule>
    <cfRule type="containsText" dxfId="2828" priority="59" operator="containsText" text="Up">
      <formula>NOT(ISERROR(SEARCH("Up",BB3)))</formula>
    </cfRule>
    <cfRule type="containsText" dxfId="2827" priority="60" operator="containsText" text="Down">
      <formula>NOT(ISERROR(SEARCH("Down",BB3)))</formula>
    </cfRule>
  </conditionalFormatting>
  <conditionalFormatting sqref="BB3:BB96">
    <cfRule type="containsText" dxfId="2826" priority="61" operator="containsText" text="Buy">
      <formula>NOT(ISERROR(SEARCH("Buy",BB3)))</formula>
    </cfRule>
    <cfRule type="containsText" dxfId="2825" priority="62" operator="containsText" text="Sell">
      <formula>NOT(ISERROR(SEARCH("Sell",BB3)))</formula>
    </cfRule>
  </conditionalFormatting>
  <conditionalFormatting sqref="Y3:Y96">
    <cfRule type="expression" dxfId="2824" priority="52">
      <formula>AND(Y3&lt;&gt;0,Y3&lt;MIN(W3,AA3))</formula>
    </cfRule>
    <cfRule type="expression" dxfId="2823" priority="57">
      <formula>AND(Y3&lt;&gt;0,Y3&lt;W3,Y3&gt;AA3)</formula>
    </cfRule>
  </conditionalFormatting>
  <conditionalFormatting sqref="T3:T96">
    <cfRule type="expression" dxfId="2822" priority="131" stopIfTrue="1">
      <formula>$T3&gt;MAX(ABS($AA3),$W3)</formula>
    </cfRule>
    <cfRule type="expression" dxfId="2821" priority="132" stopIfTrue="1">
      <formula>$T3&gt;AND(MAX(ABS($AA3),$W3),ABS($AA3)&lt;$W3)</formula>
    </cfRule>
  </conditionalFormatting>
  <conditionalFormatting sqref="T3:T96">
    <cfRule type="expression" dxfId="2820" priority="133" stopIfTrue="1">
      <formula>AND($T3&lt;=MIN(ABS($AA3),$W3),ABS($AA3)&gt;$W3,$W3&lt;=0)</formula>
    </cfRule>
    <cfRule type="expression" dxfId="2819" priority="134" stopIfTrue="1">
      <formula>AND($T3&lt;=MIN(ABS($AA3),$W3),ABS($AA3)&lt;$W3,$W3&lt;=0)</formula>
    </cfRule>
  </conditionalFormatting>
  <conditionalFormatting sqref="W3:W96">
    <cfRule type="expression" dxfId="2818" priority="135">
      <formula>W3&gt;MAX(AA3,Y3)</formula>
    </cfRule>
    <cfRule type="expression" dxfId="2817" priority="136">
      <formula>AND(W3&gt;MAX(Y3,AA3), AA3&lt;Y3)</formula>
    </cfRule>
    <cfRule type="expression" dxfId="2816" priority="137" stopIfTrue="1">
      <formula>AND(W3&gt;MAX(Y3,AA3), AA3&gt;Y3)</formula>
    </cfRule>
    <cfRule type="expression" dxfId="2815" priority="138">
      <formula>AND(W3&lt;MIN(Y3,AA3),AA3&lt;Y3)</formula>
    </cfRule>
    <cfRule type="expression" dxfId="2814" priority="139">
      <formula>AND(W3&gt;Y3,AA3&gt;MAX(Y3,W3))</formula>
    </cfRule>
  </conditionalFormatting>
  <conditionalFormatting sqref="AZ3:AZ96">
    <cfRule type="containsText" dxfId="2813" priority="54" operator="containsText" text="No">
      <formula>NOT(ISERROR(SEARCH("No",AZ3)))</formula>
    </cfRule>
    <cfRule type="containsText" dxfId="2812" priority="55" operator="containsText" text="M&lt;">
      <formula>NOT(ISERROR(SEARCH("M&lt;",AZ3)))</formula>
    </cfRule>
    <cfRule type="containsText" dxfId="2811" priority="56" operator="containsText" text="M&gt;">
      <formula>NOT(ISERROR(SEARCH("M&gt;",AZ3)))</formula>
    </cfRule>
  </conditionalFormatting>
  <conditionalFormatting sqref="AA3:AA96">
    <cfRule type="expression" dxfId="2810" priority="53">
      <formula>$AA3&lt;MIN($W3,$Y3)</formula>
    </cfRule>
  </conditionalFormatting>
  <conditionalFormatting sqref="AQ2:AQ97">
    <cfRule type="containsText" dxfId="2809" priority="51" operator="containsText" text="Don't">
      <formula>NOT(ISERROR(SEARCH("Don't",AQ2)))</formula>
    </cfRule>
  </conditionalFormatting>
  <conditionalFormatting sqref="AT2:AT97">
    <cfRule type="cellIs" dxfId="2808" priority="50" operator="lessThan">
      <formula>0.5</formula>
    </cfRule>
  </conditionalFormatting>
  <conditionalFormatting sqref="AS2:AS96">
    <cfRule type="cellIs" dxfId="2807" priority="49" operator="lessThan">
      <formula>0</formula>
    </cfRule>
  </conditionalFormatting>
  <conditionalFormatting sqref="X1:X97">
    <cfRule type="containsText" dxfId="2806" priority="48" operator="containsText" text="WBA">
      <formula>NOT(ISERROR(SEARCH("WBA",X1)))</formula>
    </cfRule>
  </conditionalFormatting>
  <conditionalFormatting sqref="BT95:BV95">
    <cfRule type="expression" dxfId="2805" priority="140">
      <formula>$BS97&gt;=$BR97</formula>
    </cfRule>
  </conditionalFormatting>
  <conditionalFormatting sqref="X96">
    <cfRule type="expression" dxfId="2804" priority="47">
      <formula>AND(ROW()&gt;2, ROW()=SelRowNum)</formula>
    </cfRule>
  </conditionalFormatting>
  <conditionalFormatting sqref="X96">
    <cfRule type="expression" dxfId="2803" priority="46">
      <formula>AND(ROW()&gt;2, ROW()=SelRowNum)</formula>
    </cfRule>
  </conditionalFormatting>
  <conditionalFormatting sqref="BD96">
    <cfRule type="expression" dxfId="2802" priority="45">
      <formula>AND(ROW()&gt;2, ROW()=SelRowNum)</formula>
    </cfRule>
  </conditionalFormatting>
  <conditionalFormatting sqref="AQ96">
    <cfRule type="expression" dxfId="2801" priority="44">
      <formula>AND(ROW()&gt;2, ROW()=SelRowNum)</formula>
    </cfRule>
  </conditionalFormatting>
  <conditionalFormatting sqref="AF96">
    <cfRule type="expression" dxfId="2800" priority="43">
      <formula>AND(ROW()&gt;2, ROW()=SelRowNum)</formula>
    </cfRule>
  </conditionalFormatting>
  <conditionalFormatting sqref="AS96">
    <cfRule type="expression" dxfId="2799"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798" priority="35" operator="lessThan">
      <formula>0</formula>
    </cfRule>
  </conditionalFormatting>
  <conditionalFormatting sqref="AJ3:AJ96">
    <cfRule type="cellIs" dxfId="2797" priority="9" operator="greaterThan">
      <formula>0</formula>
    </cfRule>
    <cfRule type="cellIs" dxfId="2796" priority="11" operator="lessThan">
      <formula>0</formula>
    </cfRule>
  </conditionalFormatting>
  <conditionalFormatting sqref="AL7:AL96">
    <cfRule type="cellIs" dxfId="2795" priority="10" operator="greaterThan">
      <formula>0</formula>
    </cfRule>
  </conditionalFormatting>
  <conditionalFormatting sqref="AL3:AL96">
    <cfRule type="cellIs" dxfId="2794" priority="8" operator="greaterThan">
      <formula>0</formula>
    </cfRule>
  </conditionalFormatting>
  <conditionalFormatting sqref="AE3:AE96">
    <cfRule type="containsText" dxfId="2793" priority="88" operator="containsText" text="Trade">
      <formula>NOT(ISERROR(SEARCH("Trade",AE3)))</formula>
    </cfRule>
    <cfRule type="containsText" dxfId="2792" priority="89" operator="containsText" text="Pile ^">
      <formula>NOT(ISERROR(SEARCH("Pile ^",AE3)))</formula>
    </cfRule>
  </conditionalFormatting>
  <conditionalFormatting sqref="AV3:AX96 AP3:AR96">
    <cfRule type="expression" dxfId="2791" priority="3034">
      <formula>$AF3=$AI$102</formula>
    </cfRule>
  </conditionalFormatting>
  <conditionalFormatting sqref="AP3:AP78 AN79:AP96">
    <cfRule type="expression" dxfId="2790" priority="3036">
      <formula>$AF3=$AI$105</formula>
    </cfRule>
  </conditionalFormatting>
  <conditionalFormatting sqref="AV3:AX96 AP3:AR78 AN79:AR96">
    <cfRule type="expression" dxfId="2789" priority="3038">
      <formula>$AF3=$AI$106</formula>
    </cfRule>
  </conditionalFormatting>
  <conditionalFormatting sqref="AJ2">
    <cfRule type="expression" dxfId="2788" priority="3041">
      <formula>$AF3=$AI$101</formula>
    </cfRule>
  </conditionalFormatting>
  <conditionalFormatting sqref="AK3:AL96">
    <cfRule type="expression" dxfId="2787" priority="3042">
      <formula>$AF3=$AI$105</formula>
    </cfRule>
    <cfRule type="expression" dxfId="2786" priority="3043">
      <formula>$AF3=$AI$106</formula>
    </cfRule>
  </conditionalFormatting>
  <conditionalFormatting sqref="AI3:AJ96">
    <cfRule type="expression" dxfId="2785" priority="3044">
      <formula>$AF3=$AI$101</formula>
    </cfRule>
    <cfRule type="expression" dxfId="2784" priority="3045">
      <formula>$AF3=$AI$102</formula>
    </cfRule>
  </conditionalFormatting>
  <conditionalFormatting sqref="AF3:AF96">
    <cfRule type="expression" dxfId="2783" priority="3046">
      <formula>$AF3=$AI$106</formula>
    </cfRule>
    <cfRule type="expression" dxfId="2782" priority="3047">
      <formula>$AF3=$AI$102</formula>
    </cfRule>
    <cfRule type="expression" dxfId="2781" priority="3048">
      <formula>$AF3=$AI$105</formula>
    </cfRule>
    <cfRule type="expression" dxfId="2780" priority="3049">
      <formula>$AF3=$AI$101</formula>
    </cfRule>
  </conditionalFormatting>
  <conditionalFormatting sqref="AD3:AD96">
    <cfRule type="cellIs" dxfId="2779" priority="3" operator="greaterThan">
      <formula>$AC3</formula>
    </cfRule>
    <cfRule type="cellIs" dxfId="2778" priority="4" operator="equal">
      <formula>$AC3</formula>
    </cfRule>
    <cfRule type="cellIs" dxfId="2777"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H21" sqref="H21"/>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F1" s="4">
        <f ca="1">[1]DataRT!$A$1</f>
        <v>45978.450810185182</v>
      </c>
      <c r="G1" t="e">
        <v>#REF!</v>
      </c>
      <c r="H1" s="701" t="s">
        <v>2805</v>
      </c>
      <c r="I1" s="499" t="s">
        <v>1527</v>
      </c>
      <c r="J1" s="500" t="s">
        <v>1618</v>
      </c>
      <c r="K1" s="499" t="s">
        <v>1528</v>
      </c>
      <c r="M1" s="1078" t="s">
        <v>2501</v>
      </c>
      <c r="N1" s="1493" t="s">
        <v>2502</v>
      </c>
      <c r="O1" s="1494"/>
      <c r="P1" s="1494"/>
      <c r="Q1" s="1494"/>
      <c r="R1" s="1494"/>
      <c r="S1" s="1494"/>
      <c r="T1" s="1495"/>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402" t="s">
        <v>188</v>
      </c>
      <c r="DF2" s="1402"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2587895.0000000005</v>
      </c>
      <c r="G3" s="82">
        <f ca="1">IFERROR(TabCalc[[#This Row],[SB]]-TabCalc[[#This Row],[SST]],TabCalc[[#This Row],[SB]])</f>
        <v>9500</v>
      </c>
      <c r="H3" s="532" t="str">
        <f ca="1">[1]!RTData[[#This Row],[Ticker_Symbol]]</f>
        <v>AAPL</v>
      </c>
      <c r="I3" s="383">
        <f ca="1">_xlfn.XLOOKUP(TabCalc[[#This Row],[Ticker]],[1]!RTData[Ticker_Symbol],[1]!RTData[M_Price])</f>
        <v>272.41000000000003</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-1.9780000000000002E-3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4778.0000000000027</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21513.000000000011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-1185.0000000000023</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-4415.00000000002</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12920.000000000466</v>
      </c>
      <c r="AQ3" s="334">
        <f ca="1">_xlfn.LET(_xlpm.MVToday,DataShift!AV505,         _xlpm.MVY,DataShift!AU505,        _xlpm.MVYY, DataShift!AT505,                                IF(_xlpm.MVToday=_xlpm.MVY,_xlpm.MVY-_xlpm.MVYY,_xlpm.MVToday-_xlpm.MVY))</f>
        <v>41923.500000000466</v>
      </c>
      <c r="AR3" s="334">
        <f ca="1">_xlfn.LET(_xlpm.MVToday,DataShift!AV505,         _xlpm.MVY,DataShift!AU505,        _xlpm.MVYY, DataShift!AT505,         _xlpm.MVYYY, DataShift!AS505,                      IF(_xlpm.MVToday=_xlpm.MVY,      _xlpm.MVYY-_xlpm.MVYYY,          _xlpm.MVY-_xlpm.MVYY))</f>
        <v>-23778.5</v>
      </c>
      <c r="AS3" s="984">
        <f ca="1">TabCalc[[#This Row],[Y]]/TabCalc[[#This Row],[M]]</f>
        <v>1.0147607283139384</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-8.6334177281551492E-4</v>
      </c>
      <c r="AY3" s="82">
        <f t="shared" ref="AY3:AY36" ca="1" si="1">IF(G3&lt;C3,C3-G3,0)</f>
        <v>0</v>
      </c>
      <c r="AZ3" s="90">
        <f ca="1">_xlfn.XLOOKUP(TabCalc[[#This Row],[Ticker]],[1]!RTData[Ticker_Symbol],[1]!RTData[V/VA])</f>
        <v>1.663350115283337E-3</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1.663350115283337E-3</v>
      </c>
      <c r="BC3" s="87" cm="1">
        <f t="array" aca="1" ref="BC3" ca="1">INDEX(TabReg[], 1, _xlfn.XMATCH(TabCalc[[#This Row],[Ticker]]&amp;1, TabReg[#Headers], 0))</f>
        <v>5000</v>
      </c>
      <c r="BD3" s="159">
        <f ca="1">TabCalc[[#This Row],[Nbegin]]*TabCalc[[#This Row],[M]]*TabCalc[[#This Row],[Scale]]+TabCalc[[#This Row],[ValueBegin]]</f>
        <v>824750.00000000023</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2050595.0000000005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1175007.8750000007</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t="e">
        <f ca="1">_xlfn.XLOOKUP(TabCalc[[#This Row],[Ticker]],[1]!RTData[Ticker_Symbol],[1]!#REF!)</f>
        <v>#REF!</v>
      </c>
      <c r="BT3" s="175">
        <f ca="1">(TabCalc[[#This Row],[ValueBegin]]+(TabCalc[[#This Row],[M]]-TabCalc[[#This Row],[A]])*TabCalc[[#This Row],[NAfter]])*TabCalc[[#This Row],[Scale]]</f>
        <v>36417.390000000363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573717.39000000036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209.29259104227697</v>
      </c>
      <c r="CX3" s="405">
        <f ca="1">TabCalc[[#This Row],[ntoSell]]*TabCalc[[#This Row],[M]]</f>
        <v>57013.394725826671</v>
      </c>
      <c r="CY3" s="398">
        <f ca="1">_xlfn.LET(_xlpm.nToSell,IF(TabCalc[[#This Row],[M]]-TabCalc[[#This Row],[A]]&lt;=0,"",INT(DesiredSaleGain/(TabCalc[[#This Row],[M]]-IF(TabCalc[[#This Row],[E]]&gt;0,0,TabCalc[[#This Row],[A]])))),IF(_xlpm.nToSell&lt;=TabCalc[[#This Row],[NAfter]],_xlpm.nToSell,0))</f>
        <v>82</v>
      </c>
      <c r="CZ3" s="336">
        <f ca="1">IFERROR(TabCalc[[#This Row],[NMA]]*TabCalc[[#This Row],[M]],"")</f>
        <v>22337.620000000003</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573717.39000000036</v>
      </c>
      <c r="DB3" s="90">
        <f ca="1">IFERROR((TabCalc[[#This Row],[M]]+TabCalc[[#This Row],[L_Bp]])/ABS(TabCalc[[#This Row],[L_Bp]])/(TODAY()-TabCalc[[#This Row],[L_Bdate]])*360,"")</f>
        <v>0.98875629440573976</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 s="87">
        <f ca="1">TabCalc[[#This Row],[Nbegin]]*TabCalc[[#This Row],[Scale]]*TabCalc[[#This Row],[M]]</f>
        <v>1362050.0000000002</v>
      </c>
      <c r="DF3" s="87" cm="1">
        <f t="array" aca="1" ref="DF3" ca="1">SUMPRODUCT(ISNUMBER(INDIRECT("TabReg["&amp;TabCalc[[#This Row],[Ticker]]&amp;"2]"))* INDIRECT("TabReg["&amp;TabCalc[[#This Row],[Ticker]]&amp;"1]") * INDIRECT("TabReg["&amp;TabCalc[[#This Row],[Ticker]]&amp;"2]") )*TabCalc[[#This Row],[Scale]]</f>
        <v>-1412887.1249999998</v>
      </c>
      <c r="DI3" s="1403" cm="1">
        <f t="array" aca="1" ref="DI3:DI96" ca="1">_xlfn._xlws.SORT(TabCalc[[#Data],[Column1]],,-1)</f>
        <v>5164600</v>
      </c>
      <c r="DJ3" s="90">
        <f t="shared" ref="DJ3:DJ34" ca="1" si="2">DN3/ABS(DL3)</f>
        <v>0.37791775841739816</v>
      </c>
      <c r="DK3" t="str">
        <f ca="1">_xlfn.XLOOKUP(DI3,TabCalc[Column1],TabCalc[Ticker])</f>
        <v>EOAN</v>
      </c>
      <c r="DL3" s="1403">
        <f ca="1">_xlfn.XLOOKUP(DK3,TabCalc[Ticker],TabCalc[ValueBegin])</f>
        <v>-3053200</v>
      </c>
      <c r="DM3" s="1403">
        <f ca="1">_xlfn.XLOOKUP(DK3,TabCalc[Ticker],TabCalc[M_V])</f>
        <v>227850</v>
      </c>
      <c r="DN3" s="1403">
        <f ca="1">_xlfn.XLOOKUP(DK3,TabCalc[Ticker],TabCalc[GL])</f>
        <v>1153858.5</v>
      </c>
      <c r="DO3" s="90"/>
      <c r="DP3" s="90"/>
      <c r="DQ3" s="88" t="s">
        <v>0</v>
      </c>
      <c r="DR3" s="81">
        <v>5000</v>
      </c>
      <c r="DS3" s="315">
        <v>-107.46</v>
      </c>
      <c r="DU3" s="82">
        <v>2700400</v>
      </c>
      <c r="DV3" s="82">
        <f ca="1">DU3-TabCalc[[#This Row],[M_V]]</f>
        <v>112504.99999999953</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64300</v>
      </c>
      <c r="G4" s="82">
        <f ca="1">IFERROR(TabCalc[[#This Row],[SB]]-TabCalc[[#This Row],[SST]],TabCalc[[#This Row],[SB]])</f>
        <v>5000</v>
      </c>
      <c r="H4" s="532" t="str">
        <f ca="1">[1]!RTData[[#This Row],[Ticker_Symbol]]</f>
        <v>ADEA</v>
      </c>
      <c r="I4" s="383">
        <f ca="1">_xlfn.XLOOKUP(TabCalc[[#This Row],[Ticker]],[1]!RTData[Ticker_Symbol],[1]!RTData[M_Price])</f>
        <v>12.86</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-2.1309000000000002E-2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-264.10000000000014</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-448.0000000000004</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4000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11391.900000000007</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-500.00000000000728</v>
      </c>
      <c r="AQ4" s="334">
        <f ca="1">_xlfn.LET(_xlpm.MVToday,DataShift!AV506,         _xlpm.MVY,DataShift!AU506,        _xlpm.MVYY, DataShift!AT506,                                IF(_xlpm.MVToday=_xlpm.MVY,_xlpm.MVY-_xlpm.MVYY,_xlpm.MVToday-_xlpm.MVY))</f>
        <v>-5925</v>
      </c>
      <c r="AR4" s="334">
        <f ca="1">_xlfn.LET(_xlpm.MVToday,DataShift!AV506,         _xlpm.MVY,DataShift!AU506,        _xlpm.MVYY, DataShift!AT506,         _xlpm.MVYYY, DataShift!AS506,                      IF(_xlpm.MVToday=_xlpm.MVY,      _xlpm.MVYY-_xlpm.MVYYY,          _xlpm.MVY-_xlpm.MVYY))</f>
        <v>550</v>
      </c>
      <c r="AS4" s="984">
        <f ca="1">TabCalc[[#This Row],[Y]]/TabCalc[[#This Row],[M]]</f>
        <v>1.6070505443234837</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-1.7901358538598462</v>
      </c>
      <c r="AY4" s="82">
        <f t="shared" ca="1" si="1"/>
        <v>4000</v>
      </c>
      <c r="AZ4" s="90">
        <f ca="1">_xlfn.XLOOKUP(TabCalc[[#This Row],[Ticker]],[1]!RTData[Ticker_Symbol],[1]!RTData[V/VA])</f>
        <v>1.1948287810356775E-6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1.1948287810356775E-6</v>
      </c>
      <c r="BC4" s="87" cm="1">
        <f t="array" aca="1" ref="BC4" ca="1">INDEX(TabReg[], 1, _xlfn.XMATCH(TabCalc[[#This Row],[Ticker]]&amp;1, TabReg[#Headers], 0))</f>
        <v>9000</v>
      </c>
      <c r="BD4" s="159">
        <f ca="1">TabCalc[[#This Row],[Nbegin]]*TabCalc[[#This Row],[M]]*TabCalc[[#This Row],[Scale]]+TabCalc[[#This Row],[ValueBegin]]</f>
        <v>27210.995999999999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-24229.004000000001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34716.09498200001</v>
      </c>
      <c r="BM4" s="159">
        <f ca="1">IF(        OR( TabCalc[[#This Row],[GL]]&gt;ABS(TabCalc[[#This Row],[EfCost]]),TabCalc[[#This Row],[NAfter]]=0),             TabCalc[[#This Row],[GL]],     0)</f>
        <v>34716.09498200001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8.93</v>
      </c>
      <c r="BR4" s="174" t="str">
        <f ca="1">IF(TabCalc[[#This Row],[EfCost]]+TabCalc[[#This Row],[M_V]]&lt;TabCalc[[#This Row],[NoT_GL]],"Pile","")</f>
        <v/>
      </c>
      <c r="BS4" s="165" t="e">
        <f ca="1">_xlfn.XLOOKUP(TabCalc[[#This Row],[Ticker]],[1]!RTData[Ticker_Symbol],[1]!#REF!)</f>
        <v>#REF!</v>
      </c>
      <c r="BT4" s="175">
        <f ca="1">(TabCalc[[#This Row],[ValueBegin]]+(TabCalc[[#This Row],[M]]-TabCalc[[#This Row],[A]])*TabCalc[[#This Row],[NAfter]])*TabCalc[[#This Row],[Scale]]</f>
        <v>-89602.903999999995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-1073.8999999999965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1250</v>
      </c>
      <c r="CV4" s="404">
        <f ca="1">IF(TabCalc[[#This Row],[ntoBuy]]*TabCalc[[#This Row],[M]]&lt;=0,0,TabCalc[[#This Row],[ntoBuy]]*TabCalc[[#This Row],[M]])</f>
        <v>16075</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-1073.8999999999965</v>
      </c>
      <c r="DB4" s="90">
        <f ca="1">IFERROR((TabCalc[[#This Row],[M]]+TabCalc[[#This Row],[L_Bp]])/ABS(TabCalc[[#This Row],[L_Bp]])/(TODAY()-TabCalc[[#This Row],[L_Bdate]])*360,"")</f>
        <v>-0.28549422336328639</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115740</v>
      </c>
      <c r="DF4" s="87" cm="1">
        <f t="array" aca="1" ref="DF4" ca="1">SUMPRODUCT(ISNUMBER(INDIRECT("TabReg["&amp;TabCalc[[#This Row],[Ticker]]&amp;"2]"))* INDIRECT("TabReg["&amp;TabCalc[[#This Row],[Ticker]]&amp;"1]") * INDIRECT("TabReg["&amp;TabCalc[[#This Row],[Ticker]]&amp;"2]") )*TabCalc[[#This Row],[Scale]]</f>
        <v>-29583.90501799999</v>
      </c>
      <c r="DI4" s="1403">
        <f ca="1"/>
        <v>5101800</v>
      </c>
      <c r="DJ4" s="90">
        <f t="shared" ca="1" si="2"/>
        <v>3.8730693591202123</v>
      </c>
      <c r="DK4" t="str">
        <f ca="1">_xlfn.XLOOKUP(DI4,TabCalc[Column1],TabCalc[Ticker])</f>
        <v>MSFT</v>
      </c>
      <c r="DL4" s="1403">
        <f ca="1">_xlfn.XLOOKUP(DK4,TabCalc[Ticker],TabCalc[ValueBegin])</f>
        <v>-1054800</v>
      </c>
      <c r="DM4" s="1403">
        <f ca="1">_xlfn.XLOOKUP(DK4,TabCalc[Ticker],TabCalc[M_V])</f>
        <v>4999764</v>
      </c>
      <c r="DN4" s="1403">
        <f ca="1">_xlfn.XLOOKUP(DK4,TabCalc[Ticker],TabCalc[GL])</f>
        <v>4085313.56</v>
      </c>
      <c r="DO4" s="90"/>
      <c r="DP4" s="90"/>
      <c r="DQ4" s="88" t="s">
        <v>1</v>
      </c>
      <c r="DR4" s="82">
        <v>9000</v>
      </c>
      <c r="DS4" s="315">
        <v>-9.8365559999999999</v>
      </c>
      <c r="DU4" s="82">
        <v>63750</v>
      </c>
      <c r="DV4" s="82">
        <f ca="1">DU4-TabCalc[[#This Row],[M_V]]</f>
        <v>-550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377200</v>
      </c>
      <c r="G5" s="82">
        <f ca="1">IFERROR(TabCalc[[#This Row],[SB]]-TabCalc[[#This Row],[SST]],TabCalc[[#This Row],[SB]])</f>
        <v>820000</v>
      </c>
      <c r="H5" s="532" t="str">
        <f ca="1">[1]!RTData[[#This Row],[Ticker_Symbol]]</f>
        <v>AET</v>
      </c>
      <c r="I5" s="383">
        <f ca="1">_xlfn.XLOOKUP(TabCalc[[#This Row],[Ticker]],[1]!RTData[Ticker_Symbol],[1]!RTData[M_Price])</f>
        <v>46</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1.7698999999999999E-2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39.999999999999858</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20.000000000000284</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1201.9999999999995</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6857.9999999999982</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-8200</v>
      </c>
      <c r="AQ5" s="334">
        <f ca="1">_xlfn.LET(_xlpm.MVToday,DataShift!AV507,         _xlpm.MVY,DataShift!AU507,        _xlpm.MVYY, DataShift!AT507,                                IF(_xlpm.MVToday=_xlpm.MVY,_xlpm.MVY-_xlpm.MVYY,_xlpm.MVToday-_xlpm.MVY))</f>
        <v>10660</v>
      </c>
      <c r="AR5" s="334">
        <f ca="1">_xlfn.LET(_xlpm.MVToday,DataShift!AV507,         _xlpm.MVY,DataShift!AU507,        _xlpm.MVYY, DataShift!AT507,         _xlpm.MVYYY, DataShift!AS507,                      IF(_xlpm.MVToday=_xlpm.MVY,      _xlpm.MVYY-_xlpm.MVYYY,          _xlpm.MVY-_xlpm.MVYY))</f>
        <v>2460</v>
      </c>
      <c r="AS5" s="984">
        <f ca="1">TabCalc[[#This Row],[Y]]/TabCalc[[#This Row],[M]]</f>
        <v>2.1013043478260869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-29.240913352944879</v>
      </c>
      <c r="AY5" s="82">
        <f t="shared" ca="1" si="1"/>
        <v>0</v>
      </c>
      <c r="AZ5" s="90">
        <f ca="1">_xlfn.XLOOKUP(TabCalc[[#This Row],[Ticker]],[1]!RTData[Ticker_Symbol],[1]!RTData[V/VA])</f>
        <v>0.17172375690607736</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0.17172375690607736</v>
      </c>
      <c r="BC5" s="87" cm="1">
        <f t="array" aca="1" ref="BC5" ca="1">INDEX(TabReg[], 1, _xlfn.XMATCH(TabCalc[[#This Row],[Ticker]]&amp;1, TabReg[#Headers], 0))</f>
        <v>400000</v>
      </c>
      <c r="BD5" s="159">
        <f ca="1">TabCalc[[#This Row],[Nbegin]]*TabCalc[[#This Row],[M]]*TabCalc[[#This Row],[Scale]]+TabCalc[[#This Row],[ValueBegin]]</f>
        <v>22233.692999999999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215433.693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34438.964192999993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66.75</v>
      </c>
      <c r="BR5" s="174" t="str">
        <f ca="1">IF(TabCalc[[#This Row],[EfCost]]+TabCalc[[#This Row],[M_V]]&lt;TabCalc[[#This Row],[NoT_GL]],"Pile","")</f>
        <v/>
      </c>
      <c r="BS5" s="165" t="e">
        <f ca="1">_xlfn.XLOOKUP(TabCalc[[#This Row],[Ticker]],[1]!RTData[Ticker_Symbol],[1]!#REF!)</f>
        <v>#REF!</v>
      </c>
      <c r="BT5" s="175">
        <f ca="1">(TabCalc[[#This Row],[ValueBegin]]+(TabCalc[[#This Row],[M]]-TabCalc[[#This Row],[A]])*TabCalc[[#This Row],[NAfter]])*TabCalc[[#This Row],[Scale]]</f>
        <v>-28161.291877000014</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-2654362.8807000015</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831.94675540765422</v>
      </c>
      <c r="CV5" s="404">
        <f ca="1">IF(TabCalc[[#This Row],[ntoBuy]]*TabCalc[[#This Row],[M]]&lt;=0,0,TabCalc[[#This Row],[ntoBuy]]*TabCalc[[#This Row],[M]])</f>
        <v>38269.550748752095</v>
      </c>
      <c r="CW5" s="404">
        <f ca="1">IF(TabCalc[[#This Row],[M]]&gt;ABS(TabCalc[[#This Row],[L_Bp]]),MIN(TabCalc[[#This Row],[NAfter]],DesiredSaleGain/(TabCalc[[#This Row],[M]]+TabCalc[[#This Row],[L_Bp]])),0)/TabCalc[[#This Row],[Scale]]</f>
        <v>1250000.0000000044</v>
      </c>
      <c r="CX5" s="405">
        <f ca="1">TabCalc[[#This Row],[ntoSell]]*TabCalc[[#This Row],[M]]</f>
        <v>57500000.000000201</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-26543.628807000016</v>
      </c>
      <c r="DB5" s="90">
        <f ca="1">IFERROR((TabCalc[[#This Row],[M]]+TabCalc[[#This Row],[L_Bp]])/ABS(TabCalc[[#This Row],[L_Bp]])/(TODAY()-TabCalc[[#This Row],[L_Bdate]])*360,"")</f>
        <v>8.5348506401137669E-2</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 s="87">
        <f ca="1">TabCalc[[#This Row],[Nbegin]]*TabCalc[[#This Row],[Scale]]*TabCalc[[#This Row],[M]]</f>
        <v>184000</v>
      </c>
      <c r="DF5" s="87" cm="1">
        <f t="array" aca="1" ref="DF5" ca="1">SUMPRODUCT(ISNUMBER(INDIRECT("TabReg["&amp;TabCalc[[#This Row],[Ticker]]&amp;"2]"))* INDIRECT("TabReg["&amp;TabCalc[[#This Row],[Ticker]]&amp;"1]") * INDIRECT("TabReg["&amp;TabCalc[[#This Row],[Ticker]]&amp;"2]") )*TabCalc[[#This Row],[Scale]]</f>
        <v>-342761.03580700001</v>
      </c>
      <c r="DI5" s="87">
        <f ca="1"/>
        <v>4448680</v>
      </c>
      <c r="DJ5" s="90">
        <f t="shared" ca="1" si="2"/>
        <v>0.95474945313493575</v>
      </c>
      <c r="DK5" t="str">
        <f ca="1">_xlfn.XLOOKUP(DI5,TabCalc[Column1],TabCalc[Ticker])</f>
        <v>NFLX</v>
      </c>
      <c r="DL5" s="87">
        <f ca="1">_xlfn.XLOOKUP(DK5,TabCalc[Ticker],TabCalc[ValueBegin])</f>
        <v>-1572600</v>
      </c>
      <c r="DM5" s="87">
        <f ca="1">_xlfn.XLOOKUP(DK5,TabCalc[Ticker],TabCalc[M_V])</f>
        <v>3336510</v>
      </c>
      <c r="DN5" s="87">
        <f ca="1">_xlfn.XLOOKUP(DK5,TabCalc[Ticker],TabCalc[GL])</f>
        <v>1501438.99</v>
      </c>
      <c r="DO5" s="90"/>
      <c r="DP5" s="90"/>
      <c r="DQ5" s="88" t="s">
        <v>2</v>
      </c>
      <c r="DR5" s="82">
        <v>400000</v>
      </c>
      <c r="DS5" s="315">
        <v>-40.441576750000003</v>
      </c>
      <c r="DU5" s="82">
        <v>369000</v>
      </c>
      <c r="DV5" s="82">
        <f ca="1">DU5-TabCalc[[#This Row],[M_V]]</f>
        <v>-8200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2816280</v>
      </c>
      <c r="G6" s="82">
        <f ca="1">IFERROR(TabCalc[[#This Row],[SB]]-TabCalc[[#This Row],[SST]],TabCalc[[#This Row],[SB]])</f>
        <v>12000</v>
      </c>
      <c r="H6" s="532" t="str">
        <f ca="1">[1]!RTData[[#This Row],[Ticker_Symbol]]</f>
        <v>AMZN</v>
      </c>
      <c r="I6" s="383">
        <f ca="1">_xlfn.XLOOKUP(TabCalc[[#This Row],[Ticker]],[1]!RTData[Ticker_Symbol],[1]!RTData[M_Price])</f>
        <v>234.69</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-1.2163999999999999E-2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39339.999999999978</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10855.000000000004</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-2635.0000000000023</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-224.99999999999432</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-4440</v>
      </c>
      <c r="AQ6" s="334">
        <f ca="1">_xlfn.LET(_xlpm.MVToday,DataShift!AV508,         _xlpm.MVY,DataShift!AU508,        _xlpm.MVYY, DataShift!AT508,                                IF(_xlpm.MVToday=_xlpm.MVY,_xlpm.MVY-_xlpm.MVYY,_xlpm.MVToday-_xlpm.MVY))</f>
        <v>-118440</v>
      </c>
      <c r="AR6" s="334">
        <f ca="1">_xlfn.LET(_xlpm.MVToday,DataShift!AV508,         _xlpm.MVY,DataShift!AU508,        _xlpm.MVYY, DataShift!AT508,         _xlpm.MVYYY, DataShift!AS508,                      IF(_xlpm.MVToday=_xlpm.MVY,      _xlpm.MVYY-_xlpm.MVYYY,          _xlpm.MVY-_xlpm.MVYY))</f>
        <v>9043.2000000001863</v>
      </c>
      <c r="AS6" s="984">
        <f ca="1">TabCalc[[#This Row],[Y]]/TabCalc[[#This Row],[M]]</f>
        <v>1.2289577740849631</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-2.2920485181363119</v>
      </c>
      <c r="AY6" s="82">
        <f t="shared" ca="1" si="1"/>
        <v>0</v>
      </c>
      <c r="AZ6" s="90">
        <f ca="1">_xlfn.XLOOKUP(TabCalc[[#This Row],[Ticker]],[1]!RTData[Ticker_Symbol],[1]!RTData[V/VA])</f>
        <v>2.7120209366645639E-3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2.7120209366645639E-3</v>
      </c>
      <c r="BC6" s="87" cm="1">
        <f t="array" aca="1" ref="BC6" ca="1">INDEX(TabReg[], 1, _xlfn.XMATCH(TabCalc[[#This Row],[Ticker]]&amp;1, TabReg[#Headers], 0))</f>
        <v>8000</v>
      </c>
      <c r="BD6" s="159">
        <f ca="1">TabCalc[[#This Row],[Nbegin]]*TabCalc[[#This Row],[M]]*TabCalc[[#This Row],[Scale]]+TabCalc[[#This Row],[ValueBegin]]</f>
        <v>817120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1755880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853915.78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t="e">
        <f ca="1">_xlfn.XLOOKUP(TabCalc[[#This Row],[Ticker]],[1]!RTData[Ticker_Symbol],[1]!#REF!)</f>
        <v>#REF!</v>
      </c>
      <c r="BT6" s="175">
        <f ca="1">(TabCalc[[#This Row],[ValueBegin]]+(TabCalc[[#This Row],[M]]-TabCalc[[#This Row],[A]])*TabCalc[[#This Row],[NAfter]])*TabCalc[[#This Row],[Scale]]</f>
        <v>-682022.78000000014</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378377.21999999986</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254.19420437214049</v>
      </c>
      <c r="CX6" s="405">
        <f ca="1">TabCalc[[#This Row],[ntoSell]]*TabCalc[[#This Row],[M]]</f>
        <v>59656.837824097653</v>
      </c>
      <c r="CY6" s="398">
        <f ca="1">_xlfn.LET(_xlpm.nToSell,IF(TabCalc[[#This Row],[M]]-TabCalc[[#This Row],[A]]&lt;=0,"",INT(DesiredSaleGain/(TabCalc[[#This Row],[M]]-IF(TabCalc[[#This Row],[E]]&gt;0,0,TabCalc[[#This Row],[A]])))),IF(_xlpm.nToSell&lt;=TabCalc[[#This Row],[NAfter]],_xlpm.nToSell,0))</f>
        <v>158</v>
      </c>
      <c r="CZ6" s="336">
        <f ca="1">IFERROR(TabCalc[[#This Row],[NMA]]*TabCalc[[#This Row],[M]],"")</f>
        <v>37081.019999999997</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378377.21999999986</v>
      </c>
      <c r="DB6" s="90">
        <f ca="1">IFERROR((TabCalc[[#This Row],[M]]+TabCalc[[#This Row],[L_Bp]])/ABS(TabCalc[[#This Row],[L_Bp]])/(TODAY()-TabCalc[[#This Row],[L_Bdate]])*360,"")</f>
        <v>0.30493287446129019</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 s="87">
        <f ca="1">TabCalc[[#This Row],[Nbegin]]*TabCalc[[#This Row],[Scale]]*TabCalc[[#This Row],[M]]</f>
        <v>1877520</v>
      </c>
      <c r="DF6" s="87" cm="1">
        <f t="array" aca="1" ref="DF6" ca="1">SUMPRODUCT(ISNUMBER(INDIRECT("TabReg["&amp;TabCalc[[#This Row],[Ticker]]&amp;"2]"))* INDIRECT("TabReg["&amp;TabCalc[[#This Row],[Ticker]]&amp;"1]") * INDIRECT("TabReg["&amp;TabCalc[[#This Row],[Ticker]]&amp;"2]") )*TabCalc[[#This Row],[Scale]]</f>
        <v>-1962364.22</v>
      </c>
      <c r="DI6" s="87">
        <f ca="1"/>
        <v>1905500</v>
      </c>
      <c r="DJ6" s="90">
        <f t="shared" ca="1" si="2"/>
        <v>1.4633002128662422</v>
      </c>
      <c r="DK6" t="str">
        <f ca="1">_xlfn.XLOOKUP(DI6,TabCalc[Column1],TabCalc[Ticker])</f>
        <v>IAG</v>
      </c>
      <c r="DL6" s="87">
        <f ca="1">_xlfn.XLOOKUP(DK6,TabCalc[Ticker],TabCalc[ValueBegin])</f>
        <v>-785000</v>
      </c>
      <c r="DM6" s="87">
        <f ca="1">_xlfn.XLOOKUP(DK6,TabCalc[Ticker],TabCalc[M_V])</f>
        <v>419210</v>
      </c>
      <c r="DN6" s="87">
        <f ca="1">_xlfn.XLOOKUP(DK6,TabCalc[Ticker],TabCalc[GL])</f>
        <v>1148690.6671000002</v>
      </c>
      <c r="DO6" s="90"/>
      <c r="DP6" s="90"/>
      <c r="DQ6" s="88" t="s">
        <v>3</v>
      </c>
      <c r="DR6" s="81">
        <v>8000</v>
      </c>
      <c r="DS6" s="315">
        <v>-132.55000000000001</v>
      </c>
      <c r="DU6" s="82">
        <v>2991840</v>
      </c>
      <c r="DV6" s="82">
        <f ca="1">DU6-TabCalc[[#This Row],[M_V]]</f>
        <v>175560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1740639.9999999998</v>
      </c>
      <c r="G7" s="82">
        <f ca="1">IFERROR(TabCalc[[#This Row],[SB]]-TabCalc[[#This Row],[SST]],TabCalc[[#This Row],[SB]])</f>
        <v>2530000</v>
      </c>
      <c r="H7" s="532" t="str">
        <f ca="1">[1]!RTData[[#This Row],[Ticker_Symbol]]</f>
        <v>ALDNE</v>
      </c>
      <c r="I7" s="383">
        <f ca="1">_xlfn.XLOOKUP(TabCalc[[#This Row],[Ticker]],[1]!RTData[Ticker_Symbol],[1]!RTData[M_Price])</f>
        <v>0.68799999999999994</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3.3033E-2</v>
      </c>
      <c r="N7" s="1077">
        <v>0</v>
      </c>
      <c r="O7" s="899">
        <f>TabCalc[[#This Row],[Up20]]-1+TabCalc[[#This Row],[Up20]]</f>
        <v>-1</v>
      </c>
      <c r="P7" s="899">
        <f>TabCalc[[#This Row],[Up20]]-TabCalc[[#This Row],[Up150]]</f>
        <v>-0.30769230769230771</v>
      </c>
      <c r="Q7" s="899">
        <v>0.30769230769230771</v>
      </c>
      <c r="R7" s="899">
        <f>TabCalc[[#This Row],[Up150]]-1+TabCalc[[#This Row],[Up150]]</f>
        <v>-0.38461538461538458</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-3630.0000000000014</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-7680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20239.999999999534</v>
      </c>
      <c r="AQ7" s="334">
        <f ca="1">_xlfn.LET(_xlpm.MVToday,DataShift!AV509,         _xlpm.MVY,DataShift!AU509,        _xlpm.MVYY, DataShift!AT509,                                IF(_xlpm.MVToday=_xlpm.MVY,_xlpm.MVY-_xlpm.MVYY,_xlpm.MVToday-_xlpm.MVY))</f>
        <v>-232760.00000000023</v>
      </c>
      <c r="AR7" s="334">
        <f ca="1">_xlfn.LET(_xlpm.MVToday,DataShift!AV509,         _xlpm.MVY,DataShift!AU509,        _xlpm.MVYY, DataShift!AT509,         _xlpm.MVYYY, DataShift!AS509,                      IF(_xlpm.MVToday=_xlpm.MVY,      _xlpm.MVYY-_xlpm.MVYYY,          _xlpm.MVY-_xlpm.MVYY))</f>
        <v>-5060</v>
      </c>
      <c r="AS7" s="984">
        <f ca="1">TabCalc[[#This Row],[Y]]/TabCalc[[#This Row],[M]]</f>
        <v>2.2286773255813959</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-0.57260452384398253</v>
      </c>
      <c r="AY7" s="82">
        <f t="shared" ca="1" si="1"/>
        <v>0</v>
      </c>
      <c r="AZ7" s="90">
        <f ca="1">_xlfn.XLOOKUP(TabCalc[[#This Row],[Ticker]],[1]!RTData[Ticker_Symbol],[1]!RTData[V/VA])</f>
        <v>0.15100864553314122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0.15100864553314122</v>
      </c>
      <c r="BC7" s="87" cm="1">
        <f t="array" aca="1" ref="BC7" ca="1">INDEX(TabReg[], 1, _xlfn.XMATCH(TabCalc[[#This Row],[Ticker]]&amp;1, TabReg[#Headers], 0))</f>
        <v>2448050</v>
      </c>
      <c r="BD7" s="159">
        <f ca="1">TabCalc[[#This Row],[Nbegin]]*TabCalc[[#This Row],[M]]*TabCalc[[#This Row],[Scale]]+TabCalc[[#This Row],[ValueBegin]]</f>
        <v>-1174445.238763717</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-1118063.6387637171</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-1211781.041263717</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t="e">
        <f ca="1">_xlfn.XLOOKUP(TabCalc[[#This Row],[Ticker]],[1]!RTData[Ticker_Symbol],[1]!#REF!)</f>
        <v>#REF!</v>
      </c>
      <c r="BT7" s="175">
        <f ca="1">(TabCalc[[#This Row],[ValueBegin]]+(TabCalc[[#This Row],[M]]-TabCalc[[#This Row],[A]])*TabCalc[[#This Row],[NAfter]])*TabCalc[[#This Row],[Scale]]</f>
        <v>-4070484.6800274337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-1211781.041263717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-1211781.041263717</v>
      </c>
      <c r="DB7" s="90">
        <f ca="1">IFERROR((TabCalc[[#This Row],[M]]+TabCalc[[#This Row],[L_Bp]])/ABS(TabCalc[[#This Row],[L_Bp]])/(TODAY()-TabCalc[[#This Row],[L_Bdate]])*360,"")</f>
        <v>-0.3839238498149129</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 s="87">
        <f ca="1">TabCalc[[#This Row],[Nbegin]]*TabCalc[[#This Row],[Scale]]*TabCalc[[#This Row],[M]]</f>
        <v>1684258.4</v>
      </c>
      <c r="DF7" s="87" cm="1">
        <f t="array" aca="1" ref="DF7" ca="1">SUMPRODUCT(ISNUMBER(INDIRECT("TabReg["&amp;TabCalc[[#This Row],[Ticker]]&amp;"2]"))* INDIRECT("TabReg["&amp;TabCalc[[#This Row],[Ticker]]&amp;"1]") * INDIRECT("TabReg["&amp;TabCalc[[#This Row],[Ticker]]&amp;"2]") )*TabCalc[[#This Row],[Scale]]</f>
        <v>-2952421.0412637168</v>
      </c>
      <c r="DI7" s="87">
        <f ca="1"/>
        <v>1877520</v>
      </c>
      <c r="DJ7" s="90">
        <f t="shared" ca="1" si="2"/>
        <v>0.80527704639758579</v>
      </c>
      <c r="DK7" t="str">
        <f ca="1">_xlfn.XLOOKUP(DI7,TabCalc[Column1],TabCalc[Ticker])</f>
        <v>AMZN</v>
      </c>
      <c r="DL7" s="87">
        <f ca="1">_xlfn.XLOOKUP(DK7,TabCalc[Ticker],TabCalc[ValueBegin])</f>
        <v>-1060400</v>
      </c>
      <c r="DM7" s="87">
        <f ca="1">_xlfn.XLOOKUP(DK7,TabCalc[Ticker],TabCalc[M_V])</f>
        <v>2816280</v>
      </c>
      <c r="DN7" s="87">
        <f ca="1">_xlfn.XLOOKUP(DK7,TabCalc[Ticker],TabCalc[GL])</f>
        <v>853915.78</v>
      </c>
      <c r="DO7" s="90"/>
      <c r="DP7" s="90"/>
      <c r="DQ7" s="88" t="s">
        <v>4</v>
      </c>
      <c r="DR7" s="81">
        <v>2448050</v>
      </c>
      <c r="DS7" s="315">
        <v>-1.1677472432195899</v>
      </c>
      <c r="DU7" s="82">
        <v>1993640</v>
      </c>
      <c r="DV7" s="82">
        <f ca="1">DU7-TabCalc[[#This Row],[M_V]]</f>
        <v>253000.00000000023</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2701340</v>
      </c>
      <c r="G8" s="82">
        <f ca="1">IFERROR(TabCalc[[#This Row],[SB]]-TabCalc[[#This Row],[SST]],TabCalc[[#This Row],[SB]])</f>
        <v>3100</v>
      </c>
      <c r="H8" s="532" t="str">
        <f ca="1">[1]!RTData[[#This Row],[Ticker_Symbol]]</f>
        <v>ASML</v>
      </c>
      <c r="I8" s="383">
        <f ca="1">_xlfn.XLOOKUP(TabCalc[[#This Row],[Ticker]],[1]!RTData[Ticker_Symbol],[1]!RTData[M_Price])</f>
        <v>871.4</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-3.0890000000000002E-3</v>
      </c>
      <c r="N8" s="1077">
        <v>0</v>
      </c>
      <c r="O8" s="899">
        <f>TabCalc[[#This Row],[Up20]]-1+TabCalc[[#This Row],[Up20]]</f>
        <v>-1</v>
      </c>
      <c r="P8" s="899">
        <f>TabCalc[[#This Row],[Up20]]-TabCalc[[#This Row],[Up150]]</f>
        <v>-0.16666666666666666</v>
      </c>
      <c r="Q8" s="899">
        <v>0.16666666666666666</v>
      </c>
      <c r="R8" s="899">
        <f>TabCalc[[#This Row],[Up150]]-1+TabCalc[[#This Row],[Up150]]</f>
        <v>-0.66666666666666674</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0.11215891131875677</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11500</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13300</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3885.0000000000023</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2335.0000000000023</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-24490</v>
      </c>
      <c r="AQ8" s="334">
        <f ca="1">_xlfn.LET(_xlpm.MVToday,DataShift!AV510,         _xlpm.MVY,DataShift!AU510,        _xlpm.MVYY, DataShift!AT510,                                IF(_xlpm.MVToday=_xlpm.MVY,_xlpm.MVY-_xlpm.MVYY,_xlpm.MVToday-_xlpm.MVY))</f>
        <v>1860</v>
      </c>
      <c r="AR8" s="334">
        <f ca="1">_xlfn.LET(_xlpm.MVToday,DataShift!AV510,         _xlpm.MVY,DataShift!AU510,        _xlpm.MVYY, DataShift!AT510,         _xlpm.MVYYY, DataShift!AS510,                      IF(_xlpm.MVToday=_xlpm.MVY,      _xlpm.MVYY-_xlpm.MVYYY,          _xlpm.MVY-_xlpm.MVYY))</f>
        <v>-75950</v>
      </c>
      <c r="AS8" s="984">
        <f ca="1">TabCalc[[#This Row],[Y]]/TabCalc[[#This Row],[M]]</f>
        <v>1.0809080330502641</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-0.42697627176107839</v>
      </c>
      <c r="AY8" s="82">
        <f t="shared" ca="1" si="1"/>
        <v>0</v>
      </c>
      <c r="AZ8" s="90">
        <f ca="1">_xlfn.XLOOKUP(TabCalc[[#This Row],[Ticker]],[1]!RTData[Ticker_Symbol],[1]!RTData[V/VA])</f>
        <v>0.1427007365316057</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0.1427007365316057</v>
      </c>
      <c r="BC8" s="87" cm="1">
        <f t="array" aca="1" ref="BC8" ca="1">INDEX(TabReg[], 1, _xlfn.XMATCH(TabCalc[[#This Row],[Ticker]]&amp;1, TabReg[#Headers], 0))</f>
        <v>500</v>
      </c>
      <c r="BD8" s="159">
        <f ca="1">TabCalc[[#This Row],[Nbegin]]*TabCalc[[#This Row],[M]]*TabCalc[[#This Row],[Scale]]+TabCalc[[#This Row],[ValueBegin]]</f>
        <v>-12350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2253290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784020.81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1015.72</v>
      </c>
      <c r="BR8" s="174" t="str">
        <f ca="1">IF(TabCalc[[#This Row],[EfCost]]+TabCalc[[#This Row],[M_V]]&lt;TabCalc[[#This Row],[NoT_GL]],"Pile","")</f>
        <v/>
      </c>
      <c r="BS8" s="165" t="e">
        <f ca="1">_xlfn.XLOOKUP(TabCalc[[#This Row],[Ticker]],[1]!RTData[Ticker_Symbol],[1]!#REF!)</f>
        <v>#REF!</v>
      </c>
      <c r="BT8" s="175">
        <f ca="1">(TabCalc[[#This Row],[ValueBegin]]+(TabCalc[[#This Row],[M]]-TabCalc[[#This Row],[A]])*TabCalc[[#This Row],[NAfter]])*TabCalc[[#This Row],[Scale]]</f>
        <v>209335.99999999988</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657385.99999999988</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128.70012870012863</v>
      </c>
      <c r="CV8" s="404">
        <f ca="1">IF(TabCalc[[#This Row],[ntoBuy]]*TabCalc[[#This Row],[M]]&lt;=0,0,TabCalc[[#This Row],[ntoBuy]]*TabCalc[[#This Row],[M]])</f>
        <v>112149.29214929209</v>
      </c>
      <c r="CW8" s="404">
        <f ca="1">IF(TabCalc[[#This Row],[M]]&gt;ABS(TabCalc[[#This Row],[L_Bp]]),MIN(TabCalc[[#This Row],[NAfter]],DesiredSaleGain/(TabCalc[[#This Row],[M]]+TabCalc[[#This Row],[L_Bp]])),0)/TabCalc[[#This Row],[Scale]]</f>
        <v>86.956521739130437</v>
      </c>
      <c r="CX8" s="405">
        <f ca="1">TabCalc[[#This Row],[ntoSell]]*TabCalc[[#This Row],[M]]</f>
        <v>75773.913043478256</v>
      </c>
      <c r="CY8" s="398">
        <f ca="1">_xlfn.LET(_xlpm.nToSell,IF(TabCalc[[#This Row],[M]]-TabCalc[[#This Row],[A]]&lt;=0,"",INT(DesiredSaleGain/(TabCalc[[#This Row],[M]]-IF(TabCalc[[#This Row],[E]]&gt;0,0,TabCalc[[#This Row],[A]])))),IF(_xlpm.nToSell&lt;=TabCalc[[#This Row],[NAfter]],_xlpm.nToSell,0))</f>
        <v>23</v>
      </c>
      <c r="CZ8" s="336">
        <f ca="1">IFERROR(TabCalc[[#This Row],[NMA]]*TabCalc[[#This Row],[M]],"")</f>
        <v>20042.2</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657385.99999999988</v>
      </c>
      <c r="DB8" s="90">
        <f ca="1">IFERROR((TabCalc[[#This Row],[M]]+TabCalc[[#This Row],[L_Bp]])/ABS(TabCalc[[#This Row],[L_Bp]])/(TODAY()-TabCalc[[#This Row],[L_Bdate]])*360,"")</f>
        <v>0.66929210235319225</v>
      </c>
      <c r="DC8" s="310">
        <f ca="1">MEDIAN(DataShift!F709:Z709)</f>
        <v>-1.9380000000000001E-3</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435700</v>
      </c>
      <c r="DF8" s="87" cm="1">
        <f t="array" aca="1" ref="DF8" ca="1">SUMPRODUCT(ISNUMBER(INDIRECT("TabReg["&amp;TabCalc[[#This Row],[Ticker]]&amp;"2]"))* INDIRECT("TabReg["&amp;TabCalc[[#This Row],[Ticker]]&amp;"1]") * INDIRECT("TabReg["&amp;TabCalc[[#This Row],[Ticker]]&amp;"2]") )*TabCalc[[#This Row],[Scale]]</f>
        <v>-1917319.19</v>
      </c>
      <c r="DI8" s="87">
        <f ca="1"/>
        <v>1684258.4</v>
      </c>
      <c r="DJ8" s="90">
        <f t="shared" ca="1" si="2"/>
        <v>-0.42389180355462353</v>
      </c>
      <c r="DK8" t="str">
        <f ca="1">_xlfn.XLOOKUP(DI8,TabCalc[Column1],TabCalc[Ticker])</f>
        <v>ALDNE</v>
      </c>
      <c r="DL8" s="87">
        <f ca="1">_xlfn.XLOOKUP(DK8,TabCalc[Ticker],TabCalc[ValueBegin])</f>
        <v>-2858703.6387637169</v>
      </c>
      <c r="DM8" s="87">
        <f ca="1">_xlfn.XLOOKUP(DK8,TabCalc[Ticker],TabCalc[M_V])</f>
        <v>1740639.9999999998</v>
      </c>
      <c r="DN8" s="87">
        <f ca="1">_xlfn.XLOOKUP(DK8,TabCalc[Ticker],TabCalc[GL])</f>
        <v>-1211781.041263717</v>
      </c>
      <c r="DO8" s="90"/>
      <c r="DP8" s="90"/>
      <c r="DQ8" s="88" t="s">
        <v>5</v>
      </c>
      <c r="DR8" s="81">
        <v>5000</v>
      </c>
      <c r="DS8" s="315">
        <v>-54.11</v>
      </c>
      <c r="DU8" s="82">
        <v>3304800</v>
      </c>
      <c r="DV8" s="82">
        <f ca="1">DU8-TabCalc[[#This Row],[M_V]]</f>
        <v>603460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136984</v>
      </c>
      <c r="G9" s="82">
        <f ca="1">IFERROR(TabCalc[[#This Row],[SB]]-TabCalc[[#This Row],[SST]],TabCalc[[#This Row],[SB]])</f>
        <v>400</v>
      </c>
      <c r="H9" s="1095" t="str">
        <f ca="1">[1]!RTData[[#This Row],[Ticker_Symbol]]</f>
        <v>AVGO</v>
      </c>
      <c r="I9" s="1096">
        <f ca="1">_xlfn.XLOOKUP(TabCalc[[#This Row],[Ticker]],[1]!RTData[Ticker_Symbol],[1]!RTData[M_Price])</f>
        <v>342.46</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7.2950000000000003E-3</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-9.4076149819112248E-2</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2274.2999999999965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33368.200008</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580.79999999999927</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-17252</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4396</v>
      </c>
      <c r="AQ9" s="334">
        <f ca="1">_xlfn.LET(_xlpm.MVToday,DataShift!AV511,         _xlpm.MVY,DataShift!AU512,        _xlpm.MVYY, DataShift!AT512,                                IF(_xlpm.MVToday=_xlpm.MVY,_xlpm.MVY-_xlpm.MVYY,_xlpm.MVToday-_xlpm.MVY))</f>
        <v>94706.5</v>
      </c>
      <c r="AR9" s="334">
        <f ca="1">_xlfn.LET(_xlpm.MVToday,DataShift!AV511,         _xlpm.MVY,DataShift!AU512,        _xlpm.MVYY, DataShift!AT512,         _xlpm.MVYYY, DataShift!AS512,                      IF(_xlpm.MVToday=_xlpm.MVY,      _xlpm.MVYY-_xlpm.MVYYY,          _xlpm.MVY-_xlpm.MVYY))</f>
        <v>430</v>
      </c>
      <c r="AS9" s="984">
        <f ca="1">TabCalc[[#This Row],[Y]]/TabCalc[[#This Row],[M]]</f>
        <v>1.1457736669976055</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-0.92586624700002451</v>
      </c>
      <c r="AY9" s="82">
        <f ca="1">IF(G9&lt;C9,C9-G9,0)</f>
        <v>0</v>
      </c>
      <c r="AZ9" s="90">
        <f ca="1">_xlfn.XLOOKUP(TabCalc[[#This Row],[Ticker]],[1]!RTData[Ticker_Symbol],[1]!RTData[V/VA])</f>
        <v>1.9670701818742457E-3</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1.9670701818742457E-3</v>
      </c>
      <c r="BC9" s="87" cm="1">
        <f t="array" aca="1" ref="BC9" ca="1">INDEX(TabReg[], 1, _xlfn.XMATCH(TabCalc[[#This Row],[Ticker]]&amp;1, TabReg[#Headers], 0))</f>
        <v>190</v>
      </c>
      <c r="BD9" s="159">
        <f ca="1">TabCalc[[#This Row],[Nbegin]]*TabCalc[[#This Row],[M]]*TabCalc[[#This Row],[Scale]]+TabCalc[[#This Row],[ValueBegin]]</f>
        <v>44233.6492</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116150.24920000001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69543.375207999969</v>
      </c>
      <c r="BM9" s="159">
        <f ca="1">IF(        OR( TabCalc[[#This Row],[GL]]&gt;ABS(TabCalc[[#This Row],[EfCost]]),TabCalc[[#This Row],[NAfter]]=0),             TabCalc[[#This Row],[GL]],     0)</f>
        <v>69543.375207999969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280.01</v>
      </c>
      <c r="BR9" s="174" t="str">
        <f ca="1">IF(TabCalc[[#This Row],[EfCost]]+TabCalc[[#This Row],[M_V]]&lt;TabCalc[[#This Row],[NoT_GL]],"Pile","")</f>
        <v/>
      </c>
      <c r="BS9" s="165" t="e">
        <f ca="1">_xlfn.XLOOKUP(TabCalc[[#This Row],[Ticker]],[1]!RTData[Ticker_Symbol],[1]!#REF!)</f>
        <v>#REF!</v>
      </c>
      <c r="BT9" s="175">
        <f ca="1">(TabCalc[[#This Row],[ValueBegin]]+(TabCalc[[#This Row],[M]]-TabCalc[[#This Row],[A]])*TabCalc[[#This Row],[NAfter]])*TabCalc[[#This Row],[Scale]]</f>
        <v>7857.0408729999908</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28690.791672999989</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1377.410468319561</v>
      </c>
      <c r="CV9" s="404">
        <f ca="1">IF(TabCalc[[#This Row],[ntoBuy]]*TabCalc[[#This Row],[M]]&lt;=0,0,TabCalc[[#This Row],[ntoBuy]]*TabCalc[[#This Row],[M]])</f>
        <v>471707.98898071685</v>
      </c>
      <c r="CW9" s="404">
        <f ca="1">IF(TabCalc[[#This Row],[M]]&gt;ABS(TabCalc[[#This Row],[L_Bp]]),MIN(TabCalc[[#This Row],[NAfter]],DesiredSaleGain/(TabCalc[[#This Row],[M]]+TabCalc[[#This Row],[L_Bp]])),0)/TabCalc[[#This Row],[Scale]]</f>
        <v>400</v>
      </c>
      <c r="CX9" s="405">
        <f ca="1">TabCalc[[#This Row],[ntoSell]]*TabCalc[[#This Row],[M]]</f>
        <v>136984</v>
      </c>
      <c r="CY9" s="398">
        <f ca="1">_xlfn.LET(_xlpm.nToSell,IF(TabCalc[[#This Row],[M]]-TabCalc[[#This Row],[A]]&lt;=0,"",INT(DesiredSaleGain/(TabCalc[[#This Row],[M]]-IF(TabCalc[[#This Row],[E]]&gt;0,0,TabCalc[[#This Row],[A]])))),IF(_xlpm.nToSell&lt;=TabCalc[[#This Row],[NAfter]],_xlpm.nToSell,0))</f>
        <v>69</v>
      </c>
      <c r="CZ9" s="1103">
        <f ca="1">IFERROR(TabCalc[[#This Row],[NMA]]*TabCalc[[#This Row],[M]],"")</f>
        <v>23629.739999999998</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28690.791672999989</v>
      </c>
      <c r="DB9" s="90">
        <f ca="1">IFERROR((TabCalc[[#This Row],[M]]+TabCalc[[#This Row],[L_Bp]])/ABS(TabCalc[[#This Row],[L_Bp]])/(TODAY()-TabCalc[[#This Row],[L_Bdate]])*360,"")</f>
        <v>0.30938093658595378</v>
      </c>
      <c r="DC9" s="310">
        <f ca="1">MEDIAN(DataShift!F711:Z711)</f>
        <v>-2.366E-4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 s="87">
        <f ca="1">TabCalc[[#This Row],[Nbegin]]*TabCalc[[#This Row],[Scale]]*TabCalc[[#This Row],[M]]</f>
        <v>65067.399999999994</v>
      </c>
      <c r="DF9" s="87" cm="1">
        <f t="array" aca="1" ref="DF9" ca="1">SUMPRODUCT(ISNUMBER(INDIRECT("TabReg["&amp;TabCalc[[#This Row],[Ticker]]&amp;"2]"))* INDIRECT("TabReg["&amp;TabCalc[[#This Row],[Ticker]]&amp;"1]") * INDIRECT("TabReg["&amp;TabCalc[[#This Row],[Ticker]]&amp;"2]") )*TabCalc[[#This Row],[Scale]]</f>
        <v>-67440.624792000031</v>
      </c>
      <c r="DI9" s="87">
        <f ca="1"/>
        <v>1362050.0000000002</v>
      </c>
      <c r="DJ9" s="90">
        <f t="shared" ca="1" si="2"/>
        <v>2.1868748836776488</v>
      </c>
      <c r="DK9" t="str">
        <f ca="1">_xlfn.XLOOKUP(DI9,TabCalc[Column1],TabCalc[Ticker])</f>
        <v>AAPL</v>
      </c>
      <c r="DL9" s="87">
        <f ca="1">_xlfn.XLOOKUP(DK9,TabCalc[Ticker],TabCalc[ValueBegin])</f>
        <v>-537300</v>
      </c>
      <c r="DM9" s="87">
        <f ca="1">_xlfn.XLOOKUP(DK9,TabCalc[Ticker],TabCalc[M_V])</f>
        <v>2587895.0000000005</v>
      </c>
      <c r="DN9" s="87">
        <f ca="1">_xlfn.XLOOKUP(DK9,TabCalc[Ticker],TabCalc[GL])</f>
        <v>1175007.8750000007</v>
      </c>
      <c r="DO9" s="90"/>
      <c r="DP9" s="90"/>
      <c r="DQ9" s="88" t="s">
        <v>6</v>
      </c>
      <c r="DR9" s="81">
        <v>10000</v>
      </c>
      <c r="DS9" s="315">
        <v>-2.69</v>
      </c>
      <c r="DU9" s="82">
        <v>140776</v>
      </c>
      <c r="DV9" s="82">
        <f ca="1">DU9-TabCalc[[#This Row],[M_V]]</f>
        <v>3792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44550</v>
      </c>
      <c r="G10" s="82">
        <f ca="1">IFERROR(TabCalc[[#This Row],[SB]]-TabCalc[[#This Row],[SST]],TabCalc[[#This Row],[SB]])</f>
        <v>500</v>
      </c>
      <c r="H10" s="1095" t="str">
        <f ca="1">[1]!RTData[[#This Row],[Ticker_Symbol]]</f>
        <v>AZN</v>
      </c>
      <c r="I10" s="1096">
        <f ca="1">_xlfn.XLOOKUP(TabCalc[[#This Row],[Ticker]],[1]!RTData[Ticker_Symbol],[1]!RTData[M_Price])</f>
        <v>89.1</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5.5300000000000002E-3</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6.2989903717414919E-2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9629.9999999999964</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5714.9999999999964</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-1439.9999999999977</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-19179.999999999978</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292.5</v>
      </c>
      <c r="AQ10" s="334">
        <f ca="1">_xlfn.LET(_xlpm.MVToday,DataShift!AV512,         _xlpm.MVY,DataShift!AU513,        _xlpm.MVYY, DataShift!AT513,                                IF(_xlpm.MVToday=_xlpm.MVY,_xlpm.MVY-_xlpm.MVYY,_xlpm.MVToday-_xlpm.MVY))</f>
        <v>-25150</v>
      </c>
      <c r="AR10" s="334">
        <f ca="1">_xlfn.LET(_xlpm.MVToday,DataShift!AV512,         _xlpm.MVY,DataShift!AU513,        _xlpm.MVYY, DataShift!AT513,         _xlpm.MVYYY, DataShift!AS513,                      IF(_xlpm.MVToday=_xlpm.MVY,      _xlpm.MVYY-_xlpm.MVYYY,          _xlpm.MVY-_xlpm.MVYY))</f>
        <v>-1700</v>
      </c>
      <c r="AS10" s="984">
        <f ca="1">TabCalc[[#This Row],[Y]]/TabCalc[[#This Row],[M]]</f>
        <v>1.0466075196408531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-8.6190981664914113E-3</v>
      </c>
      <c r="AY10" s="82">
        <f ca="1">IF(G10&lt;C10,C10-G10,0)</f>
        <v>4500</v>
      </c>
      <c r="AZ10" s="90">
        <f ca="1">_xlfn.XLOOKUP(TabCalc[[#This Row],[Ticker]],[1]!RTData[Ticker_Symbol],[1]!RTData[V/VA])</f>
        <v>1.4614245077424926E-3</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1.4614245077424926E-3</v>
      </c>
      <c r="BC10" s="87" cm="1">
        <f t="array" aca="1" ref="BC10" ca="1">INDEX(TabReg[], 1, _xlfn.XMATCH(TabCalc[[#This Row],[Ticker]]&amp;1, TabReg[#Headers], 0))</f>
        <v>5000</v>
      </c>
      <c r="BD10" s="159">
        <f ca="1">TabCalc[[#This Row],[Nbegin]]*TabCalc[[#This Row],[M]]*TabCalc[[#This Row],[Scale]]+TabCalc[[#This Row],[ValueBegin]]</f>
        <v>174950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-226000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152884.39999999997</v>
      </c>
      <c r="BM10" s="159">
        <f ca="1">IF(        OR( TabCalc[[#This Row],[GL]]&gt;ABS(TabCalc[[#This Row],[EfCost]]),TabCalc[[#This Row],[NAfter]]=0),             TabCalc[[#This Row],[GL]],     0)</f>
        <v>152884.39999999997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t="e">
        <f ca="1">_xlfn.XLOOKUP(TabCalc[[#This Row],[Ticker]],[1]!RTData[Ticker_Symbol],[1]!#REF!)</f>
        <v>#REF!</v>
      </c>
      <c r="BT10" s="175">
        <f ca="1">(TabCalc[[#This Row],[ValueBegin]]+(TabCalc[[#This Row],[M]]-TabCalc[[#This Row],[A]])*TabCalc[[#This Row],[NAfter]])*TabCalc[[#This Row],[Scale]]</f>
        <v>-260920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9629.9999999999964</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259.60539979231578</v>
      </c>
      <c r="CX10" s="405">
        <f ca="1">TabCalc[[#This Row],[ntoSell]]*TabCalc[[#This Row],[M]]</f>
        <v>23130.841121495334</v>
      </c>
      <c r="CY10" s="398">
        <f ca="1">_xlfn.LET(_xlpm.nToSell,IF(TabCalc[[#This Row],[M]]-TabCalc[[#This Row],[A]]&lt;=0,"",INT(DesiredSaleGain/(TabCalc[[#This Row],[M]]-IF(TabCalc[[#This Row],[E]]&gt;0,0,TabCalc[[#This Row],[A]])))),IF(_xlpm.nToSell&lt;=TabCalc[[#This Row],[NAfter]],_xlpm.nToSell,0))</f>
        <v>259</v>
      </c>
      <c r="CZ10" s="1103">
        <f ca="1">IFERROR(TabCalc[[#This Row],[NMA]]*TabCalc[[#This Row],[M]],"")</f>
        <v>23076.899999999998</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9629.9999999999964</v>
      </c>
      <c r="DB10" s="90">
        <f ca="1">IFERROR((TabCalc[[#This Row],[M]]+TabCalc[[#This Row],[L_Bp]])/ABS(TabCalc[[#This Row],[L_Bp]])/(TODAY()-TabCalc[[#This Row],[L_Bdate]])*360,"")</f>
        <v>0.66185567010309243</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0" s="87">
        <f ca="1">TabCalc[[#This Row],[Nbegin]]*TabCalc[[#This Row],[Scale]]*TabCalc[[#This Row],[M]]</f>
        <v>445500</v>
      </c>
      <c r="DF10" s="87" cm="1">
        <f t="array" aca="1" ref="DF10" ca="1">SUMPRODUCT(ISNUMBER(INDIRECT("TabReg["&amp;TabCalc[[#This Row],[Ticker]]&amp;"2]"))* INDIRECT("TabReg["&amp;TabCalc[[#This Row],[Ticker]]&amp;"1]") * INDIRECT("TabReg["&amp;TabCalc[[#This Row],[Ticker]]&amp;"2]") )*TabCalc[[#This Row],[Scale]]</f>
        <v>108334.39999999997</v>
      </c>
      <c r="DI10" s="87">
        <f ca="1"/>
        <v>1361400</v>
      </c>
      <c r="DJ10" s="90">
        <f t="shared" ca="1" si="2"/>
        <v>3.5897559581265781E-2</v>
      </c>
      <c r="DK10" t="str">
        <f ca="1">_xlfn.XLOOKUP(DI10,TabCalc[Column1],TabCalc[Ticker])</f>
        <v>RWE</v>
      </c>
      <c r="DL10" s="87">
        <f ca="1">_xlfn.XLOOKUP(DK10,TabCalc[Ticker],TabCalc[ValueBegin])</f>
        <v>-1014062.0399999999</v>
      </c>
      <c r="DM10" s="87">
        <f ca="1">_xlfn.XLOOKUP(DK10,TabCalc[Ticker],TabCalc[M_V])</f>
        <v>2269</v>
      </c>
      <c r="DN10" s="87">
        <f ca="1">_xlfn.XLOOKUP(DK10,TabCalc[Ticker],TabCalc[GL])</f>
        <v>36402.352499999921</v>
      </c>
      <c r="DO10" s="90"/>
      <c r="DP10" s="90"/>
      <c r="DQ10" s="88" t="s">
        <v>7</v>
      </c>
      <c r="DR10" s="81">
        <v>15000</v>
      </c>
      <c r="DS10" s="315">
        <v>-6.9032</v>
      </c>
      <c r="DU10" s="82">
        <v>41015</v>
      </c>
      <c r="DV10" s="82">
        <f ca="1">DU10-TabCalc[[#This Row],[M_V]]</f>
        <v>-3535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60599.999999999993</v>
      </c>
      <c r="G11" s="82">
        <f ca="1">IFERROR(TabCalc[[#This Row],[SB]]-TabCalc[[#This Row],[SST]],TabCalc[[#This Row],[SB]])</f>
        <v>20000</v>
      </c>
      <c r="H11" s="532" t="str">
        <f ca="1">[1]!RTData[[#This Row],[Ticker_Symbol]]</f>
        <v>BLDP</v>
      </c>
      <c r="I11" s="383">
        <f ca="1">_xlfn.XLOOKUP(TabCalc[[#This Row],[Ticker]],[1]!RTData[Ticker_Symbol],[1]!RTData[M_Price])</f>
        <v>3.03</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-5.0157E-2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-9.4076149819112248E-2</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1079.9999999999982</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11999.999999999998</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1920.6000000000004</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-10699.999999999998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1799.9999999999927</v>
      </c>
      <c r="AQ11" s="334">
        <f ca="1">_xlfn.LET(_xlpm.MVToday,DataShift!AV511,         _xlpm.MVY,DataShift!AU512,        _xlpm.MVYY, DataShift!AT512,                                IF(_xlpm.MVToday=_xlpm.MVY,_xlpm.MVY-_xlpm.MVYY,_xlpm.MVToday-_xlpm.MVY))</f>
        <v>94706.5</v>
      </c>
      <c r="AR11" s="334">
        <f ca="1">_xlfn.LET(_xlpm.MVToday,DataShift!AV511,         _xlpm.MVY,DataShift!AU512,        _xlpm.MVYY, DataShift!AT512,         _xlpm.MVYYY, DataShift!AS512,                      IF(_xlpm.MVToday=_xlpm.MVY,      _xlpm.MVYY-_xlpm.MVYYY,          _xlpm.MVY-_xlpm.MVYY))</f>
        <v>430</v>
      </c>
      <c r="AS11" s="984">
        <f ca="1">TabCalc[[#This Row],[Y]]/TabCalc[[#This Row],[M]]</f>
        <v>0.90759075907590769</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2.6345034503450293E-3</v>
      </c>
      <c r="AY11" s="82">
        <f t="shared" ca="1" si="1"/>
        <v>0</v>
      </c>
      <c r="AZ11" s="90">
        <f ca="1">_xlfn.XLOOKUP(TabCalc[[#This Row],[Ticker]],[1]!RTData[Ticker_Symbol],[1]!RTData[V/VA])</f>
        <v>1.4723542829705686E-3</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1.4723542829705686E-3</v>
      </c>
      <c r="BC11" s="87" cm="1">
        <f t="array" aca="1" ref="BC11" ca="1">INDEX(TabReg[], 1, _xlfn.XMATCH(TabCalc[[#This Row],[Ticker]]&amp;1, TabReg[#Headers], 0))</f>
        <v>10000</v>
      </c>
      <c r="BD11" s="159">
        <f ca="1">TabCalc[[#This Row],[Nbegin]]*TabCalc[[#This Row],[M]]*TabCalc[[#This Row],[Scale]]+TabCalc[[#This Row],[ValueBegin]]</f>
        <v>3399.9999999999964</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33699.999999999993</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28916.184999999983</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2.55</v>
      </c>
      <c r="BR11" s="174" t="str">
        <f ca="1">IF(TabCalc[[#This Row],[EfCost]]+TabCalc[[#This Row],[M_V]]&lt;TabCalc[[#This Row],[NoT_GL]],"Pile","")</f>
        <v/>
      </c>
      <c r="BS11" s="165" t="e">
        <f ca="1">_xlfn.XLOOKUP(TabCalc[[#This Row],[Ticker]],[1]!RTData[Ticker_Symbol],[1]!#REF!)</f>
        <v>#REF!</v>
      </c>
      <c r="BT11" s="175">
        <f ca="1">(TabCalc[[#This Row],[ValueBegin]]+(TabCalc[[#This Row],[M]]-TabCalc[[#This Row],[A]])*TabCalc[[#This Row],[NAfter]])*TabCalc[[#This Row],[Scale]]</f>
        <v>-9180.0000000000073</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17719.999999999993</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15620.118712902216</v>
      </c>
      <c r="CV11" s="404">
        <f ca="1">IF(TabCalc[[#This Row],[ntoBuy]]*TabCalc[[#This Row],[M]]&lt;=0,0,TabCalc[[#This Row],[ntoBuy]]*TabCalc[[#This Row],[M]])</f>
        <v>47328.959700093714</v>
      </c>
      <c r="CW11" s="404">
        <f ca="1">IF(TabCalc[[#This Row],[M]]&gt;ABS(TabCalc[[#This Row],[L_Bp]]),MIN(TabCalc[[#This Row],[NAfter]],DesiredSaleGain/(TabCalc[[#This Row],[M]]+TabCalc[[#This Row],[L_Bp]])),0)/TabCalc[[#This Row],[Scale]]</f>
        <v>20000</v>
      </c>
      <c r="CX11" s="405">
        <f ca="1">TabCalc[[#This Row],[ntoSell]]*TabCalc[[#This Row],[M]]</f>
        <v>60599.999999999993</v>
      </c>
      <c r="CY11" s="398">
        <f ca="1">_xlfn.LET(_xlpm.nToSell,IF(TabCalc[[#This Row],[M]]-TabCalc[[#This Row],[A]]&lt;=0,"",INT(DesiredSaleGain/(TabCalc[[#This Row],[M]]-IF(TabCalc[[#This Row],[E]]&gt;0,0,TabCalc[[#This Row],[A]])))),IF(_xlpm.nToSell&lt;=TabCalc[[#This Row],[NAfter]],_xlpm.nToSell,0))</f>
        <v>5643</v>
      </c>
      <c r="CZ11" s="336">
        <f ca="1">IFERROR(TabCalc[[#This Row],[NMA]]*TabCalc[[#This Row],[M]],"")</f>
        <v>17098.289999999997</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17719.999999999993</v>
      </c>
      <c r="DB11" s="90">
        <f ca="1">IFERROR((TabCalc[[#This Row],[M]]+TabCalc[[#This Row],[L_Bp]])/ABS(TabCalc[[#This Row],[L_Bp]])/(TODAY()-TabCalc[[#This Row],[L_Bdate]])*360,"")</f>
        <v>7.2410325175997214E-2</v>
      </c>
      <c r="DC11" s="310">
        <f ca="1">MEDIAN(DataShift!F711:Z711)</f>
        <v>-2.366E-4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1" s="87">
        <f ca="1">TabCalc[[#This Row],[Nbegin]]*TabCalc[[#This Row],[Scale]]*TabCalc[[#This Row],[M]]</f>
        <v>30299.999999999996</v>
      </c>
      <c r="DF11" s="87" cm="1">
        <f t="array" aca="1" ref="DF11" ca="1">SUMPRODUCT(ISNUMBER(INDIRECT("TabReg["&amp;TabCalc[[#This Row],[Ticker]]&amp;"2]"))* INDIRECT("TabReg["&amp;TabCalc[[#This Row],[Ticker]]&amp;"1]") * INDIRECT("TabReg["&amp;TabCalc[[#This Row],[Ticker]]&amp;"2]") )*TabCalc[[#This Row],[Scale]]</f>
        <v>-31683.81500000001</v>
      </c>
      <c r="DI11" s="87">
        <f ca="1"/>
        <v>1317000</v>
      </c>
      <c r="DJ11" s="90">
        <f t="shared" ca="1" si="2"/>
        <v>4.4471113656142949</v>
      </c>
      <c r="DK11" t="str">
        <f ca="1">_xlfn.XLOOKUP(DI11,TabCalc[Column1],TabCalc[Ticker])</f>
        <v>NEM</v>
      </c>
      <c r="DL11" s="87">
        <f ca="1">_xlfn.XLOOKUP(DK11,TabCalc[Ticker],TabCalc[ValueBegin])</f>
        <v>-286571.39999999997</v>
      </c>
      <c r="DM11" s="87">
        <f ca="1">_xlfn.XLOOKUP(DK11,TabCalc[Ticker],TabCalc[M_V])</f>
        <v>1756000</v>
      </c>
      <c r="DN11" s="87">
        <f ca="1">_xlfn.XLOOKUP(DK11,TabCalc[Ticker],TabCalc[GL])</f>
        <v>1274414.9300000002</v>
      </c>
      <c r="DO11" s="90"/>
      <c r="DP11" s="90"/>
      <c r="DQ11" s="88" t="s">
        <v>8</v>
      </c>
      <c r="DR11" s="81">
        <v>100</v>
      </c>
      <c r="DS11" s="315">
        <v>-49.07</v>
      </c>
      <c r="DU11" s="82">
        <v>67400</v>
      </c>
      <c r="DV11" s="82">
        <f ca="1">DU11-TabCalc[[#This Row],[M_V]]</f>
        <v>6800.0000000000073</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30125</v>
      </c>
      <c r="G12" s="82">
        <f ca="1">IFERROR(TabCalc[[#This Row],[SB]]-TabCalc[[#This Row],[SST]],TabCalc[[#This Row],[SB]])</f>
        <v>12500</v>
      </c>
      <c r="H12" s="532" t="str">
        <f ca="1">[1]!RTData[[#This Row],[Ticker_Symbol]]</f>
        <v>BMRA</v>
      </c>
      <c r="I12" s="383">
        <f ca="1">_xlfn.XLOOKUP(TabCalc[[#This Row],[Ticker]],[1]!RTData[Ticker_Symbol],[1]!RTData[M_Price])</f>
        <v>2.41</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-3.6000000000000004E-2</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6.2989903717414919E-2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-65,974 = $ -158,998</v>
      </c>
      <c r="Z12" s="211">
        <f ca="1">MIN(TabCalc[[#This Row],[L_Bn]],TabCalc[[#This Row],[NAfter]])*(TabCalc[[#This Row],[M]]+TabCalc[[#This Row],[L_Bp]])*TabCalc[[#This Row],[Scale]]</f>
        <v>-128870</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-755.00000000000364</v>
      </c>
      <c r="AQ12" s="334">
        <f ca="1">_xlfn.LET(_xlpm.MVToday,DataShift!AV512,         _xlpm.MVY,DataShift!AU513,        _xlpm.MVYY, DataShift!AT513,                                IF(_xlpm.MVToday=_xlpm.MVY,_xlpm.MVY-_xlpm.MVYY,_xlpm.MVToday-_xlpm.MVY))</f>
        <v>-25150</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2.1129417683310277E-4</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2.1129417683310277E-4</v>
      </c>
      <c r="BC12" s="87" cm="1">
        <f t="array" aca="1" ref="BC12" ca="1">INDEX(TabReg[], 1, _xlfn.XMATCH(TabCalc[[#This Row],[Ticker]]&amp;1, TabReg[#Headers], 0))</f>
        <v>12500</v>
      </c>
      <c r="BD12" s="159">
        <f ca="1">TabCalc[[#This Row],[Nbegin]]*TabCalc[[#This Row],[M]]*TabCalc[[#This Row],[Scale]]+TabCalc[[#This Row],[ValueBegin]]</f>
        <v>-67398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-73423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-128870</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t="e">
        <f ca="1">_xlfn.XLOOKUP(TabCalc[[#This Row],[Ticker]],[1]!RTData[Ticker_Symbol],[1]!#REF!)</f>
        <v>#REF!</v>
      </c>
      <c r="BT12" s="175">
        <f ca="1">(TabCalc[[#This Row],[ValueBegin]]+(TabCalc[[#This Row],[M]]-TabCalc[[#This Row],[A]])*TabCalc[[#This Row],[NAfter]])*TabCalc[[#This Row],[Scale]]</f>
        <v>-232418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-128870</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-128870</v>
      </c>
      <c r="DB12" s="90">
        <f ca="1">IFERROR((TabCalc[[#This Row],[M]]+TabCalc[[#This Row],[L_Bp]])/ABS(TabCalc[[#This Row],[L_Bp]])/(TODAY()-TabCalc[[#This Row],[L_Bdate]])*360,"")</f>
        <v>-5.3697149037783713E-2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2" s="87">
        <f ca="1">TabCalc[[#This Row],[Nbegin]]*TabCalc[[#This Row],[Scale]]*TabCalc[[#This Row],[M]]</f>
        <v>36150</v>
      </c>
      <c r="DF12" s="87" cm="1">
        <f t="array" aca="1" ref="DF12" ca="1">SUMPRODUCT(ISNUMBER(INDIRECT("TabReg["&amp;TabCalc[[#This Row],[Ticker]]&amp;"2]"))* INDIRECT("TabReg["&amp;TabCalc[[#This Row],[Ticker]]&amp;"1]") * INDIRECT("TabReg["&amp;TabCalc[[#This Row],[Ticker]]&amp;"2]") )*TabCalc[[#This Row],[Scale]]</f>
        <v>-158995</v>
      </c>
      <c r="DI12" s="87">
        <f ca="1"/>
        <v>1192000</v>
      </c>
      <c r="DJ12" s="90">
        <f t="shared" ca="1" si="2"/>
        <v>0.13010620643496307</v>
      </c>
      <c r="DK12" t="str">
        <f ca="1">_xlfn.XLOOKUP(DI12,TabCalc[Column1],TabCalc[Ticker])</f>
        <v>VONN</v>
      </c>
      <c r="DL12" s="87">
        <f ca="1">_xlfn.XLOOKUP(DK12,TabCalc[Ticker],TabCalc[ValueBegin])</f>
        <v>-1126036.29</v>
      </c>
      <c r="DM12" s="87">
        <f ca="1">_xlfn.XLOOKUP(DK12,TabCalc[Ticker],TabCalc[M_V])</f>
        <v>1192000</v>
      </c>
      <c r="DN12" s="87">
        <f ca="1">_xlfn.XLOOKUP(DK12,TabCalc[Ticker],TabCalc[GL])</f>
        <v>146504.30999999994</v>
      </c>
      <c r="DO12" s="90"/>
      <c r="DP12" s="90"/>
      <c r="DQ12" s="88" t="s">
        <v>9</v>
      </c>
      <c r="DR12" s="81">
        <v>5000</v>
      </c>
      <c r="DS12" s="315">
        <v>-39.770000000000003</v>
      </c>
      <c r="DU12" s="82">
        <v>31000</v>
      </c>
      <c r="DV12" s="82">
        <f ca="1">DU12-TabCalc[[#This Row],[M_V]]</f>
        <v>875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10531.5</v>
      </c>
      <c r="G13" s="82">
        <f ca="1">IFERROR(TabCalc[[#This Row],[SB]]-TabCalc[[#This Row],[SST]],TabCalc[[#This Row],[SB]])</f>
        <v>105</v>
      </c>
      <c r="H13" s="532" t="str">
        <f ca="1">[1]!RTData[[#This Row],[Ticker_Symbol]]</f>
        <v>C</v>
      </c>
      <c r="I13" s="383">
        <f ca="1">_xlfn.XLOOKUP(TabCalc[[#This Row],[Ticker]],[1]!RTData[Ticker_Symbol],[1]!RTData[M_Price])</f>
        <v>100.3</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-3.6749999999999999E-3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0.16988117931633429</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-63.000000000000966</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3942.7499999999995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-277.87499999999972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-8814.9999999999982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49.350000000000364</v>
      </c>
      <c r="AQ13" s="334">
        <f ca="1">_xlfn.LET(_xlpm.MVToday,DataShift!AV513,         _xlpm.MVY,DataShift!AU514,        _xlpm.MVYY, DataShift!AT514,                                IF(_xlpm.MVToday=_xlpm.MVY,_xlpm.MVY-_xlpm.MVYY,_xlpm.MVToday-_xlpm.MVY))</f>
        <v>29381.249999999993</v>
      </c>
      <c r="AR13" s="334">
        <f ca="1">_xlfn.LET(_xlpm.MVToday,DataShift!AV513,         _xlpm.MVY,DataShift!AU514,        _xlpm.MVYY, DataShift!AT514,         _xlpm.MVYYY, DataShift!AS514,                      IF(_xlpm.MVToday=_xlpm.MVY,      _xlpm.MVYY-_xlpm.MVYYY,          _xlpm.MVY-_xlpm.MVYY))</f>
        <v>-656.24999999999636</v>
      </c>
      <c r="AS13" s="984">
        <f ca="1">TabCalc[[#This Row],[Y]]/TabCalc[[#This Row],[M]]</f>
        <v>1.1342163509471586</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-0.21380670004366575</v>
      </c>
      <c r="AY13" s="82">
        <f t="shared" ca="1" si="1"/>
        <v>0</v>
      </c>
      <c r="AZ13" s="90">
        <f ca="1">_xlfn.XLOOKUP(TabCalc[[#This Row],[Ticker]],[1]!RTData[Ticker_Symbol],[1]!RTData[V/VA])</f>
        <v>1.2191787082273127E-4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1.2191787082273127E-4</v>
      </c>
      <c r="BC13" s="87" cm="1">
        <f t="array" aca="1" ref="BC13" ca="1">INDEX(TabReg[], 1, _xlfn.XMATCH(TabCalc[[#This Row],[Ticker]]&amp;1, TabReg[#Headers], 0))</f>
        <v>100</v>
      </c>
      <c r="BD13" s="159">
        <f ca="1">TabCalc[[#This Row],[Nbegin]]*TabCalc[[#This Row],[M]]*TabCalc[[#This Row],[Scale]]+TabCalc[[#This Row],[ValueBegin]]</f>
        <v>5123</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5624.5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40437.865000000005</v>
      </c>
      <c r="BM13" s="159">
        <f ca="1">IF(        OR( TabCalc[[#This Row],[GL]]&gt;ABS(TabCalc[[#This Row],[EfCost]]),TabCalc[[#This Row],[NAfter]]=0),             TabCalc[[#This Row],[GL]],     0)</f>
        <v>40437.865000000005</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t="e">
        <f ca="1">_xlfn.XLOOKUP(TabCalc[[#This Row],[Ticker]],[1]!RTData[Ticker_Symbol],[1]!#REF!)</f>
        <v>#REF!</v>
      </c>
      <c r="BT13" s="175">
        <f ca="1">(TabCalc[[#This Row],[ValueBegin]]+(TabCalc[[#This Row],[M]]-TabCalc[[#This Row],[A]])*TabCalc[[#This Row],[NAfter]])*TabCalc[[#This Row],[Scale]]</f>
        <v>-4782.2500000000009</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124.74999999999909</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124.74999999999909</v>
      </c>
      <c r="DB13" s="90">
        <f ca="1">IFERROR((TabCalc[[#This Row],[M]]+TabCalc[[#This Row],[L_Bp]])/ABS(TabCalc[[#This Row],[L_Bp]])/(TODAY()-TabCalc[[#This Row],[L_Bdate]])*360,"")</f>
        <v>-0.17285399629598844</v>
      </c>
      <c r="DC13" s="310">
        <f ca="1">MEDIAN(DataShift!F713:Z713)</f>
        <v>-6.8259999999999996E-3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3" s="87">
        <f ca="1">TabCalc[[#This Row],[Nbegin]]*TabCalc[[#This Row],[Scale]]*TabCalc[[#This Row],[M]]</f>
        <v>10030</v>
      </c>
      <c r="DF13" s="87" cm="1">
        <f t="array" aca="1" ref="DF13" ca="1">SUMPRODUCT(ISNUMBER(INDIRECT("TabReg["&amp;TabCalc[[#This Row],[Ticker]]&amp;"2]"))* INDIRECT("TabReg["&amp;TabCalc[[#This Row],[Ticker]]&amp;"1]") * INDIRECT("TabReg["&amp;TabCalc[[#This Row],[Ticker]]&amp;"2]") )*TabCalc[[#This Row],[Scale]]</f>
        <v>29906.365000000005</v>
      </c>
      <c r="DI13" s="87">
        <f ca="1"/>
        <v>780868.8</v>
      </c>
      <c r="DJ13" s="90">
        <f t="shared" ca="1" si="2"/>
        <v>0.89662921348314617</v>
      </c>
      <c r="DK13" t="str">
        <f ca="1">_xlfn.XLOOKUP(DI13,TabCalc[Column1],TabCalc[Ticker])</f>
        <v>LOCK</v>
      </c>
      <c r="DL13" s="87">
        <f ca="1">_xlfn.XLOOKUP(DK13,TabCalc[Ticker],TabCalc[ValueBegin])</f>
        <v>-411714</v>
      </c>
      <c r="DM13" s="87">
        <f ca="1">_xlfn.XLOOKUP(DK13,TabCalc[Ticker],TabCalc[M_V])</f>
        <v>780868.8</v>
      </c>
      <c r="DN13" s="87">
        <f ca="1">_xlfn.XLOOKUP(DK13,TabCalc[Ticker],TabCalc[GL])</f>
        <v>369154.80000000005</v>
      </c>
      <c r="DO13" s="90"/>
      <c r="DP13" s="90"/>
      <c r="DQ13" s="88" t="s">
        <v>10</v>
      </c>
      <c r="DR13" s="81">
        <v>2000</v>
      </c>
      <c r="DS13" s="315">
        <v>-108.31</v>
      </c>
      <c r="DU13" s="82">
        <v>505.09999999999997</v>
      </c>
      <c r="DV13" s="82">
        <f ca="1">DU13-TabCalc[[#This Row],[M_V]]</f>
        <v>-10026.4</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78000</v>
      </c>
      <c r="G14" s="82">
        <f ca="1">IFERROR(TabCalc[[#This Row],[SB]]-TabCalc[[#This Row],[SST]],TabCalc[[#This Row],[SB]])</f>
        <v>1000</v>
      </c>
      <c r="H14" s="532" t="str">
        <f ca="1">[1]!RTData[[#This Row],[Ticker_Symbol]]</f>
        <v>CSCO</v>
      </c>
      <c r="I14" s="383">
        <f ca="1">_xlfn.XLOOKUP(TabCalc[[#This Row],[Ticker]],[1]!RTData[Ticker_Symbol],[1]!RTData[M_Price])</f>
        <v>78</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8.012E-3</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0.21367362663281633</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10799.999999999996</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19064.999999999996</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-8659.9999999999964</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-9680.0000000000073</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1420</v>
      </c>
      <c r="AQ14" s="334">
        <f ca="1">_xlfn.LET(_xlpm.MVToday,DataShift!AV514,         _xlpm.MVY,DataShift!AU515,        _xlpm.MVYY, DataShift!AT515,                                IF(_xlpm.MVToday=_xlpm.MVY,_xlpm.MVY-_xlpm.MVYY,_xlpm.MVToday-_xlpm.MVY))</f>
        <v>19570.400000000001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0.97808910256410253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8.388738960666231E-4</v>
      </c>
      <c r="AY14" s="82">
        <f t="shared" ca="1" si="1"/>
        <v>4000</v>
      </c>
      <c r="AZ14" s="90">
        <f ca="1">_xlfn.XLOOKUP(TabCalc[[#This Row],[Ticker]],[1]!RTData[Ticker_Symbol],[1]!RTData[V/VA])</f>
        <v>4.3965705683731403E-4</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4.3965705683731403E-4</v>
      </c>
      <c r="BC14" s="87" cm="1">
        <f t="array" aca="1" ref="BC14" ca="1">INDEX(TabReg[], 1, _xlfn.XMATCH(TabCalc[[#This Row],[Ticker]]&amp;1, TabReg[#Headers], 0))</f>
        <v>5000</v>
      </c>
      <c r="BD14" s="159">
        <f ca="1">TabCalc[[#This Row],[Nbegin]]*TabCalc[[#This Row],[M]]*TabCalc[[#This Row],[Scale]]+TabCalc[[#This Row],[ValueBegin]]</f>
        <v>191149.99999999997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-120850.00000000003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138638.84999999998</v>
      </c>
      <c r="BM14" s="159">
        <f ca="1">IF(        OR( TabCalc[[#This Row],[GL]]&gt;ABS(TabCalc[[#This Row],[EfCost]]),TabCalc[[#This Row],[NAfter]]=0),             TabCalc[[#This Row],[GL]],     0)</f>
        <v>138638.84999999998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t="e">
        <f ca="1">_xlfn.XLOOKUP(TabCalc[[#This Row],[Ticker]],[1]!RTData[Ticker_Symbol],[1]!#REF!)</f>
        <v>#REF!</v>
      </c>
      <c r="BT14" s="175">
        <f ca="1">(TabCalc[[#This Row],[ValueBegin]]+(TabCalc[[#This Row],[M]]-TabCalc[[#This Row],[A]])*TabCalc[[#This Row],[NAfter]])*TabCalc[[#This Row],[Scale]]</f>
        <v>-188050.00000000003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10799.999999999996</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462.9629629629631</v>
      </c>
      <c r="CX14" s="405">
        <f ca="1">TabCalc[[#This Row],[ntoSell]]*TabCalc[[#This Row],[M]]</f>
        <v>36111.111111111124</v>
      </c>
      <c r="CY14" s="398">
        <f ca="1">_xlfn.LET(_xlpm.nToSell,IF(TabCalc[[#This Row],[M]]-TabCalc[[#This Row],[A]]&lt;=0,"",INT(DesiredSaleGain/(TabCalc[[#This Row],[M]]-IF(TabCalc[[#This Row],[E]]&gt;0,0,TabCalc[[#This Row],[A]])))),IF(_xlpm.nToSell&lt;=TabCalc[[#This Row],[NAfter]],_xlpm.nToSell,0))</f>
        <v>462</v>
      </c>
      <c r="CZ14" s="336">
        <f ca="1">IFERROR(TabCalc[[#This Row],[NMA]]*TabCalc[[#This Row],[M]],"")</f>
        <v>36036</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10799.999999999996</v>
      </c>
      <c r="DB14" s="90">
        <f ca="1">IFERROR((TabCalc[[#This Row],[M]]+TabCalc[[#This Row],[L_Bp]])/ABS(TabCalc[[#This Row],[L_Bp]])/(TODAY()-TabCalc[[#This Row],[L_Bdate]])*360,"")</f>
        <v>1.1126373626373622</v>
      </c>
      <c r="DC14" s="310">
        <f ca="1">MEDIAN(DataShift!F714:Z714)</f>
        <v>-3.2719999999999997E-3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4" s="87">
        <f ca="1">TabCalc[[#This Row],[Nbegin]]*TabCalc[[#This Row],[Scale]]*TabCalc[[#This Row],[M]]</f>
        <v>390000</v>
      </c>
      <c r="DF14" s="87" cm="1">
        <f t="array" aca="1" ref="DF14" ca="1">SUMPRODUCT(ISNUMBER(INDIRECT("TabReg["&amp;TabCalc[[#This Row],[Ticker]]&amp;"2]"))* INDIRECT("TabReg["&amp;TabCalc[[#This Row],[Ticker]]&amp;"1]") * INDIRECT("TabReg["&amp;TabCalc[[#This Row],[Ticker]]&amp;"2]") )*TabCalc[[#This Row],[Scale]]</f>
        <v>60638.849999999962</v>
      </c>
      <c r="DI14" s="87">
        <f ca="1"/>
        <v>762200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-5680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77.87</v>
      </c>
      <c r="G15" s="82">
        <f ca="1">IFERROR(TabCalc[[#This Row],[SB]]-TabCalc[[#This Row],[SST]],TabCalc[[#This Row],[SB]])</f>
        <v>1</v>
      </c>
      <c r="H15" s="532" t="str">
        <f ca="1">[1]!RTData[[#This Row],[Ticker_Symbol]]</f>
        <v>CVS</v>
      </c>
      <c r="I15" s="383">
        <f ca="1">_xlfn.XLOOKUP(TabCalc[[#This Row],[Ticker]],[1]!RTData[Ticker_Symbol],[1]!RTData[M_Price])</f>
        <v>77.87</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-1.7289000000000002E-2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-3.225832442052818E-2</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21.813810000000004</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31.630000000000003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-793.06500000000051</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-11351.250000000004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-1.519999999999996</v>
      </c>
      <c r="AQ15" s="334">
        <f ca="1">_xlfn.LET(_xlpm.MVToday,DataShift!AV515,         _xlpm.MVY,DataShift!AU516,        _xlpm.MVYY, DataShift!AT516,                                IF(_xlpm.MVToday=_xlpm.MVY,_xlpm.MVY-_xlpm.MVYY,_xlpm.MVToday-_xlpm.MVY))</f>
        <v>-60393.5</v>
      </c>
      <c r="AR15" s="334">
        <f ca="1">_xlfn.LET(_xlpm.MVToday,DataShift!AV515,         _xlpm.MVY,DataShift!AU516,        _xlpm.MVYY, DataShift!AT516,         _xlpm.MVYYY, DataShift!AS516,                      IF(_xlpm.MVToday=_xlpm.MVY,      _xlpm.MVYY-_xlpm.MVYYY,          _xlpm.MVY-_xlpm.MVYY))</f>
        <v>-230</v>
      </c>
      <c r="AS15" s="984">
        <f ca="1">TabCalc[[#This Row],[Y]]/TabCalc[[#This Row],[M]]</f>
        <v>1.1619365609348915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-0.28459187246944129</v>
      </c>
      <c r="AY15" s="82">
        <f t="shared" ca="1" si="1"/>
        <v>1999</v>
      </c>
      <c r="AZ15" s="90">
        <f ca="1">_xlfn.XLOOKUP(TabCalc[[#This Row],[Ticker]],[1]!RTData[Ticker_Symbol],[1]!RTData[V/VA])</f>
        <v>4.9106485735995575E-5</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4.9106485735995575E-5</v>
      </c>
      <c r="BC15" s="87" cm="1">
        <f t="array" aca="1" ref="BC15" ca="1">INDEX(TabReg[], 1, _xlfn.XMATCH(TabCalc[[#This Row],[Ticker]]&amp;1, TabReg[#Headers], 0))</f>
        <v>2000</v>
      </c>
      <c r="BD15" s="159">
        <f ca="1">TabCalc[[#This Row],[Nbegin]]*TabCalc[[#This Row],[M]]*TabCalc[[#This Row],[Scale]]+TabCalc[[#This Row],[ValueBegin]]</f>
        <v>-60880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-216542.13</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-44446.695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t="e">
        <f ca="1">_xlfn.XLOOKUP(TabCalc[[#This Row],[Ticker]],[1]!RTData[Ticker_Symbol],[1]!#REF!)</f>
        <v>#REF!</v>
      </c>
      <c r="BT15" s="175">
        <f ca="1">(TabCalc[[#This Row],[ValueBegin]]+(TabCalc[[#This Row],[M]]-TabCalc[[#This Row],[A]])*TabCalc[[#This Row],[NAfter]])*TabCalc[[#This Row],[Scale]]</f>
        <v>-216598.18619000001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21.813810000000004</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77.87</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21.813810000000004</v>
      </c>
      <c r="DB15" s="90">
        <f ca="1">IFERROR((TabCalc[[#This Row],[M]]+TabCalc[[#This Row],[L_Bp]])/ABS(TabCalc[[#This Row],[L_Bp]])/(TODAY()-TabCalc[[#This Row],[L_Bdate]])*360,"")</f>
        <v>0.47650023583661405</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5" s="87">
        <f ca="1">TabCalc[[#This Row],[Nbegin]]*TabCalc[[#This Row],[Scale]]*TabCalc[[#This Row],[M]]</f>
        <v>155740</v>
      </c>
      <c r="DF15" s="87" cm="1">
        <f t="array" aca="1" ref="DF15" ca="1">SUMPRODUCT(ISNUMBER(INDIRECT("TabReg["&amp;TabCalc[[#This Row],[Ticker]]&amp;"2]"))* INDIRECT("TabReg["&amp;TabCalc[[#This Row],[Ticker]]&amp;"1]") * INDIRECT("TabReg["&amp;TabCalc[[#This Row],[Ticker]]&amp;"2]") )*TabCalc[[#This Row],[Scale]]</f>
        <v>-44524.565000000002</v>
      </c>
      <c r="DI15" s="87">
        <f ca="1"/>
        <v>759500</v>
      </c>
      <c r="DJ15" s="90">
        <f t="shared" ca="1" si="2"/>
        <v>0.67089361640798229</v>
      </c>
      <c r="DK15" t="str">
        <f ca="1">_xlfn.XLOOKUP(DI15,TabCalc[Column1],TabCalc[Ticker])</f>
        <v>JBEOAN</v>
      </c>
      <c r="DL15" s="87">
        <f ca="1">_xlfn.XLOOKUP(DK15,TabCalc[Ticker],TabCalc[ValueBegin])</f>
        <v>-451000</v>
      </c>
      <c r="DM15" s="87">
        <f ca="1">_xlfn.XLOOKUP(DK15,TabCalc[Ticker],TabCalc[M_V])</f>
        <v>273420</v>
      </c>
      <c r="DN15" s="87">
        <f ca="1">_xlfn.XLOOKUP(DK15,TabCalc[Ticker],TabCalc[GL])</f>
        <v>302573.02100000001</v>
      </c>
      <c r="DO15" s="90"/>
      <c r="DP15" s="90"/>
      <c r="DQ15" s="88" t="s">
        <v>12</v>
      </c>
      <c r="DR15" s="81">
        <v>350</v>
      </c>
      <c r="DS15" s="315">
        <v>-170.71425714285715</v>
      </c>
      <c r="DU15" s="82">
        <v>78.084999999999994</v>
      </c>
      <c r="DV15" s="82">
        <f ca="1">DU15-TabCalc[[#This Row],[M_V]]</f>
        <v>0.2149999999999892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184450</v>
      </c>
      <c r="G16" s="82">
        <f ca="1">IFERROR(TabCalc[[#This Row],[SB]]-TabCalc[[#This Row],[SST]],TabCalc[[#This Row],[SB]])</f>
        <v>85000</v>
      </c>
      <c r="H16" s="532" t="str">
        <f ca="1">[1]!RTData[[#This Row],[Ticker_Symbol]]</f>
        <v>DDD</v>
      </c>
      <c r="I16" s="383">
        <f ca="1">_xlfn.XLOOKUP(TabCalc[[#This Row],[Ticker]],[1]!RTData[Ticker_Symbol],[1]!RTData[M_Price])</f>
        <v>2.17</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4.6300000000000004E-3</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-0.17266283152799353</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5200</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-22350.000000000004</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9800</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4550.0000000000009</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7225</v>
      </c>
      <c r="AQ16" s="334">
        <f ca="1">_xlfn.LET(_xlpm.MVToday,DataShift!AV516,         _xlpm.MVY,DataShift!AU517,        _xlpm.MVYY, DataShift!AT517,                                IF(_xlpm.MVToday=_xlpm.MVY,_xlpm.MVY-_xlpm.MVYY,_xlpm.MVToday-_xlpm.MVY))</f>
        <v>77921.16</v>
      </c>
      <c r="AR16" s="334">
        <f ca="1">_xlfn.LET(_xlpm.MVToday,DataShift!AV516,         _xlpm.MVY,DataShift!AU517,        _xlpm.MVYY, DataShift!AT517,         _xlpm.MVYYY, DataShift!AS517,                      IF(_xlpm.MVToday=_xlpm.MVY,      _xlpm.MVYY-_xlpm.MVYYY,          _xlpm.MVY-_xlpm.MVYY))</f>
        <v>0.10999999999999943</v>
      </c>
      <c r="AS16" s="984">
        <f ca="1">TabCalc[[#This Row],[Y]]/TabCalc[[#This Row],[M]]</f>
        <v>1.4976958525345623</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-0.17861921304501951</v>
      </c>
      <c r="AY16" s="82">
        <f t="shared" ca="1" si="1"/>
        <v>0</v>
      </c>
      <c r="AZ16" s="90">
        <f ca="1">_xlfn.XLOOKUP(TabCalc[[#This Row],[Ticker]],[1]!RTData[Ticker_Symbol],[1]!RTData[V/VA])</f>
        <v>4.5786842046550367E-4</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4.5786842046550367E-4</v>
      </c>
      <c r="BC16" s="87" cm="1">
        <f t="array" aca="1" ref="BC16" ca="1">INDEX(TabReg[], 1, _xlfn.XMATCH(TabCalc[[#This Row],[Ticker]]&amp;1, TabReg[#Headers], 0))</f>
        <v>40000</v>
      </c>
      <c r="BD16" s="159">
        <f ca="1">TabCalc[[#This Row],[Nbegin]]*TabCalc[[#This Row],[M]]*TabCalc[[#This Row],[Scale]]+TabCalc[[#This Row],[ValueBegin]]</f>
        <v>-327595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-229945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-328164.5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8.73</v>
      </c>
      <c r="BR16" s="174" t="str">
        <f ca="1">IF(TabCalc[[#This Row],[EfCost]]+TabCalc[[#This Row],[M_V]]&lt;TabCalc[[#This Row],[NoT_GL]],"Pile","")</f>
        <v>Pile</v>
      </c>
      <c r="BS16" s="165" t="e">
        <f ca="1">_xlfn.XLOOKUP(TabCalc[[#This Row],[Ticker]],[1]!RTData[Ticker_Symbol],[1]!#REF!)</f>
        <v>#REF!</v>
      </c>
      <c r="BT16" s="175">
        <f ca="1">(TabCalc[[#This Row],[ValueBegin]]+(TabCalc[[#This Row],[M]]-TabCalc[[#This Row],[A]])*TabCalc[[#This Row],[NAfter]])*TabCalc[[#This Row],[Scale]]</f>
        <v>-483845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-69449.999999999985</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5102.0408163265311</v>
      </c>
      <c r="CV16" s="404">
        <f ca="1">IF(TabCalc[[#This Row],[ntoBuy]]*TabCalc[[#This Row],[M]]&lt;=0,0,TabCalc[[#This Row],[ntoBuy]]*TabCalc[[#This Row],[M]])</f>
        <v>11071.428571428572</v>
      </c>
      <c r="CW16" s="404">
        <f ca="1">IF(TabCalc[[#This Row],[M]]&gt;ABS(TabCalc[[#This Row],[L_Bp]]),MIN(TabCalc[[#This Row],[NAfter]],DesiredSaleGain/(TabCalc[[#This Row],[M]]+TabCalc[[#This Row],[L_Bp]])),0)/TabCalc[[#This Row],[Scale]]</f>
        <v>19230.76923076923</v>
      </c>
      <c r="CX16" s="405">
        <f ca="1">TabCalc[[#This Row],[ntoSell]]*TabCalc[[#This Row],[M]]</f>
        <v>41730.769230769227</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-69449.999999999985</v>
      </c>
      <c r="DB16" s="90">
        <f ca="1">IFERROR((TabCalc[[#This Row],[M]]+TabCalc[[#This Row],[L_Bp]])/ABS(TabCalc[[#This Row],[L_Bp]])/(TODAY()-TabCalc[[#This Row],[L_Bdate]])*360,"")</f>
        <v>0.26066614681965022</v>
      </c>
      <c r="DC16" s="310">
        <f ca="1">MEDIAN(DataShift!F716:Z716)</f>
        <v>2.2880000000000001E-3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6" s="87">
        <f ca="1">TabCalc[[#This Row],[Nbegin]]*TabCalc[[#This Row],[Scale]]*TabCalc[[#This Row],[M]]</f>
        <v>86800</v>
      </c>
      <c r="DF16" s="87" cm="1">
        <f t="array" aca="1" ref="DF16" ca="1">SUMPRODUCT(ISNUMBER(INDIRECT("TabReg["&amp;TabCalc[[#This Row],[Ticker]]&amp;"2]"))* INDIRECT("TabReg["&amp;TabCalc[[#This Row],[Ticker]]&amp;"1]") * INDIRECT("TabReg["&amp;TabCalc[[#This Row],[Ticker]]&amp;"2]") )*TabCalc[[#This Row],[Scale]]</f>
        <v>-512614.5</v>
      </c>
      <c r="DI16" s="87">
        <f ca="1"/>
        <v>582600</v>
      </c>
      <c r="DJ16" s="90">
        <f t="shared" ca="1" si="2"/>
        <v>0.457418358576616</v>
      </c>
      <c r="DK16" t="str">
        <f ca="1">_xlfn.XLOOKUP(DI16,TabCalc[Column1],TabCalc[Ticker])</f>
        <v>MVEGLE</v>
      </c>
      <c r="DL16" s="87">
        <f ca="1">_xlfn.XLOOKUP(DK16,TabCalc[Ticker],TabCalc[ValueBegin])</f>
        <v>-243167</v>
      </c>
      <c r="DM16" s="87">
        <f ca="1">_xlfn.XLOOKUP(DK16,TabCalc[Ticker],TabCalc[M_V])</f>
        <v>407820</v>
      </c>
      <c r="DN16" s="87">
        <f ca="1">_xlfn.XLOOKUP(DK16,TabCalc[Ticker],TabCalc[GL])</f>
        <v>111229.04999999999</v>
      </c>
      <c r="DO16" s="90"/>
      <c r="DP16" s="90"/>
      <c r="DQ16" s="88" t="s">
        <v>13</v>
      </c>
      <c r="DR16" s="81">
        <v>250</v>
      </c>
      <c r="DS16" s="315">
        <v>-1</v>
      </c>
      <c r="DU16" s="82">
        <v>223125</v>
      </c>
      <c r="DV16" s="82">
        <f ca="1">DU16-TabCalc[[#This Row],[M_V]]</f>
        <v>38675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105800</v>
      </c>
      <c r="G17" s="82">
        <f ca="1">IFERROR(TabCalc[[#This Row],[SB]]-TabCalc[[#This Row],[SST]],TabCalc[[#This Row],[SB]])</f>
        <v>1000</v>
      </c>
      <c r="H17" s="532" t="str">
        <f ca="1">[1]!RTData[[#This Row],[Ticker_Symbol]]</f>
        <v>DIS</v>
      </c>
      <c r="I17" s="383">
        <f ca="1">_xlfn.XLOOKUP(TabCalc[[#This Row],[Ticker]],[1]!RTData[Ticker_Symbol],[1]!RTData[M_Price])</f>
        <v>105.8</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-1.6819999999999998E-2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0.16588516334717887</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-8077.9999999999973</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-2784.0000000000032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10863.999999999998</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4640.0000000000036</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-1720</v>
      </c>
      <c r="AQ17" s="334">
        <f ca="1">_xlfn.LET(_xlpm.MVToday,DataShift!AV517,         _xlpm.MVY,DataShift!AU518,        _xlpm.MVYY, DataShift!AT518,                                IF(_xlpm.MVToday=_xlpm.MVY,_xlpm.MVY-_xlpm.MVYY,_xlpm.MVToday-_xlpm.MVY))</f>
        <v>-189047.13</v>
      </c>
      <c r="AR17" s="334">
        <f ca="1">_xlfn.LET(_xlpm.MVToday,DataShift!AV517,         _xlpm.MVY,DataShift!AU518,        _xlpm.MVYY, DataShift!AT518,         _xlpm.MVYYY, DataShift!AS518,                      IF(_xlpm.MVToday=_xlpm.MVY,      _xlpm.MVYY-_xlpm.MVYYY,          _xlpm.MVY-_xlpm.MVYY))</f>
        <v>-3400</v>
      </c>
      <c r="AS17" s="984">
        <f ca="1">TabCalc[[#This Row],[Y]]/TabCalc[[#This Row],[M]]</f>
        <v>1.2672249527410206</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-1.5931731499537716</v>
      </c>
      <c r="AY17" s="82">
        <f t="shared" ca="1" si="1"/>
        <v>0</v>
      </c>
      <c r="AZ17" s="90">
        <f ca="1">_xlfn.XLOOKUP(TabCalc[[#This Row],[Ticker]],[1]!RTData[Ticker_Symbol],[1]!RTData[V/VA])</f>
        <v>5.8750465755093165E-4</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5.8750465755093165E-4</v>
      </c>
      <c r="BC17" s="87" cm="1">
        <f t="array" aca="1" ref="BC17" ca="1">INDEX(TabReg[], 1, _xlfn.XMATCH(TabCalc[[#This Row],[Ticker]]&amp;1, TabReg[#Headers], 0))</f>
        <v>350</v>
      </c>
      <c r="BD17" s="159">
        <f ca="1">TabCalc[[#This Row],[Nbegin]]*TabCalc[[#This Row],[M]]*TabCalc[[#This Row],[Scale]]+TabCalc[[#This Row],[ValueBegin]]</f>
        <v>-22719.990000000005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46050.009999999995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14102.487999999954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146.55</v>
      </c>
      <c r="BR17" s="174" t="str">
        <f ca="1">IF(TabCalc[[#This Row],[EfCost]]+TabCalc[[#This Row],[M_V]]&lt;TabCalc[[#This Row],[NoT_GL]],"Pile","")</f>
        <v/>
      </c>
      <c r="BS17" s="165" t="e">
        <f ca="1">_xlfn.XLOOKUP(TabCalc[[#This Row],[Ticker]],[1]!RTData[Ticker_Symbol],[1]!#REF!)</f>
        <v>#REF!</v>
      </c>
      <c r="BT17" s="175">
        <f ca="1">(TabCalc[[#This Row],[ValueBegin]]+(TabCalc[[#This Row],[M]]-TabCalc[[#This Row],[A]])*TabCalc[[#This Row],[NAfter]])*TabCalc[[#This Row],[Scale]]</f>
        <v>-68523.990000000005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-8774</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368.18851251840948</v>
      </c>
      <c r="CV17" s="404">
        <f ca="1">IF(TabCalc[[#This Row],[ntoBuy]]*TabCalc[[#This Row],[M]]&lt;=0,0,TabCalc[[#This Row],[ntoBuy]]*TabCalc[[#This Row],[M]])</f>
        <v>38954.344624447724</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-8774</v>
      </c>
      <c r="DB17" s="90">
        <f ca="1">IFERROR((TabCalc[[#This Row],[M]]+TabCalc[[#This Row],[L_Bp]])/ABS(TabCalc[[#This Row],[L_Bp]])/(TODAY()-TabCalc[[#This Row],[L_Bdate]])*360,"")</f>
        <v>-0.46124681672319467</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7" s="87">
        <f ca="1">TabCalc[[#This Row],[Nbegin]]*TabCalc[[#This Row],[Scale]]*TabCalc[[#This Row],[M]]</f>
        <v>37030</v>
      </c>
      <c r="DF17" s="87" cm="1">
        <f t="array" aca="1" ref="DF17" ca="1">SUMPRODUCT(ISNUMBER(INDIRECT("TabReg["&amp;TabCalc[[#This Row],[Ticker]]&amp;"2]"))* INDIRECT("TabReg["&amp;TabCalc[[#This Row],[Ticker]]&amp;"1]") * INDIRECT("TabReg["&amp;TabCalc[[#This Row],[Ticker]]&amp;"2]") )*TabCalc[[#This Row],[Scale]]</f>
        <v>-91697.512000000046</v>
      </c>
      <c r="DI17" s="87">
        <f ca="1"/>
        <v>569740</v>
      </c>
      <c r="DJ17" s="90">
        <f t="shared" ca="1" si="2"/>
        <v>4.4950946099999998</v>
      </c>
      <c r="DK17" t="str">
        <f ca="1">_xlfn.XLOOKUP(DI17,TabCalc[Column1],TabCalc[Ticker])</f>
        <v>TSM</v>
      </c>
      <c r="DL17" s="87">
        <f ca="1">_xlfn.XLOOKUP(DK17,TabCalc[Ticker],TabCalc[ValueBegin])</f>
        <v>-200000</v>
      </c>
      <c r="DM17" s="87">
        <f ca="1">_xlfn.XLOOKUP(DK17,TabCalc[Ticker],TabCalc[M_V])</f>
        <v>1281915</v>
      </c>
      <c r="DN17" s="87">
        <f ca="1">_xlfn.XLOOKUP(DK17,TabCalc[Ticker],TabCalc[GL])</f>
        <v>899018.92200000002</v>
      </c>
      <c r="DO17" s="90"/>
      <c r="DP17" s="90"/>
      <c r="DQ17" s="88" t="s">
        <v>14</v>
      </c>
      <c r="DR17" s="81">
        <v>1000</v>
      </c>
      <c r="DS17" s="315">
        <v>-80.2</v>
      </c>
      <c r="DU17" s="82">
        <v>111470</v>
      </c>
      <c r="DV17" s="82">
        <f ca="1">DU17-TabCalc[[#This Row],[M_V]]</f>
        <v>5670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95240</v>
      </c>
      <c r="G18" s="82">
        <f ca="1">IFERROR(TabCalc[[#This Row],[SB]]-TabCalc[[#This Row],[SST]],TabCalc[[#This Row],[SB]])</f>
        <v>4000</v>
      </c>
      <c r="H18" s="532" t="str">
        <f ca="1">[1]!RTData[[#This Row],[Ticker_Symbol]]</f>
        <v>DSY</v>
      </c>
      <c r="I18" s="383">
        <f ca="1">_xlfn.XLOOKUP(TabCalc[[#This Row],[Ticker]],[1]!RTData[Ticker_Symbol],[1]!RTData[M_Price])</f>
        <v>23.81</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-7.5029999999999993E-3</v>
      </c>
      <c r="N18" s="1077">
        <v>0</v>
      </c>
      <c r="O18" s="899">
        <f>TabCalc[[#This Row],[Up20]]-1+TabCalc[[#This Row],[Up20]]</f>
        <v>-1</v>
      </c>
      <c r="P18" s="899">
        <f>TabCalc[[#This Row],[Up20]]-TabCalc[[#This Row],[Up150]]</f>
        <v>-0.33333333333333331</v>
      </c>
      <c r="Q18" s="899">
        <v>0.33333333333333331</v>
      </c>
      <c r="R18" s="899">
        <f>TabCalc[[#This Row],[Up150]]-1+TabCalc[[#This Row],[Up150]]</f>
        <v>-0.33333333333333343</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0.192258564543559</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-5660.0000000000036</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-3570.0000000000005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10660.000000000004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7439.9999999999991</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-760</v>
      </c>
      <c r="AQ18" s="334">
        <f ca="1">_xlfn.LET(_xlpm.MVToday,DataShift!AV518,         _xlpm.MVY,DataShift!AU519,        _xlpm.MVYY, DataShift!AT519,                                IF(_xlpm.MVToday=_xlpm.MVY,_xlpm.MVY-_xlpm.MVYY,_xlpm.MVToday-_xlpm.MVY))</f>
        <v>73720</v>
      </c>
      <c r="AR18" s="334">
        <f ca="1">_xlfn.LET(_xlpm.MVToday,DataShift!AV518,         _xlpm.MVY,DataShift!AU519,        _xlpm.MVYY, DataShift!AT519,         _xlpm.MVYYY, DataShift!AS519,                      IF(_xlpm.MVToday=_xlpm.MVY,      _xlpm.MVYY-_xlpm.MVYYY,          _xlpm.MVY-_xlpm.MVYY))</f>
        <v>570</v>
      </c>
      <c r="AS18" s="984">
        <f ca="1">TabCalc[[#This Row],[Y]]/TabCalc[[#This Row],[M]]</f>
        <v>1.3388399832003361</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-0.69185435071678458</v>
      </c>
      <c r="AY18" s="82">
        <f t="shared" ca="1" si="1"/>
        <v>0</v>
      </c>
      <c r="AZ18" s="90">
        <f ca="1">_xlfn.XLOOKUP(TabCalc[[#This Row],[Ticker]],[1]!RTData[Ticker_Symbol],[1]!RTData[V/VA])</f>
        <v>0.10492537313432836</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0.10492537313432836</v>
      </c>
      <c r="BC18" s="87" cm="1">
        <f t="array" aca="1" ref="BC18" ca="1">INDEX(TabReg[], 1, _xlfn.XMATCH(TabCalc[[#This Row],[Ticker]]&amp;1, TabReg[#Headers], 0))</f>
        <v>250</v>
      </c>
      <c r="BD18" s="159">
        <f ca="1">TabCalc[[#This Row],[Nbegin]]*TabCalc[[#This Row],[M]]*TabCalc[[#This Row],[Scale]]+TabCalc[[#This Row],[ValueBegin]]</f>
        <v>5702.5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94990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-10607.592000000062</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41.04</v>
      </c>
      <c r="BR18" s="174" t="str">
        <f ca="1">IF(TabCalc[[#This Row],[EfCost]]+TabCalc[[#This Row],[M_V]]&lt;TabCalc[[#This Row],[NoT_GL]],"Pile","")</f>
        <v>Pile</v>
      </c>
      <c r="BS18" s="165" t="e">
        <f ca="1">_xlfn.XLOOKUP(TabCalc[[#This Row],[Ticker]],[1]!RTData[Ticker_Symbol],[1]!#REF!)</f>
        <v>#REF!</v>
      </c>
      <c r="BT18" s="175">
        <f ca="1">(TabCalc[[#This Row],[ValueBegin]]+(TabCalc[[#This Row],[M]]-TabCalc[[#This Row],[A]])*TabCalc[[#This Row],[NAfter]])*TabCalc[[#This Row],[Scale]]</f>
        <v>-25300.000000000011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-25050.000000000011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938.08630393996214</v>
      </c>
      <c r="CV18" s="404">
        <f ca="1">IF(TabCalc[[#This Row],[ntoBuy]]*TabCalc[[#This Row],[M]]&lt;=0,0,TabCalc[[#This Row],[ntoBuy]]*TabCalc[[#This Row],[M]])</f>
        <v>22335.834896810498</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-25050.000000000011</v>
      </c>
      <c r="DB18" s="90">
        <f ca="1">IFERROR((TabCalc[[#This Row],[M]]+TabCalc[[#This Row],[L_Bp]])/ABS(TabCalc[[#This Row],[L_Bp]])/(TODAY()-TabCalc[[#This Row],[L_Bdate]])*360,"")</f>
        <v>-0.40256045519203437</v>
      </c>
      <c r="DC18" s="310">
        <f ca="1">MEDIAN(DataShift!F718:Z718)</f>
        <v>-1.1659999999999999E-3</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8" s="87">
        <f ca="1">TabCalc[[#This Row],[Nbegin]]*TabCalc[[#This Row],[Scale]]*TabCalc[[#This Row],[M]]</f>
        <v>5952.5</v>
      </c>
      <c r="DF18" s="87" cm="1">
        <f t="array" aca="1" ref="DF18" ca="1">SUMPRODUCT(ISNUMBER(INDIRECT("TabReg["&amp;TabCalc[[#This Row],[Ticker]]&amp;"2]"))* INDIRECT("TabReg["&amp;TabCalc[[#This Row],[Ticker]]&amp;"1]") * INDIRECT("TabReg["&amp;TabCalc[[#This Row],[Ticker]]&amp;"2]") )*TabCalc[[#This Row],[Scale]]</f>
        <v>-105847.59200000006</v>
      </c>
      <c r="DI18" s="87">
        <f ca="1"/>
        <v>469380</v>
      </c>
      <c r="DJ18" s="90">
        <f t="shared" ca="1" si="2"/>
        <v>0.57395902061855675</v>
      </c>
      <c r="DK18" t="str">
        <f ca="1">_xlfn.XLOOKUP(DI18,TabCalc[Column1],TabCalc[Ticker])</f>
        <v>SAFAMZN</v>
      </c>
      <c r="DL18" s="87">
        <f ca="1">_xlfn.XLOOKUP(DK18,TabCalc[Ticker],TabCalc[ValueBegin])</f>
        <v>-314280</v>
      </c>
      <c r="DM18" s="87">
        <f ca="1">_xlfn.XLOOKUP(DK18,TabCalc[Ticker],TabCalc[M_V])</f>
        <v>352035</v>
      </c>
      <c r="DN18" s="87">
        <f ca="1">_xlfn.XLOOKUP(DK18,TabCalc[Ticker],TabCalc[GL])</f>
        <v>180383.84100000001</v>
      </c>
      <c r="DO18" s="90"/>
      <c r="DP18" s="90"/>
      <c r="DQ18" s="88" t="s">
        <v>15</v>
      </c>
      <c r="DR18" s="81">
        <v>1889</v>
      </c>
      <c r="DS18" s="315">
        <v>-46.62</v>
      </c>
      <c r="DU18" s="82">
        <v>96160</v>
      </c>
      <c r="DV18" s="82">
        <f ca="1">DU18-TabCalc[[#This Row],[M_V]]</f>
        <v>920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364650</v>
      </c>
      <c r="G19" s="82">
        <f ca="1">IFERROR(TabCalc[[#This Row],[SB]]-TabCalc[[#This Row],[SST]],TabCalc[[#This Row],[SB]])</f>
        <v>3000</v>
      </c>
      <c r="H19" s="532" t="str">
        <f ca="1">[1]!RTData[[#This Row],[Ticker_Symbol]]</f>
        <v>DVA</v>
      </c>
      <c r="I19" s="383">
        <f ca="1">_xlfn.XLOOKUP(TabCalc[[#This Row],[Ticker]],[1]!RTData[Ticker_Symbol],[1]!RTData[M_Price])</f>
        <v>121.55</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-1.2190000000000001E-2</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-0.21801250622695081</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2255.9999999999945</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4591.9999999999845</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3024.0000000000009</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12068</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-5550</v>
      </c>
      <c r="AQ19" s="334">
        <f ca="1">_xlfn.LET(_xlpm.MVToday,DataShift!AV519,         _xlpm.MVY,DataShift!AU520,        _xlpm.MVYY, DataShift!AT520,                                IF(_xlpm.MVToday=_xlpm.MVY,_xlpm.MVY-_xlpm.MVYY,_xlpm.MVToday-_xlpm.MVY))</f>
        <v>12440</v>
      </c>
      <c r="AR19" s="334">
        <f ca="1">_xlfn.LET(_xlpm.MVToday,DataShift!AV519,         _xlpm.MVY,DataShift!AU520,        _xlpm.MVYY, DataShift!AT520,         _xlpm.MVYYY, DataShift!AS520,                      IF(_xlpm.MVToday=_xlpm.MVY,      _xlpm.MVYY-_xlpm.MVYYY,          _xlpm.MVY-_xlpm.MVYY))</f>
        <v>320</v>
      </c>
      <c r="AS19" s="984">
        <f ca="1">TabCalc[[#This Row],[Y]]/TabCalc[[#This Row],[M]]</f>
        <v>1.2104072398190044</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-0.93541749481963909</v>
      </c>
      <c r="AY19" s="82">
        <f t="shared" ca="1" si="1"/>
        <v>0</v>
      </c>
      <c r="AZ19" s="90">
        <f ca="1">_xlfn.XLOOKUP(TabCalc[[#This Row],[Ticker]],[1]!RTData[Ticker_Symbol],[1]!RTData[V/VA])</f>
        <v>0.77739301290205343</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0.77739301290205343</v>
      </c>
      <c r="BC19" s="87" cm="1">
        <f t="array" aca="1" ref="BC19" ca="1">INDEX(TabReg[], 1, _xlfn.XMATCH(TabCalc[[#This Row],[Ticker]]&amp;1, TabReg[#Headers], 0))</f>
        <v>1000</v>
      </c>
      <c r="BD19" s="159">
        <f ca="1">TabCalc[[#This Row],[Nbegin]]*TabCalc[[#This Row],[M]]*TabCalc[[#This Row],[Scale]]+TabCalc[[#This Row],[ValueBegin]]</f>
        <v>41350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284450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36327.189999999944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181.46</v>
      </c>
      <c r="BR19" s="174" t="str">
        <f ca="1">IF(TabCalc[[#This Row],[EfCost]]+TabCalc[[#This Row],[M_V]]&lt;TabCalc[[#This Row],[NoT_GL]],"Pile","")</f>
        <v>Pile</v>
      </c>
      <c r="BS19" s="165" t="e">
        <f ca="1">_xlfn.XLOOKUP(TabCalc[[#This Row],[Ticker]],[1]!RTData[Ticker_Symbol],[1]!#REF!)</f>
        <v>#REF!</v>
      </c>
      <c r="BT19" s="175">
        <f ca="1">(TabCalc[[#This Row],[ValueBegin]]+(TabCalc[[#This Row],[M]]-TabCalc[[#This Row],[A]])*TabCalc[[#This Row],[NAfter]])*TabCalc[[#This Row],[Scale]]</f>
        <v>-73926.000000000029</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6273.9999999999727</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2645.5026455026446</v>
      </c>
      <c r="CV19" s="404">
        <f ca="1">IF(TabCalc[[#This Row],[ntoBuy]]*TabCalc[[#This Row],[M]]&lt;=0,0,TabCalc[[#This Row],[ntoBuy]]*TabCalc[[#This Row],[M]])</f>
        <v>321560.84656084643</v>
      </c>
      <c r="CW19" s="404">
        <f ca="1">IF(TabCalc[[#This Row],[M]]&gt;ABS(TabCalc[[#This Row],[L_Bp]]),MIN(TabCalc[[#This Row],[NAfter]],DesiredSaleGain/(TabCalc[[#This Row],[M]]+TabCalc[[#This Row],[L_Bp]])),0)/TabCalc[[#This Row],[Scale]]</f>
        <v>3000</v>
      </c>
      <c r="CX19" s="405">
        <f ca="1">TabCalc[[#This Row],[ntoSell]]*TabCalc[[#This Row],[M]]</f>
        <v>364650</v>
      </c>
      <c r="CY19" s="398">
        <f ca="1">_xlfn.LET(_xlpm.nToSell,IF(TabCalc[[#This Row],[M]]-TabCalc[[#This Row],[A]]&lt;=0,"",INT(DesiredSaleGain/(TabCalc[[#This Row],[M]]-IF(TabCalc[[#This Row],[E]]&gt;0,0,TabCalc[[#This Row],[A]])))),IF(_xlpm.nToSell&lt;=TabCalc[[#This Row],[NAfter]],_xlpm.nToSell,0))</f>
        <v>2390</v>
      </c>
      <c r="CZ19" s="336">
        <f ca="1">IFERROR(TabCalc[[#This Row],[NMA]]*TabCalc[[#This Row],[M]],"")</f>
        <v>290504.5</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6273.9999999999727</v>
      </c>
      <c r="DB19" s="90">
        <f ca="1">IFERROR((TabCalc[[#This Row],[M]]+TabCalc[[#This Row],[L_Bp]])/ABS(TabCalc[[#This Row],[L_Bp]])/(TODAY()-TabCalc[[#This Row],[L_Bdate]])*360,"")</f>
        <v>0.60358153582724772</v>
      </c>
      <c r="DC19" s="310">
        <f ca="1">MEDIAN(DataShift!F719:Z719)</f>
        <v>-2.496E-3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121550</v>
      </c>
      <c r="DF19" s="87" cm="1">
        <f t="array" aca="1" ref="DF19" ca="1">SUMPRODUCT(ISNUMBER(INDIRECT("TabReg["&amp;TabCalc[[#This Row],[Ticker]]&amp;"2]"))* INDIRECT("TabReg["&amp;TabCalc[[#This Row],[Ticker]]&amp;"1]") * INDIRECT("TabReg["&amp;TabCalc[[#This Row],[Ticker]]&amp;"2]") )*TabCalc[[#This Row],[Scale]]</f>
        <v>-328322.81000000006</v>
      </c>
      <c r="DI19" s="87">
        <f ca="1"/>
        <v>453800</v>
      </c>
      <c r="DJ19" s="90">
        <f t="shared" ca="1" si="2"/>
        <v>0.10468372352285391</v>
      </c>
      <c r="DK19" t="str">
        <f ca="1">_xlfn.XLOOKUP(DI19,TabCalc[Column1],TabCalc[Ticker])</f>
        <v>MVERWE</v>
      </c>
      <c r="DL19" s="87">
        <f ca="1">_xlfn.XLOOKUP(DK19,TabCalc[Ticker],TabCalc[ValueBegin])</f>
        <v>-358800</v>
      </c>
      <c r="DM19" s="87">
        <f ca="1">_xlfn.XLOOKUP(DK19,TabCalc[Ticker],TabCalc[M_V])</f>
        <v>45.38</v>
      </c>
      <c r="DN19" s="87">
        <f ca="1">_xlfn.XLOOKUP(DK19,TabCalc[Ticker],TabCalc[GL])</f>
        <v>37560.519999999982</v>
      </c>
      <c r="DO19" s="90"/>
      <c r="DP19" s="90"/>
      <c r="DQ19" s="88" t="s">
        <v>16</v>
      </c>
      <c r="DR19" s="81">
        <v>340000</v>
      </c>
      <c r="DS19" s="315">
        <v>-8.98</v>
      </c>
      <c r="DU19" s="82">
        <v>167958</v>
      </c>
      <c r="DV19" s="82">
        <f ca="1">DU19-TabCalc[[#This Row],[M_V]]</f>
        <v>-196692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77430</v>
      </c>
      <c r="G20" s="82">
        <f ca="1">IFERROR(TabCalc[[#This Row],[SB]]-TabCalc[[#This Row],[SST]],TabCalc[[#This Row],[SB]])</f>
        <v>6000</v>
      </c>
      <c r="H20" s="532" t="str">
        <f ca="1">[1]!RTData[[#This Row],[Ticker_Symbol]]</f>
        <v>DXC</v>
      </c>
      <c r="I20" s="383">
        <f ca="1">_xlfn.XLOOKUP(TabCalc[[#This Row],[Ticker]],[1]!RTData[Ticker_Symbol],[1]!RTData[M_Price])</f>
        <v>12.904999999999999</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-3.1156000000000003E-2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-0.37183845303482665</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5,050 = $ 65,170</v>
      </c>
      <c r="Z20" s="211">
        <f ca="1">MIN(TabCalc[[#This Row],[L_Bn]],TabCalc[[#This Row],[NAfter]])*(TabCalc[[#This Row],[M]]+TabCalc[[#This Row],[L_Bp]])*TabCalc[[#This Row],[Scale]]</f>
        <v>-6300.0000000000045</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-22650</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29660.000000000004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25704.400000000001</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-2070</v>
      </c>
      <c r="AQ20" s="334">
        <f ca="1">_xlfn.LET(_xlpm.MVToday,DataShift!AV520,         _xlpm.MVY,DataShift!AU521,        _xlpm.MVYY, DataShift!AT521,                                IF(_xlpm.MVToday=_xlpm.MVY,_xlpm.MVY-_xlpm.MVYY,_xlpm.MVToday-_xlpm.MVY))</f>
        <v>-77415</v>
      </c>
      <c r="AR20" s="334">
        <f ca="1">_xlfn.LET(_xlpm.MVToday,DataShift!AV520,         _xlpm.MVY,DataShift!AU521,        _xlpm.MVYY, DataShift!AT521,         _xlpm.MVYYY, DataShift!AS521,                      IF(_xlpm.MVToday=_xlpm.MVY,      _xlpm.MVYY-_xlpm.MVYYY,          _xlpm.MVY-_xlpm.MVYY))</f>
        <v>-192805</v>
      </c>
      <c r="AS20" s="984">
        <f ca="1">TabCalc[[#This Row],[Y]]/TabCalc[[#This Row],[M]]</f>
        <v>1.1235955056179776</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-2.1684831460674184E-2</v>
      </c>
      <c r="AY20" s="82">
        <f t="shared" ca="1" si="1"/>
        <v>0</v>
      </c>
      <c r="AZ20" s="90">
        <f ca="1">_xlfn.XLOOKUP(TabCalc[[#This Row],[Ticker]],[1]!RTData[Ticker_Symbol],[1]!RTData[V/VA])</f>
        <v>7.7021527516940984E-5</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7.7021527516940984E-5</v>
      </c>
      <c r="BC20" s="87" cm="1">
        <f t="array" aca="1" ref="BC20" ca="1">INDEX(TabReg[], 1, _xlfn.XMATCH(TabCalc[[#This Row],[Ticker]]&amp;1, TabReg[#Headers], 0))</f>
        <v>1889</v>
      </c>
      <c r="BD20" s="159">
        <f ca="1">TabCalc[[#This Row],[Nbegin]]*TabCalc[[#This Row],[M]]*TabCalc[[#This Row],[Scale]]+TabCalc[[#This Row],[ValueBegin]]</f>
        <v>-63687.634999999995</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-10635.179999999993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-50154.646999999968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29.74</v>
      </c>
      <c r="BR20" s="174" t="str">
        <f ca="1">IF(TabCalc[[#This Row],[EfCost]]+TabCalc[[#This Row],[M_V]]&lt;TabCalc[[#This Row],[NoT_GL]],"Pile","")</f>
        <v/>
      </c>
      <c r="BS20" s="165" t="e">
        <f ca="1">_xlfn.XLOOKUP(TabCalc[[#This Row],[Ticker]],[1]!RTData[Ticker_Symbol],[1]!#REF!)</f>
        <v>#REF!</v>
      </c>
      <c r="BT20" s="175">
        <f ca="1">(TabCalc[[#This Row],[ValueBegin]]+(TabCalc[[#This Row],[M]]-TabCalc[[#This Row],[A]])*TabCalc[[#This Row],[NAfter]])*TabCalc[[#This Row],[Scale]]</f>
        <v>-105690.18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-17625</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674.30883344571805</v>
      </c>
      <c r="CV20" s="404">
        <f ca="1">IF(TabCalc[[#This Row],[ntoBuy]]*TabCalc[[#This Row],[M]]&lt;=0,0,TabCalc[[#This Row],[ntoBuy]]*TabCalc[[#This Row],[M]])</f>
        <v>8701.9554956169904</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-17625</v>
      </c>
      <c r="DB20" s="90">
        <f ca="1">IFERROR((TabCalc[[#This Row],[M]]+TabCalc[[#This Row],[L_Bp]])/ABS(TabCalc[[#This Row],[L_Bp]])/(TODAY()-TabCalc[[#This Row],[L_Bdate]])*360,"")</f>
        <v>-0.32905427364315915</v>
      </c>
      <c r="DC20" s="310">
        <f ca="1">MEDIAN(DataShift!F720:Z720)</f>
        <v>2.8110000000000001E-3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24377.544999999998</v>
      </c>
      <c r="DF20" s="87" cm="1">
        <f t="array" aca="1" ref="DF20" ca="1">SUMPRODUCT(ISNUMBER(INDIRECT("TabReg["&amp;TabCalc[[#This Row],[Ticker]]&amp;"2]"))* INDIRECT("TabReg["&amp;TabCalc[[#This Row],[Ticker]]&amp;"1]") * INDIRECT("TabReg["&amp;TabCalc[[#This Row],[Ticker]]&amp;"2]") )*TabCalc[[#This Row],[Scale]]</f>
        <v>-127584.64699999997</v>
      </c>
      <c r="DI20" s="87">
        <f ca="1"/>
        <v>445500</v>
      </c>
      <c r="DJ20" s="90">
        <f t="shared" ca="1" si="2"/>
        <v>0.56508741452596545</v>
      </c>
      <c r="DK20" t="str">
        <f ca="1">_xlfn.XLOOKUP(DI20,TabCalc[Column1],TabCalc[Ticker])</f>
        <v>AZN</v>
      </c>
      <c r="DL20" s="87">
        <f ca="1">_xlfn.XLOOKUP(DK20,TabCalc[Ticker],TabCalc[ValueBegin])</f>
        <v>-270550</v>
      </c>
      <c r="DM20" s="87">
        <f ca="1">_xlfn.XLOOKUP(DK20,TabCalc[Ticker],TabCalc[M_V])</f>
        <v>44550</v>
      </c>
      <c r="DN20" s="87">
        <f ca="1">_xlfn.XLOOKUP(DK20,TabCalc[Ticker],TabCalc[GL])</f>
        <v>152884.39999999997</v>
      </c>
      <c r="DO20" s="90"/>
      <c r="DP20" s="90"/>
      <c r="DQ20" s="88" t="s">
        <v>17</v>
      </c>
      <c r="DR20" s="82">
        <v>17687</v>
      </c>
      <c r="DS20" s="315">
        <v>-5.5781000000000001</v>
      </c>
      <c r="DU20" s="82">
        <v>81300</v>
      </c>
      <c r="DV20" s="82">
        <f ca="1">DU20-TabCalc[[#This Row],[M_V]]</f>
        <v>3870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227850</v>
      </c>
      <c r="G21" s="82">
        <f ca="1">IFERROR(TabCalc[[#This Row],[SB]]-TabCalc[[#This Row],[SST]],TabCalc[[#This Row],[SB]])</f>
        <v>15000</v>
      </c>
      <c r="H21" s="532" t="str">
        <f ca="1">[1]!RTData[[#This Row],[Ticker_Symbol]]</f>
        <v>EOAN</v>
      </c>
      <c r="I21" s="383">
        <f ca="1">_xlfn.XLOOKUP(TabCalc[[#This Row],[Ticker]],[1]!RTData[Ticker_Symbol],[1]!RTData[M_Price])</f>
        <v>15.19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-3.6080000000000001E-3</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0.16234938062307822</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-12282.499999999995</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2050.0000000000009</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2976.0000000000045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1525.000000000003</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-75</v>
      </c>
      <c r="AQ21" s="334">
        <f ca="1">_xlfn.LET(_xlpm.MVToday,DataShift!AV521,         _xlpm.MVY,DataShift!AU522,        _xlpm.MVYY, DataShift!AT522,                                IF(_xlpm.MVToday=_xlpm.MVY,_xlpm.MVY-_xlpm.MVYY,_xlpm.MVToday-_xlpm.MVY))</f>
        <v>285600</v>
      </c>
      <c r="AR21" s="334">
        <f ca="1">_xlfn.LET(_xlpm.MVToday,DataShift!AV521,         _xlpm.MVY,DataShift!AU522,        _xlpm.MVYY, DataShift!AT522,         _xlpm.MVYYY, DataShift!AS522,                      IF(_xlpm.MVToday=_xlpm.MVY,      _xlpm.MVYY-_xlpm.MVYYY,          _xlpm.MVY-_xlpm.MVYY))</f>
        <v>-3360</v>
      </c>
      <c r="AS21" s="984">
        <f ca="1">TabCalc[[#This Row],[Y]]/TabCalc[[#This Row],[M]]</f>
        <v>1.1138637261356155</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-2.0131766668688787E-2</v>
      </c>
      <c r="AY21" s="82">
        <f t="shared" ca="1" si="1"/>
        <v>325000</v>
      </c>
      <c r="AZ21" s="90">
        <f ca="1">_xlfn.XLOOKUP(TabCalc[[#This Row],[Ticker]],[1]!RTData[Ticker_Symbol],[1]!RTData[V/VA])</f>
        <v>7.1240551570914536E-4</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7.1240551570914536E-4</v>
      </c>
      <c r="BC21" s="87" cm="1">
        <f t="array" aca="1" ref="BC21" ca="1">INDEX(TabReg[], 1, _xlfn.XMATCH(TabCalc[[#This Row],[Ticker]]&amp;1, TabReg[#Headers], 0))</f>
        <v>340000</v>
      </c>
      <c r="BD21" s="159">
        <f ca="1">TabCalc[[#This Row],[Nbegin]]*TabCalc[[#This Row],[M]]*TabCalc[[#This Row],[Scale]]+TabCalc[[#This Row],[ValueBegin]]</f>
        <v>2111400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-2825350</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1153858.5</v>
      </c>
      <c r="BM21" s="159">
        <f ca="1">IF(        OR( TabCalc[[#This Row],[GL]]&gt;ABS(TabCalc[[#This Row],[EfCost]]),TabCalc[[#This Row],[NAfter]]=0),             TabCalc[[#This Row],[GL]],     0)</f>
        <v>1153858.5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t="e">
        <f ca="1">_xlfn.XLOOKUP(TabCalc[[#This Row],[Ticker]],[1]!RTData[Ticker_Symbol],[1]!#REF!)</f>
        <v>#REF!</v>
      </c>
      <c r="BT21" s="175">
        <f ca="1">(TabCalc[[#This Row],[ValueBegin]]+(TabCalc[[#This Row],[M]]-TabCalc[[#This Row],[A]])*TabCalc[[#This Row],[NAfter]])*TabCalc[[#This Row],[Scale]]</f>
        <v>-3065257</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-12057.000000000011</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5376.3440860214969</v>
      </c>
      <c r="CV21" s="404">
        <f ca="1">IF(TabCalc[[#This Row],[ntoBuy]]*TabCalc[[#This Row],[M]]&lt;=0,0,TabCalc[[#This Row],[ntoBuy]]*TabCalc[[#This Row],[M]])</f>
        <v>81666.666666666541</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-12057.000000000011</v>
      </c>
      <c r="DB21" s="90">
        <f ca="1">IFERROR((TabCalc[[#This Row],[M]]+TabCalc[[#This Row],[L_Bp]])/ABS(TabCalc[[#This Row],[L_Bp]])/(TODAY()-TabCalc[[#This Row],[L_Bdate]])*360,"")</f>
        <v>-1.5897755610972564</v>
      </c>
      <c r="DC21" s="310">
        <f ca="1">MEDIAN(DataShift!F721:Z721)</f>
        <v>2.3400000000000001E-3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1" s="87">
        <f ca="1">TabCalc[[#This Row],[Nbegin]]*TabCalc[[#This Row],[Scale]]*TabCalc[[#This Row],[M]]</f>
        <v>5164600</v>
      </c>
      <c r="DF21" s="87" cm="1">
        <f t="array" aca="1" ref="DF21" ca="1">SUMPRODUCT(ISNUMBER(INDIRECT("TabReg["&amp;TabCalc[[#This Row],[Ticker]]&amp;"2]"))* INDIRECT("TabReg["&amp;TabCalc[[#This Row],[Ticker]]&amp;"1]") * INDIRECT("TabReg["&amp;TabCalc[[#This Row],[Ticker]]&amp;"2]") )*TabCalc[[#This Row],[Scale]]</f>
        <v>926008.5</v>
      </c>
      <c r="DI21" s="87">
        <f ca="1"/>
        <v>435700</v>
      </c>
      <c r="DJ21" s="90">
        <f t="shared" ca="1" si="2"/>
        <v>1.749851155005022</v>
      </c>
      <c r="DK21" t="str">
        <f ca="1">_xlfn.XLOOKUP(DI21,TabCalc[Column1],TabCalc[Ticker])</f>
        <v>ASML</v>
      </c>
      <c r="DL21" s="87">
        <f ca="1">_xlfn.XLOOKUP(DK21,TabCalc[Ticker],TabCalc[ValueBegin])</f>
        <v>-448050</v>
      </c>
      <c r="DM21" s="87">
        <f ca="1">_xlfn.XLOOKUP(DK21,TabCalc[Ticker],TabCalc[M_V])</f>
        <v>2701340</v>
      </c>
      <c r="DN21" s="87">
        <f ca="1">_xlfn.XLOOKUP(DK21,TabCalc[Ticker],TabCalc[GL])</f>
        <v>784020.81</v>
      </c>
      <c r="DO21" s="90"/>
      <c r="DP21" s="90"/>
      <c r="DQ21" t="s">
        <v>18</v>
      </c>
      <c r="DR21" s="82">
        <v>50000</v>
      </c>
      <c r="DS21" s="315">
        <v>-9.02</v>
      </c>
      <c r="DU21" s="82">
        <v>8662.5</v>
      </c>
      <c r="DV21" s="82">
        <f ca="1">DU21-TabCalc[[#This Row],[M_V]]</f>
        <v>-219187.5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Row],[Ticker]],[1]!RTData[Ticker_Symbol],[1]!RTData[M_Price])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7.0384848610100678E-2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-164145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t="e">
        <f ca="1">_xlfn.XLOOKUP(TabCalc[[#This Row],[Ticker]],[1]!RTData[Ticker_Symbol],[1]!#REF!)</f>
        <v>#REF!</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-1.0886588085377509</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435700</v>
      </c>
      <c r="DJ22" s="90">
        <f t="shared" ca="1" si="2"/>
        <v>1.749851155005022</v>
      </c>
      <c r="DK22" t="str">
        <f ca="1">_xlfn.XLOOKUP(DI22,TabCalc[Column1],TabCalc[Ticker])</f>
        <v>ASML</v>
      </c>
      <c r="DL22" s="87">
        <f ca="1">_xlfn.XLOOKUP(DK22,TabCalc[Ticker],TabCalc[ValueBegin])</f>
        <v>-448050</v>
      </c>
      <c r="DM22" s="87">
        <f ca="1">_xlfn.XLOOKUP(DK22,TabCalc[Ticker],TabCalc[M_V])</f>
        <v>2701340</v>
      </c>
      <c r="DN22" s="87">
        <f ca="1">_xlfn.XLOOKUP(DK22,TabCalc[Ticker],TabCalc[GL])</f>
        <v>784020.81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705.6</v>
      </c>
      <c r="G23" s="82">
        <f ca="1">IFERROR(TabCalc[[#This Row],[SB]]-TabCalc[[#This Row],[SST]],TabCalc[[#This Row],[SB]])</f>
        <v>10</v>
      </c>
      <c r="H23" s="532" t="str">
        <f ca="1">[1]!RTData[[#This Row],[Ticker_Symbol]]</f>
        <v>GM</v>
      </c>
      <c r="I23" s="383">
        <f ca="1">_xlfn.XLOOKUP(TabCalc[[#This Row],[Ticker]],[1]!RTData[Ticker_Symbol],[1]!RTData[M_Price])</f>
        <v>70.56</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-1.8500000000000003E-2</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238.84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270.10000000000002</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-22697.73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-23373.899999999998</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-8</v>
      </c>
      <c r="AQ23" s="334">
        <f ca="1">_xlfn.LET(_xlpm.MVToday,DataShift!AV523,         _xlpm.MVY,DataShift!AU524,        _xlpm.MVYY, DataShift!AT524,                                IF(_xlpm.MVToday=_xlpm.MVY,_xlpm.MVY-_xlpm.MVYY,_xlpm.MVToday-_xlpm.MVY))</f>
        <v>221814</v>
      </c>
      <c r="AR23" s="334">
        <f ca="1">_xlfn.LET(_xlpm.MVToday,DataShift!AV523,         _xlpm.MVY,DataShift!AU524,        _xlpm.MVYY, DataShift!AT524,         _xlpm.MVYYY, DataShift!AS524,                      IF(_xlpm.MVToday=_xlpm.MVY,      _xlpm.MVYY-_xlpm.MVYYY,          _xlpm.MVY-_xlpm.MVYY))</f>
        <v>0</v>
      </c>
      <c r="AS23" s="984">
        <f ca="1">TabCalc[[#This Row],[Y]]/TabCalc[[#This Row],[M]]</f>
        <v>1.0367609126984128</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-3.3809505069493408E-3</v>
      </c>
      <c r="AY23" s="82">
        <f t="shared" ca="1" si="1"/>
        <v>990</v>
      </c>
      <c r="AZ23" s="90">
        <f ca="1">_xlfn.XLOOKUP(TabCalc[[#This Row],[Ticker]],[1]!RTData[Ticker_Symbol],[1]!RTData[V/VA])</f>
        <v>8.6062636309864679E-5</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8.6062636309864679E-5</v>
      </c>
      <c r="BC23" s="87" cm="1">
        <f t="array" aca="1" ref="BC23" ca="1">INDEX(TabReg[], 1, _xlfn.XMATCH(TabCalc[[#This Row],[Ticker]]&amp;1, TabReg[#Headers], 0))</f>
        <v>1000</v>
      </c>
      <c r="BD23" s="159">
        <f ca="1">TabCalc[[#This Row],[Nbegin]]*TabCalc[[#This Row],[M]]*TabCalc[[#This Row],[Scale]]+TabCalc[[#This Row],[ValueBegin]]</f>
        <v>33160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-36694.400000000001</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14413.53</v>
      </c>
      <c r="BM23" s="159">
        <f ca="1">IF(        OR( TabCalc[[#This Row],[GL]]&gt;ABS(TabCalc[[#This Row],[EfCost]]),TabCalc[[#This Row],[NAfter]]=0),             TabCalc[[#This Row],[GL]],     0)</f>
        <v>14413.53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t="e">
        <f ca="1">_xlfn.XLOOKUP(TabCalc[[#This Row],[Ticker]],[1]!RTData[Ticker_Symbol],[1]!#REF!)</f>
        <v>#REF!</v>
      </c>
      <c r="BT23" s="175">
        <f ca="1">(TabCalc[[#This Row],[ValueBegin]]+(TabCalc[[#This Row],[M]]-TabCalc[[#This Row],[A]])*TabCalc[[#This Row],[NAfter]])*TabCalc[[#This Row],[Scale]]</f>
        <v>-37161.160000000003</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238.84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705.6</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238.84</v>
      </c>
      <c r="DB23" s="90">
        <f ca="1">IFERROR((TabCalc[[#This Row],[M]]+TabCalc[[#This Row],[L_Bp]])/ABS(TabCalc[[#This Row],[L_Bp]])/(TODAY()-TabCalc[[#This Row],[L_Bdate]])*360,"")</f>
        <v>0.39445644061765806</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3" s="87">
        <f ca="1">TabCalc[[#This Row],[Nbegin]]*TabCalc[[#This Row],[Scale]]*TabCalc[[#This Row],[M]]</f>
        <v>70560</v>
      </c>
      <c r="DF23" s="87" cm="1">
        <f t="array" aca="1" ref="DF23" ca="1">SUMPRODUCT(ISNUMBER(INDIRECT("TabReg["&amp;TabCalc[[#This Row],[Ticker]]&amp;"2]"))* INDIRECT("TabReg["&amp;TabCalc[[#This Row],[Ticker]]&amp;"1]") * INDIRECT("TabReg["&amp;TabCalc[[#This Row],[Ticker]]&amp;"2]") )*TabCalc[[#This Row],[Scale]]</f>
        <v>13707.93</v>
      </c>
      <c r="DI23" s="87">
        <f ca="1"/>
        <v>390000</v>
      </c>
      <c r="DJ23" s="90">
        <f t="shared" ca="1" si="2"/>
        <v>0.69720316821724893</v>
      </c>
      <c r="DK23" t="str">
        <f ca="1">_xlfn.XLOOKUP(DI23,TabCalc[Column1],TabCalc[Ticker])</f>
        <v>CSCO</v>
      </c>
      <c r="DL23" s="87">
        <f ca="1">_xlfn.XLOOKUP(DK23,TabCalc[Ticker],TabCalc[ValueBegin])</f>
        <v>-198850.00000000003</v>
      </c>
      <c r="DM23" s="87">
        <f ca="1">_xlfn.XLOOKUP(DK23,TabCalc[Ticker],TabCalc[M_V])</f>
        <v>78000</v>
      </c>
      <c r="DN23" s="87">
        <f ca="1">_xlfn.XLOOKUP(DK23,TabCalc[Ticker],TabCalc[GL])</f>
        <v>138638.84999999998</v>
      </c>
      <c r="DO23" s="90"/>
      <c r="DP23" s="90"/>
      <c r="DQ23" s="88" t="s">
        <v>20</v>
      </c>
      <c r="DR23" s="81">
        <v>12000</v>
      </c>
      <c r="DS23" s="315">
        <v>-11.16</v>
      </c>
      <c r="DU23" s="82">
        <v>668.7</v>
      </c>
      <c r="DV23" s="82">
        <f ca="1">DU23-TabCalc[[#This Row],[M_V]]</f>
        <v>-36.899999999999977</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210035.99999999997</v>
      </c>
      <c r="G24" s="82">
        <f ca="1">IFERROR(TabCalc[[#This Row],[SB]]-TabCalc[[#This Row],[SST]],TabCalc[[#This Row],[SB]])</f>
        <v>9200</v>
      </c>
      <c r="H24" s="532" t="str">
        <f ca="1">[1]!RTData[[#This Row],[Ticker_Symbol]]</f>
        <v>HPE</v>
      </c>
      <c r="I24" s="383">
        <f ca="1">_xlfn.XLOOKUP(TabCalc[[#This Row],[Ticker]],[1]!RTData[Ticker_Symbol],[1]!RTData[M_Price])</f>
        <v>22.83</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-4.3610000000000003E-3</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-0.32525444722163704</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359.99999999999875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-2508.0000000000041</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2322.000000000005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3888.0000000000023</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3219.9999999999709</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1.1612838370565046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-8.2478370317629737E-2</v>
      </c>
      <c r="AY24" s="82">
        <f t="shared" ca="1" si="1"/>
        <v>2800</v>
      </c>
      <c r="AZ24" s="90">
        <f ca="1">_xlfn.XLOOKUP(TabCalc[[#This Row],[Ticker]],[1]!RTData[Ticker_Symbol],[1]!RTData[V/VA])</f>
        <v>1.2243818965373132E-3</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1.2243818965373132E-3</v>
      </c>
      <c r="BC24" s="87" cm="1">
        <f t="array" aca="1" ref="BC24" ca="1">INDEX(TabReg[], 1, _xlfn.XMATCH(TabCalc[[#This Row],[Ticker]]&amp;1, TabReg[#Headers], 0))</f>
        <v>12000</v>
      </c>
      <c r="BD24" s="159">
        <f ca="1">TabCalc[[#This Row],[Nbegin]]*TabCalc[[#This Row],[M]]*TabCalc[[#This Row],[Scale]]+TabCalc[[#This Row],[ValueBegin]]</f>
        <v>140040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76115.999999999971</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173745.99999999997</v>
      </c>
      <c r="BM24" s="159">
        <f ca="1">IF(        OR( TabCalc[[#This Row],[GL]]&gt;ABS(TabCalc[[#This Row],[EfCost]]),TabCalc[[#This Row],[NAfter]]=0),             TabCalc[[#This Row],[GL]],     0)</f>
        <v>173745.99999999997</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6.45</v>
      </c>
      <c r="BR24" s="174" t="str">
        <f ca="1">IF(TabCalc[[#This Row],[EfCost]]+TabCalc[[#This Row],[M_V]]&lt;TabCalc[[#This Row],[NoT_GL]],"Pile","")</f>
        <v/>
      </c>
      <c r="BS24" s="165" t="e">
        <f ca="1">_xlfn.XLOOKUP(TabCalc[[#This Row],[Ticker]],[1]!RTData[Ticker_Symbol],[1]!#REF!)</f>
        <v>#REF!</v>
      </c>
      <c r="BT24" s="175">
        <f ca="1">(TabCalc[[#This Row],[ValueBegin]]+(TabCalc[[#This Row],[M]]-TabCalc[[#This Row],[A]])*TabCalc[[#This Row],[NAfter]])*TabCalc[[#This Row],[Scale]]</f>
        <v>-111435.83200000002</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22484.167999999983</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3875.9689922480538</v>
      </c>
      <c r="CV24" s="404">
        <f ca="1">IF(TabCalc[[#This Row],[ntoBuy]]*TabCalc[[#This Row],[M]]&lt;=0,0,TabCalc[[#This Row],[ntoBuy]]*TabCalc[[#This Row],[M]])</f>
        <v>88488.372093023063</v>
      </c>
      <c r="CW24" s="404">
        <f ca="1">IF(TabCalc[[#This Row],[M]]&gt;ABS(TabCalc[[#This Row],[L_Bp]]),MIN(TabCalc[[#This Row],[NAfter]],DesiredSaleGain/(TabCalc[[#This Row],[M]]+TabCalc[[#This Row],[L_Bp]])),0)/TabCalc[[#This Row],[Scale]]</f>
        <v>9200</v>
      </c>
      <c r="CX24" s="405">
        <f ca="1">TabCalc[[#This Row],[ntoSell]]*TabCalc[[#This Row],[M]]</f>
        <v>210035.99999999997</v>
      </c>
      <c r="CY24" s="398">
        <f ca="1">_xlfn.LET(_xlpm.nToSell,IF(TabCalc[[#This Row],[M]]-TabCalc[[#This Row],[A]]&lt;=0,"",INT(DesiredSaleGain/(TabCalc[[#This Row],[M]]-IF(TabCalc[[#This Row],[E]]&gt;0,0,TabCalc[[#This Row],[A]])))),IF(_xlpm.nToSell&lt;=TabCalc[[#This Row],[NAfter]],_xlpm.nToSell,0))</f>
        <v>2045</v>
      </c>
      <c r="CZ24" s="336">
        <f ca="1">IFERROR(TabCalc[[#This Row],[NMA]]*TabCalc[[#This Row],[M]],"")</f>
        <v>46687.35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22484.167999999983</v>
      </c>
      <c r="DB24" s="90">
        <f ca="1">IFERROR((TabCalc[[#This Row],[M]]+TabCalc[[#This Row],[L_Bp]])/ABS(TabCalc[[#This Row],[L_Bp]])/(TODAY()-TabCalc[[#This Row],[L_Bdate]])*360,"")</f>
        <v>0.11362919007638367</v>
      </c>
      <c r="DC24" s="310">
        <f ca="1">MEDIAN(DataShift!F724:Z724)</f>
        <v>4.6969999999999998E-3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4" s="87">
        <f ca="1">TabCalc[[#This Row],[Nbegin]]*TabCalc[[#This Row],[Scale]]*TabCalc[[#This Row],[M]]</f>
        <v>273960</v>
      </c>
      <c r="DF24" s="87" cm="1">
        <f t="array" aca="1" ref="DF24" ca="1">SUMPRODUCT(ISNUMBER(INDIRECT("TabReg["&amp;TabCalc[[#This Row],[Ticker]]&amp;"2]"))* INDIRECT("TabReg["&amp;TabCalc[[#This Row],[Ticker]]&amp;"1]") * INDIRECT("TabReg["&amp;TabCalc[[#This Row],[Ticker]]&amp;"2]") )*TabCalc[[#This Row],[Scale]]</f>
        <v>-36290</v>
      </c>
      <c r="DI24" s="87">
        <f ca="1"/>
        <v>385740</v>
      </c>
      <c r="DJ24" s="90">
        <f t="shared" ca="1" si="2"/>
        <v>3.065670154113306</v>
      </c>
      <c r="DK24" t="str">
        <f ca="1">_xlfn.XLOOKUP(DI24,TabCalc[Column1],TabCalc[Ticker])</f>
        <v>THC</v>
      </c>
      <c r="DL24" s="87">
        <f ca="1">_xlfn.XLOOKUP(DK24,TabCalc[Ticker],TabCalc[ValueBegin])</f>
        <v>-92140</v>
      </c>
      <c r="DM24" s="87">
        <f ca="1">_xlfn.XLOOKUP(DK24,TabCalc[Ticker],TabCalc[M_V])</f>
        <v>289305</v>
      </c>
      <c r="DN24" s="87">
        <f ca="1">_xlfn.XLOOKUP(DK24,TabCalc[Ticker],TabCalc[GL])</f>
        <v>282470.848</v>
      </c>
      <c r="DO24" s="90"/>
      <c r="DP24" s="90"/>
      <c r="DQ24" s="88" t="s">
        <v>21</v>
      </c>
      <c r="DR24" s="81">
        <v>1000</v>
      </c>
      <c r="DS24" s="315">
        <v>-15.7</v>
      </c>
      <c r="DU24" s="82">
        <v>216935.99999999997</v>
      </c>
      <c r="DV24" s="82">
        <f ca="1">DU24-TabCalc[[#This Row],[M_V]]</f>
        <v>6900</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122565.00000000001</v>
      </c>
      <c r="G25" s="82">
        <f ca="1">IFERROR(TabCalc[[#This Row],[SB]]-TabCalc[[#This Row],[SST]],TabCalc[[#This Row],[SB]])</f>
        <v>5000</v>
      </c>
      <c r="H25" s="532" t="str">
        <f ca="1">[1]!RTData[[#This Row],[Ticker_Symbol]]</f>
        <v>HPQ</v>
      </c>
      <c r="I25" s="383">
        <f ca="1">_xlfn.XLOOKUP(TabCalc[[#This Row],[Ticker]],[1]!RTData[Ticker_Symbol],[1]!RTData[M_Price])</f>
        <v>24.513000000000002</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-1.8695E-2</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-0.83412439274507932</v>
      </c>
      <c r="T25" s="899">
        <f ca="1">IFERROR(SUMPRODUCT(DataShift!F1517:Z1517,DataShift!F725:Z725)/SQRT(SUMPRODUCT(DataShift!F1517:Z1517,DataShift!F1517:Z1517)*SUMPRODUCT(DataShift!F725:Z725,DataShift!F725:Z725)),0)</f>
        <v>0.33090863240072066</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-3016.9999999999995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-4907.9999999999873</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4427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10267.999999999987</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-934.99999999998545</v>
      </c>
      <c r="AQ25" s="334">
        <f ca="1">_xlfn.LET(_xlpm.MVToday,DataShift!AV525,         _xlpm.MVY,DataShift!AU526,        _xlpm.MVYY, DataShift!AT526,                                IF(_xlpm.MVToday=_xlpm.MVY,_xlpm.MVY-_xlpm.MVYY,_xlpm.MVToday-_xlpm.MVY))</f>
        <v>-214574.4</v>
      </c>
      <c r="AR25" s="334">
        <f ca="1">_xlfn.LET(_xlpm.MVToday,DataShift!AV525,         _xlpm.MVY,DataShift!AU526,        _xlpm.MVYY, DataShift!AT526,         _xlpm.MVYYY, DataShift!AS526,                      IF(_xlpm.MVToday=_xlpm.MVY,      _xlpm.MVYY-_xlpm.MVYYY,          _xlpm.MVY-_xlpm.MVYY))</f>
        <v>-414</v>
      </c>
      <c r="AS25" s="984">
        <f ca="1">TabCalc[[#This Row],[Y]]/TabCalc[[#This Row],[M]]</f>
        <v>1.1537755476685838</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-7.7256847382232444E-2</v>
      </c>
      <c r="AY25" s="82">
        <f t="shared" ca="1" si="1"/>
        <v>0</v>
      </c>
      <c r="AZ25" s="90">
        <f ca="1">_xlfn.XLOOKUP(TabCalc[[#This Row],[Ticker]],[1]!RTData[Ticker_Symbol],[1]!RTData[V/VA])</f>
        <v>4.3166557896760572E-3</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4.3166557896760572E-3</v>
      </c>
      <c r="BC25" s="87" cm="1">
        <f t="array" aca="1" ref="BC25" ca="1">INDEX(TabReg[], 1, _xlfn.XMATCH(TabCalc[[#This Row],[Ticker]]&amp;1, TabReg[#Headers], 0))</f>
        <v>1000</v>
      </c>
      <c r="BD25" s="159">
        <f ca="1">TabCalc[[#This Row],[Nbegin]]*TabCalc[[#This Row],[M]]*TabCalc[[#This Row],[Scale]]+TabCalc[[#This Row],[ValueBegin]]</f>
        <v>8813</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106865.00000000001</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38609.208000000057</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26.39</v>
      </c>
      <c r="BR25" s="174" t="str">
        <f ca="1">IF(TabCalc[[#This Row],[EfCost]]+TabCalc[[#This Row],[M_V]]&lt;TabCalc[[#This Row],[NoT_GL]],"Pile","")</f>
        <v/>
      </c>
      <c r="BS25" s="165" t="e">
        <f ca="1">_xlfn.XLOOKUP(TabCalc[[#This Row],[Ticker]],[1]!RTData[Ticker_Symbol],[1]!#REF!)</f>
        <v>#REF!</v>
      </c>
      <c r="BT25" s="175">
        <f ca="1">(TabCalc[[#This Row],[ValueBegin]]+(TabCalc[[#This Row],[M]]-TabCalc[[#This Row],[A]])*TabCalc[[#This Row],[NAfter]])*TabCalc[[#This Row],[Scale]]</f>
        <v>-23624.999999999985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-7924.9999999999864</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1129.43302462164</v>
      </c>
      <c r="CV25" s="404">
        <f ca="1">IF(TabCalc[[#This Row],[ntoBuy]]*TabCalc[[#This Row],[M]]&lt;=0,0,TabCalc[[#This Row],[ntoBuy]]*TabCalc[[#This Row],[M]])</f>
        <v>27685.791732550264</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-7924.9999999999864</v>
      </c>
      <c r="DB25" s="90">
        <f ca="1">IFERROR((TabCalc[[#This Row],[M]]+TabCalc[[#This Row],[L_Bp]])/ABS(TabCalc[[#This Row],[L_Bp]])/(TODAY()-TabCalc[[#This Row],[L_Bdate]])*360,"")</f>
        <v>-1.2328823102070465</v>
      </c>
      <c r="DC25" s="310">
        <f ca="1">MEDIAN(DataShift!F725:Z725)</f>
        <v>5.3559999999999997E-3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5" s="87">
        <f ca="1">TabCalc[[#This Row],[Nbegin]]*TabCalc[[#This Row],[Scale]]*TabCalc[[#This Row],[M]]</f>
        <v>24513</v>
      </c>
      <c r="DF25" s="87" cm="1">
        <f t="array" aca="1" ref="DF25" ca="1">SUMPRODUCT(ISNUMBER(INDIRECT("TabReg["&amp;TabCalc[[#This Row],[Ticker]]&amp;"2]"))* INDIRECT("TabReg["&amp;TabCalc[[#This Row],[Ticker]]&amp;"1]") * INDIRECT("TabReg["&amp;TabCalc[[#This Row],[Ticker]]&amp;"2]") )*TabCalc[[#This Row],[Scale]]</f>
        <v>-83955.791999999958</v>
      </c>
      <c r="DI25" s="87">
        <f ca="1"/>
        <v>352170</v>
      </c>
      <c r="DJ25" s="90">
        <f t="shared" ca="1" si="2"/>
        <v>0.21953726266347076</v>
      </c>
      <c r="DK25" t="str">
        <f ca="1">_xlfn.XLOOKUP(DI25,TabCalc[Column1],TabCalc[Ticker])</f>
        <v>NEE</v>
      </c>
      <c r="DL25" s="87">
        <f ca="1">_xlfn.XLOOKUP(DK25,TabCalc[Ticker],TabCalc[ValueBegin])</f>
        <v>-303902.86</v>
      </c>
      <c r="DM25" s="87">
        <f ca="1">_xlfn.XLOOKUP(DK25,TabCalc[Ticker],TabCalc[M_V])</f>
        <v>83.85</v>
      </c>
      <c r="DN25" s="87">
        <f ca="1">_xlfn.XLOOKUP(DK25,TabCalc[Ticker],TabCalc[GL])</f>
        <v>66718.001999999979</v>
      </c>
      <c r="DO25" s="90"/>
      <c r="DP25" s="90"/>
      <c r="DQ25" s="88" t="s">
        <v>22</v>
      </c>
      <c r="DR25" s="81">
        <v>500000</v>
      </c>
      <c r="DS25" s="315">
        <v>-157</v>
      </c>
      <c r="DU25" s="82">
        <v>129725</v>
      </c>
      <c r="DV25" s="82">
        <f ca="1">DU25-TabCalc[[#This Row],[M_V]]</f>
        <v>7159.9999999999854</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419210</v>
      </c>
      <c r="G26" s="82">
        <f ca="1">IFERROR(TabCalc[[#This Row],[SB]]-TabCalc[[#This Row],[SST]],TabCalc[[#This Row],[SB]])</f>
        <v>110000</v>
      </c>
      <c r="H26" s="532" t="str">
        <f ca="1">[1]!RTData[[#This Row],[Ticker_Symbol]]</f>
        <v>IAG</v>
      </c>
      <c r="I26" s="383">
        <f ca="1">_xlfn.XLOOKUP(TabCalc[[#This Row],[Ticker]],[1]!RTData[Ticker_Symbol],[1]!RTData[M_Price])</f>
        <v>381.1</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-1.6515999999999999E-2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0.13379065135099424</v>
      </c>
      <c r="U26" s="1013">
        <v>110000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26417.600000000006</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19324.420000000009</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-218.00000000000637</v>
      </c>
      <c r="AI26" s="208" cm="1">
        <f t="array" aca="1" ref="AI26" ca="1">IFERROR(_xlfn.XLOOKUP(TabCalc[[#This Row],[L_Sp]],INDIRECT("TabReg["&amp;TabCalc[[#This Row],[Ticker]]&amp;"2]"),INDIRECT("TabReg["&amp;TabCalc[[#This Row],[Ticker]]&amp;"]")),0)</f>
        <v>45968</v>
      </c>
      <c r="AJ26" s="179" cm="1">
        <f t="array" aca="1" ref="AJ26" ca="1">IFERROR(_xlfn.XLOOKUP(TabCalc[[#This Row],[L_Sp]],INDIRECT("TabReg["&amp;TabCalc[[#This Row],[Ticker]]&amp;"2]"),INDIRECT("TabReg["&amp;TabCalc[[#This Row],[Ticker]]&amp;"1]")),0)</f>
        <v>20000</v>
      </c>
      <c r="AK26" s="190" cm="1">
        <f t="array" aca="1" ref="AK26" ca="1">IFERROR(INDEX(INDIRECT("TabReg["&amp;TabCalc[[#This Row],[Ticker]]&amp;"2]"), _xlfn.XMATCH(MAX(_xlfn._xlws.FILTER(INDIRECT("TabReg["&amp;TabCalc[[#This Row],[Ticker]]&amp;"]"), INDIRECT("TabReg["&amp;TabCalc[[#This Row],[Ticker]]&amp;"2]")&gt;0)), INDIRECT("TabReg["&amp;TabCalc[[#This Row],[Ticker]]&amp;"]"), 0)), 0)</f>
        <v>380.01</v>
      </c>
      <c r="AL26" s="212">
        <f ca="1">IFERROR(TabCalc[[#This Row],[L_S1n]]*(TabCalc[[#This Row],[L_S1p]]-TabCalc[[#This Row],[M]])*TabCalc[[#This Row],[Scale]],0)</f>
        <v>8800</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425.1</v>
      </c>
      <c r="AP26" s="334">
        <f ca="1">_xlfn.LET(_xlpm.MVOpen,[1]!RTData[[#This Row],[Open]]*TabCalc[[#This Row],[NAfter]],_xlpm.MVNow,TabCalc[[#This Row],[M]]*TabCalc[[#This Row],[NAfter]],_xlpm.MVNow-_xlpm.MVOpen)*TabCalc[[#This Row],[Scale]]</f>
        <v>-8140</v>
      </c>
      <c r="AQ26" s="334">
        <f ca="1">_xlfn.LET(_xlpm.MVToday,DataShift!AV526,         _xlpm.MVY,DataShift!AU527,        _xlpm.MVYY, DataShift!AT527,                                IF(_xlpm.MVToday=_xlpm.MVY,_xlpm.MVY-_xlpm.MVYY,_xlpm.MVToday-_xlpm.MVY))</f>
        <v>78960.999999999971</v>
      </c>
      <c r="AR26" s="334">
        <f ca="1">_xlfn.LET(_xlpm.MVToday,DataShift!AV526,         _xlpm.MVY,DataShift!AU527,        _xlpm.MVYY, DataShift!AT527,         _xlpm.MVYYY, DataShift!AS527,                      IF(_xlpm.MVToday=_xlpm.MVY,      _xlpm.MVYY-_xlpm.MVYYY,          _xlpm.MVY-_xlpm.MVYY))</f>
        <v>175</v>
      </c>
      <c r="AS26" s="984">
        <f ca="1">TabCalc[[#This Row],[Y]]/TabCalc[[#This Row],[M]]</f>
        <v>1.217775387037523</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-390000</v>
      </c>
      <c r="AX26" s="305">
        <f ca="1">IFERROR((TabCalc[[#This Row],[M]]-TabCalc[[#This Row],[Y]])*(TabCalc[[#This Row],[M]]-TabCalc[[#This Row],[Y]])*(TabCalc[[#This Row],[M]]-TabCalc[[#This Row],[Y]])/(TabCalc[[#This Row],[Y]]*TabCalc[[#This Row],[M]]),"")</f>
        <v>-3.2321993562617646</v>
      </c>
      <c r="AY26" s="82">
        <f t="shared" ca="1" si="1"/>
        <v>390000</v>
      </c>
      <c r="AZ26" s="90">
        <f ca="1">_xlfn.XLOOKUP(TabCalc[[#This Row],[Ticker]],[1]!RTData[Ticker_Symbol],[1]!RTData[V/VA])</f>
        <v>0.10512331511079581</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0.10512331511079581</v>
      </c>
      <c r="BC26" s="87" cm="1">
        <f t="array" aca="1" ref="BC26" ca="1">INDEX(TabReg[], 1, _xlfn.XMATCH(TabCalc[[#This Row],[Ticker]]&amp;1, TabReg[#Headers], 0))</f>
        <v>500000</v>
      </c>
      <c r="BD26" s="159">
        <f ca="1">TabCalc[[#This Row],[Nbegin]]*TabCalc[[#This Row],[M]]*TabCalc[[#This Row],[Scale]]+TabCalc[[#This Row],[ValueBegin]]</f>
        <v>1120500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-365790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2315102.68921754</v>
      </c>
      <c r="BK26" s="159" cm="1">
        <f t="array" aca="1" ref="BK26" ca="1">SUMPRODUCT(ISNUMBER(INDIRECT("TabReg["&amp;TabCalc[[#This Row],[Ticker]]&amp;"2]"))* INDIRECT("TabReg["&amp;TabCalc[[#This Row],[Ticker]]&amp;"1]") * INDIRECT("TabReg["&amp;TabCalc[[#This Row],[Ticker]]&amp;"2]") )*TabCalc[[#This Row],[Scale]]</f>
        <v>729480.66710000008</v>
      </c>
      <c r="BL26" s="159">
        <f ca="1">TabCalc[[#This Row],[M_V]]+TabCalc[[#This Row],[EfCost]]</f>
        <v>1148690.6671000002</v>
      </c>
      <c r="BM26" s="159">
        <f ca="1">IF(        OR( TabCalc[[#This Row],[GL]]&gt;ABS(TabCalc[[#This Row],[EfCost]]),TabCalc[[#This Row],[NAfter]]=0),             TabCalc[[#This Row],[GL]],     0)</f>
        <v>1148690.6671000002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810000</v>
      </c>
      <c r="BQ2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4" t="str">
        <f ca="1">IF(TabCalc[[#This Row],[EfCost]]+TabCalc[[#This Row],[M_V]]&lt;TabCalc[[#This Row],[NoT_GL]],"Pile","")</f>
        <v/>
      </c>
      <c r="BS26" s="165" t="e">
        <f ca="1">_xlfn.XLOOKUP(TabCalc[[#This Row],[Ticker]],[1]!RTData[Ticker_Symbol],[1]!#REF!)</f>
        <v>#REF!</v>
      </c>
      <c r="BT26" s="175">
        <f ca="1">(TabCalc[[#This Row],[ValueBegin]]+(TabCalc[[#This Row],[M]]-TabCalc[[#This Row],[A]])*TabCalc[[#This Row],[NAfter]])*TabCalc[[#This Row],[Scale]]</f>
        <v>120286.02</v>
      </c>
      <c r="BU26" s="187" cm="1">
        <f t="array" aca="1" ref="BU26" ca="1">_xlfn.XLOOKUP(TabCalc[[#This Row],[Ticker]],TabReg[[#Headers],[AAPL]:[UnknownX28]],Reg!B$72:KF$72)+3</f>
        <v>53</v>
      </c>
      <c r="BV26" s="188" cm="1">
        <f t="array" aca="1" ref="BV26" ca="1">_xlfn.XLOOKUP(TabCalc[[#This Row],[Ticker]],TabReg[[#Headers],[AAPL]:[UnknownX28]],Reg!B$73:KF$73)+2</f>
        <v>72</v>
      </c>
      <c r="BW26" s="189">
        <f ca="1">IFERROR(MAX(TabCalc[[#This Row],[Max_SD]],TabCalc[[#This Row],[Max_PD]]),0)</f>
        <v>45968</v>
      </c>
      <c r="BX26" s="189" t="str" cm="1">
        <f t="array" aca="1" ref="BX26" ca="1">_xlfn.LET(_xlpm.LAST_T,TabCalc[[#This Row],[L_TP]],_xlfn.IFS(_xlpm.LAST_T&lt;0,"Purchase",_xlpm.LAST_T&gt;0,"Sale"))</f>
        <v>Sale</v>
      </c>
      <c r="BY26" s="188" cm="1">
        <f t="array" aca="1" ref="BY26" ca="1">INDEX(Reg!$A$1:$KF$73,TabCalc[[#This Row],[L_I1]],TabCalc[[#This Row],[L_I2]])</f>
        <v>20000</v>
      </c>
      <c r="BZ26" s="190" cm="1">
        <f t="array" aca="1" ref="BZ26" ca="1">INDEX(Reg!$A$1:$KF$73,TabCalc[[#This Row],[L_I1]],TabCalc[[#This Row],[L_I2]]+1)</f>
        <v>380.01</v>
      </c>
      <c r="CA26" s="159">
        <f ca="1">TabCalc[[#This Row],[NAfter]]*(TabCalc[[#This Row],[M]]-IF(TabCalc[[#This Row],[E]]&gt;0,0,TabCalc[[#This Row],[A]]))</f>
        <v>12813602</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45968</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0</v>
      </c>
      <c r="CV26" s="404">
        <f ca="1">IF(TabCalc[[#This Row],[ntoBuy]]*TabCalc[[#This Row],[M]]&lt;=0,0,TabCalc[[#This Row],[ntoBuy]]*TabCalc[[#This Row],[M]])</f>
        <v>0</v>
      </c>
      <c r="CW26" s="404">
        <f ca="1">IF(TabCalc[[#This Row],[M]]&gt;ABS(TabCalc[[#This Row],[L_Bp]]),MIN(TabCalc[[#This Row],[NAfter]],DesiredSaleGain/(TabCalc[[#This Row],[M]]+TabCalc[[#This Row],[L_Bp]])),0)/TabCalc[[#This Row],[Scale]]</f>
        <v>3785.355217733631</v>
      </c>
      <c r="CX26" s="405">
        <f ca="1">TabCalc[[#This Row],[ntoSell]]*TabCalc[[#This Row],[M]]</f>
        <v>1442598.8734782869</v>
      </c>
      <c r="CY26" s="398">
        <f ca="1">_xlfn.LET(_xlpm.nToSell,IF(TabCalc[[#This Row],[M]]-TabCalc[[#This Row],[A]]&lt;=0,"",INT(DesiredSaleGain/(TabCalc[[#This Row],[M]]-IF(TabCalc[[#This Row],[E]]&gt;0,0,TabCalc[[#This Row],[A]])))),IF(_xlpm.nToSell&lt;=TabCalc[[#This Row],[NAfter]],_xlpm.nToSell,0))</f>
        <v>42</v>
      </c>
      <c r="CZ26" s="336">
        <f ca="1">IFERROR(TabCalc[[#This Row],[NMA]]*TabCalc[[#This Row],[M]],"")</f>
        <v>16006.2</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128136.02</v>
      </c>
      <c r="DB26" s="90">
        <f ca="1">IFERROR((TabCalc[[#This Row],[M]]+TabCalc[[#This Row],[L_Bp]])/ABS(TabCalc[[#This Row],[L_Bp]])/(TODAY()-TabCalc[[#This Row],[L_Bdate]])*360,"")</f>
        <v>0.8302669541331692</v>
      </c>
      <c r="DC26" s="310">
        <f ca="1">MEDIAN(DataShift!F726:Z726)</f>
        <v>1.72E-3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1905500</v>
      </c>
      <c r="DF26" s="87" cm="1">
        <f t="array" aca="1" ref="DF26" ca="1">SUMPRODUCT(ISNUMBER(INDIRECT("TabReg["&amp;TabCalc[[#This Row],[Ticker]]&amp;"2]"))* INDIRECT("TabReg["&amp;TabCalc[[#This Row],[Ticker]]&amp;"1]") * INDIRECT("TabReg["&amp;TabCalc[[#This Row],[Ticker]]&amp;"2]") )*TabCalc[[#This Row],[Scale]]</f>
        <v>729480.66710000008</v>
      </c>
      <c r="DI26" s="87">
        <f ca="1"/>
        <v>333549.99999999994</v>
      </c>
      <c r="DJ26" s="90">
        <f t="shared" ca="1" si="2"/>
        <v>0.62773207653348306</v>
      </c>
      <c r="DK26" t="str">
        <f ca="1">_xlfn.XLOOKUP(DI26,TabCalc[Column1],TabCalc[Ticker])</f>
        <v>KR</v>
      </c>
      <c r="DL26" s="87">
        <f ca="1">_xlfn.XLOOKUP(DK26,TabCalc[Ticker],TabCalc[ValueBegin])</f>
        <v>-177700</v>
      </c>
      <c r="DM26" s="87">
        <f ca="1">_xlfn.XLOOKUP(DK26,TabCalc[Ticker],TabCalc[M_V])</f>
        <v>400259.99999999994</v>
      </c>
      <c r="DN26" s="87">
        <f ca="1">_xlfn.XLOOKUP(DK26,TabCalc[Ticker],TabCalc[GL])</f>
        <v>111547.98999999993</v>
      </c>
      <c r="DO26" s="90"/>
      <c r="DP26" s="90"/>
      <c r="DQ26" s="88" t="s">
        <v>23</v>
      </c>
      <c r="DR26" s="81">
        <v>5000</v>
      </c>
      <c r="DS26" s="315">
        <v>-35.54</v>
      </c>
      <c r="DU26" s="82">
        <v>802940</v>
      </c>
      <c r="DV26" s="82">
        <f ca="1">DU26-TabCalc[[#This Row],[M_V]]</f>
        <v>383730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400259.99999999994</v>
      </c>
      <c r="G27" s="82">
        <f ca="1">IFERROR(TabCalc[[#This Row],[SB]]-TabCalc[[#This Row],[SST]],TabCalc[[#This Row],[SB]])</f>
        <v>6000</v>
      </c>
      <c r="H27" s="532" t="str">
        <f ca="1">[1]!RTData[[#This Row],[Ticker_Symbol]]</f>
        <v>KR</v>
      </c>
      <c r="I27" s="383">
        <f ca="1">_xlfn.XLOOKUP(TabCalc[[#This Row],[Ticker]],[1]!RTData[Ticker_Symbol],[1]!RTData[M_Price])</f>
        <v>66.709999999999994</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1.6611000000000001E-2</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0.21608903011713307</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6039.9999999999918</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-285.0000000000108</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-1809.9999999999882</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5109.9999999999991</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4619.9999999999418</v>
      </c>
      <c r="AQ27" s="334">
        <f ca="1">_xlfn.LET(_xlpm.MVToday,DataShift!AV527,         _xlpm.MVY,DataShift!AU528,        _xlpm.MVYY, DataShift!AT528,                                IF(_xlpm.MVToday=_xlpm.MVY,_xlpm.MVY-_xlpm.MVYY,_xlpm.MVToday-_xlpm.MVY))</f>
        <v>-280255</v>
      </c>
      <c r="AR27" s="334">
        <f ca="1">_xlfn.LET(_xlpm.MVToday,DataShift!AV527,         _xlpm.MVY,DataShift!AU528,        _xlpm.MVYY, DataShift!AT528,         _xlpm.MVYYY, DataShift!AS528,                      IF(_xlpm.MVToday=_xlpm.MVY,      _xlpm.MVYY-_xlpm.MVYYY,          _xlpm.MVY-_xlpm.MVYY))</f>
        <v>-135510</v>
      </c>
      <c r="AS27" s="984">
        <f ca="1">TabCalc[[#This Row],[Y]]/TabCalc[[#This Row],[M]]</f>
        <v>1.1399407884874833</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-0.16037681962466113</v>
      </c>
      <c r="AY27" s="82">
        <f t="shared" ca="1" si="1"/>
        <v>0</v>
      </c>
      <c r="AZ27" s="90">
        <f ca="1">_xlfn.XLOOKUP(TabCalc[[#This Row],[Ticker]],[1]!RTData[Ticker_Symbol],[1]!RTData[V/VA])</f>
        <v>8.4933270760272677E-6</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8.4933270760272677E-6</v>
      </c>
      <c r="BC27" s="87" cm="1">
        <f t="array" aca="1" ref="BC27" ca="1">INDEX(TabReg[], 1, _xlfn.XMATCH(TabCalc[[#This Row],[Ticker]]&amp;1, TabReg[#Headers], 0))</f>
        <v>5000</v>
      </c>
      <c r="BD27" s="159">
        <f ca="1">TabCalc[[#This Row],[Nbegin]]*TabCalc[[#This Row],[M]]*TabCalc[[#This Row],[Scale]]+TabCalc[[#This Row],[ValueBegin]]</f>
        <v>155849.99999999994</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222559.99999999994</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111547.98999999993</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t="e">
        <f ca="1">_xlfn.XLOOKUP(TabCalc[[#This Row],[Ticker]],[1]!RTData[Ticker_Symbol],[1]!#REF!)</f>
        <v>#REF!</v>
      </c>
      <c r="BT27" s="175">
        <f ca="1">(TabCalc[[#This Row],[ValueBegin]]+(TabCalc[[#This Row],[M]]-TabCalc[[#This Row],[A]])*TabCalc[[#This Row],[NAfter]])*TabCalc[[#This Row],[Scale]]</f>
        <v>-178536.57142857148</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-836.5714285714887</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1655.62913907285</v>
      </c>
      <c r="CX27" s="405">
        <f ca="1">TabCalc[[#This Row],[ntoSell]]*TabCalc[[#This Row],[M]]</f>
        <v>110447.01986754981</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-836.5714285714887</v>
      </c>
      <c r="DB27" s="90">
        <f ca="1">IFERROR((TabCalc[[#This Row],[M]]+TabCalc[[#This Row],[L_Bp]])/ABS(TabCalc[[#This Row],[L_Bp]])/(TODAY()-TabCalc[[#This Row],[L_Bdate]])*360,"")</f>
        <v>1.3130910540236949</v>
      </c>
      <c r="DC27" s="310">
        <f ca="1">MEDIAN(DataShift!F727:Z727)</f>
        <v>-4.8999999999999998E-4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333549.99999999994</v>
      </c>
      <c r="DF27" s="87" cm="1">
        <f t="array" aca="1" ref="DF27" ca="1">SUMPRODUCT(ISNUMBER(INDIRECT("TabReg["&amp;TabCalc[[#This Row],[Ticker]]&amp;"2]"))* INDIRECT("TabReg["&amp;TabCalc[[#This Row],[Ticker]]&amp;"1]") * INDIRECT("TabReg["&amp;TabCalc[[#This Row],[Ticker]]&amp;"2]") )*TabCalc[[#This Row],[Scale]]</f>
        <v>-288712.01</v>
      </c>
      <c r="DI27" s="87">
        <f ca="1"/>
        <v>315300</v>
      </c>
      <c r="DJ27" s="90">
        <f t="shared" ca="1" si="2"/>
        <v>-0.21211849278926084</v>
      </c>
      <c r="DK27" t="str">
        <f ca="1">_xlfn.XLOOKUP(DI27,TabCalc[Column1],TabCalc[Ticker])</f>
        <v>SAP</v>
      </c>
      <c r="DL27" s="87">
        <f ca="1">_xlfn.XLOOKUP(DK27,TabCalc[Ticker],TabCalc[ValueBegin])</f>
        <v>-139573.04999999999</v>
      </c>
      <c r="DM27" s="87">
        <f ca="1">_xlfn.XLOOKUP(DK27,TabCalc[Ticker],TabCalc[M_V])</f>
        <v>798760</v>
      </c>
      <c r="DN27" s="87">
        <f ca="1">_xlfn.XLOOKUP(DK27,TabCalc[Ticker],TabCalc[GL])</f>
        <v>-29606.02500000014</v>
      </c>
      <c r="DO27" s="90"/>
      <c r="DP27" s="90"/>
      <c r="DQ27" s="88" t="s">
        <v>24</v>
      </c>
      <c r="DR27" s="81">
        <v>2276</v>
      </c>
      <c r="DS27" s="315">
        <v>-17.760724956063267</v>
      </c>
      <c r="DU27" s="82">
        <v>318750</v>
      </c>
      <c r="DV27" s="82">
        <f ca="1">DU27-TabCalc[[#This Row],[M_V]]</f>
        <v>-81509.999999999942</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Row],[Ticker]],[1]!RTData[Ticker_Symbol],[1]!RTData[M_Price])</f>
        <v>10.11</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-1.3658999999999999E-2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-8.8309756872912468E-2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-4949.9999999999955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-11714.571999999998</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29780</v>
      </c>
      <c r="AR28" s="334">
        <f ca="1">_xlfn.LET(_xlpm.MVToday,DataShift!AV528,         _xlpm.MVY,DataShift!AU529,        _xlpm.MVYY, DataShift!AT529,         _xlpm.MVYYY, DataShift!AS529,                      IF(_xlpm.MVToday=_xlpm.MVY,      _xlpm.MVYY-_xlpm.MVYYY,          _xlpm.MVY-_xlpm.MVYY))</f>
        <v>-54370</v>
      </c>
      <c r="AS28" s="984">
        <f ca="1">TabCalc[[#This Row],[Y]]/TabCalc[[#This Row],[M]]</f>
        <v>1.4836795252225521</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-0.7710528783382794</v>
      </c>
      <c r="AY28" s="82">
        <f t="shared" ca="1" si="1"/>
        <v>2276</v>
      </c>
      <c r="AZ28" s="90">
        <f ca="1">_xlfn.XLOOKUP(TabCalc[[#This Row],[Ticker]],[1]!RTData[Ticker_Symbol],[1]!RTData[V/VA])</f>
        <v>0.67310504152532458</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0.67310504152532458</v>
      </c>
      <c r="BC28" s="87" cm="1">
        <f t="array" aca="1" ref="BC28" ca="1">INDEX(TabReg[], 1, _xlfn.XMATCH(TabCalc[[#This Row],[Ticker]]&amp;1, TabReg[#Headers], 0))</f>
        <v>2276</v>
      </c>
      <c r="BD28" s="159">
        <f ca="1">TabCalc[[#This Row],[Nbegin]]*TabCalc[[#This Row],[M]]*TabCalc[[#This Row],[Scale]]+TabCalc[[#This Row],[ValueBegin]]</f>
        <v>-17413.05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t="e">
        <f ca="1">_xlfn.XLOOKUP(TabCalc[[#This Row],[Ticker]],[1]!RTData[Ticker_Symbol],[1]!#REF!)</f>
        <v>#REF!</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0.38958844591060859</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8" s="87">
        <f ca="1">TabCalc[[#This Row],[Nbegin]]*TabCalc[[#This Row],[Scale]]*TabCalc[[#This Row],[M]]</f>
        <v>23010.359999999997</v>
      </c>
      <c r="DF28" s="87" cm="1">
        <f t="array" aca="1" ref="DF28" ca="1">SUMPRODUCT(ISNUMBER(INDIRECT("TabReg["&amp;TabCalc[[#This Row],[Ticker]]&amp;"2]"))* INDIRECT("TabReg["&amp;TabCalc[[#This Row],[Ticker]]&amp;"1]") * INDIRECT("TabReg["&amp;TabCalc[[#This Row],[Ticker]]&amp;"2]") )*TabCalc[[#This Row],[Scale]]</f>
        <v>-16028.984799999995</v>
      </c>
      <c r="DI28" s="87">
        <f ca="1"/>
        <v>303800</v>
      </c>
      <c r="DJ28" s="90">
        <f t="shared" ca="1" si="2"/>
        <v>8.1877458115964391E-2</v>
      </c>
      <c r="DK28" t="str">
        <f ca="1">_xlfn.XLOOKUP(DI28,TabCalc[Column1],TabCalc[Ticker])</f>
        <v>MVEEOAN</v>
      </c>
      <c r="DL28" s="87">
        <f ca="1">_xlfn.XLOOKUP(DK28,TabCalc[Ticker],TabCalc[ValueBegin])</f>
        <v>-221206</v>
      </c>
      <c r="DM28" s="87">
        <f ca="1">_xlfn.XLOOKUP(DK28,TabCalc[Ticker],TabCalc[M_V])</f>
        <v>151.9</v>
      </c>
      <c r="DN28" s="87">
        <f ca="1">_xlfn.XLOOKUP(DK28,TabCalc[Ticker],TabCalc[GL])</f>
        <v>18111.785000000018</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79.900000000000006</v>
      </c>
      <c r="G29" s="82">
        <f ca="1">IFERROR(TabCalc[[#This Row],[SB]]-TabCalc[[#This Row],[SST]],TabCalc[[#This Row],[SB]])</f>
        <v>10</v>
      </c>
      <c r="H29" s="532" t="str">
        <f ca="1">[1]!RTData[[#This Row],[Ticker_Symbol]]</f>
        <v>LUMN</v>
      </c>
      <c r="I29" s="383">
        <f ca="1">_xlfn.XLOOKUP(TabCalc[[#This Row],[Ticker]],[1]!RTData[Ticker_Symbol],[1]!RTData[M_Price])</f>
        <v>7.99</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-1.601E-2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0.29515112524056847</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29.217000000000006</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50.099999999999994</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-1178.1000000000004</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-2430.0000000000005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2.4000000000000057</v>
      </c>
      <c r="AQ29" s="334">
        <f ca="1">_xlfn.LET(_xlpm.MVToday,DataShift!AV529,         _xlpm.MVY,DataShift!AU530,        _xlpm.MVYY, DataShift!AT530,                                IF(_xlpm.MVToday=_xlpm.MVY,_xlpm.MVY-_xlpm.MVYY,_xlpm.MVToday-_xlpm.MVY))</f>
        <v>400259.99999999994</v>
      </c>
      <c r="AR29" s="334">
        <f ca="1">_xlfn.LET(_xlpm.MVToday,DataShift!AV529,         _xlpm.MVY,DataShift!AU530,        _xlpm.MVYY, DataShift!AT530,         _xlpm.MVYYY, DataShift!AS530,                      IF(_xlpm.MVToday=_xlpm.MVY,      _xlpm.MVYY-_xlpm.MVYYY,          _xlpm.MVY-_xlpm.MVYY))</f>
        <v>0</v>
      </c>
      <c r="AS29" s="984">
        <f ca="1">TabCalc[[#This Row],[Y]]/TabCalc[[#This Row],[M]]</f>
        <v>0.74568210262828538</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0.17624785194315987</v>
      </c>
      <c r="AY29" s="82">
        <f t="shared" ca="1" si="1"/>
        <v>1990</v>
      </c>
      <c r="AZ29" s="90">
        <f ca="1">_xlfn.XLOOKUP(TabCalc[[#This Row],[Ticker]],[1]!RTData[Ticker_Symbol],[1]!RTData[V/VA])</f>
        <v>2.8763183520520572E-4</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2.8763183520520572E-4</v>
      </c>
      <c r="BC29" s="87" cm="1">
        <f t="array" aca="1" ref="BC29" ca="1">INDEX(TabReg[], 1, _xlfn.XMATCH(TabCalc[[#This Row],[Ticker]]&amp;1, TabReg[#Headers], 0))</f>
        <v>2000</v>
      </c>
      <c r="BD29" s="159">
        <f ca="1">TabCalc[[#This Row],[Nbegin]]*TabCalc[[#This Row],[M]]*TabCalc[[#This Row],[Scale]]+TabCalc[[#This Row],[ValueBegin]]</f>
        <v>-38773.100000000006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-54673.200000000004</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14770.8</v>
      </c>
      <c r="BM29" s="159">
        <f ca="1">IF(        OR( TabCalc[[#This Row],[GL]]&gt;ABS(TabCalc[[#This Row],[EfCost]]),TabCalc[[#This Row],[NAfter]]=0),             TabCalc[[#This Row],[GL]],     0)</f>
        <v>14770.8</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t="e">
        <f ca="1">_xlfn.XLOOKUP(TabCalc[[#This Row],[Ticker]],[1]!RTData[Ticker_Symbol],[1]!#REF!)</f>
        <v>#REF!</v>
      </c>
      <c r="BT29" s="175">
        <f ca="1">(TabCalc[[#This Row],[ValueBegin]]+(TabCalc[[#This Row],[M]]-TabCalc[[#This Row],[A]])*TabCalc[[#This Row],[NAfter]])*TabCalc[[#This Row],[Scale]]</f>
        <v>-54723.883000000009</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29.217000000000006</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79.900000000000006</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29.217000000000006</v>
      </c>
      <c r="DB29" s="90">
        <f ca="1">IFERROR((TabCalc[[#This Row],[M]]+TabCalc[[#This Row],[L_Bp]])/ABS(TabCalc[[#This Row],[L_Bp]])/(TODAY()-TabCalc[[#This Row],[L_Bdate]])*360,"")</f>
        <v>0.70587609982335198</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9" s="87">
        <f ca="1">TabCalc[[#This Row],[Nbegin]]*TabCalc[[#This Row],[Scale]]*TabCalc[[#This Row],[M]]</f>
        <v>15980</v>
      </c>
      <c r="DF29" s="87" cm="1">
        <f t="array" aca="1" ref="DF29" ca="1">SUMPRODUCT(ISNUMBER(INDIRECT("TabReg["&amp;TabCalc[[#This Row],[Ticker]]&amp;"2]"))* INDIRECT("TabReg["&amp;TabCalc[[#This Row],[Ticker]]&amp;"1]") * INDIRECT("TabReg["&amp;TabCalc[[#This Row],[Ticker]]&amp;"2]") )*TabCalc[[#This Row],[Scale]]</f>
        <v>14690.9</v>
      </c>
      <c r="DI29" s="87">
        <f ca="1"/>
        <v>291300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25.449999999999989</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297240</v>
      </c>
      <c r="G30" s="82">
        <f ca="1">IFERROR(TabCalc[[#This Row],[SB]]-TabCalc[[#This Row],[SST]],TabCalc[[#This Row],[SB]])</f>
        <v>12000</v>
      </c>
      <c r="H30" s="532" t="str">
        <f ca="1">[1]!RTData[[#This Row],[Ticker_Symbol]]</f>
        <v>MRNA</v>
      </c>
      <c r="I30" s="383">
        <f ca="1">_xlfn.XLOOKUP(TabCalc[[#This Row],[Ticker]],[1]!RTData[Ticker_Symbol],[1]!RTData[M_Price])</f>
        <v>24.77</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-7.6119999999999998E-3</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-1.2922515474640834E-2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24,220 = $ 599,929</v>
      </c>
      <c r="Z30" s="211">
        <f ca="1">MIN(TabCalc[[#This Row],[L_Bn]],TabCalc[[#This Row],[NAfter]])*(TabCalc[[#This Row],[M]]+TabCalc[[#This Row],[L_Bp]])*TabCalc[[#This Row],[Scale]]</f>
        <v>-49740.000000000007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-22360.000000000004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95205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281512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4020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1.6269681065805408</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-3.7521769780742118</v>
      </c>
      <c r="AY30" s="82">
        <f t="shared" ca="1" si="1"/>
        <v>0</v>
      </c>
      <c r="AZ30" s="90">
        <f ca="1">_xlfn.XLOOKUP(TabCalc[[#This Row],[Ticker]],[1]!RTData[Ticker_Symbol],[1]!RTData[V/VA])</f>
        <v>1.1079459906615486E-3</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1.1079459906615486E-3</v>
      </c>
      <c r="BC30" s="87" cm="1">
        <f t="array" aca="1" ref="BC30" ca="1">INDEX(TabReg[], 1, _xlfn.XMATCH(TabCalc[[#This Row],[Ticker]]&amp;1, TabReg[#Headers], 0))</f>
        <v>200</v>
      </c>
      <c r="BD30" s="159">
        <f ca="1">TabCalc[[#This Row],[Nbegin]]*TabCalc[[#This Row],[M]]*TabCalc[[#This Row],[Scale]]+TabCalc[[#This Row],[ValueBegin]]</f>
        <v>-20077.07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272208.93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-515961.97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60.91</v>
      </c>
      <c r="BR30" s="174" t="str">
        <f ca="1">IF(TabCalc[[#This Row],[EfCost]]+TabCalc[[#This Row],[M_V]]&lt;TabCalc[[#This Row],[NoT_GL]],"Pile","")</f>
        <v>Pile</v>
      </c>
      <c r="BS30" s="165" t="e">
        <f ca="1">_xlfn.XLOOKUP(TabCalc[[#This Row],[Ticker]],[1]!RTData[Ticker_Symbol],[1]!#REF!)</f>
        <v>#REF!</v>
      </c>
      <c r="BT30" s="175">
        <f ca="1">(TabCalc[[#This Row],[ValueBegin]]+(TabCalc[[#This Row],[M]]-TabCalc[[#This Row],[A]])*TabCalc[[#This Row],[NAfter]])*TabCalc[[#This Row],[Scale]]</f>
        <v>-587535.11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-562504.04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78.777375137860403</v>
      </c>
      <c r="CV30" s="404">
        <f ca="1">IF(TabCalc[[#This Row],[ntoBuy]]*TabCalc[[#This Row],[M]]&lt;=0,0,TabCalc[[#This Row],[ntoBuy]]*TabCalc[[#This Row],[M]])</f>
        <v>1951.3155821648022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-562504.04</v>
      </c>
      <c r="DB30" s="90">
        <f ca="1">IFERROR((TabCalc[[#This Row],[M]]+TabCalc[[#This Row],[L_Bp]])/ABS(TabCalc[[#This Row],[L_Bp]])/(TODAY()-TabCalc[[#This Row],[L_Bdate]])*360,"")</f>
        <v>-0.49434331052989022</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0" s="87">
        <f ca="1">TabCalc[[#This Row],[Nbegin]]*TabCalc[[#This Row],[Scale]]*TabCalc[[#This Row],[M]]</f>
        <v>4954</v>
      </c>
      <c r="DF30" s="87" cm="1">
        <f t="array" aca="1" ref="DF30" ca="1">SUMPRODUCT(ISNUMBER(INDIRECT("TabReg["&amp;TabCalc[[#This Row],[Ticker]]&amp;"2]"))* INDIRECT("TabReg["&amp;TabCalc[[#This Row],[Ticker]]&amp;"1]") * INDIRECT("TabReg["&amp;TabCalc[[#This Row],[Ticker]]&amp;"2]") )*TabCalc[[#This Row],[Scale]]</f>
        <v>-813201.97</v>
      </c>
      <c r="DI30" s="87">
        <f ca="1"/>
        <v>280400</v>
      </c>
      <c r="DJ30" s="90">
        <f t="shared" ca="1" si="2"/>
        <v>0.50191515943544174</v>
      </c>
      <c r="DK30" t="str">
        <f ca="1">_xlfn.XLOOKUP(DI30,TabCalc[Column1],TabCalc[Ticker])</f>
        <v>VLVLY</v>
      </c>
      <c r="DL30" s="87">
        <f ca="1">_xlfn.XLOOKUP(DK30,TabCalc[Ticker],TabCalc[ValueBegin])</f>
        <v>-191300</v>
      </c>
      <c r="DM30" s="87">
        <f ca="1">_xlfn.XLOOKUP(DK30,TabCalc[Ticker],TabCalc[M_V])</f>
        <v>84120</v>
      </c>
      <c r="DN30" s="87">
        <f ca="1">_xlfn.XLOOKUP(DK30,TabCalc[Ticker],TabCalc[GL])</f>
        <v>96016.37</v>
      </c>
      <c r="DO30" s="90"/>
      <c r="DP30" s="90"/>
      <c r="DQ30" s="88" t="s">
        <v>27</v>
      </c>
      <c r="DR30" s="81">
        <v>10000</v>
      </c>
      <c r="DS30" s="315">
        <v>-105.48</v>
      </c>
      <c r="DU30" s="82">
        <v>285000</v>
      </c>
      <c r="DV30" s="82">
        <f ca="1">DU30-TabCalc[[#This Row],[M_V]]</f>
        <v>-12240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4999764</v>
      </c>
      <c r="G31" s="82">
        <f ca="1">IFERROR(TabCalc[[#This Row],[SB]]-TabCalc[[#This Row],[SST]],TabCalc[[#This Row],[SB]])</f>
        <v>9800</v>
      </c>
      <c r="H31" s="532" t="str">
        <f ca="1">[1]!RTData[[#This Row],[Ticker_Symbol]]</f>
        <v>MSFT</v>
      </c>
      <c r="I31" s="383">
        <f ca="1">_xlfn.XLOOKUP(TabCalc[[#This Row],[Ticker]],[1]!RTData[Ticker_Symbol],[1]!RTData[M_Price])</f>
        <v>510.18</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1.3690000000000001E-2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2.3128122354208972E-2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-547.50000000000512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19762.5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2060.9999999999927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1012.9999999999995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117110</v>
      </c>
      <c r="AQ31" s="334">
        <f ca="1">_xlfn.LET(_xlpm.MVToday,DataShift!AV531,         _xlpm.MVY,DataShift!AU532,        _xlpm.MVYY, DataShift!AT532,                                IF(_xlpm.MVToday=_xlpm.MVY,_xlpm.MVY-_xlpm.MVYY,_xlpm.MVToday-_xlpm.MVY))</f>
        <v>-294220.09999999998</v>
      </c>
      <c r="AR31" s="334">
        <f ca="1">_xlfn.LET(_xlpm.MVToday,DataShift!AV531,         _xlpm.MVY,DataShift!AU532,        _xlpm.MVYY, DataShift!AT532,         _xlpm.MVYYY, DataShift!AS532,                      IF(_xlpm.MVToday=_xlpm.MVY,      _xlpm.MVYY-_xlpm.MVYYY,          _xlpm.MVY-_xlpm.MVYY))</f>
        <v>5040</v>
      </c>
      <c r="AS31" s="984">
        <f ca="1">TabCalc[[#This Row],[Y]]/TabCalc[[#This Row],[M]]</f>
        <v>1.2274619938061075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-4.891498227119059</v>
      </c>
      <c r="AY31" s="82">
        <f t="shared" ca="1" si="1"/>
        <v>200</v>
      </c>
      <c r="AZ31" s="90">
        <f ca="1">_xlfn.XLOOKUP(TabCalc[[#This Row],[Ticker]],[1]!RTData[Ticker_Symbol],[1]!RTData[V/VA])</f>
        <v>1.3927540245892689E-3</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1.3927540245892689E-3</v>
      </c>
      <c r="BC31" s="87" cm="1">
        <f t="array" aca="1" ref="BC31" ca="1">INDEX(TabReg[], 1, _xlfn.XMATCH(TabCalc[[#This Row],[Ticker]]&amp;1, TabReg[#Headers], 0))</f>
        <v>10000</v>
      </c>
      <c r="BD31" s="159">
        <f ca="1">TabCalc[[#This Row],[Nbegin]]*TabCalc[[#This Row],[M]]*TabCalc[[#This Row],[Scale]]+TabCalc[[#This Row],[ValueBegin]]</f>
        <v>4047000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3944964</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4085313.56</v>
      </c>
      <c r="BM31" s="159">
        <f ca="1">IF(        OR( TabCalc[[#This Row],[GL]]&gt;ABS(TabCalc[[#This Row],[EfCost]]),TabCalc[[#This Row],[NAfter]]=0),             TabCalc[[#This Row],[GL]],     0)</f>
        <v>4085313.56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154.13</v>
      </c>
      <c r="BR31" s="174" t="str">
        <f ca="1">IF(TabCalc[[#This Row],[EfCost]]+TabCalc[[#This Row],[M_V]]&lt;TabCalc[[#This Row],[NoT_GL]],"Pile","")</f>
        <v/>
      </c>
      <c r="BS31" s="165" t="e">
        <f ca="1">_xlfn.XLOOKUP(TabCalc[[#This Row],[Ticker]],[1]!RTData[Ticker_Symbol],[1]!#REF!)</f>
        <v>#REF!</v>
      </c>
      <c r="BT31" s="175">
        <f ca="1">(TabCalc[[#This Row],[ValueBegin]]+(TabCalc[[#This Row],[M]]-TabCalc[[#This Row],[A]])*TabCalc[[#This Row],[NAfter]])*TabCalc[[#This Row],[Scale]]</f>
        <v>671950.40000000014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1726750.4000000001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363.90101892285423</v>
      </c>
      <c r="CV31" s="404">
        <f ca="1">IF(TabCalc[[#This Row],[ntoBuy]]*TabCalc[[#This Row],[M]]&lt;=0,0,TabCalc[[#This Row],[ntoBuy]]*TabCalc[[#This Row],[M]])</f>
        <v>185655.02183406177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14285.04</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1726750.4000000001</v>
      </c>
      <c r="DB31" s="90">
        <f ca="1">IFERROR((TabCalc[[#This Row],[M]]+TabCalc[[#This Row],[L_Bp]])/ABS(TabCalc[[#This Row],[L_Bp]])/(TODAY()-TabCalc[[#This Row],[L_Bdate]])*360,"")</f>
        <v>-7.3064743481029704E-2</v>
      </c>
      <c r="DC31" s="310">
        <f ca="1">MEDIAN(DataShift!F731:Z731)</f>
        <v>-8.0000000000000002E-3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1" s="87">
        <f ca="1">TabCalc[[#This Row],[Nbegin]]*TabCalc[[#This Row],[Scale]]*TabCalc[[#This Row],[M]]</f>
        <v>5101800</v>
      </c>
      <c r="DF31" s="87" cm="1">
        <f t="array" aca="1" ref="DF31" ca="1">SUMPRODUCT(ISNUMBER(INDIRECT("TabReg["&amp;TabCalc[[#This Row],[Ticker]]&amp;"2]"))* INDIRECT("TabReg["&amp;TabCalc[[#This Row],[Ticker]]&amp;"1]") * INDIRECT("TabReg["&amp;TabCalc[[#This Row],[Ticker]]&amp;"2]") )*TabCalc[[#This Row],[Scale]]</f>
        <v>-914450.44</v>
      </c>
      <c r="DI31" s="87">
        <f ca="1"/>
        <v>275184</v>
      </c>
      <c r="DJ31" s="90">
        <f t="shared" ca="1" si="2"/>
        <v>0.40653992878942019</v>
      </c>
      <c r="DK31" t="str">
        <f ca="1">_xlfn.XLOOKUP(DI31,TabCalc[Column1],TabCalc[Ticker])</f>
        <v>SAFGM</v>
      </c>
      <c r="DL31" s="87">
        <f ca="1">_xlfn.XLOOKUP(DK31,TabCalc[Ticker],TabCalc[ValueBegin])</f>
        <v>-153348</v>
      </c>
      <c r="DM31" s="87">
        <f ca="1">_xlfn.XLOOKUP(DK31,TabCalc[Ticker],TabCalc[M_V])</f>
        <v>0</v>
      </c>
      <c r="DN31" s="87">
        <f ca="1">_xlfn.XLOOKUP(DK31,TabCalc[Ticker],TabCalc[GL])</f>
        <v>62342.085000000006</v>
      </c>
      <c r="DO31" s="90"/>
      <c r="DP31" s="90"/>
      <c r="DQ31" s="88" t="s">
        <v>28</v>
      </c>
      <c r="DR31" s="81">
        <v>4200</v>
      </c>
      <c r="DS31" s="315">
        <v>-72.357823809523808</v>
      </c>
      <c r="DU31" s="82">
        <v>5040434</v>
      </c>
      <c r="DV31" s="82">
        <f ca="1">DU31-TabCalc[[#This Row],[M_V]]</f>
        <v>40670</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83.85</v>
      </c>
      <c r="G32" s="82">
        <f ca="1">IFERROR(TabCalc[[#This Row],[SB]]-TabCalc[[#This Row],[SST]],TabCalc[[#This Row],[SB]])</f>
        <v>1</v>
      </c>
      <c r="H32" s="532" t="str">
        <f ca="1">[1]!RTData[[#This Row],[Ticker_Symbol]]</f>
        <v>NEE</v>
      </c>
      <c r="I32" s="383">
        <f ca="1">_xlfn.XLOOKUP(TabCalc[[#This Row],[Ticker]],[1]!RTData[Ticker_Symbol],[1]!RTData[M_Price])</f>
        <v>83.85</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-1.6669999999999999E-3</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-3.5786394066425094E-2</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12.84955699999999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11.289999999999992</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-790.01999999999589</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256.50000000000119</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0.3399999999999892</v>
      </c>
      <c r="AQ32" s="334">
        <f ca="1">_xlfn.LET(_xlpm.MVToday,DataShift!AV532,         _xlpm.MVY,DataShift!AU533,        _xlpm.MVYY, DataShift!AT533,                                IF(_xlpm.MVToday=_xlpm.MVY,_xlpm.MVY-_xlpm.MVYY,_xlpm.MVToday-_xlpm.MVY))</f>
        <v>-4579534</v>
      </c>
      <c r="AR32" s="334">
        <f ca="1">_xlfn.LET(_xlpm.MVToday,DataShift!AV532,         _xlpm.MVY,DataShift!AU533,        _xlpm.MVYY, DataShift!AT533,         _xlpm.MVYYY, DataShift!AS533,                      IF(_xlpm.MVToday=_xlpm.MVY,      _xlpm.MVYY-_xlpm.MVYYY,          _xlpm.MVY-_xlpm.MVYY))</f>
        <v>4704</v>
      </c>
      <c r="AS32" s="984">
        <f ca="1">TabCalc[[#This Row],[Y]]/TabCalc[[#This Row],[M]]</f>
        <v>1.0852713178294575</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-4.7904208194905984E-2</v>
      </c>
      <c r="AY32" s="82">
        <f t="shared" ca="1" si="1"/>
        <v>4199</v>
      </c>
      <c r="AZ32" s="90">
        <f ca="1">_xlfn.XLOOKUP(TabCalc[[#This Row],[Ticker]],[1]!RTData[Ticker_Symbol],[1]!RTData[V/VA])</f>
        <v>1.303453695704332E-4</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1.303453695704332E-4</v>
      </c>
      <c r="BC32" s="87" cm="1">
        <f t="array" aca="1" ref="BC32" ca="1">INDEX(TabReg[], 1, _xlfn.XMATCH(TabCalc[[#This Row],[Ticker]]&amp;1, TabReg[#Headers], 0))</f>
        <v>4200</v>
      </c>
      <c r="BD32" s="159">
        <f ca="1">TabCalc[[#This Row],[Nbegin]]*TabCalc[[#This Row],[M]]*TabCalc[[#This Row],[Scale]]+TabCalc[[#This Row],[ValueBegin]]</f>
        <v>48267.140000000014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-303819.01</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66718.001999999979</v>
      </c>
      <c r="BM32" s="159">
        <f ca="1">IF(        OR( TabCalc[[#This Row],[GL]]&gt;ABS(TabCalc[[#This Row],[EfCost]]),TabCalc[[#This Row],[NAfter]]=0),             TabCalc[[#This Row],[GL]],     0)</f>
        <v>66718.001999999979</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t="e">
        <f ca="1">_xlfn.XLOOKUP(TabCalc[[#This Row],[Ticker]],[1]!RTData[Ticker_Symbol],[1]!#REF!)</f>
        <v>#REF!</v>
      </c>
      <c r="BT32" s="175">
        <f ca="1">(TabCalc[[#This Row],[ValueBegin]]+(TabCalc[[#This Row],[M]]-TabCalc[[#This Row],[A]])*TabCalc[[#This Row],[NAfter]])*TabCalc[[#This Row],[Scale]]</f>
        <v>-303890.01044300001</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12.84955699999999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83.85</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12.84955699999999</v>
      </c>
      <c r="DB32" s="90">
        <f ca="1">IFERROR((TabCalc[[#This Row],[M]]+TabCalc[[#This Row],[L_Bp]])/ABS(TabCalc[[#This Row],[L_Bp]])/(TODAY()-TabCalc[[#This Row],[L_Bdate]])*360,"")</f>
        <v>0.95812171862911033</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2" s="87">
        <f ca="1">TabCalc[[#This Row],[Nbegin]]*TabCalc[[#This Row],[Scale]]*TabCalc[[#This Row],[M]]</f>
        <v>352170</v>
      </c>
      <c r="DF32" s="87" cm="1">
        <f t="array" aca="1" ref="DF32" ca="1">SUMPRODUCT(ISNUMBER(INDIRECT("TabReg["&amp;TabCalc[[#This Row],[Ticker]]&amp;"2]"))* INDIRECT("TabReg["&amp;TabCalc[[#This Row],[Ticker]]&amp;"1]") * INDIRECT("TabReg["&amp;TabCalc[[#This Row],[Ticker]]&amp;"2]") )*TabCalc[[#This Row],[Scale]]</f>
        <v>66634.151999999973</v>
      </c>
      <c r="DI32" s="87">
        <f ca="1"/>
        <v>273960</v>
      </c>
      <c r="DJ32" s="90">
        <f t="shared" ca="1" si="2"/>
        <v>1.2973864994026283</v>
      </c>
      <c r="DK32" t="str">
        <f ca="1">_xlfn.XLOOKUP(DI32,TabCalc[Column1],TabCalc[Ticker])</f>
        <v>HPE</v>
      </c>
      <c r="DL32" s="87">
        <f ca="1">_xlfn.XLOOKUP(DK32,TabCalc[Ticker],TabCalc[ValueBegin])</f>
        <v>-133920</v>
      </c>
      <c r="DM32" s="87">
        <f ca="1">_xlfn.XLOOKUP(DK32,TabCalc[Ticker],TabCalc[M_V])</f>
        <v>210035.99999999997</v>
      </c>
      <c r="DN32" s="87">
        <f ca="1">_xlfn.XLOOKUP(DK32,TabCalc[Ticker],TabCalc[GL])</f>
        <v>173745.99999999997</v>
      </c>
      <c r="DO32" s="90"/>
      <c r="DP32" s="90"/>
      <c r="DQ32" s="88" t="s">
        <v>29</v>
      </c>
      <c r="DR32" s="81">
        <v>15000</v>
      </c>
      <c r="DS32" s="315">
        <v>-19.104759999999999</v>
      </c>
      <c r="DU32" s="82">
        <v>32680</v>
      </c>
      <c r="DV32" s="82">
        <f ca="1">DU32-TabCalc[[#This Row],[M_V]]</f>
        <v>32596.15</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1756000</v>
      </c>
      <c r="G33" s="82">
        <f ca="1">IFERROR(TabCalc[[#This Row],[SB]]-TabCalc[[#This Row],[SST]],TabCalc[[#This Row],[SB]])</f>
        <v>20000</v>
      </c>
      <c r="H33" s="532" t="str">
        <f ca="1">[1]!RTData[[#This Row],[Ticker_Symbol]]</f>
        <v>NEM</v>
      </c>
      <c r="I33" s="383">
        <f ca="1">_xlfn.XLOOKUP(TabCalc[[#This Row],[Ticker]],[1]!RTData[Ticker_Symbol],[1]!RTData[M_Price])</f>
        <v>87.8</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-2.1400000000000002E-2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-3.5306196621585108E-2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17840.000000000004</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7920.0000000000018</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-12659.999999999996</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6420.0000000000018</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32200</v>
      </c>
      <c r="AQ33" s="334">
        <f ca="1">_xlfn.LET(_xlpm.MVToday,DataShift!AV533,         _xlpm.MVY,DataShift!AU534,        _xlpm.MVYY, DataShift!AT534,                                IF(_xlpm.MVToday=_xlpm.MVY,_xlpm.MVY-_xlpm.MVYY,_xlpm.MVToday-_xlpm.MVY))</f>
        <v>4999680.29</v>
      </c>
      <c r="AR33" s="334">
        <f ca="1">_xlfn.LET(_xlpm.MVToday,DataShift!AV533,         _xlpm.MVY,DataShift!AU534,        _xlpm.MVYY, DataShift!AT534,         _xlpm.MVYYY, DataShift!AS534,                      IF(_xlpm.MVToday=_xlpm.MVY,      _xlpm.MVYY-_xlpm.MVYYY,          _xlpm.MVY-_xlpm.MVYY))</f>
        <v>1.3199999999999932</v>
      </c>
      <c r="AS33" s="984">
        <f ca="1">TabCalc[[#This Row],[Y]]/TabCalc[[#This Row],[M]]</f>
        <v>1.1701025056947609</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-0.36931992581206968</v>
      </c>
      <c r="AY33" s="82">
        <f t="shared" ca="1" si="1"/>
        <v>0</v>
      </c>
      <c r="AZ33" s="90">
        <f ca="1">_xlfn.XLOOKUP(TabCalc[[#This Row],[Ticker]],[1]!RTData[Ticker_Symbol],[1]!RTData[V/VA])</f>
        <v>4.6623648690558679E-4</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4.6623648690558679E-4</v>
      </c>
      <c r="BC33" s="87" cm="1">
        <f t="array" aca="1" ref="BC33" ca="1">INDEX(TabReg[], 1, _xlfn.XMATCH(TabCalc[[#This Row],[Ticker]]&amp;1, TabReg[#Headers], 0))</f>
        <v>15000</v>
      </c>
      <c r="BD33" s="159">
        <f ca="1">TabCalc[[#This Row],[Nbegin]]*TabCalc[[#This Row],[M]]*TabCalc[[#This Row],[Scale]]+TabCalc[[#This Row],[ValueBegin]]</f>
        <v>1030428.6000000001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1469428.6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1274414.9300000002</v>
      </c>
      <c r="BM33" s="159">
        <f ca="1">IF(        OR( TabCalc[[#This Row],[GL]]&gt;ABS(TabCalc[[#This Row],[EfCost]]),TabCalc[[#This Row],[NAfter]]=0),             TabCalc[[#This Row],[GL]],     0)</f>
        <v>1274414.9300000002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t="e">
        <f ca="1">_xlfn.XLOOKUP(TabCalc[[#This Row],[Ticker]],[1]!RTData[Ticker_Symbol],[1]!#REF!)</f>
        <v>#REF!</v>
      </c>
      <c r="BT33" s="175">
        <f ca="1">(TabCalc[[#This Row],[ValueBegin]]+(TabCalc[[#This Row],[M]]-TabCalc[[#This Row],[A]])*TabCalc[[#This Row],[NAfter]])*TabCalc[[#This Row],[Scale]]</f>
        <v>221676.51000000007</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508247.91000000003</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560.53811659192809</v>
      </c>
      <c r="CX33" s="405">
        <f ca="1">TabCalc[[#This Row],[ntoSell]]*TabCalc[[#This Row],[M]]</f>
        <v>49215.246636771284</v>
      </c>
      <c r="CY33" s="398">
        <f ca="1">_xlfn.LET(_xlpm.nToSell,IF(TabCalc[[#This Row],[M]]-TabCalc[[#This Row],[A]]&lt;=0,"",INT(DesiredSaleGain/(TabCalc[[#This Row],[M]]-IF(TabCalc[[#This Row],[E]]&gt;0,0,TabCalc[[#This Row],[A]])))),IF(_xlpm.nToSell&lt;=TabCalc[[#This Row],[NAfter]],_xlpm.nToSell,0))</f>
        <v>196</v>
      </c>
      <c r="CZ33" s="336">
        <f ca="1">IFERROR(TabCalc[[#This Row],[NMA]]*TabCalc[[#This Row],[M]],"")</f>
        <v>17208.8</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508247.91000000003</v>
      </c>
      <c r="DB33" s="90">
        <f ca="1">IFERROR((TabCalc[[#This Row],[M]]+TabCalc[[#This Row],[L_Bp]])/ABS(TabCalc[[#This Row],[L_Bp]])/(TODAY()-TabCalc[[#This Row],[L_Bdate]])*360,"")</f>
        <v>3.1315337806210026</v>
      </c>
      <c r="DC33" s="310">
        <f ca="1">MEDIAN(DataShift!F733:Z733)</f>
        <v>-1.6669999999999999E-3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3" s="87">
        <f ca="1">TabCalc[[#This Row],[Nbegin]]*TabCalc[[#This Row],[Scale]]*TabCalc[[#This Row],[M]]</f>
        <v>1317000</v>
      </c>
      <c r="DF33" s="87" cm="1">
        <f t="array" aca="1" ref="DF33" ca="1">SUMPRODUCT(ISNUMBER(INDIRECT("TabReg["&amp;TabCalc[[#This Row],[Ticker]]&amp;"2]"))* INDIRECT("TabReg["&amp;TabCalc[[#This Row],[Ticker]]&amp;"1]") * INDIRECT("TabReg["&amp;TabCalc[[#This Row],[Ticker]]&amp;"2]") )*TabCalc[[#This Row],[Scale]]</f>
        <v>-481585.06999999983</v>
      </c>
      <c r="DI33" s="87">
        <f ca="1"/>
        <v>271781.32799999998</v>
      </c>
      <c r="DJ33" s="90">
        <f t="shared" ca="1" si="2"/>
        <v>-0.62958338652941814</v>
      </c>
      <c r="DK33" t="str">
        <f ca="1">_xlfn.XLOOKUP(DI33,TabCalc[Column1],TabCalc[Ticker])</f>
        <v>MVEALDNE</v>
      </c>
      <c r="DL33" s="87">
        <f ca="1">_xlfn.XLOOKUP(DK33,TabCalc[Ticker],TabCalc[ValueBegin])</f>
        <v>-462186.26999999996</v>
      </c>
      <c r="DM33" s="87">
        <f ca="1">_xlfn.XLOOKUP(DK33,TabCalc[Ticker],TabCalc[M_V])</f>
        <v>347440</v>
      </c>
      <c r="DN33" s="87">
        <f ca="1">_xlfn.XLOOKUP(DK33,TabCalc[Ticker],TabCalc[GL])</f>
        <v>-290984.797074</v>
      </c>
      <c r="DO33" s="90"/>
      <c r="DP33" s="90"/>
      <c r="DQ33" s="88" t="s">
        <v>30</v>
      </c>
      <c r="DR33" s="81">
        <v>4000</v>
      </c>
      <c r="DS33" s="315">
        <v>-393.15</v>
      </c>
      <c r="DU33" s="82">
        <v>1419840</v>
      </c>
      <c r="DV33" s="82">
        <f ca="1">DU33-TabCalc[[#This Row],[M_V]]</f>
        <v>-336160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3336510</v>
      </c>
      <c r="G34" s="82">
        <f ca="1">IFERROR(TabCalc[[#This Row],[SB]]-TabCalc[[#This Row],[SST]],TabCalc[[#This Row],[SB]])</f>
        <v>3000</v>
      </c>
      <c r="H34" s="532" t="str">
        <f ca="1">[1]!RTData[[#This Row],[Ticker_Symbol]]</f>
        <v>NFLX</v>
      </c>
      <c r="I34" s="383">
        <f ca="1">_xlfn.XLOOKUP(TabCalc[[#This Row],[Ticker]],[1]!RTData[Ticker_Symbol],[1]!RTData[M_Price])</f>
        <v>1112.17</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-3.644E-2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-3.247011893681892E-2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7644.9999999999818</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4305.0000000000637</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12138.999999999987</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12315.999999999985</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-91680</v>
      </c>
      <c r="AQ34" s="334">
        <f ca="1">_xlfn.LET(_xlpm.MVToday,DataShift!AV534,         _xlpm.MVY,DataShift!AU535,        _xlpm.MVYY, DataShift!AT535,                                IF(_xlpm.MVToday=_xlpm.MVY,_xlpm.MVY-_xlpm.MVYY,_xlpm.MVToday-_xlpm.MVY))</f>
        <v>-1666916.15</v>
      </c>
      <c r="AR34" s="334">
        <f ca="1">_xlfn.LET(_xlpm.MVToday,DataShift!AV534,         _xlpm.MVY,DataShift!AU535,        _xlpm.MVYY, DataShift!AT535,         _xlpm.MVYYY, DataShift!AS535,                      IF(_xlpm.MVToday=_xlpm.MVY,      _xlpm.MVYY-_xlpm.MVYYY,          _xlpm.MVY-_xlpm.MVYY))</f>
        <v>14704</v>
      </c>
      <c r="AS34" s="984">
        <f ca="1">TabCalc[[#This Row],[Y]]/TabCalc[[#This Row],[M]]</f>
        <v>1.2114362912144725</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-8.6777911397127934</v>
      </c>
      <c r="AY34" s="82">
        <f t="shared" ca="1" si="1"/>
        <v>1000</v>
      </c>
      <c r="AZ34" s="90">
        <f ca="1">_xlfn.XLOOKUP(TabCalc[[#This Row],[Ticker]],[1]!RTData[Ticker_Symbol],[1]!RTData[V/VA])</f>
        <v>3.4597705182637987E-2</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3.4597705182637987E-2</v>
      </c>
      <c r="BC34" s="87" cm="1">
        <f t="array" aca="1" ref="BC34" ca="1">INDEX(TabReg[], 1, _xlfn.XMATCH(TabCalc[[#This Row],[Ticker]]&amp;1, TabReg[#Headers], 0))</f>
        <v>4000</v>
      </c>
      <c r="BD34" s="159">
        <f ca="1">TabCalc[[#This Row],[Nbegin]]*TabCalc[[#This Row],[M]]*TabCalc[[#This Row],[Scale]]+TabCalc[[#This Row],[ValueBegin]]</f>
        <v>2876080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1763910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1501438.99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983.69</v>
      </c>
      <c r="BR34" s="174" t="str">
        <f ca="1">IF(TabCalc[[#This Row],[EfCost]]+TabCalc[[#This Row],[M_V]]&lt;TabCalc[[#This Row],[NoT_GL]],"Pile","")</f>
        <v>Pile</v>
      </c>
      <c r="BS34" s="165" t="e">
        <f ca="1">_xlfn.XLOOKUP(TabCalc[[#This Row],[Ticker]],[1]!RTData[Ticker_Symbol],[1]!#REF!)</f>
        <v>#REF!</v>
      </c>
      <c r="BT34" s="175">
        <f ca="1">(TabCalc[[#This Row],[ValueBegin]]+(TabCalc[[#This Row],[M]]-TabCalc[[#This Row],[A]])*TabCalc[[#This Row],[NAfter]])*TabCalc[[#This Row],[Scale]]</f>
        <v>-1622894.9999999995</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-50294.999999999622</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41.189554329022201</v>
      </c>
      <c r="CV34" s="404">
        <f ca="1">IF(TabCalc[[#This Row],[ntoBuy]]*TabCalc[[#This Row],[M]]&lt;=0,0,TabCalc[[#This Row],[ntoBuy]]*TabCalc[[#This Row],[M]])</f>
        <v>45809.786638108621</v>
      </c>
      <c r="CW34" s="404">
        <f ca="1">IF(TabCalc[[#This Row],[M]]&gt;ABS(TabCalc[[#This Row],[L_Bp]]),MIN(TabCalc[[#This Row],[NAfter]],DesiredSaleGain/(TabCalc[[#This Row],[M]]+TabCalc[[#This Row],[L_Bp]])),0)/TabCalc[[#This Row],[Scale]]</f>
        <v>327.01111837802563</v>
      </c>
      <c r="CX34" s="405">
        <f ca="1">TabCalc[[#This Row],[ntoSell]]*TabCalc[[#This Row],[M]]</f>
        <v>363691.95552648877</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-50294.999999999622</v>
      </c>
      <c r="DB34" s="90">
        <f ca="1">IFERROR((TabCalc[[#This Row],[M]]+TabCalc[[#This Row],[L_Bp]])/ABS(TabCalc[[#This Row],[L_Bp]])/(TODAY()-TabCalc[[#This Row],[L_Bdate]])*360,"")</f>
        <v>0.20909306396324065</v>
      </c>
      <c r="DC34" s="310">
        <f ca="1">MEDIAN(DataShift!F734:Z734)</f>
        <v>8.9020000000000002E-3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4" s="87">
        <f ca="1">TabCalc[[#This Row],[Nbegin]]*TabCalc[[#This Row],[Scale]]*TabCalc[[#This Row],[M]]</f>
        <v>4448680</v>
      </c>
      <c r="DF34" s="87" cm="1">
        <f t="array" aca="1" ref="DF34" ca="1">SUMPRODUCT(ISNUMBER(INDIRECT("TabReg["&amp;TabCalc[[#This Row],[Ticker]]&amp;"2]"))* INDIRECT("TabReg["&amp;TabCalc[[#This Row],[Ticker]]&amp;"1]") * INDIRECT("TabReg["&amp;TabCalc[[#This Row],[Ticker]]&amp;"2]") )*TabCalc[[#This Row],[Scale]]</f>
        <v>-1835071.01</v>
      </c>
      <c r="DI34" s="87">
        <f ca="1"/>
        <v>245048.80000000002</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-57630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67734.180000000008</v>
      </c>
      <c r="G35" s="82">
        <f ca="1">IFERROR(TabCalc[[#This Row],[SB]]-TabCalc[[#This Row],[SST]],TabCalc[[#This Row],[SB]])</f>
        <v>26667</v>
      </c>
      <c r="H35" s="532" t="str">
        <f ca="1">[1]!RTData[[#This Row],[Ticker_Symbol]]</f>
        <v>NOTE</v>
      </c>
      <c r="I35" s="383">
        <f ca="1">_xlfn.XLOOKUP(TabCalc[[#This Row],[Ticker]],[1]!RTData[Ticker_Symbol],[1]!RTData[M_Price])</f>
        <v>2.54</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3.9529999999999999E-3</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0.30856295257047156</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-7150.0000000000009</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-176721.18749999997</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533.34000000001106</v>
      </c>
      <c r="AQ35" s="334">
        <f ca="1">_xlfn.LET(_xlpm.MVToday,DataShift!AV535,         _xlpm.MVY,DataShift!AU536,        _xlpm.MVYY, DataShift!AT536,                                IF(_xlpm.MVToday=_xlpm.MVY,_xlpm.MVY-_xlpm.MVYY,_xlpm.MVToday-_xlpm.MVY))</f>
        <v>-1541750</v>
      </c>
      <c r="AR35" s="334">
        <f ca="1">_xlfn.LET(_xlpm.MVToday,DataShift!AV535,         _xlpm.MVY,DataShift!AU536,        _xlpm.MVYY, DataShift!AT536,         _xlpm.MVYYY, DataShift!AS536,                      IF(_xlpm.MVToday=_xlpm.MVY,      _xlpm.MVYY-_xlpm.MVYYY,          _xlpm.MVY-_xlpm.MVYY))</f>
        <v>15120</v>
      </c>
      <c r="AS35" s="984">
        <f ca="1">TabCalc[[#This Row],[Y]]/TabCalc[[#This Row],[M]]</f>
        <v>12.402000000000001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-303.5883484834963</v>
      </c>
      <c r="AY35" s="82">
        <f t="shared" ca="1" si="1"/>
        <v>3333</v>
      </c>
      <c r="AZ35" s="90">
        <f ca="1">_xlfn.XLOOKUP(TabCalc[[#This Row],[Ticker]],[1]!RTData[Ticker_Symbol],[1]!RTData[V/VA])</f>
        <v>1.1904908516935759E-4</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1.1904908516935759E-4</v>
      </c>
      <c r="BC35" s="87" cm="1">
        <f t="array" aca="1" ref="BC35" ca="1">INDEX(TabReg[], 1, _xlfn.XMATCH(TabCalc[[#This Row],[Ticker]]&amp;1, TabReg[#Headers], 0))</f>
        <v>24167</v>
      </c>
      <c r="BD35" s="159">
        <f ca="1">TabCalc[[#This Row],[Nbegin]]*TabCalc[[#This Row],[M]]*TabCalc[[#This Row],[Scale]]+TabCalc[[#This Row],[ValueBegin]]</f>
        <v>40500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32034.180000000008</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-183871.1875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t="e">
        <f ca="1">_xlfn.XLOOKUP(TabCalc[[#This Row],[Ticker]],[1]!RTData[Ticker_Symbol],[1]!#REF!)</f>
        <v>#REF!</v>
      </c>
      <c r="BT35" s="175">
        <f ca="1">(TabCalc[[#This Row],[ValueBegin]]+(TabCalc[[#This Row],[M]]-TabCalc[[#This Row],[A]])*TabCalc[[#This Row],[NAfter]])*TabCalc[[#This Row],[Scale]]</f>
        <v>-219571.1875</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-183871.1875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-183871.1875</v>
      </c>
      <c r="DB35" s="90">
        <f ca="1">IFERROR((TabCalc[[#This Row],[M]]+TabCalc[[#This Row],[L_Bp]])/ABS(TabCalc[[#This Row],[L_Bp]])/(TODAY()-TabCalc[[#This Row],[L_Bdate]])*360,"")</f>
        <v>-2.5422222222222222</v>
      </c>
      <c r="DC35" s="310">
        <f ca="1">MEDIAN(DataShift!F735:Z735)</f>
        <v>-2.49E-3</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76200</v>
      </c>
      <c r="DF35" s="87" cm="1">
        <f t="array" aca="1" ref="DF35" ca="1">SUMPRODUCT(ISNUMBER(INDIRECT("TabReg["&amp;TabCalc[[#This Row],[Ticker]]&amp;"2]"))* INDIRECT("TabReg["&amp;TabCalc[[#This Row],[Ticker]]&amp;"1]") * INDIRECT("TabReg["&amp;TabCalc[[#This Row],[Ticker]]&amp;"2]") )*TabCalc[[#This Row],[Scale]]</f>
        <v>-251605.36749999999</v>
      </c>
      <c r="DI35" s="87">
        <f ca="1"/>
        <v>210200</v>
      </c>
      <c r="DJ35" s="90">
        <f t="shared" ref="DJ35:DJ66" ca="1" si="3">DN35/ABS(DL35)</f>
        <v>0.33261854593248424</v>
      </c>
      <c r="DK35" t="str">
        <f ca="1">_xlfn.XLOOKUP(DI35,TabCalc[Column1],TabCalc[Ticker])</f>
        <v>MVESAP</v>
      </c>
      <c r="DL35" s="87">
        <f ca="1">_xlfn.XLOOKUP(DK35,TabCalc[Ticker],TabCalc[ValueBegin])</f>
        <v>-144560</v>
      </c>
      <c r="DM35" s="87">
        <f ca="1">_xlfn.XLOOKUP(DK35,TabCalc[Ticker],TabCalc[M_V])</f>
        <v>84290.2</v>
      </c>
      <c r="DN35" s="87">
        <f ca="1">_xlfn.XLOOKUP(DK35,TabCalc[Ticker],TabCalc[GL])</f>
        <v>48083.336999999919</v>
      </c>
      <c r="DO35" s="90"/>
      <c r="DP35" s="90"/>
      <c r="DQ35" s="88" t="s">
        <v>32</v>
      </c>
      <c r="DR35">
        <v>500</v>
      </c>
      <c r="DS35" s="315">
        <v>-896.1</v>
      </c>
      <c r="DU35" s="82">
        <v>98934.569999999992</v>
      </c>
      <c r="DV35" s="82">
        <f ca="1">DU35-TabCalc[[#This Row],[M_V]]</f>
        <v>31200.389999999985</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154040</v>
      </c>
      <c r="G36" s="82">
        <f ca="1">IFERROR(TabCalc[[#This Row],[SB]]-TabCalc[[#This Row],[SST]],TabCalc[[#This Row],[SB]])</f>
        <v>4000</v>
      </c>
      <c r="H36" s="532" t="str">
        <f ca="1">[1]!RTData[[#This Row],[Ticker_Symbol]]</f>
        <v>PAAS</v>
      </c>
      <c r="I36" s="383">
        <f ca="1">_xlfn.XLOOKUP(TabCalc[[#This Row],[Ticker]],[1]!RTData[Ticker_Symbol],[1]!RTData[M_Price])</f>
        <v>38.51</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-1.3828E-2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0.47023049287486318</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4184.9999999999991</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10979.999999999996</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395.2500000000008</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-2219.9999999999991</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6800</v>
      </c>
      <c r="AQ36" s="334">
        <f ca="1">_xlfn.LET(_xlpm.MVToday,DataShift!AV536,         _xlpm.MVY,DataShift!AU537,        _xlpm.MVYY, DataShift!AT537,                                IF(_xlpm.MVToday=_xlpm.MVY,_xlpm.MVY-_xlpm.MVYY,_xlpm.MVToday-_xlpm.MVY))</f>
        <v>3255175.65</v>
      </c>
      <c r="AR36" s="334">
        <f ca="1">_xlfn.LET(_xlpm.MVToday,DataShift!AV536,         _xlpm.MVY,DataShift!AU537,        _xlpm.MVYY, DataShift!AT537,         _xlpm.MVYYY, DataShift!AS537,                      IF(_xlpm.MVToday=_xlpm.MVY,      _xlpm.MVYY-_xlpm.MVYYY,          _xlpm.MVY-_xlpm.MVYY))</f>
        <v>2256.0282000000007</v>
      </c>
      <c r="AS36" s="984">
        <f ca="1">TabCalc[[#This Row],[Y]]/TabCalc[[#This Row],[M]]</f>
        <v>1.2172163074526097</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-0.32425227850774707</v>
      </c>
      <c r="AY36" s="82">
        <f t="shared" ca="1" si="1"/>
        <v>0</v>
      </c>
      <c r="AZ36" s="90">
        <f ca="1">_xlfn.XLOOKUP(TabCalc[[#This Row],[Ticker]],[1]!RTData[Ticker_Symbol],[1]!RTData[V/VA])</f>
        <v>5.2451708599980218E-4</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5.2451708599980218E-4</v>
      </c>
      <c r="BC36" s="87" cm="1">
        <f t="array" aca="1" ref="BC36" ca="1">INDEX(TabReg[], 1, _xlfn.XMATCH(TabCalc[[#This Row],[Ticker]]&amp;1, TabReg[#Headers], 0))</f>
        <v>3000</v>
      </c>
      <c r="BD36" s="159">
        <f ca="1">TabCalc[[#This Row],[Nbegin]]*TabCalc[[#This Row],[M]]*TabCalc[[#This Row],[Scale]]+TabCalc[[#This Row],[ValueBegin]]</f>
        <v>28650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67160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86797.549999999988</v>
      </c>
      <c r="BM36" s="159">
        <f ca="1">IF(        OR( TabCalc[[#This Row],[GL]]&gt;ABS(TabCalc[[#This Row],[EfCost]]),TabCalc[[#This Row],[NAfter]]=0),             TabCalc[[#This Row],[GL]],     0)</f>
        <v>86797.549999999988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27.82</v>
      </c>
      <c r="BR36" s="174" t="str">
        <f ca="1">IF(TabCalc[[#This Row],[EfCost]]+TabCalc[[#This Row],[M_V]]&lt;TabCalc[[#This Row],[NoT_GL]],"Pile","")</f>
        <v/>
      </c>
      <c r="BS36" s="165" t="e">
        <f ca="1">_xlfn.XLOOKUP(TabCalc[[#This Row],[Ticker]],[1]!RTData[Ticker_Symbol],[1]!#REF!)</f>
        <v>#REF!</v>
      </c>
      <c r="BT36" s="175">
        <f ca="1">(TabCalc[[#This Row],[ValueBegin]]+(TabCalc[[#This Row],[M]]-TabCalc[[#This Row],[A]])*TabCalc[[#This Row],[NAfter]])*TabCalc[[#This Row],[Scale]]</f>
        <v>-49850.000000000015</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37029.999999999985</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6325.1106894370532</v>
      </c>
      <c r="CV36" s="404">
        <f ca="1">IF(TabCalc[[#This Row],[ntoBuy]]*TabCalc[[#This Row],[M]]&lt;=0,0,TabCalc[[#This Row],[ntoBuy]]*TabCalc[[#This Row],[M]])</f>
        <v>243580.01265022092</v>
      </c>
      <c r="CW36" s="404">
        <f ca="1">IF(TabCalc[[#This Row],[M]]&gt;ABS(TabCalc[[#This Row],[L_Bp]]),MIN(TabCalc[[#This Row],[NAfter]],DesiredSaleGain/(TabCalc[[#This Row],[M]]+TabCalc[[#This Row],[L_Bp]])),0)/TabCalc[[#This Row],[Scale]]</f>
        <v>1792.1146953405023</v>
      </c>
      <c r="CX36" s="405">
        <f ca="1">TabCalc[[#This Row],[ntoSell]]*TabCalc[[#This Row],[M]]</f>
        <v>69014.336917562745</v>
      </c>
      <c r="CY36" s="398">
        <f ca="1">_xlfn.LET(_xlpm.nToSell,IF(TabCalc[[#This Row],[M]]-TabCalc[[#This Row],[A]]&lt;=0,"",INT(DesiredSaleGain/(TabCalc[[#This Row],[M]]-IF(TabCalc[[#This Row],[E]]&gt;0,0,TabCalc[[#This Row],[A]])))),IF(_xlpm.nToSell&lt;=TabCalc[[#This Row],[NAfter]],_xlpm.nToSell,0))</f>
        <v>540</v>
      </c>
      <c r="CZ36" s="336">
        <f ca="1">IFERROR(TabCalc[[#This Row],[NMA]]*TabCalc[[#This Row],[M]],"")</f>
        <v>20795.399999999998</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37029.999999999985</v>
      </c>
      <c r="DB36" s="90">
        <f ca="1">IFERROR((TabCalc[[#This Row],[M]]+TabCalc[[#This Row],[L_Bp]])/ABS(TabCalc[[#This Row],[L_Bp]])/(TODAY()-TabCalc[[#This Row],[L_Bdate]])*360,"")</f>
        <v>1.041433370660694</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6" s="87">
        <f ca="1">TabCalc[[#This Row],[Nbegin]]*TabCalc[[#This Row],[Scale]]*TabCalc[[#This Row],[M]]</f>
        <v>115530</v>
      </c>
      <c r="DF36" s="87" cm="1">
        <f t="array" aca="1" ref="DF36" ca="1">SUMPRODUCT(ISNUMBER(INDIRECT("TabReg["&amp;TabCalc[[#This Row],[Ticker]]&amp;"2]"))* INDIRECT("TabReg["&amp;TabCalc[[#This Row],[Ticker]]&amp;"1]") * INDIRECT("TabReg["&amp;TabCalc[[#This Row],[Ticker]]&amp;"2]") )*TabCalc[[#This Row],[Scale]]</f>
        <v>-67242.450000000012</v>
      </c>
      <c r="DI36" s="87">
        <f ca="1"/>
        <v>202175</v>
      </c>
      <c r="DJ36" s="90">
        <f t="shared" ca="1" si="3"/>
        <v>1.015718640610149</v>
      </c>
      <c r="DK36" t="str">
        <f ca="1">_xlfn.XLOOKUP(DI36,TabCalc[Column1],TabCalc[Ticker])</f>
        <v>TSLA</v>
      </c>
      <c r="DL36" s="87">
        <f ca="1">_xlfn.XLOOKUP(DK36,TabCalc[Ticker],TabCalc[ValueBegin])</f>
        <v>-86274</v>
      </c>
      <c r="DM36" s="87">
        <f ca="1">_xlfn.XLOOKUP(DK36,TabCalc[Ticker],TabCalc[M_V])</f>
        <v>404.35</v>
      </c>
      <c r="DN36" s="87">
        <f ca="1">_xlfn.XLOOKUP(DK36,TabCalc[Ticker],TabCalc[GL])</f>
        <v>87630.11</v>
      </c>
      <c r="DO36" s="90"/>
      <c r="DP36" s="90"/>
      <c r="DQ36" s="88" t="s">
        <v>33</v>
      </c>
      <c r="DR36" s="81">
        <v>6000</v>
      </c>
      <c r="DS36" s="315">
        <v>-15.19</v>
      </c>
      <c r="DU36" s="82">
        <v>132800</v>
      </c>
      <c r="DV36" s="82">
        <f ca="1">DU36-TabCalc[[#This Row],[M_V]]</f>
        <v>-21240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27400</v>
      </c>
      <c r="G37" s="82">
        <f ca="1">IFERROR(TabCalc[[#This Row],[SB]]-TabCalc[[#This Row],[SST]],TabCalc[[#This Row],[SB]])</f>
        <v>4000</v>
      </c>
      <c r="H37" s="532" t="str">
        <f ca="1">[1]!RTData[[#This Row],[Ticker_Symbol]]</f>
        <v>PROF</v>
      </c>
      <c r="I37" s="383">
        <f ca="1">_xlfn.XLOOKUP(TabCalc[[#This Row],[Ticker]],[1]!RTData[Ticker_Symbol],[1]!RTData[M_Price])</f>
        <v>6.85</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7.8739999999999991E-2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0.11670605918928521</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6639.9999999999973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1250.1999999999996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-2479.9999999999986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160.00000000000014</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3440</v>
      </c>
      <c r="AQ37" s="334">
        <f ca="1">_xlfn.LET(_xlpm.MVToday,DataShift!AV537,         _xlpm.MVY,DataShift!AU538,        _xlpm.MVYY, DataShift!AT538,                                IF(_xlpm.MVToday=_xlpm.MVY,_xlpm.MVY-_xlpm.MVYY,_xlpm.MVToday-_xlpm.MVY))</f>
        <v>-71145.42</v>
      </c>
      <c r="AR37" s="334">
        <f ca="1">_xlfn.LET(_xlpm.MVToday,DataShift!AV537,         _xlpm.MVY,DataShift!AU538,        _xlpm.MVYY, DataShift!AT538,         _xlpm.MVYYY, DataShift!AS538,                      IF(_xlpm.MVToday=_xlpm.MVY,      _xlpm.MVYY-_xlpm.MVYYY,          _xlpm.MVY-_xlpm.MVYY))</f>
        <v>3899.6000000000058</v>
      </c>
      <c r="AS37" s="984">
        <f ca="1">TabCalc[[#This Row],[Y]]/TabCalc[[#This Row],[M]]</f>
        <v>1.7664233576642336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-1.7458300657537553</v>
      </c>
      <c r="AY37" s="82">
        <f t="shared" ref="AY37:AY68" ca="1" si="5">IF(G37&lt;C37,C37-G37,0)</f>
        <v>2000</v>
      </c>
      <c r="AZ37" s="90">
        <f ca="1">_xlfn.XLOOKUP(TabCalc[[#This Row],[Ticker]],[1]!RTData[Ticker_Symbol],[1]!RTData[V/VA])</f>
        <v>6.0746796594593659</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6.0746796594593659</v>
      </c>
      <c r="BC37" s="87" cm="1">
        <f t="array" aca="1" ref="BC37" ca="1">INDEX(TabReg[], 1, _xlfn.XMATCH(TabCalc[[#This Row],[Ticker]]&amp;1, TabReg[#Headers], 0))</f>
        <v>6000</v>
      </c>
      <c r="BD37" s="159">
        <f ca="1">TabCalc[[#This Row],[Nbegin]]*TabCalc[[#This Row],[M]]*TabCalc[[#This Row],[Scale]]+TabCalc[[#This Row],[ValueBegin]]</f>
        <v>-50040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-63740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7927.3800000000265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t="e">
        <f ca="1">_xlfn.XLOOKUP(TabCalc[[#This Row],[Ticker]],[1]!RTData[Ticker_Symbol],[1]!#REF!)</f>
        <v>#REF!</v>
      </c>
      <c r="BT37" s="175">
        <f ca="1">(TabCalc[[#This Row],[ValueBegin]]+(TabCalc[[#This Row],[M]]-TabCalc[[#This Row],[A]])*TabCalc[[#This Row],[NAfter]])*TabCalc[[#This Row],[Scale]]</f>
        <v>-84500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6639.9999999999973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3012.0481927710857</v>
      </c>
      <c r="CX37" s="405">
        <f ca="1">TabCalc[[#This Row],[ntoSell]]*TabCalc[[#This Row],[M]]</f>
        <v>20632.530120481937</v>
      </c>
      <c r="CY37" s="398">
        <f ca="1">_xlfn.LET(_xlpm.nToSell,IF(TabCalc[[#This Row],[M]]-TabCalc[[#This Row],[A]]&lt;=0,"",INT(DesiredSaleGain/(TabCalc[[#This Row],[M]]-IF(TabCalc[[#This Row],[E]]&gt;0,0,TabCalc[[#This Row],[A]])))),IF(_xlpm.nToSell&lt;=TabCalc[[#This Row],[NAfter]],_xlpm.nToSell,0))</f>
        <v>3012</v>
      </c>
      <c r="CZ37" s="336">
        <f ca="1">IFERROR(TabCalc[[#This Row],[NMA]]*TabCalc[[#This Row],[M]],"")</f>
        <v>20632.2</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6639.9999999999973</v>
      </c>
      <c r="DB37" s="90">
        <f ca="1">IFERROR((TabCalc[[#This Row],[M]]+TabCalc[[#This Row],[L_Bp]])/ABS(TabCalc[[#This Row],[L_Bp]])/(TODAY()-TabCalc[[#This Row],[L_Bdate]])*360,"")</f>
        <v>2.1323057161207442</v>
      </c>
      <c r="DC37" s="310">
        <f ca="1">MEDIAN(DataShift!F737:Z737)</f>
        <v>9.1970000000000003E-3</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7" s="87">
        <f ca="1">TabCalc[[#This Row],[Nbegin]]*TabCalc[[#This Row],[Scale]]*TabCalc[[#This Row],[M]]</f>
        <v>41100</v>
      </c>
      <c r="DF37" s="87" cm="1">
        <f t="array" aca="1" ref="DF37" ca="1">SUMPRODUCT(ISNUMBER(INDIRECT("TabReg["&amp;TabCalc[[#This Row],[Ticker]]&amp;"2]"))* INDIRECT("TabReg["&amp;TabCalc[[#This Row],[Ticker]]&amp;"1]") * INDIRECT("TabReg["&amp;TabCalc[[#This Row],[Ticker]]&amp;"2]") )*TabCalc[[#This Row],[Scale]]</f>
        <v>-19472.619999999974</v>
      </c>
      <c r="DI37" s="87">
        <f ca="1"/>
        <v>198000.00000000003</v>
      </c>
      <c r="DJ37" s="90">
        <f t="shared" ca="1" si="3"/>
        <v>-0.19372847769401239</v>
      </c>
      <c r="DK37" t="str">
        <f ca="1">_xlfn.XLOOKUP(DI37,TabCalc[Column1],TabCalc[Ticker])</f>
        <v>POET</v>
      </c>
      <c r="DL37" s="87">
        <f ca="1">_xlfn.XLOOKUP(DK37,TabCalc[Ticker],TabCalc[ValueBegin])</f>
        <v>-295684.51</v>
      </c>
      <c r="DM37" s="87">
        <f ca="1">_xlfn.XLOOKUP(DK37,TabCalc[Ticker],TabCalc[M_V])</f>
        <v>198000.00000000003</v>
      </c>
      <c r="DN37" s="87">
        <f ca="1">_xlfn.XLOOKUP(DK37,TabCalc[Ticker],TabCalc[GL])</f>
        <v>-57282.50999999998</v>
      </c>
      <c r="DO37" s="90"/>
      <c r="DP37" s="90"/>
      <c r="DQ37" s="88" t="s">
        <v>1088</v>
      </c>
      <c r="DR37" s="81">
        <v>45000</v>
      </c>
      <c r="DS37" s="315">
        <v>-6.5707668888888886</v>
      </c>
      <c r="DU37" s="82">
        <v>23560</v>
      </c>
      <c r="DV37" s="82">
        <f ca="1">DU37-TabCalc[[#This Row],[M_V]]</f>
        <v>-3840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198000.00000000003</v>
      </c>
      <c r="G38" s="82">
        <f ca="1">IFERROR(TabCalc[[#This Row],[SB]]-TabCalc[[#This Row],[SST]],TabCalc[[#This Row],[SB]])</f>
        <v>45000</v>
      </c>
      <c r="H38" s="532" t="str">
        <f ca="1">[1]!RTData[[#This Row],[Ticker_Symbol]]</f>
        <v>POET</v>
      </c>
      <c r="I38" s="383">
        <f ca="1">_xlfn.XLOOKUP(TabCalc[[#This Row],[Ticker]],[1]!RTData[Ticker_Symbol],[1]!RTData[M_Price])</f>
        <v>4.4000000000000004</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-6.3829999999999998E-2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-9.2431977277029065E-2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-1799.9999999999993</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4340.0000000000036</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11675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7500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9000.0000000000291</v>
      </c>
      <c r="AQ38" s="334">
        <f ca="1">_xlfn.LET(_xlpm.MVToday,DataShift!AV538,         _xlpm.MVY,DataShift!AU539,        _xlpm.MVYY, DataShift!AT539,                                IF(_xlpm.MVToday=_xlpm.MVY,_xlpm.MVY-_xlpm.MVYY,_xlpm.MVToday-_xlpm.MVY))</f>
        <v>130340</v>
      </c>
      <c r="AR38" s="334">
        <f ca="1">_xlfn.LET(_xlpm.MVToday,DataShift!AV538,         _xlpm.MVY,DataShift!AU539,        _xlpm.MVYY, DataShift!AT539,         _xlpm.MVYYY, DataShift!AS539,                      IF(_xlpm.MVToday=_xlpm.MVY,      _xlpm.MVYY-_xlpm.MVYYY,          _xlpm.MVY-_xlpm.MVYY))</f>
        <v>260</v>
      </c>
      <c r="AS38" s="984">
        <f ca="1">TabCalc[[#This Row],[Y]]/TabCalc[[#This Row],[M]]</f>
        <v>1.5075749999999999</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0</v>
      </c>
      <c r="AX38" s="305">
        <f ca="1">IFERROR((TabCalc[[#This Row],[M]]-TabCalc[[#This Row],[Y]])*(TabCalc[[#This Row],[M]]-TabCalc[[#This Row],[Y]])*(TabCalc[[#This Row],[M]]-TabCalc[[#This Row],[Y]])/(TabCalc[[#This Row],[Y]]*TabCalc[[#This Row],[M]]),"")</f>
        <v>-0.38165804329551156</v>
      </c>
      <c r="AY38" s="82">
        <f t="shared" ca="1" si="5"/>
        <v>0</v>
      </c>
      <c r="AZ38" s="90">
        <f ca="1">_xlfn.XLOOKUP(TabCalc[[#This Row],[Ticker]],[1]!RTData[Ticker_Symbol],[1]!RTData[V/VA])</f>
        <v>2.8162469848329948E-3</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2.8162469848329948E-3</v>
      </c>
      <c r="BC38" s="87" cm="1">
        <f t="array" aca="1" ref="BC38" ca="1">INDEX(TabReg[], 1, _xlfn.XMATCH(TabCalc[[#This Row],[Ticker]]&amp;1, TabReg[#Headers], 0))</f>
        <v>45000</v>
      </c>
      <c r="BD38" s="159">
        <f ca="1">TabCalc[[#This Row],[Nbegin]]*TabCalc[[#This Row],[M]]*TabCalc[[#This Row],[Scale]]+TabCalc[[#This Row],[ValueBegin]]</f>
        <v>-97684.50999999998</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-97684.50999999998</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-57282.50999999998</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6.98</v>
      </c>
      <c r="BR38" s="174" t="str">
        <f ca="1">IF(TabCalc[[#This Row],[EfCost]]+TabCalc[[#This Row],[M_V]]&lt;TabCalc[[#This Row],[NoT_GL]],"Pile","")</f>
        <v/>
      </c>
      <c r="BS38" s="165" t="e">
        <f ca="1">_xlfn.XLOOKUP(TabCalc[[#This Row],[Ticker]],[1]!RTData[Ticker_Symbol],[1]!#REF!)</f>
        <v>#REF!</v>
      </c>
      <c r="BT38" s="175">
        <f ca="1">(TabCalc[[#This Row],[ValueBegin]]+(TabCalc[[#This Row],[M]]-TabCalc[[#This Row],[A]])*TabCalc[[#This Row],[NAfter]])*TabCalc[[#This Row],[Scale]]</f>
        <v>-355318.51666666666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-59634.006666666646</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1070.6638115631692</v>
      </c>
      <c r="CV38" s="404">
        <f ca="1">IF(TabCalc[[#This Row],[ntoBuy]]*TabCalc[[#This Row],[M]]&lt;=0,0,TabCalc[[#This Row],[ntoBuy]]*TabCalc[[#This Row],[M]])</f>
        <v>4710.920770877945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-59634.006666666646</v>
      </c>
      <c r="DB38" s="90">
        <f ca="1">IFERROR((TabCalc[[#This Row],[M]]+TabCalc[[#This Row],[L_Bp]])/ABS(TabCalc[[#This Row],[L_Bp]])/(TODAY()-TabCalc[[#This Row],[L_Bdate]])*360,"")</f>
        <v>-0.34913793103448265</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8" s="87">
        <f ca="1">TabCalc[[#This Row],[Nbegin]]*TabCalc[[#This Row],[Scale]]*TabCalc[[#This Row],[M]]</f>
        <v>198000.00000000003</v>
      </c>
      <c r="DF38" s="87" cm="1">
        <f t="array" aca="1" ref="DF38" ca="1">SUMPRODUCT(ISNUMBER(INDIRECT("TabReg["&amp;TabCalc[[#This Row],[Ticker]]&amp;"2]"))* INDIRECT("TabReg["&amp;TabCalc[[#This Row],[Ticker]]&amp;"1]") * INDIRECT("TabReg["&amp;TabCalc[[#This Row],[Ticker]]&amp;"2]") )*TabCalc[[#This Row],[Scale]]</f>
        <v>-255282.51</v>
      </c>
      <c r="DI38" s="87">
        <f ca="1"/>
        <v>189382</v>
      </c>
      <c r="DJ38" s="90">
        <f t="shared" ca="1" si="3"/>
        <v>0.16135070149063074</v>
      </c>
      <c r="DK38" t="str">
        <f ca="1">_xlfn.XLOOKUP(DI38,TabCalc[Column1],TabCalc[Ticker])</f>
        <v>SAFDIS</v>
      </c>
      <c r="DL38" s="87">
        <f ca="1">_xlfn.XLOOKUP(DK38,TabCalc[Ticker],TabCalc[ValueBegin])</f>
        <v>-187108.7</v>
      </c>
      <c r="DM38" s="87">
        <f ca="1">_xlfn.XLOOKUP(DK38,TabCalc[Ticker],TabCalc[M_V])</f>
        <v>126960</v>
      </c>
      <c r="DN38" s="87">
        <f ca="1">_xlfn.XLOOKUP(DK38,TabCalc[Ticker],TabCalc[GL])</f>
        <v>30190.119999999981</v>
      </c>
      <c r="DO38" s="90"/>
      <c r="DP38" s="90"/>
      <c r="DQ38" s="88" t="s">
        <v>34</v>
      </c>
      <c r="DR38" s="81">
        <v>3000</v>
      </c>
      <c r="DS38" s="315">
        <v>-3.1669499999999999</v>
      </c>
      <c r="DU38" s="82">
        <v>267750</v>
      </c>
      <c r="DV38" s="82">
        <f ca="1">DU38-TabCalc[[#This Row],[M_V]]</f>
        <v>69749.999999999971</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7100</v>
      </c>
      <c r="G39" s="82">
        <f ca="1">IFERROR(TabCalc[[#This Row],[SB]]-TabCalc[[#This Row],[SST]],TabCalc[[#This Row],[SB]])</f>
        <v>10000</v>
      </c>
      <c r="H39" s="532" t="str">
        <f ca="1">[1]!RTData[[#This Row],[Ticker_Symbol]]</f>
        <v>PW</v>
      </c>
      <c r="I39" s="383">
        <f ca="1">_xlfn.XLOOKUP(TabCalc[[#This Row],[Ticker]],[1]!RTData[Ticker_Symbol],[1]!RTData[M_Price])</f>
        <v>0.71</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0.145346</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0.24466526038572586</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-15,019 = $ -10,664</v>
      </c>
      <c r="Z39" s="211">
        <f ca="1">MIN(TabCalc[[#This Row],[L_Bn]],TabCalc[[#This Row],[NAfter]])*(TabCalc[[#This Row],[M]]+TabCalc[[#This Row],[L_Bp]])*TabCalc[[#This Row],[Scale]]</f>
        <v>-2915.9130000000005</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-420.84000000000003</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2494.98</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2044.0799999999997</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1100</v>
      </c>
      <c r="AQ39" s="334">
        <f ca="1">_xlfn.LET(_xlpm.MVToday,DataShift!AV539,         _xlpm.MVY,DataShift!AU540,        _xlpm.MVYY, DataShift!AT540,                                IF(_xlpm.MVToday=_xlpm.MVY,_xlpm.MVY-_xlpm.MVYY,_xlpm.MVToday-_xlpm.MVY))</f>
        <v>-214245.50000000003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9.3454688987438753E-3</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9.3454688987438753E-3</v>
      </c>
      <c r="BC39" s="87" cm="1">
        <f t="array" aca="1" ref="BC39" ca="1">INDEX(TabReg[], 1, _xlfn.XMATCH(TabCalc[[#This Row],[Ticker]]&amp;1, TabReg[#Headers], 0))</f>
        <v>3000</v>
      </c>
      <c r="BD39" s="159">
        <f ca="1">TabCalc[[#This Row],[Nbegin]]*TabCalc[[#This Row],[M]]*TabCalc[[#This Row],[Scale]]+TabCalc[[#This Row],[ValueBegin]]</f>
        <v>-7370.85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-2400.8500000000004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-7410.1429999999964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1.74</v>
      </c>
      <c r="BR39" s="174" t="str">
        <f ca="1">IF(TabCalc[[#This Row],[EfCost]]+TabCalc[[#This Row],[M_V]]&lt;TabCalc[[#This Row],[NoT_GL]],"Pile","")</f>
        <v>Pile</v>
      </c>
      <c r="BS39" s="165" t="e">
        <f ca="1">_xlfn.XLOOKUP(TabCalc[[#This Row],[Ticker]],[1]!RTData[Ticker_Symbol],[1]!#REF!)</f>
        <v>#REF!</v>
      </c>
      <c r="BT39" s="175">
        <f ca="1">(TabCalc[[#This Row],[ValueBegin]]+(TabCalc[[#This Row],[M]]-TabCalc[[#This Row],[A]])*TabCalc[[#This Row],[NAfter]])*TabCalc[[#This Row],[Scale]]</f>
        <v>-13064.2502</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-3563.4001999999996</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6024.0963855421678</v>
      </c>
      <c r="CV39" s="404">
        <f ca="1">IF(TabCalc[[#This Row],[ntoBuy]]*TabCalc[[#This Row],[M]]&lt;=0,0,TabCalc[[#This Row],[ntoBuy]]*TabCalc[[#This Row],[M]])</f>
        <v>4277.1084337349394</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-3563.4001999999996</v>
      </c>
      <c r="DB39" s="90">
        <f ca="1">IFERROR((TabCalc[[#This Row],[M]]+TabCalc[[#This Row],[L_Bp]])/ABS(TabCalc[[#This Row],[L_Bp]])/(TODAY()-TabCalc[[#This Row],[L_Bdate]])*360,"")</f>
        <v>-0.48895733582875583</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9" s="87">
        <f ca="1">TabCalc[[#This Row],[Nbegin]]*TabCalc[[#This Row],[Scale]]*TabCalc[[#This Row],[M]]</f>
        <v>2130</v>
      </c>
      <c r="DF39" s="87" cm="1">
        <f t="array" aca="1" ref="DF39" ca="1">SUMPRODUCT(ISNUMBER(INDIRECT("TabReg["&amp;TabCalc[[#This Row],[Ticker]]&amp;"2]"))* INDIRECT("TabReg["&amp;TabCalc[[#This Row],[Ticker]]&amp;"1]") * INDIRECT("TabReg["&amp;TabCalc[[#This Row],[Ticker]]&amp;"2]") )*TabCalc[[#This Row],[Scale]]</f>
        <v>-14510.142999999996</v>
      </c>
      <c r="DI39" s="87">
        <f ca="1"/>
        <v>187375</v>
      </c>
      <c r="DJ39" s="90">
        <f t="shared" ca="1" si="3"/>
        <v>0.48793256487447573</v>
      </c>
      <c r="DK39" t="str">
        <f ca="1">_xlfn.XLOOKUP(DI39,TabCalc[Column1],TabCalc[Ticker])</f>
        <v>SHECY</v>
      </c>
      <c r="DL39" s="87">
        <f ca="1">_xlfn.XLOOKUP(DK39,TabCalc[Ticker],TabCalc[ValueBegin])</f>
        <v>-140171.46</v>
      </c>
      <c r="DM39" s="87">
        <f ca="1">_xlfn.XLOOKUP(DK39,TabCalc[Ticker],TabCalc[M_V])</f>
        <v>374750</v>
      </c>
      <c r="DN39" s="87">
        <f ca="1">_xlfn.XLOOKUP(DK39,TabCalc[Ticker],TabCalc[GL])</f>
        <v>68394.219999999972</v>
      </c>
      <c r="DO39" s="90"/>
      <c r="DP39" s="90"/>
      <c r="DQ39" s="88" t="s">
        <v>35</v>
      </c>
      <c r="DR39" s="81">
        <v>2700</v>
      </c>
      <c r="DS39" s="315">
        <v>-36.9220481481481</v>
      </c>
      <c r="DU39" s="82">
        <v>6933</v>
      </c>
      <c r="DV39" s="82">
        <f ca="1">DU39-TabCalc[[#This Row],[M_V]]</f>
        <v>-167</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41940</v>
      </c>
      <c r="G40" s="82">
        <f ca="1">IFERROR(TabCalc[[#This Row],[SB]]-TabCalc[[#This Row],[SST]],TabCalc[[#This Row],[SB]])</f>
        <v>1000</v>
      </c>
      <c r="H40" s="532" t="str">
        <f ca="1">[1]!RTData[[#This Row],[Ticker_Symbol]]</f>
        <v>RIGL</v>
      </c>
      <c r="I40" s="383">
        <f ca="1">_xlfn.XLOOKUP(TabCalc[[#This Row],[Ticker]],[1]!RTData[Ticker_Symbol],[1]!RTData[M_Price])</f>
        <v>41.94</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5.1655E-2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0.25345938658028261</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13610</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13394.754999999996</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-9459.9999999999945</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-24039.999999999993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2410</v>
      </c>
      <c r="AQ40" s="334">
        <f ca="1">_xlfn.LET(_xlpm.MVToday,DataShift!AV540,         _xlpm.MVY,DataShift!AU541,        _xlpm.MVYY, DataShift!AT541,                                IF(_xlpm.MVToday=_xlpm.MVY,_xlpm.MVY-_xlpm.MVYY,_xlpm.MVToday-_xlpm.MVY))</f>
        <v>191400.00000000003</v>
      </c>
      <c r="AR40" s="334">
        <f ca="1">_xlfn.LET(_xlpm.MVToday,DataShift!AV540,         _xlpm.MVY,DataShift!AU541,        _xlpm.MVYY, DataShift!AT541,         _xlpm.MVYYY, DataShift!AS541,                      IF(_xlpm.MVToday=_xlpm.MVY,      _xlpm.MVYY-_xlpm.MVYYY,          _xlpm.MVY-_xlpm.MVYY))</f>
        <v>-697</v>
      </c>
      <c r="AS40" s="984">
        <f ca="1">TabCalc[[#This Row],[Y]]/TabCalc[[#This Row],[M]]</f>
        <v>0.91400405340963276</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2.9181945920567925E-2</v>
      </c>
      <c r="AY40" s="82">
        <f t="shared" ca="1" si="5"/>
        <v>1700</v>
      </c>
      <c r="AZ40" s="90">
        <f ca="1">_xlfn.XLOOKUP(TabCalc[[#This Row],[Ticker]],[1]!RTData[Ticker_Symbol],[1]!RTData[V/VA])</f>
        <v>9.3750837061045182E-5</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9.3750837061045182E-5</v>
      </c>
      <c r="BC40" s="87" cm="1">
        <f t="array" aca="1" ref="BC40" ca="1">INDEX(TabReg[], 1, _xlfn.XMATCH(TabCalc[[#This Row],[Ticker]]&amp;1, TabReg[#Headers], 0))</f>
        <v>2700</v>
      </c>
      <c r="BD40" s="159">
        <f ca="1">TabCalc[[#This Row],[Nbegin]]*TabCalc[[#This Row],[M]]*TabCalc[[#This Row],[Scale]]+TabCalc[[#This Row],[ValueBegin]]</f>
        <v>13548.470000000132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-57749.529999999868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152016.22000000015</v>
      </c>
      <c r="BM40" s="159">
        <f ca="1">IF(        OR( TabCalc[[#This Row],[GL]]&gt;ABS(TabCalc[[#This Row],[EfCost]]),TabCalc[[#This Row],[NAfter]]=0),             TabCalc[[#This Row],[GL]],     0)</f>
        <v>152016.22000000015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t="e">
        <f ca="1">_xlfn.XLOOKUP(TabCalc[[#This Row],[Ticker]],[1]!RTData[Ticker_Symbol],[1]!#REF!)</f>
        <v>#REF!</v>
      </c>
      <c r="BT40" s="175">
        <f ca="1">(TabCalc[[#This Row],[ValueBegin]]+(TabCalc[[#This Row],[M]]-TabCalc[[#This Row],[A]])*TabCalc[[#This Row],[NAfter]])*TabCalc[[#This Row],[Scale]]</f>
        <v>-86223.026666666541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13466.503333333329</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367.37692872887584</v>
      </c>
      <c r="CX40" s="405">
        <f ca="1">TabCalc[[#This Row],[ntoSell]]*TabCalc[[#This Row],[M]]</f>
        <v>15407.788390889053</v>
      </c>
      <c r="CY40" s="398">
        <f ca="1">_xlfn.LET(_xlpm.nToSell,IF(TabCalc[[#This Row],[M]]-TabCalc[[#This Row],[A]]&lt;=0,"",INT(DesiredSaleGain/(TabCalc[[#This Row],[M]]-IF(TabCalc[[#This Row],[E]]&gt;0,0,TabCalc[[#This Row],[A]])))),IF(_xlpm.nToSell&lt;=TabCalc[[#This Row],[NAfter]],_xlpm.nToSell,0))</f>
        <v>371</v>
      </c>
      <c r="CZ40" s="336">
        <f ca="1">IFERROR(TabCalc[[#This Row],[NMA]]*TabCalc[[#This Row],[M]],"")</f>
        <v>15559.74</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13466.503333333329</v>
      </c>
      <c r="DB40" s="90">
        <f ca="1">IFERROR((TabCalc[[#This Row],[M]]+TabCalc[[#This Row],[L_Bp]])/ABS(TabCalc[[#This Row],[L_Bp]])/(TODAY()-TabCalc[[#This Row],[L_Bdate]])*360,"")</f>
        <v>13.303646582855903</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0" s="87">
        <f ca="1">TabCalc[[#This Row],[Nbegin]]*TabCalc[[#This Row],[Scale]]*TabCalc[[#This Row],[M]]</f>
        <v>113238</v>
      </c>
      <c r="DF40" s="87" cm="1">
        <f t="array" aca="1" ref="DF40" ca="1">SUMPRODUCT(ISNUMBER(INDIRECT("TabReg["&amp;TabCalc[[#This Row],[Ticker]]&amp;"2]"))* INDIRECT("TabReg["&amp;TabCalc[[#This Row],[Ticker]]&amp;"1]") * INDIRECT("TabReg["&amp;TabCalc[[#This Row],[Ticker]]&amp;"2]") )*TabCalc[[#This Row],[Scale]]</f>
        <v>110076.22000000013</v>
      </c>
      <c r="DI40" s="87">
        <f ca="1"/>
        <v>184000</v>
      </c>
      <c r="DJ40" s="90">
        <f t="shared" ca="1" si="3"/>
        <v>0.21289330783201962</v>
      </c>
      <c r="DK40" t="str">
        <f ca="1">_xlfn.XLOOKUP(DI40,TabCalc[Column1],TabCalc[Ticker])</f>
        <v>AET</v>
      </c>
      <c r="DL40" s="87">
        <f ca="1">_xlfn.XLOOKUP(DK40,TabCalc[Ticker],TabCalc[ValueBegin])</f>
        <v>-161766.307</v>
      </c>
      <c r="DM40" s="87">
        <f ca="1">_xlfn.XLOOKUP(DK40,TabCalc[Ticker],TabCalc[M_V])</f>
        <v>377200</v>
      </c>
      <c r="DN40" s="87">
        <f ca="1">_xlfn.XLOOKUP(DK40,TabCalc[Ticker],TabCalc[GL])</f>
        <v>34438.964192999993</v>
      </c>
      <c r="DO40" s="90"/>
      <c r="DP40" s="90"/>
      <c r="DQ40" t="s">
        <v>36</v>
      </c>
      <c r="DR40" s="81">
        <v>500</v>
      </c>
      <c r="DS40" s="315">
        <v>-172.548</v>
      </c>
      <c r="DU40" s="82">
        <v>56760</v>
      </c>
      <c r="DV40" s="82">
        <f ca="1">DU40-TabCalc[[#This Row],[M_V]]</f>
        <v>14820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2269</v>
      </c>
      <c r="G41" s="82">
        <f ca="1">IFERROR(TabCalc[[#This Row],[SB]]-TabCalc[[#This Row],[SST]],TabCalc[[#This Row],[SB]])</f>
        <v>50</v>
      </c>
      <c r="H41" s="532" t="str">
        <f ca="1">[1]!RTData[[#This Row],[Ticker_Symbol]]</f>
        <v>RWE</v>
      </c>
      <c r="I41" s="383">
        <f ca="1">_xlfn.XLOOKUP(TabCalc[[#This Row],[Ticker]],[1]!RTData[Ticker_Symbol],[1]!RTData[M_Price])</f>
        <v>45.38</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1.103E-3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-0.27046834101954981</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850.50000000000011</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807.25000000000011</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-38464.000000000007</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-19710</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-16</v>
      </c>
      <c r="AQ41" s="334">
        <f ca="1">_xlfn.LET(_xlpm.MVToday,DataShift!AV541,         _xlpm.MVY,DataShift!AU542,        _xlpm.MVYY, DataShift!AT542,                                IF(_xlpm.MVToday=_xlpm.MVY,_xlpm.MVY-_xlpm.MVYY,_xlpm.MVToday-_xlpm.MVY))</f>
        <v>-28210</v>
      </c>
      <c r="AR41" s="334">
        <f ca="1">_xlfn.LET(_xlpm.MVToday,DataShift!AV541,         _xlpm.MVY,DataShift!AU542,        _xlpm.MVYY, DataShift!AT542,         _xlpm.MVYYY, DataShift!AS542,                      IF(_xlpm.MVToday=_xlpm.MVY,      _xlpm.MVYY-_xlpm.MVYYY,          _xlpm.MVY-_xlpm.MVYY))</f>
        <v>-1015</v>
      </c>
      <c r="AS41" s="984">
        <f ca="1">TabCalc[[#This Row],[Y]]/TabCalc[[#This Row],[M]]</f>
        <v>0.98605244601145869</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1.2487014910309065E-4</v>
      </c>
      <c r="AY41" s="82">
        <f t="shared" ca="1" si="5"/>
        <v>29950</v>
      </c>
      <c r="AZ41" s="90">
        <f ca="1">_xlfn.XLOOKUP(TabCalc[[#This Row],[Ticker]],[1]!RTData[Ticker_Symbol],[1]!RTData[V/VA])</f>
        <v>7.3873717920976329E-4</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7.3873717920976329E-4</v>
      </c>
      <c r="BC41" s="87" cm="1">
        <f t="array" aca="1" ref="BC41" ca="1">INDEX(TabReg[], 1, _xlfn.XMATCH(TabCalc[[#This Row],[Ticker]]&amp;1, TabReg[#Headers], 0))</f>
        <v>30000</v>
      </c>
      <c r="BD41" s="159">
        <f ca="1">TabCalc[[#This Row],[Nbegin]]*TabCalc[[#This Row],[M]]*TabCalc[[#This Row],[Scale]]+TabCalc[[#This Row],[ValueBegin]]</f>
        <v>347337.96000000008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-1011793.0399999999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36402.352499999921</v>
      </c>
      <c r="BM41" s="159">
        <f ca="1">IF(        OR( TabCalc[[#This Row],[GL]]&gt;ABS(TabCalc[[#This Row],[EfCost]]),TabCalc[[#This Row],[NAfter]]=0),             TabCalc[[#This Row],[GL]],     0)</f>
        <v>36402.352499999921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t="e">
        <f ca="1">_xlfn.XLOOKUP(TabCalc[[#This Row],[Ticker]],[1]!RTData[Ticker_Symbol],[1]!#REF!)</f>
        <v>#REF!</v>
      </c>
      <c r="BT41" s="175">
        <f ca="1">(TabCalc[[#This Row],[ValueBegin]]+(TabCalc[[#This Row],[M]]-TabCalc[[#This Row],[A]])*TabCalc[[#This Row],[NAfter]])*TabCalc[[#This Row],[Scale]]</f>
        <v>-1013211.5399999999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850.50000000000011</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2269</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850.50000000000011</v>
      </c>
      <c r="DB41" s="90">
        <f ca="1">IFERROR((TabCalc[[#This Row],[M]]+TabCalc[[#This Row],[L_Bp]])/ABS(TabCalc[[#This Row],[L_Bp]])/(TODAY()-TabCalc[[#This Row],[L_Bdate]])*360,"")</f>
        <v>0.7906510127165749</v>
      </c>
      <c r="DC41" s="310">
        <f ca="1">MEDIAN(DataShift!F741:Z741)</f>
        <v>3.7190000000000001E-3</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1" s="87">
        <f ca="1">TabCalc[[#This Row],[Nbegin]]*TabCalc[[#This Row],[Scale]]*TabCalc[[#This Row],[M]]</f>
        <v>1361400</v>
      </c>
      <c r="DF41" s="87" cm="1">
        <f t="array" aca="1" ref="DF41" ca="1">SUMPRODUCT(ISNUMBER(INDIRECT("TabReg["&amp;TabCalc[[#This Row],[Ticker]]&amp;"2]"))* INDIRECT("TabReg["&amp;TabCalc[[#This Row],[Ticker]]&amp;"1]") * INDIRECT("TabReg["&amp;TabCalc[[#This Row],[Ticker]]&amp;"2]") )*TabCalc[[#This Row],[Scale]]</f>
        <v>34133.352499999921</v>
      </c>
      <c r="DI41" s="87">
        <f ca="1"/>
        <v>180090.9</v>
      </c>
      <c r="DJ41" s="90">
        <f t="shared" ca="1" si="3"/>
        <v>0.39900384966566427</v>
      </c>
      <c r="DK41" t="str">
        <f ca="1">_xlfn.XLOOKUP(DI41,TabCalc[Column1],TabCalc[Ticker])</f>
        <v>MA</v>
      </c>
      <c r="DL41" s="87">
        <f ca="1">_xlfn.XLOOKUP(DK41,TabCalc[Ticker],TabCalc[ValueBegin])</f>
        <v>-116529.60000000001</v>
      </c>
      <c r="DM41" s="87">
        <f ca="1">_xlfn.XLOOKUP(DK41,TabCalc[Ticker],TabCalc[M_V])</f>
        <v>109146</v>
      </c>
      <c r="DN41" s="87">
        <f ca="1">_xlfn.XLOOKUP(DK41,TabCalc[Ticker],TabCalc[GL])</f>
        <v>46495.758999999991</v>
      </c>
      <c r="DO41" s="90"/>
      <c r="DP41" s="90"/>
      <c r="DQ41" s="88" t="s">
        <v>37</v>
      </c>
      <c r="DR41" s="81">
        <v>30000</v>
      </c>
      <c r="DS41" s="315">
        <v>-33.802067999999998</v>
      </c>
      <c r="DU41" s="82">
        <v>2117</v>
      </c>
      <c r="DV41" s="82">
        <f ca="1">DU41-TabCalc[[#This Row],[M_V]]</f>
        <v>-152</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798760</v>
      </c>
      <c r="G42" s="82">
        <f ca="1">IFERROR(TabCalc[[#This Row],[SB]]-TabCalc[[#This Row],[SST]],TabCalc[[#This Row],[SB]])</f>
        <v>3800</v>
      </c>
      <c r="H42" s="532" t="str">
        <f ca="1">[1]!RTData[[#This Row],[Ticker_Symbol]]</f>
        <v>SAP</v>
      </c>
      <c r="I42" s="383">
        <f ca="1">_xlfn.XLOOKUP(TabCalc[[#This Row],[Ticker]],[1]!RTData[Ticker_Symbol],[1]!RTData[M_Price])</f>
        <v>210.2</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-4.2630000000000003E-3</v>
      </c>
      <c r="N42" s="1077">
        <v>0</v>
      </c>
      <c r="O42" s="899">
        <f>TabCalc[[#This Row],[Up20]]-1+TabCalc[[#This Row],[Up20]]</f>
        <v>-1</v>
      </c>
      <c r="P42" s="899">
        <f>TabCalc[[#This Row],[Up20]]-TabCalc[[#This Row],[Up150]]</f>
        <v>-0.2857142857142857</v>
      </c>
      <c r="Q42" s="899">
        <v>0.2857142857142857</v>
      </c>
      <c r="R42" s="899">
        <f>TabCalc[[#This Row],[Up150]]-1+TabCalc[[#This Row],[Up150]]</f>
        <v>-0.4285714285714286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2.0850288319948788E-2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-11075.000000000004</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-17350.000000000022</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5520.0000000000045</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27425.000000000011</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-5320</v>
      </c>
      <c r="AQ42" s="334">
        <f ca="1">_xlfn.LET(_xlpm.MVToday,DataShift!AV542,         _xlpm.MVY,DataShift!AU543,        _xlpm.MVYY, DataShift!AT543,                                IF(_xlpm.MVToday=_xlpm.MVY,_xlpm.MVY-_xlpm.MVYY,_xlpm.MVToday-_xlpm.MVY))</f>
        <v>39794.5</v>
      </c>
      <c r="AR42" s="334">
        <f ca="1">_xlfn.LET(_xlpm.MVToday,DataShift!AV542,         _xlpm.MVY,DataShift!AU543,        _xlpm.MVYY, DataShift!AT543,         _xlpm.MVYYY, DataShift!AS543,                      IF(_xlpm.MVToday=_xlpm.MVY,      _xlpm.MVYY-_xlpm.MVYYY,          _xlpm.MVY-_xlpm.MVYY))</f>
        <v>-10.5</v>
      </c>
      <c r="AS42" s="984">
        <f ca="1">TabCalc[[#This Row],[Y]]/TabCalc[[#This Row],[M]]</f>
        <v>1.3732959086584207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-7.9621118777696163</v>
      </c>
      <c r="AY42" s="82">
        <f t="shared" ca="1" si="5"/>
        <v>0</v>
      </c>
      <c r="AZ42" s="90">
        <f ca="1">_xlfn.XLOOKUP(TabCalc[[#This Row],[Ticker]],[1]!RTData[Ticker_Symbol],[1]!RTData[V/VA])</f>
        <v>0.15718001402410189</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0.15718001402410189</v>
      </c>
      <c r="BC42" s="87" cm="1">
        <f t="array" aca="1" ref="BC42" ca="1">INDEX(TabReg[], 1, _xlfn.XMATCH(TabCalc[[#This Row],[Ticker]]&amp;1, TabReg[#Headers], 0))</f>
        <v>1500</v>
      </c>
      <c r="BD42" s="159">
        <f ca="1">TabCalc[[#This Row],[Nbegin]]*TabCalc[[#This Row],[M]]*TabCalc[[#This Row],[Scale]]+TabCalc[[#This Row],[ValueBegin]]</f>
        <v>175726.95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659186.94999999995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-29606.02500000014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348.08</v>
      </c>
      <c r="BR42" s="174" t="str">
        <f ca="1">IF(TabCalc[[#This Row],[EfCost]]+TabCalc[[#This Row],[M_V]]&lt;TabCalc[[#This Row],[NoT_GL]],"Pile","")</f>
        <v>Pile</v>
      </c>
      <c r="BS42" s="165" t="e">
        <f ca="1">_xlfn.XLOOKUP(TabCalc[[#This Row],[Ticker]],[1]!RTData[Ticker_Symbol],[1]!#REF!)</f>
        <v>#REF!</v>
      </c>
      <c r="BT42" s="175">
        <f ca="1">(TabCalc[[#This Row],[ValueBegin]]+(TabCalc[[#This Row],[M]]-TabCalc[[#This Row],[A]])*TabCalc[[#This Row],[NAfter]])*TabCalc[[#This Row],[Scale]]</f>
        <v>-254838.49999999994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-115265.44999999995</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181.15942028985492</v>
      </c>
      <c r="CV42" s="404">
        <f ca="1">IF(TabCalc[[#This Row],[ntoBuy]]*TabCalc[[#This Row],[M]]&lt;=0,0,TabCalc[[#This Row],[ntoBuy]]*TabCalc[[#This Row],[M]])</f>
        <v>38079.7101449275</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-115265.44999999995</v>
      </c>
      <c r="DB42" s="90">
        <f ca="1">IFERROR((TabCalc[[#This Row],[M]]+TabCalc[[#This Row],[L_Bp]])/ABS(TabCalc[[#This Row],[L_Bp]])/(TODAY()-TabCalc[[#This Row],[L_Bdate]])*360,"")</f>
        <v>-0.74606337889802699</v>
      </c>
      <c r="DC42" s="310">
        <f ca="1">MEDIAN(DataShift!F742:Z742)</f>
        <v>4.9410000000000003E-4</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315300</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60230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374750</v>
      </c>
      <c r="G43" s="82">
        <f ca="1">IFERROR(TabCalc[[#This Row],[SB]]-TabCalc[[#This Row],[SST]],TabCalc[[#This Row],[SB]])</f>
        <v>25000</v>
      </c>
      <c r="H43" s="532" t="str">
        <f ca="1">[1]!RTData[[#This Row],[Ticker_Symbol]]</f>
        <v>SHECY</v>
      </c>
      <c r="I43" s="383">
        <f ca="1">_xlfn.XLOOKUP(TabCalc[[#This Row],[Ticker]],[1]!RTData[Ticker_Symbol],[1]!RTData[M_Price])</f>
        <v>14.99</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1.2838E-2</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0.53556060222094681</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-28,044 = $ -420,380</v>
      </c>
      <c r="Z43" s="211">
        <f ca="1">MIN(TabCalc[[#This Row],[L_Bn]],TabCalc[[#This Row],[NAfter]])*(TabCalc[[#This Row],[M]]+TabCalc[[#This Row],[L_Bp]])*TabCalc[[#This Row],[Scale]]</f>
        <v>-552.71999999999753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-1379.9999999999973</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979.59999999999934</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6031.0000000000009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1250</v>
      </c>
      <c r="AQ43" s="334">
        <f ca="1">_xlfn.LET(_xlpm.MVToday,DataShift!AV543,         _xlpm.MVY,DataShift!AU544,        _xlpm.MVYY, DataShift!AT544,                                IF(_xlpm.MVToday=_xlpm.MVY,_xlpm.MVY-_xlpm.MVYY,_xlpm.MVToday-_xlpm.MVY))</f>
        <v>-817201</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0.12795064721805283</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0.12795064721805283</v>
      </c>
      <c r="BC43" s="87" cm="1">
        <f t="array" aca="1" ref="BC43" ca="1">INDEX(TabReg[], 1, _xlfn.XMATCH(TabCalc[[#This Row],[Ticker]]&amp;1, TabReg[#Headers], 0))</f>
        <v>12500</v>
      </c>
      <c r="BD43" s="159">
        <f ca="1">TabCalc[[#This Row],[Nbegin]]*TabCalc[[#This Row],[M]]*TabCalc[[#This Row],[Scale]]+TabCalc[[#This Row],[ValueBegin]]</f>
        <v>47203.540000000008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234578.54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68394.219999999972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19.74</v>
      </c>
      <c r="BR43" s="174" t="str">
        <f ca="1">IF(TabCalc[[#This Row],[EfCost]]+TabCalc[[#This Row],[M_V]]&lt;TabCalc[[#This Row],[NoT_GL]],"Pile","")</f>
        <v/>
      </c>
      <c r="BS43" s="165" t="e">
        <f ca="1">_xlfn.XLOOKUP(TabCalc[[#This Row],[Ticker]],[1]!RTData[Ticker_Symbol],[1]!#REF!)</f>
        <v>#REF!</v>
      </c>
      <c r="BT43" s="175">
        <f ca="1">(TabCalc[[#This Row],[ValueBegin]]+(TabCalc[[#This Row],[M]]-TabCalc[[#This Row],[A]])*TabCalc[[#This Row],[NAfter]])*TabCalc[[#This Row],[Scale]]</f>
        <v>-185794.82000000004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-45623.360000000044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3225.8064516129052</v>
      </c>
      <c r="CV43" s="404">
        <f ca="1">IF(TabCalc[[#This Row],[ntoBuy]]*TabCalc[[#This Row],[M]]&lt;=0,0,TabCalc[[#This Row],[ntoBuy]]*TabCalc[[#This Row],[M]])</f>
        <v>48354.838709677453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-45623.360000000044</v>
      </c>
      <c r="DB43" s="90">
        <f ca="1">IFERROR((TabCalc[[#This Row],[M]]+TabCalc[[#This Row],[L_Bp]])/ABS(TabCalc[[#This Row],[L_Bp]])/(TODAY()-TabCalc[[#This Row],[L_Bdate]])*360,"")</f>
        <v>-0.26177285318559446</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187375</v>
      </c>
      <c r="DF43" s="87" cm="1">
        <f t="array" aca="1" ref="DF43" ca="1">SUMPRODUCT(ISNUMBER(INDIRECT("TabReg["&amp;TabCalc[[#This Row],[Ticker]]&amp;"2]"))* INDIRECT("TabReg["&amp;TabCalc[[#This Row],[Ticker]]&amp;"1]") * INDIRECT("TabReg["&amp;TabCalc[[#This Row],[Ticker]]&amp;"2]") )*TabCalc[[#This Row],[Scale]]</f>
        <v>-306355.78000000003</v>
      </c>
      <c r="DI43" s="87">
        <f ca="1"/>
        <v>164899.99999999997</v>
      </c>
      <c r="DJ43" s="90">
        <f t="shared" ca="1" si="3"/>
        <v>0.60779329938560556</v>
      </c>
      <c r="DK43" t="str">
        <f ca="1">_xlfn.XLOOKUP(DI43,TabCalc[Column1],TabCalc[Ticker])</f>
        <v>MVEENI</v>
      </c>
      <c r="DL43" s="87">
        <f ca="1">_xlfn.XLOOKUP(DK43,TabCalc[Ticker],TabCalc[ValueBegin])</f>
        <v>-155926</v>
      </c>
      <c r="DM43" s="87">
        <f ca="1">_xlfn.XLOOKUP(DK43,TabCalc[Ticker],TabCalc[M_V])</f>
        <v>593640</v>
      </c>
      <c r="DN43" s="87">
        <f ca="1">_xlfn.XLOOKUP(DK43,TabCalc[Ticker],TabCalc[GL])</f>
        <v>94770.777999999933</v>
      </c>
      <c r="DO43" s="90"/>
      <c r="DP43" s="90"/>
      <c r="DQ43" s="88" t="s">
        <v>39</v>
      </c>
      <c r="DR43" s="81">
        <v>12500</v>
      </c>
      <c r="DS43" s="315">
        <v>-11.2137168</v>
      </c>
      <c r="DU43" s="82">
        <v>333954.24</v>
      </c>
      <c r="DV43" s="82">
        <f ca="1">DU43-TabCalc[[#This Row],[M_V]]</f>
        <v>-40795.760000000009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143200</v>
      </c>
      <c r="G44" s="82">
        <f ca="1">IFERROR(TabCalc[[#This Row],[SB]]-TabCalc[[#This Row],[SST]],TabCalc[[#This Row],[SB]])</f>
        <v>16000</v>
      </c>
      <c r="H44" s="532" t="str">
        <f ca="1">[1]!RTData[[#This Row],[Ticker_Symbol]]</f>
        <v>SSYS</v>
      </c>
      <c r="I44" s="383">
        <f ca="1">_xlfn.XLOOKUP(TabCalc[[#This Row],[Ticker]],[1]!RTData[Ticker_Symbol],[1]!RTData[M_Price])</f>
        <v>8.9499999999999993</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-4.0728999999999994E-2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0.24681270471788061</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57,904 = $ 518,240</v>
      </c>
      <c r="Z44" s="211">
        <f ca="1">MIN(TabCalc[[#This Row],[L_Bn]],TabCalc[[#This Row],[NAfter]])*(TabCalc[[#This Row],[M]]+TabCalc[[#This Row],[L_Bp]])*TabCalc[[#This Row],[Scale]]</f>
        <v>-900.00000000000216</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-666.00000000000387</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11452.599900000003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5640.0000000000009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640</v>
      </c>
      <c r="AQ44" s="334">
        <f ca="1">_xlfn.LET(_xlpm.MVToday,DataShift!AV544,         _xlpm.MVY,DataShift!AU545,        _xlpm.MVYY, DataShift!AT545,                                IF(_xlpm.MVToday=_xlpm.MVY,_xlpm.MVY-_xlpm.MVYY,_xlpm.MVToday-_xlpm.MVY))</f>
        <v>431510</v>
      </c>
      <c r="AR44" s="334">
        <f ca="1">_xlfn.LET(_xlpm.MVToday,DataShift!AV544,         _xlpm.MVY,DataShift!AU545,        _xlpm.MVYY, DataShift!AT545,         _xlpm.MVYYY, DataShift!AS545,                      IF(_xlpm.MVToday=_xlpm.MVY,      _xlpm.MVYY-_xlpm.MVYYY,          _xlpm.MVY-_xlpm.MVYY))</f>
        <v>4750</v>
      </c>
      <c r="AS44" s="984">
        <f ca="1">TabCalc[[#This Row],[Y]]/TabCalc[[#This Row],[M]]</f>
        <v>1.4897575418994415</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-0.70574992421182814</v>
      </c>
      <c r="AY44" s="82">
        <f t="shared" ca="1" si="5"/>
        <v>0</v>
      </c>
      <c r="AZ44" s="90">
        <f ca="1">_xlfn.XLOOKUP(TabCalc[[#This Row],[Ticker]],[1]!RTData[Ticker_Symbol],[1]!RTData[V/VA])</f>
        <v>7.0318592659626732E-4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7.0318592659626732E-4</v>
      </c>
      <c r="BC44" s="87" cm="1">
        <f t="array" aca="1" ref="BC44" ca="1">INDEX(TabReg[], 1, _xlfn.XMATCH(TabCalc[[#This Row],[Ticker]]&amp;1, TabReg[#Headers], 0))</f>
        <v>16000</v>
      </c>
      <c r="BD44" s="159">
        <f ca="1">TabCalc[[#This Row],[Nbegin]]*TabCalc[[#This Row],[M]]*TabCalc[[#This Row],[Scale]]+TabCalc[[#This Row],[ValueBegin]]</f>
        <v>-732007.52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-732007.52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-713324.32010000001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78.11</v>
      </c>
      <c r="BR44" s="174" t="str">
        <f ca="1">IF(TabCalc[[#This Row],[EfCost]]+TabCalc[[#This Row],[M_V]]&lt;TabCalc[[#This Row],[NoT_GL]],"Pile","")</f>
        <v/>
      </c>
      <c r="BS44" s="165" t="e">
        <f ca="1">_xlfn.XLOOKUP(TabCalc[[#This Row],[Ticker]],[1]!RTData[Ticker_Symbol],[1]!#REF!)</f>
        <v>#REF!</v>
      </c>
      <c r="BT44" s="175">
        <f ca="1">(TabCalc[[#This Row],[ValueBegin]]+(TabCalc[[#This Row],[M]]-TabCalc[[#This Row],[A]])*TabCalc[[#This Row],[NAfter]])*TabCalc[[#This Row],[Scale]]</f>
        <v>-1199153.4100000001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-323945.89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1309.7462699277564</v>
      </c>
      <c r="CV44" s="404">
        <f ca="1">IF(TabCalc[[#This Row],[ntoBuy]]*TabCalc[[#This Row],[M]]&lt;=0,0,TabCalc[[#This Row],[ntoBuy]]*TabCalc[[#This Row],[M]])</f>
        <v>11722.229115853419</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-323945.89</v>
      </c>
      <c r="DB44" s="90">
        <f ca="1">IFERROR((TabCalc[[#This Row],[M]]+TabCalc[[#This Row],[L_Bp]])/ABS(TabCalc[[#This Row],[L_Bp]])/(TODAY()-TabCalc[[#This Row],[L_Bdate]])*360,"")</f>
        <v>-3.7183680495782495E-2</v>
      </c>
      <c r="DC44" s="310">
        <f ca="1">MEDIAN(DataShift!F744:Z744)</f>
        <v>-4.0100000000000005E-3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4" s="87">
        <f ca="1">TabCalc[[#This Row],[Nbegin]]*TabCalc[[#This Row],[Scale]]*TabCalc[[#This Row],[M]]</f>
        <v>143200</v>
      </c>
      <c r="DF44" s="87" cm="1">
        <f t="array" aca="1" ref="DF44" ca="1">SUMPRODUCT(ISNUMBER(INDIRECT("TabReg["&amp;TabCalc[[#This Row],[Ticker]]&amp;"2]"))* INDIRECT("TabReg["&amp;TabCalc[[#This Row],[Ticker]]&amp;"1]") * INDIRECT("TabReg["&amp;TabCalc[[#This Row],[Ticker]]&amp;"2]") )*TabCalc[[#This Row],[Scale]]</f>
        <v>-856524.32010000001</v>
      </c>
      <c r="DI44" s="87">
        <f ca="1"/>
        <v>158280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14720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404.35</v>
      </c>
      <c r="G45" s="82">
        <f ca="1">IFERROR(TabCalc[[#This Row],[SB]]-TabCalc[[#This Row],[SST]],TabCalc[[#This Row],[SB]])</f>
        <v>1</v>
      </c>
      <c r="H45" s="532" t="str">
        <f ca="1">[1]!RTData[[#This Row],[Ticker_Symbol]]</f>
        <v>TSLA</v>
      </c>
      <c r="I45" s="383">
        <f ca="1">_xlfn.XLOOKUP(TabCalc[[#This Row],[Ticker]],[1]!RTData[Ticker_Symbol],[1]!RTData[M_Price])</f>
        <v>404.35</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5.8709999999999995E-3</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0.14753388054923419</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67.840000000000032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22.188000000000045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208.70999999999998</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-27463.800000000007</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18.050000000000011</v>
      </c>
      <c r="AQ45" s="334">
        <f ca="1">_xlfn.LET(_xlpm.MVToday,DataShift!AV545,         _xlpm.MVY,DataShift!AU546,        _xlpm.MVYY, DataShift!AT546,                                IF(_xlpm.MVToday=_xlpm.MVY,_xlpm.MVY-_xlpm.MVYY,_xlpm.MVToday-_xlpm.MVY))</f>
        <v>223390</v>
      </c>
      <c r="AR45" s="334">
        <f ca="1">_xlfn.LET(_xlpm.MVToday,DataShift!AV545,         _xlpm.MVY,DataShift!AU546,        _xlpm.MVYY, DataShift!AT546,         _xlpm.MVYYY, DataShift!AS546,                      IF(_xlpm.MVToday=_xlpm.MVY,      _xlpm.MVYY-_xlpm.MVYYY,          _xlpm.MVY-_xlpm.MVYY))</f>
        <v>0</v>
      </c>
      <c r="AS45" s="984">
        <f ca="1">TabCalc[[#This Row],[Y]]/TabCalc[[#This Row],[M]]</f>
        <v>0.9677706195127983</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1.398752536086687E-2</v>
      </c>
      <c r="AY45" s="82">
        <f t="shared" ca="1" si="5"/>
        <v>499</v>
      </c>
      <c r="AZ45" s="90">
        <f ca="1">_xlfn.XLOOKUP(TabCalc[[#This Row],[Ticker]],[1]!RTData[Ticker_Symbol],[1]!RTData[V/VA])</f>
        <v>3.9707188888134714E-3</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3.9707188888134714E-3</v>
      </c>
      <c r="BC45" s="87" cm="1">
        <f t="array" aca="1" ref="BC45" ca="1">INDEX(TabReg[], 1, _xlfn.XMATCH(TabCalc[[#This Row],[Ticker]]&amp;1, TabReg[#Headers], 0))</f>
        <v>500</v>
      </c>
      <c r="BD45" s="159">
        <f ca="1">TabCalc[[#This Row],[Nbegin]]*TabCalc[[#This Row],[M]]*TabCalc[[#This Row],[Scale]]+TabCalc[[#This Row],[ValueBegin]]</f>
        <v>115901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-85869.65</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87630.11</v>
      </c>
      <c r="BM45" s="159">
        <f ca="1">IF(        OR( TabCalc[[#This Row],[GL]]&gt;ABS(TabCalc[[#This Row],[EfCost]]),TabCalc[[#This Row],[NAfter]]=0),             TabCalc[[#This Row],[GL]],     0)</f>
        <v>87630.11</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t="e">
        <f ca="1">_xlfn.XLOOKUP(TabCalc[[#This Row],[Ticker]],[1]!RTData[Ticker_Symbol],[1]!#REF!)</f>
        <v>#REF!</v>
      </c>
      <c r="BT45" s="175">
        <f ca="1">(TabCalc[[#This Row],[ValueBegin]]+(TabCalc[[#This Row],[M]]-TabCalc[[#This Row],[A]])*TabCalc[[#This Row],[NAfter]])*TabCalc[[#This Row],[Scale]]</f>
        <v>-86206.16</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67.840000000000032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215.61017680034499</v>
      </c>
      <c r="CV45" s="404">
        <f ca="1">IF(TabCalc[[#This Row],[ntoBuy]]*TabCalc[[#This Row],[M]]&lt;=0,0,TabCalc[[#This Row],[ntoBuy]]*TabCalc[[#This Row],[M]])</f>
        <v>87181.974989219496</v>
      </c>
      <c r="CW45" s="404">
        <f ca="1">IF(TabCalc[[#This Row],[M]]&gt;ABS(TabCalc[[#This Row],[L_Bp]]),MIN(TabCalc[[#This Row],[NAfter]],DesiredSaleGain/(TabCalc[[#This Row],[M]]+TabCalc[[#This Row],[L_Bp]])),0)/TabCalc[[#This Row],[Scale]]</f>
        <v>1</v>
      </c>
      <c r="CX45" s="405">
        <f ca="1">TabCalc[[#This Row],[ntoSell]]*TabCalc[[#This Row],[M]]</f>
        <v>404.35</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67.840000000000032</v>
      </c>
      <c r="DB45" s="90">
        <f ca="1">IFERROR((TabCalc[[#This Row],[M]]+TabCalc[[#This Row],[L_Bp]])/ABS(TabCalc[[#This Row],[L_Bp]])/(TODAY()-TabCalc[[#This Row],[L_Bdate]])*360,"")</f>
        <v>0.26106314734251657</v>
      </c>
      <c r="DC45" s="310">
        <f ca="1">MEDIAN(DataShift!F745:Z745)</f>
        <v>-6.9630000000000004E-3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5" s="87">
        <f ca="1">TabCalc[[#This Row],[Nbegin]]*TabCalc[[#This Row],[Scale]]*TabCalc[[#This Row],[M]]</f>
        <v>202175</v>
      </c>
      <c r="DF45" s="87" cm="1">
        <f t="array" aca="1" ref="DF45" ca="1">SUMPRODUCT(ISNUMBER(INDIRECT("TabReg["&amp;TabCalc[[#This Row],[Ticker]]&amp;"2]"))* INDIRECT("TabReg["&amp;TabCalc[[#This Row],[Ticker]]&amp;"1]") * INDIRECT("TabReg["&amp;TabCalc[[#This Row],[Ticker]]&amp;"2]") )*TabCalc[[#This Row],[Scale]]</f>
        <v>87225.76</v>
      </c>
      <c r="DI45" s="87">
        <f ca="1"/>
        <v>155740</v>
      </c>
      <c r="DJ45" s="90">
        <f t="shared" ca="1" si="3"/>
        <v>-0.20518278552303573</v>
      </c>
      <c r="DK45" t="str">
        <f ca="1">_xlfn.XLOOKUP(DI45,TabCalc[Column1],TabCalc[Ticker])</f>
        <v>CVS</v>
      </c>
      <c r="DL45" s="87">
        <f ca="1">_xlfn.XLOOKUP(DK45,TabCalc[Ticker],TabCalc[ValueBegin])</f>
        <v>-216620</v>
      </c>
      <c r="DM45" s="87">
        <f ca="1">_xlfn.XLOOKUP(DK45,TabCalc[Ticker],TabCalc[M_V])</f>
        <v>77.87</v>
      </c>
      <c r="DN45" s="87">
        <f ca="1">_xlfn.XLOOKUP(DK45,TabCalc[Ticker],TabCalc[GL])</f>
        <v>-44446.695</v>
      </c>
      <c r="DO45" s="90"/>
      <c r="DP45" s="90"/>
      <c r="DQ45" s="88" t="s">
        <v>41</v>
      </c>
      <c r="DR45" s="81">
        <v>2000</v>
      </c>
      <c r="DS45" s="315">
        <v>-6.93</v>
      </c>
      <c r="DU45" s="82">
        <v>444.26</v>
      </c>
      <c r="DV45" s="82">
        <f ca="1">DU45-TabCalc[[#This Row],[M_V]]</f>
        <v>39.909999999999968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1281915</v>
      </c>
      <c r="G46" s="82">
        <f ca="1">IFERROR(TabCalc[[#This Row],[SB]]-TabCalc[[#This Row],[SST]],TabCalc[[#This Row],[SB]])</f>
        <v>4500</v>
      </c>
      <c r="H46" s="532" t="str">
        <f ca="1">[1]!RTData[[#This Row],[Ticker_Symbol]]</f>
        <v>TSM</v>
      </c>
      <c r="I46" s="383">
        <f ca="1">_xlfn.XLOOKUP(TabCalc[[#This Row],[Ticker]],[1]!RTData[Ticker_Symbol],[1]!RTData[M_Price])</f>
        <v>284.87</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9.4610000000000007E-3</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7.4890708139259021E-2</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-1225.9999999999764</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49620.000000000007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1194.0000000000055</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5764.9999999999864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40320</v>
      </c>
      <c r="AQ46" s="334">
        <f ca="1">_xlfn.LET(_xlpm.MVToday,DataShift!AV546,         _xlpm.MVY,DataShift!AU547,        _xlpm.MVYY, DataShift!AT547,                                IF(_xlpm.MVToday=_xlpm.MVY,_xlpm.MVY-_xlpm.MVYY,_xlpm.MVToday-_xlpm.MVY))</f>
        <v>142769.97</v>
      </c>
      <c r="AR46" s="334">
        <f ca="1">_xlfn.LET(_xlpm.MVToday,DataShift!AV546,         _xlpm.MVY,DataShift!AU547,        _xlpm.MVYY, DataShift!AT547,         _xlpm.MVYYY, DataShift!AS547,                      IF(_xlpm.MVToday=_xlpm.MVY,      _xlpm.MVYY-_xlpm.MVYYY,          _xlpm.MVY-_xlpm.MVYY))</f>
        <v>-14.979900000000043</v>
      </c>
      <c r="AS46" s="984">
        <f ca="1">TabCalc[[#This Row],[Y]]/TabCalc[[#This Row],[M]]</f>
        <v>1.1773682030399832</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-1.3500868623000146</v>
      </c>
      <c r="AY46" s="82">
        <f t="shared" ca="1" si="5"/>
        <v>0</v>
      </c>
      <c r="AZ46" s="90">
        <f ca="1">_xlfn.XLOOKUP(TabCalc[[#This Row],[Ticker]],[1]!RTData[Ticker_Symbol],[1]!RTData[V/VA])</f>
        <v>3.579393845927167E-3</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3.579393845927167E-3</v>
      </c>
      <c r="BC46" s="87" cm="1">
        <f t="array" aca="1" ref="BC46" ca="1">INDEX(TabReg[], 1, _xlfn.XMATCH(TabCalc[[#This Row],[Ticker]]&amp;1, TabReg[#Headers], 0))</f>
        <v>2000</v>
      </c>
      <c r="BD46" s="159">
        <f ca="1">TabCalc[[#This Row],[Nbegin]]*TabCalc[[#This Row],[M]]*TabCalc[[#This Row],[Scale]]+TabCalc[[#This Row],[ValueBegin]]</f>
        <v>369740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1081915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899018.92200000002</v>
      </c>
      <c r="BM46" s="159">
        <f ca="1">IF(        OR( TabCalc[[#This Row],[GL]]&gt;ABS(TabCalc[[#This Row],[EfCost]]),TabCalc[[#This Row],[NAfter]]=0),             TabCalc[[#This Row],[GL]],     0)</f>
        <v>899018.92200000002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141.15</v>
      </c>
      <c r="BR46" s="174" t="str">
        <f ca="1">IF(TabCalc[[#This Row],[EfCost]]+TabCalc[[#This Row],[M_V]]&lt;TabCalc[[#This Row],[NoT_GL]],"Pile","")</f>
        <v/>
      </c>
      <c r="BS46" s="165" t="e">
        <f ca="1">_xlfn.XLOOKUP(TabCalc[[#This Row],[Ticker]],[1]!RTData[Ticker_Symbol],[1]!#REF!)</f>
        <v>#REF!</v>
      </c>
      <c r="BT46" s="175">
        <f ca="1">(TabCalc[[#This Row],[ValueBegin]]+(TabCalc[[#This Row],[M]]-TabCalc[[#This Row],[A]])*TabCalc[[#This Row],[NAfter]])*TabCalc[[#This Row],[Scale]]</f>
        <v>164127.31937500014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364127.31937500014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1256.2814070351701</v>
      </c>
      <c r="CV46" s="404">
        <f ca="1">IF(TabCalc[[#This Row],[ntoBuy]]*TabCalc[[#This Row],[M]]&lt;=0,0,TabCalc[[#This Row],[ntoBuy]]*TabCalc[[#This Row],[M]])</f>
        <v>357876.88442210894</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17377.07</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364127.31937500014</v>
      </c>
      <c r="DB46" s="90">
        <f ca="1">IFERROR((TabCalc[[#This Row],[M]]+TabCalc[[#This Row],[L_Bp]])/ABS(TabCalc[[#This Row],[L_Bp]])/(TODAY()-TabCalc[[#This Row],[L_Bdate]])*360,"")</f>
        <v>-7.4088846184060406E-2</v>
      </c>
      <c r="DC46" s="310">
        <f ca="1">MEDIAN(DataShift!F746:Z746)</f>
        <v>-7.1799999999999998E-3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6" s="87">
        <f ca="1">TabCalc[[#This Row],[Nbegin]]*TabCalc[[#This Row],[Scale]]*TabCalc[[#This Row],[M]]</f>
        <v>569740</v>
      </c>
      <c r="DF46" s="87" cm="1">
        <f t="array" aca="1" ref="DF46" ca="1">SUMPRODUCT(ISNUMBER(INDIRECT("TabReg["&amp;TabCalc[[#This Row],[Ticker]]&amp;"2]"))* INDIRECT("TabReg["&amp;TabCalc[[#This Row],[Ticker]]&amp;"1]") * INDIRECT("TabReg["&amp;TabCalc[[#This Row],[Ticker]]&amp;"2]") )*TabCalc[[#This Row],[Scale]]</f>
        <v>-382896.07799999998</v>
      </c>
      <c r="DI46" s="87">
        <f ca="1"/>
        <v>143200</v>
      </c>
      <c r="DJ46" s="90">
        <f t="shared" ca="1" si="3"/>
        <v>-0.81503449616155033</v>
      </c>
      <c r="DK46" t="str">
        <f ca="1">_xlfn.XLOOKUP(DI46,TabCalc[Column1],TabCalc[Ticker])</f>
        <v>SSYS</v>
      </c>
      <c r="DL46" s="87">
        <f ca="1">_xlfn.XLOOKUP(DK46,TabCalc[Ticker],TabCalc[ValueBegin])</f>
        <v>-875207.52</v>
      </c>
      <c r="DM46" s="87">
        <f ca="1">_xlfn.XLOOKUP(DK46,TabCalc[Ticker],TabCalc[M_V])</f>
        <v>143200</v>
      </c>
      <c r="DN46" s="87">
        <f ca="1">_xlfn.XLOOKUP(DK46,TabCalc[Ticker],TabCalc[GL])</f>
        <v>-713324.32010000001</v>
      </c>
      <c r="DO46" s="90"/>
      <c r="DP46" s="90"/>
      <c r="DQ46" s="88" t="s">
        <v>42</v>
      </c>
      <c r="DR46" s="81">
        <v>7300</v>
      </c>
      <c r="DS46" s="315">
        <v>-10.784000000000001</v>
      </c>
      <c r="DU46" s="82">
        <v>1411680</v>
      </c>
      <c r="DV46" s="82">
        <f ca="1">DU46-TabCalc[[#This Row],[M_V]]</f>
        <v>129765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89400</v>
      </c>
      <c r="G47" s="82">
        <f ca="1">IFERROR(TabCalc[[#This Row],[SB]]-TabCalc[[#This Row],[SST]],TabCalc[[#This Row],[SB]])</f>
        <v>3000</v>
      </c>
      <c r="H47" s="532" t="str">
        <f ca="1">[1]!RTData[[#This Row],[Ticker_Symbol]]</f>
        <v>UN0</v>
      </c>
      <c r="I47" s="383">
        <f ca="1">_xlfn.XLOOKUP(TabCalc[[#This Row],[Ticker]],[1]!RTData[Ticker_Symbol],[1]!RTData[M_Price])</f>
        <v>29.8</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4.1958000000000002E-2</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6.8950835131964219E-2</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-4,188 = $ -124,803</v>
      </c>
      <c r="Z47" s="211">
        <f ca="1">MIN(TabCalc[[#This Row],[L_Bn]],TabCalc[[#This Row],[NAfter]])*(TabCalc[[#This Row],[M]]+TabCalc[[#This Row],[L_Bp]])*TabCalc[[#This Row],[Scale]]</f>
        <v>-2604.2449999999985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-4501.2000000000007</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5074.5694999999987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33924.999999999993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450</v>
      </c>
      <c r="AQ47" s="334">
        <f ca="1">_xlfn.LET(_xlpm.MVToday,DataShift!AV547,         _xlpm.MVY,DataShift!AU548,        _xlpm.MVYY, DataShift!AT548,                                IF(_xlpm.MVToday=_xlpm.MVY,_xlpm.MVY-_xlpm.MVYY,_xlpm.MVToday-_xlpm.MVY))</f>
        <v>-1285920.6499999999</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2.5362318840579712E-2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2.5362318840579712E-2</v>
      </c>
      <c r="BC47" s="87" cm="1">
        <f t="array" aca="1" ref="BC47" ca="1">INDEX(TabReg[], 1, _xlfn.XMATCH(TabCalc[[#This Row],[Ticker]]&amp;1, TabReg[#Headers], 0))</f>
        <v>700</v>
      </c>
      <c r="BD47" s="159">
        <f ca="1">TabCalc[[#This Row],[Nbegin]]*TabCalc[[#This Row],[M]]*TabCalc[[#This Row],[Scale]]+TabCalc[[#This Row],[ValueBegin]]</f>
        <v>-163534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-94994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-199782.19500000001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138.23</v>
      </c>
      <c r="BR47" s="174" t="str">
        <f ca="1">IF(TabCalc[[#This Row],[EfCost]]+TabCalc[[#This Row],[M_V]]&lt;TabCalc[[#This Row],[NoT_GL]],"Pile","")</f>
        <v>Pile</v>
      </c>
      <c r="BS47" s="165" t="e">
        <f ca="1">_xlfn.XLOOKUP(TabCalc[[#This Row],[Ticker]],[1]!RTData[Ticker_Symbol],[1]!#REF!)</f>
        <v>#REF!</v>
      </c>
      <c r="BT47" s="175">
        <f ca="1">(TabCalc[[#This Row],[ValueBegin]]+(TabCalc[[#This Row],[M]]-TabCalc[[#This Row],[A]])*TabCalc[[#This Row],[NAfter]])*TabCalc[[#This Row],[Scale]]</f>
        <v>-219792.05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-35398.050000000003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344.85683958018518</v>
      </c>
      <c r="CV47" s="404">
        <f ca="1">IF(TabCalc[[#This Row],[ntoBuy]]*TabCalc[[#This Row],[M]]&lt;=0,0,TabCalc[[#This Row],[ntoBuy]]*TabCalc[[#This Row],[M]])</f>
        <v>10276.733819489518</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-35398.050000000003</v>
      </c>
      <c r="DB47" s="90">
        <f ca="1">IFERROR((TabCalc[[#This Row],[M]]+TabCalc[[#This Row],[L_Bp]])/ABS(TabCalc[[#This Row],[L_Bp]])/(TODAY()-TabCalc[[#This Row],[L_Bdate]])*360,"")</f>
        <v>-0.58957441547624567</v>
      </c>
      <c r="DC47" s="310">
        <f ca="1">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7" s="87">
        <f ca="1">TabCalc[[#This Row],[Nbegin]]*TabCalc[[#This Row],[Scale]]*TabCalc[[#This Row],[M]]</f>
        <v>20860</v>
      </c>
      <c r="DF47" s="87" cm="1">
        <f t="array" aca="1" ref="DF47" ca="1">SUMPRODUCT(ISNUMBER(INDIRECT("TabReg["&amp;TabCalc[[#This Row],[Ticker]]&amp;"2]"))* INDIRECT("TabReg["&amp;TabCalc[[#This Row],[Ticker]]&amp;"1]") * INDIRECT("TabReg["&amp;TabCalc[[#This Row],[Ticker]]&amp;"2]") )*TabCalc[[#This Row],[Scale]]</f>
        <v>-289182.19500000001</v>
      </c>
      <c r="DI47" s="87">
        <f ca="1"/>
        <v>139424</v>
      </c>
      <c r="DJ47" s="90">
        <f t="shared" ca="1" si="3"/>
        <v>1.769605061472779</v>
      </c>
      <c r="DK47" t="str">
        <f ca="1">_xlfn.XLOOKUP(DI47,TabCalc[Column1],TabCalc[Ticker])</f>
        <v>SAFASML</v>
      </c>
      <c r="DL47" s="87">
        <f ca="1">_xlfn.XLOOKUP(DK47,TabCalc[Ticker],TabCalc[ValueBegin])</f>
        <v>-99686.399999999994</v>
      </c>
      <c r="DM47" s="87">
        <f ca="1">_xlfn.XLOOKUP(DK47,TabCalc[Ticker],TabCalc[M_V])</f>
        <v>217850</v>
      </c>
      <c r="DN47" s="87">
        <f ca="1">_xlfn.XLOOKUP(DK47,TabCalc[Ticker],TabCalc[GL])</f>
        <v>176405.55800000002</v>
      </c>
      <c r="DO47" s="90"/>
      <c r="DP47" s="90"/>
      <c r="DQ47" s="88" t="s">
        <v>43</v>
      </c>
      <c r="DR47" s="81">
        <v>2000</v>
      </c>
      <c r="DS47" s="315">
        <v>-100</v>
      </c>
      <c r="DU47" s="82">
        <v>88800</v>
      </c>
      <c r="DV47" s="82">
        <f ca="1">DU47-TabCalc[[#This Row],[M_V]]</f>
        <v>-600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45435.8</v>
      </c>
      <c r="G48" s="82">
        <f ca="1">IFERROR(TabCalc[[#This Row],[SB]]-TabCalc[[#This Row],[SST]],TabCalc[[#This Row],[SB]])</f>
        <v>7235</v>
      </c>
      <c r="H48" s="532" t="str">
        <f ca="1">[1]!RTData[[#This Row],[Ticker_Symbol]]</f>
        <v>UNIT</v>
      </c>
      <c r="I48" s="383">
        <f ca="1">_xlfn.XLOOKUP(TabCalc[[#This Row],[Ticker]],[1]!RTData[Ticker_Symbol],[1]!RTData[M_Price])</f>
        <v>6.28</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4.0597000000000001E-2</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7.2109210066283E-2</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11,894 = $ 74,694</v>
      </c>
      <c r="Z48" s="211">
        <f ca="1">MIN(TabCalc[[#This Row],[L_Bn]],TabCalc[[#This Row],[NAfter]])*(TabCalc[[#This Row],[M]]+TabCalc[[#This Row],[L_Bp]])*TabCalc[[#This Row],[Scale]]</f>
        <v>-21849.700000000004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2749.3000000000029</v>
      </c>
      <c r="AQ48" s="334">
        <f ca="1">_xlfn.LET(_xlpm.MVToday,DataShift!AV548,         _xlpm.MVY,DataShift!AU549,        _xlpm.MVYY, DataShift!AT549,                                IF(_xlpm.MVToday=_xlpm.MVY,_xlpm.MVY-_xlpm.MVYY,_xlpm.MVToday-_xlpm.MVY))</f>
        <v>1196415</v>
      </c>
      <c r="AR48" s="334">
        <f ca="1">_xlfn.LET(_xlpm.MVToday,DataShift!AV548,         _xlpm.MVY,DataShift!AU549,        _xlpm.MVYY, DataShift!AT549,         _xlpm.MVYYY, DataShift!AS549,                      IF(_xlpm.MVToday=_xlpm.MVY,      _xlpm.MVYY-_xlpm.MVYYY,          _xlpm.MVY-_xlpm.MVYY))</f>
        <v>1650</v>
      </c>
      <c r="AS48" s="984">
        <f ca="1">TabCalc[[#This Row],[Y]]/TabCalc[[#This Row],[M]]</f>
        <v>1.1818821656050955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-3.1970970084135727E-2</v>
      </c>
      <c r="AY48" s="82">
        <f t="shared" ca="1" si="5"/>
        <v>0</v>
      </c>
      <c r="AZ48" s="90">
        <f ca="1">_xlfn.XLOOKUP(TabCalc[[#This Row],[Ticker]],[1]!RTData[Ticker_Symbol],[1]!RTData[V/VA])</f>
        <v>3.1156902902410422E-5</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3.1156902902410422E-5</v>
      </c>
      <c r="BC48" s="87" cm="1">
        <f t="array" aca="1" ref="BC48" ca="1">INDEX(TabReg[], 1, _xlfn.XMATCH(TabCalc[[#This Row],[Ticker]]&amp;1, TabReg[#Headers], 0))</f>
        <v>7235</v>
      </c>
      <c r="BD48" s="159">
        <f ca="1">TabCalc[[#This Row],[Nbegin]]*TabCalc[[#This Row],[M]]*TabCalc[[#This Row],[Scale]]+TabCalc[[#This Row],[ValueBegin]]</f>
        <v>-48080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-15204.199999999997</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-21849.699999999997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t="e">
        <f ca="1">_xlfn.XLOOKUP(TabCalc[[#This Row],[Ticker]],[1]!RTData[Ticker_Symbol],[1]!#REF!)</f>
        <v>#REF!</v>
      </c>
      <c r="BT48" s="175">
        <f ca="1">(TabCalc[[#This Row],[ValueBegin]]+(TabCalc[[#This Row],[M]]-TabCalc[[#This Row],[A]])*TabCalc[[#This Row],[NAfter]])*TabCalc[[#This Row],[Scale]]</f>
        <v>-82489.700000000012</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-21849.700000000004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-21849.700000000004</v>
      </c>
      <c r="DB48" s="90">
        <f ca="1">IFERROR((TabCalc[[#This Row],[M]]+TabCalc[[#This Row],[L_Bp]])/ABS(TabCalc[[#This Row],[L_Bp]])/(TODAY()-TabCalc[[#This Row],[L_Bdate]])*360,"")</f>
        <v>-1.1240694789081886</v>
      </c>
      <c r="DC48" s="310">
        <f ca="1">MEDIAN(DataShift!F748:Z748)</f>
        <v>1.585E-3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12560</v>
      </c>
      <c r="DF48" s="87" cm="1">
        <f t="array" aca="1" ref="DF48" ca="1">SUMPRODUCT(ISNUMBER(INDIRECT("TabReg["&amp;TabCalc[[#This Row],[Ticker]]&amp;"2]"))* INDIRECT("TabReg["&amp;TabCalc[[#This Row],[Ticker]]&amp;"1]") * INDIRECT("TabReg["&amp;TabCalc[[#This Row],[Ticker]]&amp;"2]") )*TabCalc[[#This Row],[Scale]]</f>
        <v>-67285.5</v>
      </c>
      <c r="DI48" s="87">
        <f ca="1"/>
        <v>136205</v>
      </c>
      <c r="DJ48" s="90">
        <f t="shared" ca="1" si="3"/>
        <v>3.7154260449226668</v>
      </c>
      <c r="DK48" t="str">
        <f ca="1">_xlfn.XLOOKUP(DI48,TabCalc[Column1],TabCalc[Ticker])</f>
        <v>SAFAAPL</v>
      </c>
      <c r="DL48" s="87">
        <f ca="1">_xlfn.XLOOKUP(DK48,TabCalc[Ticker],TabCalc[ValueBegin])</f>
        <v>-34423.60000000002</v>
      </c>
      <c r="DM48" s="87">
        <f ca="1">_xlfn.XLOOKUP(DK48,TabCalc[Ticker],TabCalc[M_V])</f>
        <v>95343.500000000015</v>
      </c>
      <c r="DN48" s="87">
        <f ca="1">_xlfn.XLOOKUP(DK48,TabCalc[Ticker],TabCalc[GL])</f>
        <v>127898.33999999998</v>
      </c>
      <c r="DO48" s="90"/>
      <c r="DP48" s="90"/>
      <c r="DQ48" s="88" t="s">
        <v>44</v>
      </c>
      <c r="DR48" s="81">
        <v>700</v>
      </c>
      <c r="DS48" s="315">
        <v>-263.42</v>
      </c>
      <c r="DU48" s="82">
        <v>43410</v>
      </c>
      <c r="DV48" s="82">
        <f ca="1">DU48-TabCalc[[#This Row],[M_V]]</f>
        <v>-2025.8000000000029</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84120</v>
      </c>
      <c r="G49" s="82">
        <f ca="1">IFERROR(TabCalc[[#This Row],[SB]]-TabCalc[[#This Row],[SST]],TabCalc[[#This Row],[SB]])</f>
        <v>3000</v>
      </c>
      <c r="H49" s="532" t="str">
        <f ca="1">[1]!RTData[[#This Row],[Ticker_Symbol]]</f>
        <v>VLVLY</v>
      </c>
      <c r="I49" s="383">
        <f ca="1">_xlfn.XLOOKUP(TabCalc[[#This Row],[Ticker]],[1]!RTData[Ticker_Symbol],[1]!RTData[M_Price])</f>
        <v>28.04</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-1.1632E-2</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-0.46079575900084679</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59.999999999998721</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11670.000000000002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1019.9999999999995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-7949.9999999999955</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660</v>
      </c>
      <c r="AQ49" s="334">
        <f ca="1">_xlfn.LET(_xlpm.MVToday,DataShift!AV549,         _xlpm.MVY,DataShift!AU550,        _xlpm.MVYY, DataShift!AT550,                                IF(_xlpm.MVToday=_xlpm.MVY,_xlpm.MVY-_xlpm.MVYY,_xlpm.MVToday-_xlpm.MVY))</f>
        <v>41902.224999999999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1.2125534950071326</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-0.22206588906604022</v>
      </c>
      <c r="AY49" s="82">
        <f t="shared" ca="1" si="5"/>
        <v>7000</v>
      </c>
      <c r="AZ49" s="90">
        <f ca="1">_xlfn.XLOOKUP(TabCalc[[#This Row],[Ticker]],[1]!RTData[Ticker_Symbol],[1]!RTData[V/VA])</f>
        <v>3.0948271353104243E-2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3.0948271353104243E-2</v>
      </c>
      <c r="BC49" s="87" cm="1">
        <f t="array" aca="1" ref="BC49" ca="1">INDEX(TabReg[], 1, _xlfn.XMATCH(TabCalc[[#This Row],[Ticker]]&amp;1, TabReg[#Headers], 0))</f>
        <v>10000</v>
      </c>
      <c r="BD49" s="159">
        <f ca="1">TabCalc[[#This Row],[Nbegin]]*TabCalc[[#This Row],[M]]*TabCalc[[#This Row],[Scale]]+TabCalc[[#This Row],[ValueBegin]]</f>
        <v>89100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-107180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96016.37</v>
      </c>
      <c r="BM49" s="159">
        <f ca="1">IF(        OR( TabCalc[[#This Row],[GL]]&gt;ABS(TabCalc[[#This Row],[EfCost]]),TabCalc[[#This Row],[NAfter]]=0),             TabCalc[[#This Row],[GL]],     0)</f>
        <v>96016.37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t="e">
        <f ca="1">_xlfn.XLOOKUP(TabCalc[[#This Row],[Ticker]],[1]!RTData[Ticker_Symbol],[1]!#REF!)</f>
        <v>#REF!</v>
      </c>
      <c r="BT49" s="175">
        <f ca="1">(TabCalc[[#This Row],[ValueBegin]]+(TabCalc[[#This Row],[M]]-TabCalc[[#This Row],[A]])*TabCalc[[#This Row],[NAfter]])*TabCalc[[#This Row],[Scale]]</f>
        <v>-185405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5895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2450.9803921568637</v>
      </c>
      <c r="CV49" s="404">
        <f ca="1">IF(TabCalc[[#This Row],[ntoBuy]]*TabCalc[[#This Row],[M]]&lt;=0,0,TabCalc[[#This Row],[ntoBuy]]*TabCalc[[#This Row],[M]])</f>
        <v>68725.490196078448</v>
      </c>
      <c r="CW49" s="404">
        <f ca="1">IF(TabCalc[[#This Row],[M]]&gt;ABS(TabCalc[[#This Row],[L_Bp]]),MIN(TabCalc[[#This Row],[NAfter]],DesiredSaleGain/(TabCalc[[#This Row],[M]]+TabCalc[[#This Row],[L_Bp]])),0)/TabCalc[[#This Row],[Scale]]</f>
        <v>3000</v>
      </c>
      <c r="CX49" s="405">
        <f ca="1">TabCalc[[#This Row],[ntoSell]]*TabCalc[[#This Row],[M]]</f>
        <v>84120</v>
      </c>
      <c r="CY49" s="398">
        <f ca="1">_xlfn.LET(_xlpm.nToSell,IF(TabCalc[[#This Row],[M]]-TabCalc[[#This Row],[A]]&lt;=0,"",INT(DesiredSaleGain/(TabCalc[[#This Row],[M]]-IF(TabCalc[[#This Row],[E]]&gt;0,0,TabCalc[[#This Row],[A]])))),IF(_xlpm.nToSell&lt;=TabCalc[[#This Row],[NAfter]],_xlpm.nToSell,0))</f>
        <v>2544</v>
      </c>
      <c r="CZ49" s="336">
        <f ca="1">IFERROR(TabCalc[[#This Row],[NMA]]*TabCalc[[#This Row],[M]],"")</f>
        <v>71333.759999999995</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5895</v>
      </c>
      <c r="DB49" s="90">
        <f ca="1">IFERROR((TabCalc[[#This Row],[M]]+TabCalc[[#This Row],[L_Bp]])/ABS(TabCalc[[#This Row],[L_Bp]])/(TODAY()-TabCalc[[#This Row],[L_Bdate]])*360,"")</f>
        <v>2.7067669172931755E-2</v>
      </c>
      <c r="DC49" s="310">
        <f ca="1">MEDIAN(DataShift!F749:Z749)</f>
        <v>-5.1370000000000001E-3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9" s="87">
        <f ca="1">TabCalc[[#This Row],[Nbegin]]*TabCalc[[#This Row],[Scale]]*TabCalc[[#This Row],[M]]</f>
        <v>280400</v>
      </c>
      <c r="DF49" s="87" cm="1">
        <f t="array" aca="1" ref="DF49" ca="1">SUMPRODUCT(ISNUMBER(INDIRECT("TabReg["&amp;TabCalc[[#This Row],[Ticker]]&amp;"2]"))* INDIRECT("TabReg["&amp;TabCalc[[#This Row],[Ticker]]&amp;"1]") * INDIRECT("TabReg["&amp;TabCalc[[#This Row],[Ticker]]&amp;"2]") )*TabCalc[[#This Row],[Scale]]</f>
        <v>11896.369999999995</v>
      </c>
      <c r="DI49" s="87">
        <f ca="1"/>
        <v>121550</v>
      </c>
      <c r="DJ49" s="90">
        <f t="shared" ca="1" si="3"/>
        <v>0.45295748129675739</v>
      </c>
      <c r="DK49" t="str">
        <f ca="1">_xlfn.XLOOKUP(DI49,TabCalc[Column1],TabCalc[Ticker])</f>
        <v>DVA</v>
      </c>
      <c r="DL49" s="87">
        <f ca="1">_xlfn.XLOOKUP(DK49,TabCalc[Ticker],TabCalc[ValueBegin])</f>
        <v>-80200</v>
      </c>
      <c r="DM49" s="87">
        <f ca="1">_xlfn.XLOOKUP(DK49,TabCalc[Ticker],TabCalc[M_V])</f>
        <v>364650</v>
      </c>
      <c r="DN49" s="87">
        <f ca="1">_xlfn.XLOOKUP(DK49,TabCalc[Ticker],TabCalc[GL])</f>
        <v>36327.189999999944</v>
      </c>
      <c r="DO49" s="90"/>
      <c r="DP49" s="90"/>
      <c r="DQ49" s="88" t="s">
        <v>45</v>
      </c>
      <c r="DR49" s="81">
        <v>2000</v>
      </c>
      <c r="DS49" s="315">
        <v>-30.32</v>
      </c>
      <c r="DU49" s="82">
        <v>40230</v>
      </c>
      <c r="DV49" s="82">
        <f ca="1">DU49-TabCalc[[#This Row],[M_V]]</f>
        <v>-43890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1192000</v>
      </c>
      <c r="G50" s="82">
        <f ca="1">IFERROR(TabCalc[[#This Row],[SB]]-TabCalc[[#This Row],[SST]],TabCalc[[#This Row],[SB]])</f>
        <v>20000</v>
      </c>
      <c r="H50" s="532" t="str">
        <f ca="1">[1]!RTData[[#This Row],[Ticker_Symbol]]</f>
        <v>VONN</v>
      </c>
      <c r="I50" s="383">
        <f ca="1">_xlfn.XLOOKUP(TabCalc[[#This Row],[Ticker]],[1]!RTData[Ticker_Symbol],[1]!RTData[M_Price])</f>
        <v>59.6</v>
      </c>
      <c r="J50" s="382">
        <v>59.409500000000001</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-6.6669999999999993E-3</v>
      </c>
      <c r="N50" s="1077">
        <v>0</v>
      </c>
      <c r="O50" s="899">
        <f>TabCalc[[#This Row],[Up20]]-1+TabCalc[[#This Row],[Up20]]</f>
        <v>-1</v>
      </c>
      <c r="P50" s="899">
        <f>TabCalc[[#This Row],[Up20]]-TabCalc[[#This Row],[Up150]]</f>
        <v>-0.23529411764705882</v>
      </c>
      <c r="Q50" s="899">
        <v>0.23529411764705882</v>
      </c>
      <c r="R50" s="899">
        <f>TabCalc[[#This Row],[Up150]]-1+TabCalc[[#This Row],[Up150]]</f>
        <v>-0.52941176470588225</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16000</v>
      </c>
      <c r="V50" s="1013">
        <v>4000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2299.9999999999973</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1600.0000000000086</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33.60000000000003</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33.60000000000003</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-8000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1.0318791946308725</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-1.8712828067877951E-3</v>
      </c>
      <c r="AY50" s="82">
        <f t="shared" ca="1" si="5"/>
        <v>0</v>
      </c>
      <c r="AZ50" s="90">
        <f ca="1">_xlfn.XLOOKUP(TabCalc[[#This Row],[Ticker]],[1]!RTData[Ticker_Symbol],[1]!RTData[V/VA])</f>
        <v>0.42833015527104329</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0.42833015527104329</v>
      </c>
      <c r="BC50" s="87" cm="1">
        <f t="array" aca="1" ref="BC50" ca="1">INDEX(TabReg[], 1, _xlfn.XMATCH(TabCalc[[#This Row],[Ticker]]&amp;1, TabReg[#Headers], 0))</f>
        <v>20000</v>
      </c>
      <c r="BD50" s="159">
        <f ca="1">TabCalc[[#This Row],[Nbegin]]*TabCalc[[#This Row],[M]]*TabCalc[[#This Row],[Scale]]+TabCalc[[#This Row],[ValueBegin]]</f>
        <v>65963.709999999963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65963.709999999963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146504.30999999994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86.35</v>
      </c>
      <c r="BR50" s="174" t="str">
        <f ca="1">IF(TabCalc[[#This Row],[EfCost]]+TabCalc[[#This Row],[M_V]]&lt;TabCalc[[#This Row],[NoT_GL]],"Pile","")</f>
        <v/>
      </c>
      <c r="BS50" s="165" t="e">
        <f ca="1">_xlfn.XLOOKUP(TabCalc[[#This Row],[Ticker]],[1]!RTData[Ticker_Symbol],[1]!#REF!)</f>
        <v>#REF!</v>
      </c>
      <c r="BT50" s="175">
        <f ca="1">(TabCalc[[#This Row],[ValueBegin]]+(TabCalc[[#This Row],[M]]-TabCalc[[#This Row],[A]])*TabCalc[[#This Row],[NAfter]])*TabCalc[[#This Row],[Scale]]</f>
        <v>-1122226.29</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3810.0000000000023</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3124.9999999999973</v>
      </c>
      <c r="CV50" s="404">
        <f ca="1">IF(TabCalc[[#This Row],[ntoBuy]]*TabCalc[[#This Row],[M]]&lt;=0,0,TabCalc[[#This Row],[ntoBuy]]*TabCalc[[#This Row],[M]])</f>
        <v>186249.99999999985</v>
      </c>
      <c r="CW50" s="404">
        <f ca="1">IF(TabCalc[[#This Row],[M]]&gt;ABS(TabCalc[[#This Row],[L_Bp]]),MIN(TabCalc[[#This Row],[NAfter]],DesiredSaleGain/(TabCalc[[#This Row],[M]]+TabCalc[[#This Row],[L_Bp]])),0)/TabCalc[[#This Row],[Scale]]</f>
        <v>4347.8260869565274</v>
      </c>
      <c r="CX50" s="405">
        <f ca="1">TabCalc[[#This Row],[ntoSell]]*TabCalc[[#This Row],[M]]</f>
        <v>259130.43478260905</v>
      </c>
      <c r="CY50" s="398">
        <f ca="1">_xlfn.LET(_xlpm.nToSell,IF(TabCalc[[#This Row],[M]]-TabCalc[[#This Row],[A]]&lt;=0,"",INT(DesiredSaleGain/(TabCalc[[#This Row],[M]]-IF(TabCalc[[#This Row],[E]]&gt;0,0,TabCalc[[#This Row],[A]])))),IF(_xlpm.nToSell&lt;=TabCalc[[#This Row],[NAfter]],_xlpm.nToSell,0))</f>
        <v>0</v>
      </c>
      <c r="CZ50" s="336">
        <f ca="1">IFERROR(TabCalc[[#This Row],[NMA]]*TabCalc[[#This Row],[M]],"")</f>
        <v>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3810.0000000000023</v>
      </c>
      <c r="DB50" s="90">
        <f ca="1">IFERROR((TabCalc[[#This Row],[M]]+TabCalc[[#This Row],[L_Bp]])/ABS(TabCalc[[#This Row],[L_Bp]])/(TODAY()-TabCalc[[#This Row],[L_Bdate]])*360,"")</f>
        <v>0.70829769033361745</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1192000</v>
      </c>
      <c r="DF50" s="87" cm="1">
        <f t="array" aca="1" ref="DF50" ca="1">SUMPRODUCT(ISNUMBER(INDIRECT("TabReg["&amp;TabCalc[[#This Row],[Ticker]]&amp;"2]"))* INDIRECT("TabReg["&amp;TabCalc[[#This Row],[Ticker]]&amp;"1]") * INDIRECT("TabReg["&amp;TabCalc[[#This Row],[Ticker]]&amp;"2]") )*TabCalc[[#This Row],[Scale]]</f>
        <v>-1045495.6900000001</v>
      </c>
      <c r="DI50" s="87">
        <f ca="1"/>
        <v>120376.99999999999</v>
      </c>
      <c r="DJ50" s="90">
        <f t="shared" ca="1" si="3"/>
        <v>0.4358681406713138</v>
      </c>
      <c r="DK50" t="str">
        <f ca="1">_xlfn.XLOOKUP(DI50,TabCalc[Column1],TabCalc[Ticker])</f>
        <v>ENI</v>
      </c>
      <c r="DL50" s="87">
        <f ca="1">_xlfn.XLOOKUP(DK50,TabCalc[Ticker],TabCalc[ValueBegin])</f>
        <v>-99864</v>
      </c>
      <c r="DM50" s="87">
        <f ca="1">_xlfn.XLOOKUP(DK50,TabCalc[Ticker],TabCalc[M_V])</f>
        <v>280330</v>
      </c>
      <c r="DN50" s="87">
        <f ca="1">_xlfn.XLOOKUP(DK50,TabCalc[Ticker],TabCalc[GL])</f>
        <v>43527.53600000008</v>
      </c>
      <c r="DO50" s="90"/>
      <c r="DP50" s="90"/>
      <c r="DQ50" s="88" t="s">
        <v>46</v>
      </c>
      <c r="DR50" s="81">
        <v>190</v>
      </c>
      <c r="DS50" s="315">
        <v>-109.65132</v>
      </c>
      <c r="DU50" s="82">
        <v>949152.6</v>
      </c>
      <c r="DV50" s="82">
        <f ca="1">DU50-TabCalc[[#This Row],[M_V]]</f>
        <v>-242847.40000000002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53600</v>
      </c>
      <c r="G51" s="82">
        <f ca="1">IFERROR(TabCalc[[#This Row],[SB]]-TabCalc[[#This Row],[SST]],TabCalc[[#This Row],[SB]])</f>
        <v>5000</v>
      </c>
      <c r="H51" s="532" t="str">
        <f ca="1">[1]!RTData[[#This Row],[Ticker_Symbol]]</f>
        <v>VTRS</v>
      </c>
      <c r="I51" s="383">
        <f ca="1">_xlfn.XLOOKUP(TabCalc[[#This Row],[Ticker]],[1]!RTData[Ticker_Symbol],[1]!RTData[M_Price])</f>
        <v>10.72</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-1.7415E-2</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0.2331902784023005</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6299.9999999999991</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12450.000000000002</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-3250.0000000000018</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-700.00000000000284</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-550</v>
      </c>
      <c r="AQ51" s="334">
        <f ca="1">_xlfn.LET(_xlpm.MVToday,DataShift!AV551,         _xlpm.MVY,DataShift!AU551,        _xlpm.MVYY, DataShift!AT551,                                IF(_xlpm.MVToday=_xlpm.MVY,_xlpm.MVY-_xlpm.MVYY,_xlpm.MVToday-_xlpm.MVY))</f>
        <v>1870.5</v>
      </c>
      <c r="AR51" s="334">
        <f ca="1">_xlfn.LET(_xlpm.MVToday,DataShift!AV551,         _xlpm.MVY,DataShift!AU551,        _xlpm.MVYY, DataShift!AT551,         _xlpm.MVYYY, DataShift!AS551,                      IF(_xlpm.MVToday=_xlpm.MVY,      _xlpm.MVYY-_xlpm.MVYYY,          _xlpm.MVY-_xlpm.MVYY))</f>
        <v>169.5</v>
      </c>
      <c r="AS51" s="984">
        <f ca="1">TabCalc[[#This Row],[Y]]/TabCalc[[#This Row],[M]]</f>
        <v>1.1194029850746268</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-1.6302487562189029E-2</v>
      </c>
      <c r="AY51" s="82">
        <f t="shared" ca="1" si="5"/>
        <v>0</v>
      </c>
      <c r="AZ51" s="90">
        <f ca="1">_xlfn.XLOOKUP(TabCalc[[#This Row],[Ticker]],[1]!RTData[Ticker_Symbol],[1]!RTData[V/VA])</f>
        <v>5.6187673121244343E-7</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5.6187673121244343E-7</v>
      </c>
      <c r="BC51" s="87" cm="1">
        <f t="array" aca="1" ref="BC51" ca="1">INDEX(TabReg[], 1, _xlfn.XMATCH(TabCalc[[#This Row],[Ticker]]&amp;1, TabReg[#Headers], 0))</f>
        <v>5000</v>
      </c>
      <c r="BD51" s="159">
        <f ca="1">TabCalc[[#This Row],[Nbegin]]*TabCalc[[#This Row],[M]]*TabCalc[[#This Row],[Scale]]+TabCalc[[#This Row],[ValueBegin]]</f>
        <v>-97843.949999999983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-97843.949999999983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-79443.949999999953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t="e">
        <f ca="1">_xlfn.XLOOKUP(TabCalc[[#This Row],[Ticker]],[1]!RTData[Ticker_Symbol],[1]!#REF!)</f>
        <v>#REF!</v>
      </c>
      <c r="BT51" s="175">
        <f ca="1">(TabCalc[[#This Row],[ValueBegin]]+(TabCalc[[#This Row],[M]]-TabCalc[[#This Row],[A]])*TabCalc[[#This Row],[NAfter]])*TabCalc[[#This Row],[Scale]]</f>
        <v>-145143.94999999998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6299.9999999999991</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3968.2539682539691</v>
      </c>
      <c r="CX51" s="405">
        <f ca="1">TabCalc[[#This Row],[ntoSell]]*TabCalc[[#This Row],[M]]</f>
        <v>42539.682539682552</v>
      </c>
      <c r="CY51" s="398">
        <f ca="1">_xlfn.LET(_xlpm.nToSell,IF(TabCalc[[#This Row],[M]]-TabCalc[[#This Row],[A]]&lt;=0,"",INT(DesiredSaleGain/(TabCalc[[#This Row],[M]]-IF(TabCalc[[#This Row],[E]]&gt;0,0,TabCalc[[#This Row],[A]])))),IF(_xlpm.nToSell&lt;=TabCalc[[#This Row],[NAfter]],_xlpm.nToSell,0))</f>
        <v>3968</v>
      </c>
      <c r="CZ51" s="336">
        <f ca="1">IFERROR(TabCalc[[#This Row],[NMA]]*TabCalc[[#This Row],[M]],"")</f>
        <v>42536.959999999999</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6299.9999999999991</v>
      </c>
      <c r="DB51" s="90">
        <f ca="1">IFERROR((TabCalc[[#This Row],[M]]+TabCalc[[#This Row],[L_Bp]])/ABS(TabCalc[[#This Row],[L_Bp]])/(TODAY()-TabCalc[[#This Row],[L_Bdate]])*360,"")</f>
        <v>0.90470301966572242</v>
      </c>
      <c r="DC51" s="310">
        <f ca="1">MEDIAN(DataShift!F750:Z750)</f>
        <v>-2.8799999999999997E-3</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53600</v>
      </c>
      <c r="DF51" s="87" cm="1">
        <f t="array" aca="1" ref="DF51" ca="1">SUMPRODUCT(ISNUMBER(INDIRECT("TabReg["&amp;TabCalc[[#This Row],[Ticker]]&amp;"2]"))* INDIRECT("TabReg["&amp;TabCalc[[#This Row],[Ticker]]&amp;"1]") * INDIRECT("TabReg["&amp;TabCalc[[#This Row],[Ticker]]&amp;"2]") )*TabCalc[[#This Row],[Scale]]</f>
        <v>-133043.94999999995</v>
      </c>
      <c r="DI51" s="87">
        <f ca="1"/>
        <v>115740</v>
      </c>
      <c r="DJ51" s="90">
        <f t="shared" ca="1" si="3"/>
        <v>0.39214374288001713</v>
      </c>
      <c r="DK51" t="str">
        <f ca="1">_xlfn.XLOOKUP(DI51,TabCalc[Column1],TabCalc[Ticker])</f>
        <v>ADEA</v>
      </c>
      <c r="DL51" s="87">
        <f ca="1">_xlfn.XLOOKUP(DK51,TabCalc[Ticker],TabCalc[ValueBegin])</f>
        <v>-88529.004000000001</v>
      </c>
      <c r="DM51" s="87">
        <f ca="1">_xlfn.XLOOKUP(DK51,TabCalc[Ticker],TabCalc[M_V])</f>
        <v>64300</v>
      </c>
      <c r="DN51" s="87">
        <f ca="1">_xlfn.XLOOKUP(DK51,TabCalc[Ticker],TabCalc[GL])</f>
        <v>34716.09498200001</v>
      </c>
      <c r="DO51" s="90"/>
      <c r="DP51" s="90"/>
      <c r="DQ51" s="88" t="s">
        <v>47</v>
      </c>
      <c r="DR51" s="81">
        <v>10000</v>
      </c>
      <c r="DS51" s="315">
        <v>-19.13</v>
      </c>
      <c r="DU51" s="82">
        <v>52450</v>
      </c>
      <c r="DV51" s="82">
        <f ca="1">DU51-TabCalc[[#This Row],[M_V]]</f>
        <v>-1150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Row],[Ticker]],[1]!RTData[Ticker_Symbol],[1]!RTData[M_Price])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0.33383922414898598</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26000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t="e">
        <f ca="1">_xlfn.XLOOKUP(TabCalc[[#This Row],[Ticker]],[1]!RTData[Ticker_Symbol],[1]!#REF!)</f>
        <v>#REF!</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0.2419437148942622</v>
      </c>
      <c r="DC52" s="310">
        <f ca="1">MEDIAN(DataShift!F751:Z751)</f>
        <v>-5.0509999999999999E-3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115530</v>
      </c>
      <c r="DJ52" s="90">
        <f t="shared" ca="1" si="3"/>
        <v>0.99905098987108643</v>
      </c>
      <c r="DK52" t="str">
        <f ca="1">_xlfn.XLOOKUP(DI52,TabCalc[Column1],TabCalc[Ticker])</f>
        <v>PAAS</v>
      </c>
      <c r="DL52" s="87">
        <f ca="1">_xlfn.XLOOKUP(DK52,TabCalc[Ticker],TabCalc[ValueBegin])</f>
        <v>-86880</v>
      </c>
      <c r="DM52" s="87">
        <f ca="1">_xlfn.XLOOKUP(DK52,TabCalc[Ticker],TabCalc[M_V])</f>
        <v>154040</v>
      </c>
      <c r="DN52" s="87">
        <f ca="1">_xlfn.XLOOKUP(DK52,TabCalc[Ticker],TabCalc[GL])</f>
        <v>86797.549999999988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59645</v>
      </c>
      <c r="G53" s="82">
        <f ca="1">IFERROR(TabCalc[[#This Row],[SB]]-TabCalc[[#This Row],[SST]],TabCalc[[#This Row],[SB]])</f>
        <v>500</v>
      </c>
      <c r="H53" s="532" t="str">
        <f ca="1">[1]!RTData[[#This Row],[Ticker_Symbol]]</f>
        <v>XOM</v>
      </c>
      <c r="I53" s="383">
        <f ca="1">_xlfn.XLOOKUP(TabCalc[[#This Row],[Ticker]],[1]!RTData[Ticker_Symbol],[1]!RTData[M_Price])</f>
        <v>119.29</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1.2992999999999999E-2</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6.7222944011105876E-3</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540.00000000000341</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6600.0000000000018</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-21456.000000000004</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-9288.00000000002</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420</v>
      </c>
      <c r="AQ53" s="334">
        <f ca="1">_xlfn.LET(_xlpm.MVToday,DataShift!AV553,         _xlpm.MVY,DataShift!AU553,        _xlpm.MVYY, DataShift!AT553,                                IF(_xlpm.MVToday=_xlpm.MVY,_xlpm.MVY-_xlpm.MVYY,_xlpm.MVToday-_xlpm.MVY))</f>
        <v>3225</v>
      </c>
      <c r="AR53" s="334">
        <f ca="1">_xlfn.LET(_xlpm.MVToday,DataShift!AV553,         _xlpm.MVY,DataShift!AU553,        _xlpm.MVYY, DataShift!AT553,         _xlpm.MVYYY, DataShift!AS553,                      IF(_xlpm.MVToday=_xlpm.MVY,      _xlpm.MVYY-_xlpm.MVYYY,          _xlpm.MVY-_xlpm.MVYY))</f>
        <v>-600</v>
      </c>
      <c r="AS53" s="984">
        <f ca="1">TabCalc[[#This Row],[Y]]/TabCalc[[#This Row],[M]]</f>
        <v>1.0636264565344957</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-2.8888707997201054E-2</v>
      </c>
      <c r="AY53" s="82">
        <f t="shared" ca="1" si="5"/>
        <v>0</v>
      </c>
      <c r="AZ53" s="90">
        <f ca="1">_xlfn.XLOOKUP(TabCalc[[#This Row],[Ticker]],[1]!RTData[Ticker_Symbol],[1]!RTData[V/VA])</f>
        <v>3.4090178993023115E-4</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3.4090178993023115E-4</v>
      </c>
      <c r="BC53" s="87" cm="1">
        <f t="array" aca="1" ref="BC53" ca="1">INDEX(TabReg[], 1, _xlfn.XMATCH(TabCalc[[#This Row],[Ticker]]&amp;1, TabReg[#Headers], 0))</f>
        <v>200</v>
      </c>
      <c r="BD53" s="159">
        <f ca="1">TabCalc[[#This Row],[Nbegin]]*TabCalc[[#This Row],[M]]*TabCalc[[#This Row],[Scale]]+TabCalc[[#This Row],[ValueBegin]]</f>
        <v>3956</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39743</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11374.100000000006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t="e">
        <f ca="1">_xlfn.XLOOKUP(TabCalc[[#This Row],[Ticker]],[1]!RTData[Ticker_Symbol],[1]!#REF!)</f>
        <v>#REF!</v>
      </c>
      <c r="BT53" s="175">
        <f ca="1">(TabCalc[[#This Row],[ValueBegin]]+(TabCalc[[#This Row],[M]]-TabCalc[[#This Row],[A]])*TabCalc[[#This Row],[NAfter]])*TabCalc[[#This Row],[Scale]]</f>
        <v>-16722</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3179.9999999999995</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59645</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3179.9999999999995</v>
      </c>
      <c r="DB53" s="90">
        <f ca="1">IFERROR((TabCalc[[#This Row],[M]]+TabCalc[[#This Row],[L_Bp]])/ABS(TabCalc[[#This Row],[L_Bp]])/(TODAY()-TabCalc[[#This Row],[L_Bdate]])*360,"")</f>
        <v>0.10606467326188221</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3" s="87">
        <f ca="1">TabCalc[[#This Row],[Nbegin]]*TabCalc[[#This Row],[Scale]]*TabCalc[[#This Row],[M]]</f>
        <v>23858</v>
      </c>
      <c r="DF53" s="87" cm="1">
        <f t="array" aca="1" ref="DF53" ca="1">SUMPRODUCT(ISNUMBER(INDIRECT("TabReg["&amp;TabCalc[[#This Row],[Ticker]]&amp;"2]"))* INDIRECT("TabReg["&amp;TabCalc[[#This Row],[Ticker]]&amp;"1]") * INDIRECT("TabReg["&amp;TabCalc[[#This Row],[Ticker]]&amp;"2]") )*TabCalc[[#This Row],[Scale]]</f>
        <v>-48270.899999999994</v>
      </c>
      <c r="DI53" s="87">
        <f ca="1"/>
        <v>113238</v>
      </c>
      <c r="DJ53" s="90">
        <f t="shared" ca="1" si="3"/>
        <v>1.5248965463073239</v>
      </c>
      <c r="DK53" t="str">
        <f ca="1">_xlfn.XLOOKUP(DI53,TabCalc[Column1],TabCalc[Ticker])</f>
        <v>RIGL</v>
      </c>
      <c r="DL53" s="87">
        <f ca="1">_xlfn.XLOOKUP(DK53,TabCalc[Ticker],TabCalc[ValueBegin])</f>
        <v>-99689.529999999868</v>
      </c>
      <c r="DM53" s="87">
        <f ca="1">_xlfn.XLOOKUP(DK53,TabCalc[Ticker],TabCalc[M_V])</f>
        <v>41940</v>
      </c>
      <c r="DN53" s="87">
        <f ca="1">_xlfn.XLOOKUP(DK53,TabCalc[Ticker],TabCalc[GL])</f>
        <v>152016.22000000015</v>
      </c>
      <c r="DO53" s="90"/>
      <c r="DP53" s="90"/>
      <c r="DQ53" s="88" t="s">
        <v>49</v>
      </c>
      <c r="DR53" s="81">
        <v>5000</v>
      </c>
      <c r="DS53" s="315">
        <v>-30.288789999999999</v>
      </c>
      <c r="DU53" s="82">
        <v>57095</v>
      </c>
      <c r="DV53" s="82">
        <f ca="1">DU53-TabCalc[[#This Row],[M_V]]</f>
        <v>-2550</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61900.000000000007</v>
      </c>
      <c r="G54" s="82">
        <f ca="1">IFERROR(TabCalc[[#This Row],[SB]]-TabCalc[[#This Row],[SST]],TabCalc[[#This Row],[SB]])</f>
        <v>10000</v>
      </c>
      <c r="H54" s="532" t="str">
        <f ca="1">[1]!RTData[[#This Row],[Ticker_Symbol]]</f>
        <v>XPER</v>
      </c>
      <c r="I54" s="383">
        <f ca="1">_xlfn.XLOOKUP(TabCalc[[#This Row],[Ticker]],[1]!RTData[Ticker_Symbol],[1]!RTData[M_Price])</f>
        <v>6.19</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-1.746E-2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-2349.9999999999986</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-15498.000000000002</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31392.000000000004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7320.0000000000009</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-199.99999999999272</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1.8416801292407108</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-2.0040920698353313</v>
      </c>
      <c r="AY54" s="82">
        <f t="shared" ca="1" si="5"/>
        <v>0</v>
      </c>
      <c r="AZ54" s="90">
        <f ca="1">_xlfn.XLOOKUP(TabCalc[[#This Row],[Ticker]],[1]!RTData[Ticker_Symbol],[1]!RTData[V/VA])</f>
        <v>1.1060872052413513</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1.1060872052413513</v>
      </c>
      <c r="BC54" s="87" cm="1">
        <f t="array" aca="1" ref="BC54" ca="1">INDEX(TabReg[], 1, _xlfn.XMATCH(TabCalc[[#This Row],[Ticker]]&amp;1, TabReg[#Headers], 0))</f>
        <v>800</v>
      </c>
      <c r="BD54" s="159">
        <f ca="1">TabCalc[[#This Row],[Nbegin]]*TabCalc[[#This Row],[M]]*TabCalc[[#This Row],[Scale]]+TabCalc[[#This Row],[ValueBegin]]</f>
        <v>-50414.229999999996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6533.7700000000114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-60590.629999999983</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16.53</v>
      </c>
      <c r="BR54" s="174" t="str">
        <f ca="1">IF(TabCalc[[#This Row],[EfCost]]+TabCalc[[#This Row],[M_V]]&lt;TabCalc[[#This Row],[NoT_GL]],"Pile","")</f>
        <v>Pile</v>
      </c>
      <c r="BS54" s="165" t="e">
        <f ca="1">_xlfn.XLOOKUP(TabCalc[[#This Row],[Ticker]],[1]!RTData[Ticker_Symbol],[1]!#REF!)</f>
        <v>#REF!</v>
      </c>
      <c r="BT54" s="175">
        <f ca="1">(TabCalc[[#This Row],[ValueBegin]]+(TabCalc[[#This Row],[M]]-TabCalc[[#This Row],[A]])*TabCalc[[#This Row],[NAfter]])*TabCalc[[#This Row],[Scale]]</f>
        <v>-76134.23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-20767.999999999996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1146.788990825688</v>
      </c>
      <c r="CV54" s="404">
        <f ca="1">IF(TabCalc[[#This Row],[ntoBuy]]*TabCalc[[#This Row],[M]]&lt;=0,0,TabCalc[[#This Row],[ntoBuy]]*TabCalc[[#This Row],[M]])</f>
        <v>7098.6238532110092</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-20767.999999999996</v>
      </c>
      <c r="DB54" s="90">
        <f ca="1">IFERROR((TabCalc[[#This Row],[M]]+TabCalc[[#This Row],[L_Bp]])/ABS(TabCalc[[#This Row],[L_Bp]])/(TODAY()-TabCalc[[#This Row],[L_Bdate]])*360,"")</f>
        <v>-0.65142065142065109</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4" s="87">
        <f ca="1">TabCalc[[#This Row],[Nbegin]]*TabCalc[[#This Row],[Scale]]*TabCalc[[#This Row],[M]]</f>
        <v>4952</v>
      </c>
      <c r="DF54" s="87" cm="1">
        <f t="array" aca="1" ref="DF54" ca="1">SUMPRODUCT(ISNUMBER(INDIRECT("TabReg["&amp;TabCalc[[#This Row],[Ticker]]&amp;"2]"))* INDIRECT("TabReg["&amp;TabCalc[[#This Row],[Ticker]]&amp;"1]") * INDIRECT("TabReg["&amp;TabCalc[[#This Row],[Ticker]]&amp;"2]") )*TabCalc[[#This Row],[Scale]]</f>
        <v>-122490.62999999999</v>
      </c>
      <c r="DI54" s="87">
        <f ca="1"/>
        <v>107107</v>
      </c>
      <c r="DJ54" s="90">
        <f t="shared" ca="1" si="3"/>
        <v>6.3828993972534762E-2</v>
      </c>
      <c r="DK54" t="str">
        <f ca="1">_xlfn.XLOOKUP(DI54,TabCalc[Column1],TabCalc[Ticker])</f>
        <v>ORA</v>
      </c>
      <c r="DL54" s="87">
        <f ca="1">_xlfn.XLOOKUP(DK54,TabCalc[Ticker],TabCalc[ValueBegin])</f>
        <v>-96558</v>
      </c>
      <c r="DM54" s="87">
        <f ca="1">_xlfn.XLOOKUP(DK54,TabCalc[Ticker],TabCalc[M_V])</f>
        <v>16692</v>
      </c>
      <c r="DN54" s="87">
        <f ca="1">_xlfn.XLOOKUP(DK54,TabCalc[Ticker],TabCalc[GL])</f>
        <v>6163.2000000000116</v>
      </c>
      <c r="DO54" s="90"/>
      <c r="DP54" s="90"/>
      <c r="DQ54" s="88" t="s">
        <v>50</v>
      </c>
      <c r="DR54" s="81">
        <v>750</v>
      </c>
      <c r="DS54" s="315">
        <v>-49.343906666666669</v>
      </c>
      <c r="DU54" s="82">
        <v>63700</v>
      </c>
      <c r="DV54" s="82">
        <f ca="1">DU54-TabCalc[[#This Row],[M_V]]</f>
        <v>1799.9999999999927</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347440</v>
      </c>
      <c r="G55" s="82">
        <f ca="1">IFERROR(TabCalc[[#This Row],[SB]]-TabCalc[[#This Row],[SST]],TabCalc[[#This Row],[SB]])</f>
        <v>505000</v>
      </c>
      <c r="H55" s="532" t="str">
        <f ca="1">[1]!RTData[[#This Row],[Ticker_Symbol]]</f>
        <v>MVEALDNE</v>
      </c>
      <c r="I55" s="383">
        <f ca="1">_xlfn.XLOOKUP(TabCalc[[#This Row],[Ticker]],[1]!RTData[Ticker_Symbol],[1]!RTData[M_Price])</f>
        <v>0.68799999999999994</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3.3033E-2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-0.3698523214120959</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-5405.7300000000023</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-6440.0000000000009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4040</v>
      </c>
      <c r="AQ55" s="334">
        <f ca="1">_xlfn.LET(_xlpm.MVToday,DataShift!AV555,         _xlpm.MVY,DataShift!AU555,        _xlpm.MVYY, DataShift!AT555,                                IF(_xlpm.MVToday=_xlpm.MVY,_xlpm.MVY-_xlpm.MVYY,_xlpm.MVToday-_xlpm.MVY))</f>
        <v>950</v>
      </c>
      <c r="AR55" s="334">
        <f ca="1">_xlfn.LET(_xlpm.MVToday,DataShift!AV555,         _xlpm.MVY,DataShift!AU555,        _xlpm.MVYY, DataShift!AT555,         _xlpm.MVYYY, DataShift!AS555,                      IF(_xlpm.MVToday=_xlpm.MVY,      _xlpm.MVYY-_xlpm.MVYYY,          _xlpm.MVY-_xlpm.MVYY))</f>
        <v>1250</v>
      </c>
      <c r="AS55" s="984">
        <f ca="1">TabCalc[[#This Row],[Y]]/TabCalc[[#This Row],[M]]</f>
        <v>2.2286773255813959</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-0.57260452384398253</v>
      </c>
      <c r="AY55" s="82">
        <f t="shared" ca="1" si="5"/>
        <v>0</v>
      </c>
      <c r="AZ55" s="90">
        <f ca="1">_xlfn.XLOOKUP(TabCalc[[#This Row],[Ticker]],[1]!RTData[Ticker_Symbol],[1]!RTData[V/VA])</f>
        <v>0.15100864553314122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0.15100864553314122</v>
      </c>
      <c r="BC55" s="87" cm="1">
        <f t="array" aca="1" ref="BC55" ca="1">INDEX(TabReg[], 1, _xlfn.XMATCH(TabCalc[[#This Row],[Ticker]]&amp;1, TabReg[#Headers], 0))</f>
        <v>395031</v>
      </c>
      <c r="BD55" s="159">
        <f ca="1">TabCalc[[#This Row],[Nbegin]]*TabCalc[[#This Row],[M]]*TabCalc[[#This Row],[Scale]]+TabCalc[[#This Row],[ValueBegin]]</f>
        <v>-190404.94199999998</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-114746.26999999996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-290984.797074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t="e">
        <f ca="1">_xlfn.XLOOKUP(TabCalc[[#This Row],[Ticker]],[1]!RTData[Ticker_Symbol],[1]!#REF!)</f>
        <v>#REF!</v>
      </c>
      <c r="BT55" s="175">
        <f ca="1">(TabCalc[[#This Row],[ValueBegin]]+(TabCalc[[#This Row],[M]]-TabCalc[[#This Row],[A]])*TabCalc[[#This Row],[NAfter]])*TabCalc[[#This Row],[Scale]]</f>
        <v>-753171.06707400002</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-290984.79707400006</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-290984.79707400006</v>
      </c>
      <c r="DB55" s="90">
        <f ca="1">IFERROR((TabCalc[[#This Row],[M]]+TabCalc[[#This Row],[L_Bp]])/ABS(TabCalc[[#This Row],[L_Bp]])/(TODAY()-TabCalc[[#This Row],[L_Bdate]])*360,"")</f>
        <v>-0.87533339185493408</v>
      </c>
      <c r="DC55" s="310">
        <f ca="1">MEDIAN(DataShift!F754:Z754)</f>
        <v>2.9449999999999997E-3</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5" s="87">
        <f ca="1">TabCalc[[#This Row],[Nbegin]]*TabCalc[[#This Row],[Scale]]*TabCalc[[#This Row],[M]]</f>
        <v>271781.32799999998</v>
      </c>
      <c r="DF55" s="87" cm="1">
        <f t="array" aca="1" ref="DF55" ca="1">SUMPRODUCT(ISNUMBER(INDIRECT("TabReg["&amp;TabCalc[[#This Row],[Ticker]]&amp;"2]"))* INDIRECT("TabReg["&amp;TabCalc[[#This Row],[Ticker]]&amp;"1]") * INDIRECT("TabReg["&amp;TabCalc[[#This Row],[Ticker]]&amp;"2]") )*TabCalc[[#This Row],[Scale]]</f>
        <v>-638424.797074</v>
      </c>
      <c r="DI55" s="87">
        <f ca="1"/>
        <v>103220.99999999999</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50500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21700</v>
      </c>
      <c r="G56" s="82">
        <f ca="1">IFERROR(TabCalc[[#This Row],[SB]]-TabCalc[[#This Row],[SST]],TabCalc[[#This Row],[SB]])</f>
        <v>10000</v>
      </c>
      <c r="H56" s="532" t="str">
        <f ca="1">[1]!RTData[[#This Row],[Ticker_Symbol]]</f>
        <v>MVEDDD</v>
      </c>
      <c r="I56" s="383">
        <f ca="1">_xlfn.XLOOKUP(TabCalc[[#This Row],[Ticker]],[1]!RTData[Ticker_Symbol],[1]!RTData[M_Price])</f>
        <v>2.17</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4.6300000000000004E-3</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-0.12496079472786045</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-2800.0000000000023</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-5195.0849999999991</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6750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8950.5000000000018</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850</v>
      </c>
      <c r="AQ56" s="334">
        <f ca="1">_xlfn.LET(_xlpm.MVToday,DataShift!AV556,         _xlpm.MVY,DataShift!AU556,        _xlpm.MVYY, DataShift!AT556,                                IF(_xlpm.MVToday=_xlpm.MVY,_xlpm.MVY-_xlpm.MVYY,_xlpm.MVToday-_xlpm.MVY))</f>
        <v>-4084.9999999999927</v>
      </c>
      <c r="AR56" s="334">
        <f ca="1">_xlfn.LET(_xlpm.MVToday,DataShift!AV556,         _xlpm.MVY,DataShift!AU556,        _xlpm.MVYY, DataShift!AT556,         _xlpm.MVYYY, DataShift!AS556,                      IF(_xlpm.MVToday=_xlpm.MVY,      _xlpm.MVYY-_xlpm.MVYYY,          _xlpm.MVY-_xlpm.MVYY))</f>
        <v>-2915</v>
      </c>
      <c r="AS56" s="984">
        <f ca="1">TabCalc[[#This Row],[Y]]/TabCalc[[#This Row],[M]]</f>
        <v>1.4976958525345623</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-0.17861921304501951</v>
      </c>
      <c r="AY56" s="82">
        <f t="shared" ca="1" si="5"/>
        <v>0</v>
      </c>
      <c r="AZ56" s="90">
        <f ca="1">_xlfn.XLOOKUP(TabCalc[[#This Row],[Ticker]],[1]!RTData[Ticker_Symbol],[1]!RTData[V/VA])</f>
        <v>4.5786842046550367E-4</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4.5786842046550367E-4</v>
      </c>
      <c r="BC56" s="87" cm="1">
        <f t="array" aca="1" ref="BC56" ca="1">INDEX(TabReg[], 1, _xlfn.XMATCH(TabCalc[[#This Row],[Ticker]]&amp;1, TabReg[#Headers], 0))</f>
        <v>10000</v>
      </c>
      <c r="BD56" s="159">
        <f ca="1">TabCalc[[#This Row],[Nbegin]]*TabCalc[[#This Row],[M]]*TabCalc[[#This Row],[Scale]]+TabCalc[[#This Row],[ValueBegin]]</f>
        <v>-21600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-21600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8710.4149999999972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56" s="174" t="str">
        <f ca="1">IF(TabCalc[[#This Row],[EfCost]]+TabCalc[[#This Row],[M_V]]&lt;TabCalc[[#This Row],[NoT_GL]],"Pile","")</f>
        <v/>
      </c>
      <c r="BS56" s="165" t="e">
        <f ca="1">_xlfn.XLOOKUP(TabCalc[[#This Row],[Ticker]],[1]!RTData[Ticker_Symbol],[1]!#REF!)</f>
        <v>#REF!</v>
      </c>
      <c r="BT56" s="175">
        <f ca="1">(TabCalc[[#This Row],[ValueBegin]]+(TabCalc[[#This Row],[M]]-TabCalc[[#This Row],[A]])*TabCalc[[#This Row],[NAfter]])*TabCalc[[#This Row],[Scale]]</f>
        <v>-46100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-2800.0000000000023</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3703.7037037037035</v>
      </c>
      <c r="CV56" s="404">
        <f ca="1">IF(TabCalc[[#This Row],[ntoBuy]]*TabCalc[[#This Row],[M]]&lt;=0,0,TabCalc[[#This Row],[ntoBuy]]*TabCalc[[#This Row],[M]])</f>
        <v>8037.0370370370365</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-2800.0000000000023</v>
      </c>
      <c r="DB56" s="90">
        <f ca="1">IFERROR((TabCalc[[#This Row],[M]]+TabCalc[[#This Row],[L_Bp]])/ABS(TabCalc[[#This Row],[L_Bp]])/(TODAY()-TabCalc[[#This Row],[L_Bdate]])*360,"")</f>
        <v>-9.5681063122923668E-2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6" s="87">
        <f ca="1">TabCalc[[#This Row],[Nbegin]]*TabCalc[[#This Row],[Scale]]*TabCalc[[#This Row],[M]]</f>
        <v>21700</v>
      </c>
      <c r="DF56" s="87" cm="1">
        <f t="array" aca="1" ref="DF56" ca="1">SUMPRODUCT(ISNUMBER(INDIRECT("TabReg["&amp;TabCalc[[#This Row],[Ticker]]&amp;"2]"))* INDIRECT("TabReg["&amp;TabCalc[[#This Row],[Ticker]]&amp;"1]") * INDIRECT("TabReg["&amp;TabCalc[[#This Row],[Ticker]]&amp;"2]") )*TabCalc[[#This Row],[Scale]]</f>
        <v>-12989.585000000003</v>
      </c>
      <c r="DI56" s="87">
        <f ca="1"/>
        <v>101543</v>
      </c>
      <c r="DJ56" s="90">
        <f t="shared" ca="1" si="3"/>
        <v>1.2327376173732771</v>
      </c>
      <c r="DK56" t="str">
        <f ca="1">_xlfn.XLOOKUP(DI56,TabCalc[Column1],TabCalc[Ticker])</f>
        <v>MVEORA</v>
      </c>
      <c r="DL56" s="87">
        <f ca="1">_xlfn.XLOOKUP(DK56,TabCalc[Ticker],TabCalc[ValueBegin])</f>
        <v>-78723.200000000012</v>
      </c>
      <c r="DM56" s="87">
        <f ca="1">_xlfn.XLOOKUP(DK56,TabCalc[Ticker],TabCalc[M_V])</f>
        <v>275418</v>
      </c>
      <c r="DN56" s="87">
        <f ca="1">_xlfn.XLOOKUP(DK56,TabCalc[Ticker],TabCalc[GL])</f>
        <v>97045.049999999988</v>
      </c>
      <c r="DO56" s="90"/>
      <c r="DP56" s="90"/>
      <c r="DQ56" s="88" t="s">
        <v>52</v>
      </c>
      <c r="DR56" s="81">
        <v>800</v>
      </c>
      <c r="DS56" s="315">
        <v>-69.207787499999995</v>
      </c>
      <c r="DU56" s="82">
        <v>26250</v>
      </c>
      <c r="DV56" s="82">
        <f ca="1">DU56-TabCalc[[#This Row],[M_V]]</f>
        <v>4550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285720</v>
      </c>
      <c r="G57" s="82">
        <f ca="1">IFERROR(TabCalc[[#This Row],[SB]]-TabCalc[[#This Row],[SST]],TabCalc[[#This Row],[SB]])</f>
        <v>12000</v>
      </c>
      <c r="H57" s="532" t="str">
        <f ca="1">[1]!RTData[[#This Row],[Ticker_Symbol]]</f>
        <v>MVEDSY</v>
      </c>
      <c r="I57" s="383">
        <f ca="1">_xlfn.XLOOKUP(TabCalc[[#This Row],[Ticker]],[1]!RTData[Ticker_Symbol],[1]!RTData[M_Price])</f>
        <v>23.81</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-7.5029999999999993E-3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-5.1618646448597046E-2</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2,617 = $ 62,310</v>
      </c>
      <c r="Z57" s="211">
        <f ca="1">MIN(TabCalc[[#This Row],[L_Bn]],TabCalc[[#This Row],[NAfter]])*(TabCalc[[#This Row],[M]]+TabCalc[[#This Row],[L_Bp]])*TabCalc[[#This Row],[Scale]]</f>
        <v>-9615</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-3775.0000000000005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16200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16785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-2280</v>
      </c>
      <c r="AQ57" s="334">
        <f ca="1">_xlfn.LET(_xlpm.MVToday,DataShift!AV557,         _xlpm.MVY,DataShift!AU557,        _xlpm.MVYY, DataShift!AT557,                                IF(_xlpm.MVToday=_xlpm.MVY,_xlpm.MVY-_xlpm.MVYY,_xlpm.MVToday-_xlpm.MVY))</f>
        <v>-46460</v>
      </c>
      <c r="AR57" s="334">
        <f ca="1">_xlfn.LET(_xlpm.MVToday,DataShift!AV557,         _xlpm.MVY,DataShift!AU557,        _xlpm.MVYY, DataShift!AT557,         _xlpm.MVYYY, DataShift!AS557,                      IF(_xlpm.MVToday=_xlpm.MVY,      _xlpm.MVYY-_xlpm.MVYYY,          _xlpm.MVY-_xlpm.MVYY))</f>
        <v>-1010</v>
      </c>
      <c r="AS57" s="984">
        <f ca="1">TabCalc[[#This Row],[Y]]/TabCalc[[#This Row],[M]]</f>
        <v>1.3388399832003361</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-0.69185435071678458</v>
      </c>
      <c r="AY57" s="82">
        <f t="shared" ca="1" si="5"/>
        <v>0</v>
      </c>
      <c r="AZ57" s="90">
        <f ca="1">_xlfn.XLOOKUP(TabCalc[[#This Row],[Ticker]],[1]!RTData[Ticker_Symbol],[1]!RTData[V/VA])</f>
        <v>0.10492537313432836</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0.10492537313432836</v>
      </c>
      <c r="BC57" s="87" cm="1">
        <f t="array" aca="1" ref="BC57" ca="1">INDEX(TabReg[], 1, _xlfn.XMATCH(TabCalc[[#This Row],[Ticker]]&amp;1, TabReg[#Headers], 0))</f>
        <v>2000</v>
      </c>
      <c r="BD57" s="159">
        <f ca="1">TabCalc[[#This Row],[Nbegin]]*TabCalc[[#This Row],[M]]*TabCalc[[#This Row],[Scale]]+TabCalc[[#This Row],[ValueBegin]]</f>
        <v>-40380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197720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-113827.39600000001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45.23</v>
      </c>
      <c r="BR57" s="174" t="str">
        <f ca="1">IF(TabCalc[[#This Row],[EfCost]]+TabCalc[[#This Row],[M_V]]&lt;TabCalc[[#This Row],[NoT_GL]],"Pile","")</f>
        <v>Pile</v>
      </c>
      <c r="BS57" s="165" t="e">
        <f ca="1">_xlfn.XLOOKUP(TabCalc[[#This Row],[Ticker]],[1]!RTData[Ticker_Symbol],[1]!#REF!)</f>
        <v>#REF!</v>
      </c>
      <c r="BT57" s="175">
        <f ca="1">(TabCalc[[#This Row],[ValueBegin]]+(TabCalc[[#This Row],[M]]-TabCalc[[#This Row],[A]])*TabCalc[[#This Row],[NAfter]])*TabCalc[[#This Row],[Scale]]</f>
        <v>-205930.00000000006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-117930.00000000004</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308.64197530864197</v>
      </c>
      <c r="CV57" s="404">
        <f ca="1">IF(TabCalc[[#This Row],[ntoBuy]]*TabCalc[[#This Row],[M]]&lt;=0,0,TabCalc[[#This Row],[ntoBuy]]*TabCalc[[#This Row],[M]])</f>
        <v>7348.7654320987649</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-117930.00000000004</v>
      </c>
      <c r="DB57" s="90">
        <f ca="1">IFERROR((TabCalc[[#This Row],[M]]+TabCalc[[#This Row],[L_Bp]])/ABS(TabCalc[[#This Row],[L_Bp]])/(TODAY()-TabCalc[[#This Row],[L_Bdate]])*360,"")</f>
        <v>-0.53027796161482466</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7" s="87">
        <f ca="1">TabCalc[[#This Row],[Nbegin]]*TabCalc[[#This Row],[Scale]]*TabCalc[[#This Row],[M]]</f>
        <v>47620</v>
      </c>
      <c r="DF57" s="87" cm="1">
        <f t="array" aca="1" ref="DF57" ca="1">SUMPRODUCT(ISNUMBER(INDIRECT("TabReg["&amp;TabCalc[[#This Row],[Ticker]]&amp;"2]"))* INDIRECT("TabReg["&amp;TabCalc[[#This Row],[Ticker]]&amp;"1]") * INDIRECT("TabReg["&amp;TabCalc[[#This Row],[Ticker]]&amp;"2]") )*TabCalc[[#This Row],[Scale]]</f>
        <v>-399547.39600000001</v>
      </c>
      <c r="DI57" s="87">
        <f ca="1"/>
        <v>89696.16</v>
      </c>
      <c r="DJ57" s="90">
        <f t="shared" ca="1" si="3"/>
        <v>0.30552750904467396</v>
      </c>
      <c r="DK57" t="str">
        <f ca="1">_xlfn.XLOOKUP(DI57,TabCalc[Column1],TabCalc[Ticker])</f>
        <v>EZJ</v>
      </c>
      <c r="DL57" s="87">
        <f ca="1">_xlfn.XLOOKUP(DK57,TabCalc[Ticker],TabCalc[ValueBegin])</f>
        <v>-99727.2</v>
      </c>
      <c r="DM57" s="87">
        <f ca="1">_xlfn.XLOOKUP(DK57,TabCalc[Ticker],TabCalc[M_V])</f>
        <v>138420</v>
      </c>
      <c r="DN57" s="87">
        <f ca="1">_xlfn.XLOOKUP(DK57,TabCalc[Ticker],TabCalc[GL])</f>
        <v>30469.403000000006</v>
      </c>
      <c r="DO57" s="90"/>
      <c r="DP57" s="90"/>
      <c r="DQ57" s="88" t="s">
        <v>53</v>
      </c>
      <c r="DR57" s="81">
        <v>30000</v>
      </c>
      <c r="DS57" s="315">
        <v>-1.19</v>
      </c>
      <c r="DU57" s="82">
        <v>288480</v>
      </c>
      <c r="DV57" s="82">
        <f ca="1">DU57-TabCalc[[#This Row],[M_V]]</f>
        <v>2760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151.9</v>
      </c>
      <c r="G58" s="82">
        <f ca="1">IFERROR(TabCalc[[#This Row],[SB]]-TabCalc[[#This Row],[SST]],TabCalc[[#This Row],[SB]])</f>
        <v>10</v>
      </c>
      <c r="H58" s="532" t="str">
        <f ca="1">[1]!RTData[[#This Row],[Ticker_Symbol]]</f>
        <v>MVEEOAN</v>
      </c>
      <c r="I58" s="383">
        <f ca="1">_xlfn.XLOOKUP(TabCalc[[#This Row],[Ticker]],[1]!RTData[Ticker_Symbol],[1]!RTData[M_Price])</f>
        <v>15.19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-3.6080000000000001E-3</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0.30309487451625811</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41.29999999999999</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45.25</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-7863.6999999999971</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-10616.069999999998</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-4.9999999999982947E-2</v>
      </c>
      <c r="AQ58" s="334">
        <f ca="1">_xlfn.LET(_xlpm.MVToday,DataShift!AV558,         _xlpm.MVY,DataShift!AU558,        _xlpm.MVYY, DataShift!AT558,                                IF(_xlpm.MVToday=_xlpm.MVY,_xlpm.MVY-_xlpm.MVYY,_xlpm.MVToday-_xlpm.MVY))</f>
        <v>-550</v>
      </c>
      <c r="AR58" s="334">
        <f ca="1">_xlfn.LET(_xlpm.MVToday,DataShift!AV558,         _xlpm.MVY,DataShift!AU558,        _xlpm.MVYY, DataShift!AT558,         _xlpm.MVYYY, DataShift!AS558,                      IF(_xlpm.MVToday=_xlpm.MVY,      _xlpm.MVYY-_xlpm.MVYYY,          _xlpm.MVY-_xlpm.MVYY))</f>
        <v>-400</v>
      </c>
      <c r="AS58" s="984">
        <f ca="1">TabCalc[[#This Row],[Y]]/TabCalc[[#This Row],[M]]</f>
        <v>1.1138637261356155</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-2.0131766668688787E-2</v>
      </c>
      <c r="AY58" s="82">
        <f t="shared" ca="1" si="5"/>
        <v>19990</v>
      </c>
      <c r="AZ58" s="90">
        <f ca="1">_xlfn.XLOOKUP(TabCalc[[#This Row],[Ticker]],[1]!RTData[Ticker_Symbol],[1]!RTData[V/VA])</f>
        <v>7.1240551570914536E-4</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7.1240551570914536E-4</v>
      </c>
      <c r="BC58" s="87" cm="1">
        <f t="array" aca="1" ref="BC58" ca="1">INDEX(TabReg[], 1, _xlfn.XMATCH(TabCalc[[#This Row],[Ticker]]&amp;1, TabReg[#Headers], 0))</f>
        <v>20000</v>
      </c>
      <c r="BD58" s="159">
        <f ca="1">TabCalc[[#This Row],[Nbegin]]*TabCalc[[#This Row],[M]]*TabCalc[[#This Row],[Scale]]+TabCalc[[#This Row],[ValueBegin]]</f>
        <v>82594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-221054.1</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18111.785000000018</v>
      </c>
      <c r="BM58" s="159">
        <f ca="1">IF(        OR( TabCalc[[#This Row],[GL]]&gt;ABS(TabCalc[[#This Row],[EfCost]]),TabCalc[[#This Row],[NAfter]]=0),             TabCalc[[#This Row],[GL]],     0)</f>
        <v>18111.785000000018</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t="e">
        <f ca="1">_xlfn.XLOOKUP(TabCalc[[#This Row],[Ticker]],[1]!RTData[Ticker_Symbol],[1]!#REF!)</f>
        <v>#REF!</v>
      </c>
      <c r="BT58" s="175">
        <f ca="1">(TabCalc[[#This Row],[ValueBegin]]+(TabCalc[[#This Row],[M]]-TabCalc[[#This Row],[A]])*TabCalc[[#This Row],[NAfter]])*TabCalc[[#This Row],[Scale]]</f>
        <v>-221164.7</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41.29999999999999</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151.9</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41.29999999999999</v>
      </c>
      <c r="DB58" s="90">
        <f ca="1">IFERROR((TabCalc[[#This Row],[M]]+TabCalc[[#This Row],[L_Bp]])/ABS(TabCalc[[#This Row],[L_Bp]])/(TODAY()-TabCalc[[#This Row],[L_Bdate]])*360,"")</f>
        <v>0.4481012658227847</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8" s="87">
        <f ca="1">TabCalc[[#This Row],[Nbegin]]*TabCalc[[#This Row],[Scale]]*TabCalc[[#This Row],[M]]</f>
        <v>303800</v>
      </c>
      <c r="DF58" s="87" cm="1">
        <f t="array" aca="1" ref="DF58" ca="1">SUMPRODUCT(ISNUMBER(INDIRECT("TabReg["&amp;TabCalc[[#This Row],[Ticker]]&amp;"2]"))* INDIRECT("TabReg["&amp;TabCalc[[#This Row],[Ticker]]&amp;"1]") * INDIRECT("TabReg["&amp;TabCalc[[#This Row],[Ticker]]&amp;"2]") )*TabCalc[[#This Row],[Scale]]</f>
        <v>17959.885000000017</v>
      </c>
      <c r="DI58" s="87">
        <f ca="1"/>
        <v>86800</v>
      </c>
      <c r="DJ58" s="90">
        <f t="shared" ca="1" si="3"/>
        <v>-0.79191230589172168</v>
      </c>
      <c r="DK58" t="str">
        <f ca="1">_xlfn.XLOOKUP(DI58,TabCalc[Column1],TabCalc[Ticker])</f>
        <v>DDD</v>
      </c>
      <c r="DL58" s="87">
        <f ca="1">_xlfn.XLOOKUP(DK58,TabCalc[Ticker],TabCalc[ValueBegin])</f>
        <v>-414395</v>
      </c>
      <c r="DM58" s="87">
        <f ca="1">_xlfn.XLOOKUP(DK58,TabCalc[Ticker],TabCalc[M_V])</f>
        <v>184450</v>
      </c>
      <c r="DN58" s="87">
        <f ca="1">_xlfn.XLOOKUP(DK58,TabCalc[Ticker],TabCalc[GL])</f>
        <v>-328164.5</v>
      </c>
      <c r="DO58" s="90"/>
      <c r="DP58" s="90"/>
      <c r="DQ58" s="88" t="s">
        <v>54</v>
      </c>
      <c r="DR58" s="81">
        <v>395031</v>
      </c>
      <c r="DS58" s="315">
        <v>-1.17</v>
      </c>
      <c r="DU58" s="82">
        <v>157.5</v>
      </c>
      <c r="DV58" s="82">
        <f ca="1">DU58-TabCalc[[#This Row],[M_V]]</f>
        <v>5.5999999999999943</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593640</v>
      </c>
      <c r="G59" s="82">
        <f ca="1">IFERROR(TabCalc[[#This Row],[SB]]-TabCalc[[#This Row],[SST]],TabCalc[[#This Row],[SB]])</f>
        <v>36000</v>
      </c>
      <c r="H59" s="532" t="str">
        <f ca="1">[1]!RTData[[#This Row],[Ticker_Symbol]]</f>
        <v>MVEENI</v>
      </c>
      <c r="I59" s="383">
        <f ca="1">_xlfn.XLOOKUP(TabCalc[[#This Row],[Ticker]],[1]!RTData[Ticker_Symbol],[1]!RTData[M_Price])</f>
        <v>16.489999999999998</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9.7119999999999997E-4</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0.22830333430417432</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28239.999999999982</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7799.9999999999973</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-5479.9999999999973</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-16399.999999999993</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720</v>
      </c>
      <c r="AQ59" s="334">
        <f ca="1">_xlfn.LET(_xlpm.MVToday,DataShift!AV559,         _xlpm.MVY,DataShift!AU559,        _xlpm.MVYY, DataShift!AT559,                                IF(_xlpm.MVToday=_xlpm.MVY,_xlpm.MVY-_xlpm.MVYY,_xlpm.MVToday-_xlpm.MVY))</f>
        <v>5640</v>
      </c>
      <c r="AR59" s="334">
        <f ca="1">_xlfn.LET(_xlpm.MVToday,DataShift!AV559,         _xlpm.MVY,DataShift!AU559,        _xlpm.MVYY, DataShift!AT559,         _xlpm.MVYYY, DataShift!AS559,                      IF(_xlpm.MVToday=_xlpm.MVY,      _xlpm.MVYY-_xlpm.MVYYY,          _xlpm.MVY-_xlpm.MVYY))</f>
        <v>960</v>
      </c>
      <c r="AS59" s="984">
        <f ca="1">TabCalc[[#This Row],[Y]]/TabCalc[[#This Row],[M]]</f>
        <v>0.97772771376591883</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1.8633615435584752E-4</v>
      </c>
      <c r="AY59" s="82">
        <f t="shared" ca="1" si="5"/>
        <v>0</v>
      </c>
      <c r="AZ59" s="90">
        <f ca="1">_xlfn.XLOOKUP(TabCalc[[#This Row],[Ticker]],[1]!RTData[Ticker_Symbol],[1]!RTData[V/VA])</f>
        <v>0.20727782625951161</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0.20727782625951161</v>
      </c>
      <c r="BC59" s="87" cm="1">
        <f t="array" aca="1" ref="BC59" ca="1">INDEX(TabReg[], 1, _xlfn.XMATCH(TabCalc[[#This Row],[Ticker]]&amp;1, TabReg[#Headers], 0))</f>
        <v>10000</v>
      </c>
      <c r="BD59" s="159">
        <f ca="1">TabCalc[[#This Row],[Nbegin]]*TabCalc[[#This Row],[M]]*TabCalc[[#This Row],[Scale]]+TabCalc[[#This Row],[ValueBegin]]</f>
        <v>8973.9999999999709</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437714</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94770.777999999933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t="e">
        <f ca="1">_xlfn.XLOOKUP(TabCalc[[#This Row],[Ticker]],[1]!RTData[Ticker_Symbol],[1]!#REF!)</f>
        <v>#REF!</v>
      </c>
      <c r="BT59" s="175">
        <f ca="1">(TabCalc[[#This Row],[ValueBegin]]+(TabCalc[[#This Row],[M]]-TabCalc[[#This Row],[A]])*TabCalc[[#This Row],[NAfter]])*TabCalc[[#This Row],[Scale]]</f>
        <v>-45712.800000000047</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110213.19999999995</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1416.4305949008508</v>
      </c>
      <c r="CX59" s="405">
        <f ca="1">TabCalc[[#This Row],[ntoSell]]*TabCalc[[#This Row],[M]]</f>
        <v>23356.940509915028</v>
      </c>
      <c r="CY59" s="398">
        <f ca="1">_xlfn.LET(_xlpm.nToSell,IF(TabCalc[[#This Row],[M]]-TabCalc[[#This Row],[A]]&lt;=0,"",INT(DesiredSaleGain/(TabCalc[[#This Row],[M]]-IF(TabCalc[[#This Row],[E]]&gt;0,0,TabCalc[[#This Row],[A]])))),IF(_xlpm.nToSell&lt;=TabCalc[[#This Row],[NAfter]],_xlpm.nToSell,0))</f>
        <v>1633</v>
      </c>
      <c r="CZ59" s="336">
        <f ca="1">IFERROR(TabCalc[[#This Row],[NMA]]*TabCalc[[#This Row],[M]],"")</f>
        <v>26928.17</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110213.19999999995</v>
      </c>
      <c r="DB59" s="90">
        <f ca="1">IFERROR((TabCalc[[#This Row],[M]]+TabCalc[[#This Row],[L_Bp]])/ABS(TabCalc[[#This Row],[L_Bp]])/(TODAY()-TabCalc[[#This Row],[L_Bdate]])*360,"")</f>
        <v>0.57342430149447654</v>
      </c>
      <c r="DC59" s="310">
        <f ca="1">MEDIAN(DataShift!F758:Z758)</f>
        <v>-2.496E-3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164899.99999999997</v>
      </c>
      <c r="DF59" s="87" cm="1">
        <f t="array" aca="1" ref="DF59" ca="1">SUMPRODUCT(ISNUMBER(INDIRECT("TabReg["&amp;TabCalc[[#This Row],[Ticker]]&amp;"2]"))* INDIRECT("TabReg["&amp;TabCalc[[#This Row],[Ticker]]&amp;"1]") * INDIRECT("TabReg["&amp;TabCalc[[#This Row],[Ticker]]&amp;"2]") )*TabCalc[[#This Row],[Scale]]</f>
        <v>-498869.22200000007</v>
      </c>
      <c r="DI59" s="87">
        <f ca="1"/>
        <v>83110.500000000015</v>
      </c>
      <c r="DJ59" s="90">
        <f t="shared" ca="1" si="3"/>
        <v>0.14309088994812325</v>
      </c>
      <c r="DK59" t="str">
        <f ca="1">_xlfn.XLOOKUP(DI59,TabCalc[Column1],TabCalc[Ticker])</f>
        <v>GNRC</v>
      </c>
      <c r="DL59" s="87">
        <f ca="1">_xlfn.XLOOKUP(DK59,TabCalc[Ticker],TabCalc[ValueBegin])</f>
        <v>-104478</v>
      </c>
      <c r="DM59" s="87">
        <f ca="1">_xlfn.XLOOKUP(DK59,TabCalc[Ticker],TabCalc[M_V])</f>
        <v>135999</v>
      </c>
      <c r="DN59" s="87">
        <f ca="1">_xlfn.XLOOKUP(DK59,TabCalc[Ticker],TabCalc[GL])</f>
        <v>14949.85000000002</v>
      </c>
      <c r="DO59" s="90"/>
      <c r="DP59" s="90"/>
      <c r="DQ59" s="88" t="s">
        <v>55</v>
      </c>
      <c r="DR59" s="81">
        <v>10000</v>
      </c>
      <c r="DS59" s="315">
        <v>-4.33</v>
      </c>
      <c r="DU59" s="82">
        <v>572760</v>
      </c>
      <c r="DV59" s="82">
        <f ca="1">DU59-TabCalc[[#This Row],[M_V]]</f>
        <v>-20880</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Row],[Ticker]],[1]!RTData[Ticker_Symbol],[1]!RTData[M_Price])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-0.11111741884953252</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-9.1500000000000057</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t="e">
        <f ca="1">_xlfn.XLOOKUP(TabCalc[[#This Row],[Ticker]],[1]!RTData[Ticker_Symbol],[1]!#REF!)</f>
        <v>#REF!</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-1.0667395036678633</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76200</v>
      </c>
      <c r="DJ60" s="90">
        <f t="shared" ca="1" si="3"/>
        <v>-5.150453431372549</v>
      </c>
      <c r="DK60" t="str">
        <f ca="1">_xlfn.XLOOKUP(DI60,TabCalc[Column1],TabCalc[Ticker])</f>
        <v>NOTE</v>
      </c>
      <c r="DL60" s="87">
        <f ca="1">_xlfn.XLOOKUP(DK60,TabCalc[Ticker],TabCalc[ValueBegin])</f>
        <v>-35700</v>
      </c>
      <c r="DM60" s="87">
        <f ca="1">_xlfn.XLOOKUP(DK60,TabCalc[Ticker],TabCalc[M_V])</f>
        <v>67734.180000000008</v>
      </c>
      <c r="DN60" s="87">
        <f ca="1">_xlfn.XLOOKUP(DK60,TabCalc[Ticker],TabCalc[GL])</f>
        <v>-183871.1875</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407820</v>
      </c>
      <c r="G61" s="82">
        <f ca="1">IFERROR(TabCalc[[#This Row],[SB]]-TabCalc[[#This Row],[SST]],TabCalc[[#This Row],[SB]])</f>
        <v>7000</v>
      </c>
      <c r="H61" s="532" t="str">
        <f ca="1">[1]!RTData[[#This Row],[Ticker_Symbol]]</f>
        <v>MVEGLE</v>
      </c>
      <c r="I61" s="383">
        <f ca="1">_xlfn.XLOOKUP(TabCalc[[#This Row],[Ticker]],[1]!RTData[Ticker_Symbol],[1]!RTData[M_Price])</f>
        <v>58.26</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4.829E-3</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-2.8861690564309043E-2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4239.9999999999945</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7159.9999999999964</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-10790</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-12500</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-1960</v>
      </c>
      <c r="AQ61" s="334">
        <f ca="1">_xlfn.LET(_xlpm.MVToday,DataShift!AV561,         _xlpm.MVY,DataShift!AU561,        _xlpm.MVYY, DataShift!AT561,                                IF(_xlpm.MVToday=_xlpm.MVY,_xlpm.MVY-_xlpm.MVYY,_xlpm.MVToday-_xlpm.MVY))</f>
        <v>20088</v>
      </c>
      <c r="AR61" s="334">
        <f ca="1">_xlfn.LET(_xlpm.MVToday,DataShift!AV561,         _xlpm.MVY,DataShift!AU561,        _xlpm.MVYY, DataShift!AT561,         _xlpm.MVYYY, DataShift!AS561,                      IF(_xlpm.MVToday=_xlpm.MVY,      _xlpm.MVYY-_xlpm.MVYYY,          _xlpm.MVY-_xlpm.MVYY))</f>
        <v>-576</v>
      </c>
      <c r="AS61" s="984">
        <f ca="1">TabCalc[[#This Row],[Y]]/TabCalc[[#This Row],[M]]</f>
        <v>1.1103005492619293</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-7.0414637998195237E-2</v>
      </c>
      <c r="AY61" s="82">
        <f t="shared" ca="1" si="5"/>
        <v>3000</v>
      </c>
      <c r="AZ61" s="90">
        <f ca="1">_xlfn.XLOOKUP(TabCalc[[#This Row],[Ticker]],[1]!RTData[Ticker_Symbol],[1]!RTData[V/VA])</f>
        <v>0.14082448702358652</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0.14082448702358652</v>
      </c>
      <c r="BC61" s="87" cm="1">
        <f t="array" aca="1" ref="BC61" ca="1">INDEX(TabReg[], 1, _xlfn.XMATCH(TabCalc[[#This Row],[Ticker]]&amp;1, TabReg[#Headers], 0))</f>
        <v>10000</v>
      </c>
      <c r="BD61" s="159">
        <f ca="1">TabCalc[[#This Row],[Nbegin]]*TabCalc[[#This Row],[M]]*TabCalc[[#This Row],[Scale]]+TabCalc[[#This Row],[ValueBegin]]</f>
        <v>339433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164653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111229.04999999999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t="e">
        <f ca="1">_xlfn.XLOOKUP(TabCalc[[#This Row],[Ticker]],[1]!RTData[Ticker_Symbol],[1]!#REF!)</f>
        <v>#REF!</v>
      </c>
      <c r="BT61" s="175">
        <f ca="1">(TabCalc[[#This Row],[ValueBegin]]+(TabCalc[[#This Row],[M]]-TabCalc[[#This Row],[A]])*TabCalc[[#This Row],[NAfter]])*TabCalc[[#This Row],[Scale]]</f>
        <v>-224972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18194.999999999993</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1179.2452830188693</v>
      </c>
      <c r="CX61" s="405">
        <f ca="1">TabCalc[[#This Row],[ntoSell]]*TabCalc[[#This Row],[M]]</f>
        <v>68702.83018867932</v>
      </c>
      <c r="CY61" s="398">
        <f ca="1">_xlfn.LET(_xlpm.nToSell,IF(TabCalc[[#This Row],[M]]-TabCalc[[#This Row],[A]]&lt;=0,"",INT(DesiredSaleGain/(TabCalc[[#This Row],[M]]-IF(TabCalc[[#This Row],[E]]&gt;0,0,TabCalc[[#This Row],[A]])))),IF(_xlpm.nToSell&lt;=TabCalc[[#This Row],[NAfter]],_xlpm.nToSell,0))</f>
        <v>1923</v>
      </c>
      <c r="CZ61" s="336">
        <f ca="1">IFERROR(TabCalc[[#This Row],[NMA]]*TabCalc[[#This Row],[M]],"")</f>
        <v>112033.98</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18194.999999999993</v>
      </c>
      <c r="DB61" s="90">
        <f ca="1">IFERROR((TabCalc[[#This Row],[M]]+TabCalc[[#This Row],[L_Bp]])/ABS(TabCalc[[#This Row],[L_Bp]])/(TODAY()-TabCalc[[#This Row],[L_Bdate]])*360,"")</f>
        <v>0.91149036796407423</v>
      </c>
      <c r="DC61" s="310">
        <f ca="1">MEDIAN(DataShift!F760:Z760)</f>
        <v>1.6130000000000001E-3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1" s="87">
        <f ca="1">TabCalc[[#This Row],[Nbegin]]*TabCalc[[#This Row],[Scale]]*TabCalc[[#This Row],[M]]</f>
        <v>582600</v>
      </c>
      <c r="DF61" s="87" cm="1">
        <f t="array" aca="1" ref="DF61" ca="1">SUMPRODUCT(ISNUMBER(INDIRECT("TabReg["&amp;TabCalc[[#This Row],[Ticker]]&amp;"2]"))* INDIRECT("TabReg["&amp;TabCalc[[#This Row],[Ticker]]&amp;"1]") * INDIRECT("TabReg["&amp;TabCalc[[#This Row],[Ticker]]&amp;"2]") )*TabCalc[[#This Row],[Scale]]</f>
        <v>-296590.95</v>
      </c>
      <c r="DI61" s="87">
        <f ca="1"/>
        <v>70560</v>
      </c>
      <c r="DJ61" s="90">
        <f t="shared" ca="1" si="3"/>
        <v>0.38538850267379682</v>
      </c>
      <c r="DK61" t="str">
        <f ca="1">_xlfn.XLOOKUP(DI61,TabCalc[Column1],TabCalc[Ticker])</f>
        <v>GM</v>
      </c>
      <c r="DL61" s="87">
        <f ca="1">_xlfn.XLOOKUP(DK61,TabCalc[Ticker],TabCalc[ValueBegin])</f>
        <v>-37400</v>
      </c>
      <c r="DM61" s="87">
        <f ca="1">_xlfn.XLOOKUP(DK61,TabCalc[Ticker],TabCalc[M_V])</f>
        <v>705.6</v>
      </c>
      <c r="DN61" s="87">
        <f ca="1">_xlfn.XLOOKUP(DK61,TabCalc[Ticker],TabCalc[GL])</f>
        <v>14413.53</v>
      </c>
      <c r="DO61" s="90"/>
      <c r="DP61" s="90"/>
      <c r="DQ61" s="88" t="s">
        <v>57</v>
      </c>
      <c r="DR61" s="82">
        <v>20000</v>
      </c>
      <c r="DS61" s="315">
        <v>-11.0603</v>
      </c>
      <c r="DU61" s="82">
        <v>382060</v>
      </c>
      <c r="DV61" s="82">
        <f ca="1">DU61-TabCalc[[#This Row],[M_V]]</f>
        <v>-25760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275418</v>
      </c>
      <c r="G62" s="82">
        <f ca="1">IFERROR(TabCalc[[#This Row],[SB]]-TabCalc[[#This Row],[SST]],TabCalc[[#This Row],[SB]])</f>
        <v>19800</v>
      </c>
      <c r="H62" s="532" t="str">
        <f ca="1">[1]!RTData[[#This Row],[Ticker_Symbol]]</f>
        <v>MVEORA</v>
      </c>
      <c r="I62" s="383">
        <f ca="1">_xlfn.XLOOKUP(TabCalc[[#This Row],[Ticker]],[1]!RTData[Ticker_Symbol],[1]!RTData[M_Price])</f>
        <v>13.91</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-7.8459999999999988E-3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-1319.9999999999984</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4320.0000000000036</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-198.00000000000111</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39.999999999999147</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-2277</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1.1015255212077641</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-1.3214728638833252E-2</v>
      </c>
      <c r="AY62" s="82">
        <f t="shared" ca="1" si="5"/>
        <v>0</v>
      </c>
      <c r="AZ62" s="90">
        <f ca="1">_xlfn.XLOOKUP(TabCalc[[#This Row],[Ticker]],[1]!RTData[Ticker_Symbol],[1]!RTData[V/VA])</f>
        <v>0.10826173304693219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0.10826173304693219</v>
      </c>
      <c r="BC62" s="87" cm="1">
        <f t="array" aca="1" ref="BC62" ca="1">INDEX(TabReg[], 1, _xlfn.XMATCH(TabCalc[[#This Row],[Ticker]]&amp;1, TabReg[#Headers], 0))</f>
        <v>7300</v>
      </c>
      <c r="BD62" s="159">
        <f ca="1">TabCalc[[#This Row],[Nbegin]]*TabCalc[[#This Row],[M]]*TabCalc[[#This Row],[Scale]]+TabCalc[[#This Row],[ValueBegin]]</f>
        <v>22819.799999999988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196694.8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97045.049999999988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t="e">
        <f ca="1">_xlfn.XLOOKUP(TabCalc[[#This Row],[Ticker]],[1]!RTData[Ticker_Symbol],[1]!#REF!)</f>
        <v>#REF!</v>
      </c>
      <c r="BT62" s="175">
        <f ca="1">(TabCalc[[#This Row],[ValueBegin]]+(TabCalc[[#This Row],[M]]-TabCalc[[#This Row],[A]])*TabCalc[[#This Row],[NAfter]])*TabCalc[[#This Row],[Scale]]</f>
        <v>-43179.200000000019</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35543.999999999993</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2785</v>
      </c>
      <c r="CZ62" s="336">
        <f ca="1">IFERROR(TabCalc[[#This Row],[NMA]]*TabCalc[[#This Row],[M]],"")</f>
        <v>38739.35</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35543.999999999993</v>
      </c>
      <c r="DB62" s="90">
        <f ca="1">IFERROR((TabCalc[[#This Row],[M]]+TabCalc[[#This Row],[L_Bp]])/ABS(TabCalc[[#This Row],[L_Bp]])/(TODAY()-TabCalc[[#This Row],[L_Bdate]])*360,"")</f>
        <v>-0.11742901623545098</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101543</v>
      </c>
      <c r="DF62" s="87" cm="1">
        <f t="array" aca="1" ref="DF62" ca="1">SUMPRODUCT(ISNUMBER(INDIRECT("TabReg["&amp;TabCalc[[#This Row],[Ticker]]&amp;"2]"))* INDIRECT("TabReg["&amp;TabCalc[[#This Row],[Ticker]]&amp;"1]") * INDIRECT("TabReg["&amp;TabCalc[[#This Row],[Ticker]]&amp;"2]") )*TabCalc[[#This Row],[Scale]]</f>
        <v>-178372.95</v>
      </c>
      <c r="DI62" s="87">
        <f ca="1"/>
        <v>68953.5</v>
      </c>
      <c r="DJ62" s="90">
        <f t="shared" ca="1" si="3"/>
        <v>-0.19613088575479445</v>
      </c>
      <c r="DK62" t="str">
        <f ca="1">_xlfn.XLOOKUP(DI62,TabCalc[Column1],TabCalc[Ticker])</f>
        <v>LUV</v>
      </c>
      <c r="DL62" s="87">
        <f ca="1">_xlfn.XLOOKUP(DK62,TabCalc[Ticker],TabCalc[ValueBegin])</f>
        <v>-93807</v>
      </c>
      <c r="DM62" s="87">
        <f ca="1">_xlfn.XLOOKUP(DK62,TabCalc[Ticker],TabCalc[M_V])</f>
        <v>39402</v>
      </c>
      <c r="DN62" s="87">
        <f ca="1">_xlfn.XLOOKUP(DK62,TabCalc[Ticker],TabCalc[GL])</f>
        <v>-18398.450000000004</v>
      </c>
      <c r="DO62" s="90"/>
      <c r="DP62" s="90"/>
      <c r="DQ62" s="88" t="s">
        <v>58</v>
      </c>
      <c r="DR62" s="82">
        <v>10000</v>
      </c>
      <c r="DS62" s="315">
        <v>-15.592599999999999</v>
      </c>
      <c r="DU62" s="82">
        <v>271557</v>
      </c>
      <c r="DV62" s="82">
        <f ca="1">DU62-TabCalc[[#This Row],[M_V]]</f>
        <v>-3861</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45.38</v>
      </c>
      <c r="G63" s="82">
        <f ca="1">IFERROR(TabCalc[[#This Row],[SB]]-TabCalc[[#This Row],[SST]],TabCalc[[#This Row],[SB]])</f>
        <v>1</v>
      </c>
      <c r="H63" s="532" t="str">
        <f ca="1">[1]!RTData[[#This Row],[Ticker_Symbol]]</f>
        <v>MVERWE</v>
      </c>
      <c r="I63" s="383">
        <f ca="1">_xlfn.XLOOKUP(TabCalc[[#This Row],[Ticker]],[1]!RTData[Ticker_Symbol],[1]!RTData[M_Price])</f>
        <v>45.38</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1.103E-3</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0.11006945187235548</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12.285000000000004</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17.170000000000002</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-48067.98000000001</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-64360.000000000015</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-0.32000000000000028</v>
      </c>
      <c r="AQ63" s="334">
        <f ca="1">_xlfn.LET(_xlpm.MVToday,DataShift!AV563,         _xlpm.MVY,DataShift!AU563,        _xlpm.MVYY, DataShift!AT563,                                IF(_xlpm.MVToday=_xlpm.MVY,_xlpm.MVY-_xlpm.MVYY,_xlpm.MVToday-_xlpm.MVY))</f>
        <v>25340</v>
      </c>
      <c r="AR63" s="334">
        <f ca="1">_xlfn.LET(_xlpm.MVToday,DataShift!AV563,         _xlpm.MVY,DataShift!AU563,        _xlpm.MVYY, DataShift!AT563,         _xlpm.MVYYY, DataShift!AS563,                      IF(_xlpm.MVToday=_xlpm.MVY,      _xlpm.MVYY-_xlpm.MVYYY,          _xlpm.MVY-_xlpm.MVYY))</f>
        <v>-8120</v>
      </c>
      <c r="AS63" s="984">
        <f ca="1">TabCalc[[#This Row],[Y]]/TabCalc[[#This Row],[M]]</f>
        <v>0.98605244601145869</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1.2487014910309065E-4</v>
      </c>
      <c r="AY63" s="82">
        <f t="shared" ca="1" si="5"/>
        <v>9999</v>
      </c>
      <c r="AZ63" s="90">
        <f ca="1">_xlfn.XLOOKUP(TabCalc[[#This Row],[Ticker]],[1]!RTData[Ticker_Symbol],[1]!RTData[V/VA])</f>
        <v>7.3873717920976329E-4</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7.3873717920976329E-4</v>
      </c>
      <c r="BC63" s="87" cm="1">
        <f t="array" aca="1" ref="BC63" ca="1">INDEX(TabReg[], 1, _xlfn.XMATCH(TabCalc[[#This Row],[Ticker]]&amp;1, TabReg[#Headers], 0))</f>
        <v>10000</v>
      </c>
      <c r="BD63" s="159">
        <f ca="1">TabCalc[[#This Row],[Nbegin]]*TabCalc[[#This Row],[M]]*TabCalc[[#This Row],[Scale]]+TabCalc[[#This Row],[ValueBegin]]</f>
        <v>95000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-358754.62</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37560.519999999982</v>
      </c>
      <c r="BM63" s="159">
        <f ca="1">IF(        OR( TabCalc[[#This Row],[GL]]&gt;ABS(TabCalc[[#This Row],[EfCost]]),TabCalc[[#This Row],[NAfter]]=0),             TabCalc[[#This Row],[GL]],     0)</f>
        <v>37560.519999999982</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t="e">
        <f ca="1">_xlfn.XLOOKUP(TabCalc[[#This Row],[Ticker]],[1]!RTData[Ticker_Symbol],[1]!#REF!)</f>
        <v>#REF!</v>
      </c>
      <c r="BT63" s="175">
        <f ca="1">(TabCalc[[#This Row],[ValueBegin]]+(TabCalc[[#This Row],[M]]-TabCalc[[#This Row],[A]])*TabCalc[[#This Row],[NAfter]])*TabCalc[[#This Row],[Scale]]</f>
        <v>-358787.71500000003</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12.285000000000004</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45.38</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12.285000000000004</v>
      </c>
      <c r="DB63" s="90">
        <f ca="1">IFERROR((TabCalc[[#This Row],[M]]+TabCalc[[#This Row],[L_Bp]])/ABS(TabCalc[[#This Row],[L_Bp]])/(TODAY()-TabCalc[[#This Row],[L_Bdate]])*360,"")</f>
        <v>0.67152502199773634</v>
      </c>
      <c r="DC63" s="310">
        <f ca="1">MEDIAN(DataShift!F762:Z762)</f>
        <v>-1.103E-3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3" s="87">
        <f ca="1">TabCalc[[#This Row],[Nbegin]]*TabCalc[[#This Row],[Scale]]*TabCalc[[#This Row],[M]]</f>
        <v>453800</v>
      </c>
      <c r="DF63" s="87" cm="1">
        <f t="array" aca="1" ref="DF63" ca="1">SUMPRODUCT(ISNUMBER(INDIRECT("TabReg["&amp;TabCalc[[#This Row],[Ticker]]&amp;"2]"))* INDIRECT("TabReg["&amp;TabCalc[[#This Row],[Ticker]]&amp;"1]") * INDIRECT("TabReg["&amp;TabCalc[[#This Row],[Ticker]]&amp;"2]") )*TabCalc[[#This Row],[Scale]]</f>
        <v>37515.139999999985</v>
      </c>
      <c r="DI63" s="87">
        <f ca="1"/>
        <v>65067.399999999994</v>
      </c>
      <c r="DJ63" s="90">
        <f t="shared" ca="1" si="3"/>
        <v>3.3380151215017881</v>
      </c>
      <c r="DK63" t="str">
        <f ca="1">_xlfn.XLOOKUP(DI63,TabCalc[Column1],TabCalc[Ticker])</f>
        <v>AVGO</v>
      </c>
      <c r="DL63" s="87">
        <f ca="1">_xlfn.XLOOKUP(DK63,TabCalc[Ticker],TabCalc[ValueBegin])</f>
        <v>-20833.750799999998</v>
      </c>
      <c r="DM63" s="87">
        <f ca="1">_xlfn.XLOOKUP(DK63,TabCalc[Ticker],TabCalc[M_V])</f>
        <v>136984</v>
      </c>
      <c r="DN63" s="87">
        <f ca="1">_xlfn.XLOOKUP(DK63,TabCalc[Ticker],TabCalc[GL])</f>
        <v>69543.375207999969</v>
      </c>
      <c r="DO63" s="90"/>
      <c r="DP63" s="90"/>
      <c r="DQ63" s="88" t="s">
        <v>59</v>
      </c>
      <c r="DR63" s="82">
        <v>10000</v>
      </c>
      <c r="DS63" s="315">
        <v>-35.880000000000003</v>
      </c>
      <c r="DU63" s="82">
        <v>42.34</v>
      </c>
      <c r="DV63" s="82">
        <f ca="1">DU63-TabCalc[[#This Row],[M_V]]</f>
        <v>-3.0399999999999991</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84290.2</v>
      </c>
      <c r="G64" s="82">
        <f ca="1">IFERROR(TabCalc[[#This Row],[SB]]-TabCalc[[#This Row],[SST]],TabCalc[[#This Row],[SB]])</f>
        <v>401</v>
      </c>
      <c r="H64" s="532" t="str">
        <f ca="1">[1]!RTData[[#This Row],[Ticker_Symbol]]</f>
        <v>MVESAP</v>
      </c>
      <c r="I64" s="383">
        <f ca="1">_xlfn.XLOOKUP(TabCalc[[#This Row],[Ticker]],[1]!RTData[Ticker_Symbol],[1]!RTData[M_Price])</f>
        <v>210.2</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-4.2630000000000003E-3</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1.1770801598590041E-2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-8140.0000000000036</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-9880.0000000000073</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28640.000000000015</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26800.000000000011</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-561.39999999999418</v>
      </c>
      <c r="AQ64" s="334">
        <f ca="1">_xlfn.LET(_xlpm.MVToday,DataShift!AV564,         _xlpm.MVY,DataShift!AU564,        _xlpm.MVYY, DataShift!AT564,                                IF(_xlpm.MVToday=_xlpm.MVY,_xlpm.MVY-_xlpm.MVYY,_xlpm.MVToday-_xlpm.MVY))</f>
        <v>-5049</v>
      </c>
      <c r="AR64" s="334">
        <f ca="1">_xlfn.LET(_xlpm.MVToday,DataShift!AV564,         _xlpm.MVY,DataShift!AU564,        _xlpm.MVYY, DataShift!AT564,         _xlpm.MVYYY, DataShift!AS564,                      IF(_xlpm.MVToday=_xlpm.MVY,      _xlpm.MVYY-_xlpm.MVYYY,          _xlpm.MVY-_xlpm.MVYY))</f>
        <v>4455</v>
      </c>
      <c r="AS64" s="984">
        <f ca="1">TabCalc[[#This Row],[Y]]/TabCalc[[#This Row],[M]]</f>
        <v>1.3732959086584207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-7.9621118777696163</v>
      </c>
      <c r="AY64" s="82">
        <f t="shared" ca="1" si="5"/>
        <v>599</v>
      </c>
      <c r="AZ64" s="90">
        <f ca="1">_xlfn.XLOOKUP(TabCalc[[#This Row],[Ticker]],[1]!RTData[Ticker_Symbol],[1]!RTData[V/VA])</f>
        <v>0.15718001402410189</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0.15718001402410189</v>
      </c>
      <c r="BC64" s="87" cm="1">
        <f t="array" aca="1" ref="BC64" ca="1">INDEX(TabReg[], 1, _xlfn.XMATCH(TabCalc[[#This Row],[Ticker]]&amp;1, TabReg[#Headers], 0))</f>
        <v>1000</v>
      </c>
      <c r="BD64" s="159">
        <f ca="1">TabCalc[[#This Row],[Nbegin]]*TabCalc[[#This Row],[M]]*TabCalc[[#This Row],[Scale]]+TabCalc[[#This Row],[ValueBegin]]</f>
        <v>65640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-60269.8</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48083.336999999919</v>
      </c>
      <c r="BM64" s="159">
        <f ca="1">IF(        OR( TabCalc[[#This Row],[GL]]&gt;ABS(TabCalc[[#This Row],[EfCost]]),TabCalc[[#This Row],[NAfter]]=0),             TabCalc[[#This Row],[GL]],     0)</f>
        <v>48083.336999999919</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137.95</v>
      </c>
      <c r="BR64" s="174" t="str">
        <f ca="1">IF(TabCalc[[#This Row],[EfCost]]+TabCalc[[#This Row],[M_V]]&lt;TabCalc[[#This Row],[NoT_GL]],"Pile","")</f>
        <v>Pile</v>
      </c>
      <c r="BS64" s="165" t="e">
        <f ca="1">_xlfn.XLOOKUP(TabCalc[[#This Row],[Ticker]],[1]!RTData[Ticker_Symbol],[1]!#REF!)</f>
        <v>#REF!</v>
      </c>
      <c r="BT64" s="175">
        <f ca="1">(TabCalc[[#This Row],[ValueBegin]]+(TabCalc[[#This Row],[M]]-TabCalc[[#This Row],[A]])*TabCalc[[#This Row],[NAfter]])*TabCalc[[#This Row],[Scale]]</f>
        <v>-162632.68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-18072.680000000004</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87.290502793296042</v>
      </c>
      <c r="CV64" s="404">
        <f ca="1">IF(TabCalc[[#This Row],[ntoBuy]]*TabCalc[[#This Row],[M]]&lt;=0,0,TabCalc[[#This Row],[ntoBuy]]*TabCalc[[#This Row],[M]])</f>
        <v>18348.463687150826</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-18072.680000000004</v>
      </c>
      <c r="DB64" s="90">
        <f ca="1">IFERROR((TabCalc[[#This Row],[M]]+TabCalc[[#This Row],[L_Bp]])/ABS(TabCalc[[#This Row],[L_Bp]])/(TODAY()-TabCalc[[#This Row],[L_Bdate]])*360,"")</f>
        <v>-0.4991262225219979</v>
      </c>
      <c r="DC64" s="310">
        <f ca="1">MEDIAN(DataShift!F763:Z763)</f>
        <v>1.475E-3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210200</v>
      </c>
      <c r="DF64" s="87" cm="1">
        <f t="array" aca="1" ref="DF64" ca="1">SUMPRODUCT(ISNUMBER(INDIRECT("TabReg["&amp;TabCalc[[#This Row],[Ticker]]&amp;"2]"))* INDIRECT("TabReg["&amp;TabCalc[[#This Row],[Ticker]]&amp;"1]") * INDIRECT("TabReg["&amp;TabCalc[[#This Row],[Ticker]]&amp;"2]") )*TabCalc[[#This Row],[Scale]]</f>
        <v>-36206.863000000078</v>
      </c>
      <c r="DI64" s="87">
        <f ca="1"/>
        <v>53600</v>
      </c>
      <c r="DJ64" s="90">
        <f t="shared" ca="1" si="3"/>
        <v>-0.5245765842742478</v>
      </c>
      <c r="DK64" t="str">
        <f ca="1">_xlfn.XLOOKUP(DI64,TabCalc[Column1],TabCalc[Ticker])</f>
        <v>VTRS</v>
      </c>
      <c r="DL64" s="87">
        <f ca="1">_xlfn.XLOOKUP(DK64,TabCalc[Ticker],TabCalc[ValueBegin])</f>
        <v>-151443.94999999998</v>
      </c>
      <c r="DM64" s="87">
        <f ca="1">_xlfn.XLOOKUP(DK64,TabCalc[Ticker],TabCalc[M_V])</f>
        <v>53600</v>
      </c>
      <c r="DN64" s="87">
        <f ca="1">_xlfn.XLOOKUP(DK64,TabCalc[Ticker],TabCalc[GL])</f>
        <v>-79443.949999999953</v>
      </c>
      <c r="DO64" s="90"/>
      <c r="DP64" s="90"/>
      <c r="DQ64" s="88" t="s">
        <v>60</v>
      </c>
      <c r="DR64" s="82">
        <v>10000</v>
      </c>
      <c r="DS64" s="315">
        <v>-24.316700000000001</v>
      </c>
      <c r="DU64" s="82">
        <v>90646.05</v>
      </c>
      <c r="DV64" s="82">
        <f ca="1">DU64-TabCalc[[#This Row],[M_V]]</f>
        <v>6355.8500000000058</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16688</v>
      </c>
      <c r="G65" s="82">
        <f ca="1">IFERROR(TabCalc[[#This Row],[SB]]-TabCalc[[#This Row],[SST]],TabCalc[[#This Row],[SB]])</f>
        <v>560</v>
      </c>
      <c r="H65" s="532" t="str">
        <f ca="1">[1]!RTData[[#This Row],[Ticker_Symbol]]</f>
        <v>MVEUN0</v>
      </c>
      <c r="I65" s="383">
        <f ca="1">_xlfn.XLOOKUP(TabCalc[[#This Row],[Ticker]],[1]!RTData[Ticker_Symbol],[1]!RTData[M_Price])</f>
        <v>29.8</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4.1958000000000002E-2</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-8.2889681358827336E-2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-789 = $ -23,513</v>
      </c>
      <c r="Z65" s="211">
        <f ca="1">MIN(TabCalc[[#This Row],[L_Bn]],TabCalc[[#This Row],[NAfter]])*(TabCalc[[#This Row],[M]]+TabCalc[[#This Row],[L_Bp]])*TabCalc[[#This Row],[Scale]]</f>
        <v>-297.37499999999989</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-72.899999999999977</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7871.44</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10633</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84</v>
      </c>
      <c r="AQ65" s="334">
        <f ca="1">_xlfn.LET(_xlpm.MVToday,DataShift!AV565,         _xlpm.MVY,DataShift!AU565,        _xlpm.MVYY, DataShift!AT565,                                IF(_xlpm.MVToday=_xlpm.MVY,_xlpm.MVY-_xlpm.MVYY,_xlpm.MVToday-_xlpm.MVY))</f>
        <v>2.470000000000006</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2.5362318840579712E-2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2.5362318840579712E-2</v>
      </c>
      <c r="BC65" s="87" cm="1">
        <f t="array" aca="1" ref="BC65" ca="1">INDEX(TabReg[], 1, _xlfn.XMATCH(TabCalc[[#This Row],[Ticker]]&amp;1, TabReg[#Headers], 0))</f>
        <v>45</v>
      </c>
      <c r="BD65" s="159">
        <f ca="1">TabCalc[[#This Row],[Nbegin]]*TabCalc[[#This Row],[M]]*TabCalc[[#This Row],[Scale]]+TabCalc[[#This Row],[ValueBegin]]</f>
        <v>-2202.4214999999999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13144.5785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-231.59150000000227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42.65</v>
      </c>
      <c r="BR65" s="174" t="str">
        <f ca="1">IF(TabCalc[[#This Row],[EfCost]]+TabCalc[[#This Row],[M_V]]&lt;TabCalc[[#This Row],[NoT_GL]],"Pile","")</f>
        <v/>
      </c>
      <c r="BS65" s="165" t="e">
        <f ca="1">_xlfn.XLOOKUP(TabCalc[[#This Row],[Ticker]],[1]!RTData[Ticker_Symbol],[1]!#REF!)</f>
        <v>#REF!</v>
      </c>
      <c r="BT65" s="175">
        <f ca="1">(TabCalc[[#This Row],[ValueBegin]]+(TabCalc[[#This Row],[M]]-TabCalc[[#This Row],[A]])*TabCalc[[#This Row],[NAfter]])*TabCalc[[#This Row],[Scale]]</f>
        <v>-10342.1765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-6798.7550000000001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309.98140111593307</v>
      </c>
      <c r="CV65" s="404">
        <f ca="1">IF(TabCalc[[#This Row],[ntoBuy]]*TabCalc[[#This Row],[M]]&lt;=0,0,TabCalc[[#This Row],[ntoBuy]]*TabCalc[[#This Row],[M]])</f>
        <v>9237.4457532548058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-6798.7550000000001</v>
      </c>
      <c r="DB65" s="90">
        <f ca="1">IFERROR((TabCalc[[#This Row],[M]]+TabCalc[[#This Row],[L_Bp]])/ABS(TabCalc[[#This Row],[L_Bp]])/(TODAY()-TabCalc[[#This Row],[L_Bdate]])*360,"")</f>
        <v>-0.60120240480961895</v>
      </c>
      <c r="DC65" s="310">
        <f ca="1">MEDIAN(DataShift!F764:Z764)</f>
        <v>4.9410000000000003E-4</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5" s="87">
        <f ca="1">TabCalc[[#This Row],[Nbegin]]*TabCalc[[#This Row],[Scale]]*TabCalc[[#This Row],[M]]</f>
        <v>1341</v>
      </c>
      <c r="DF65" s="87" cm="1">
        <f t="array" aca="1" ref="DF65" ca="1">SUMPRODUCT(ISNUMBER(INDIRECT("TabReg["&amp;TabCalc[[#This Row],[Ticker]]&amp;"2]"))* INDIRECT("TabReg["&amp;TabCalc[[#This Row],[Ticker]]&amp;"1]") * INDIRECT("TabReg["&amp;TabCalc[[#This Row],[Ticker]]&amp;"2]") )*TabCalc[[#This Row],[Scale]]</f>
        <v>-16919.591500000002</v>
      </c>
      <c r="DI65" s="87">
        <f ca="1"/>
        <v>47620</v>
      </c>
      <c r="DJ65" s="90">
        <f t="shared" ca="1" si="3"/>
        <v>-1.2934931363636364</v>
      </c>
      <c r="DK65" t="str">
        <f ca="1">_xlfn.XLOOKUP(DI65,TabCalc[Column1],TabCalc[Ticker])</f>
        <v>MVEDSY</v>
      </c>
      <c r="DL65" s="87">
        <f ca="1">_xlfn.XLOOKUP(DK65,TabCalc[Ticker],TabCalc[ValueBegin])</f>
        <v>-88000</v>
      </c>
      <c r="DM65" s="87">
        <f ca="1">_xlfn.XLOOKUP(DK65,TabCalc[Ticker],TabCalc[M_V])</f>
        <v>285720</v>
      </c>
      <c r="DN65" s="87">
        <f ca="1">_xlfn.XLOOKUP(DK65,TabCalc[Ticker],TabCalc[GL])</f>
        <v>-113827.39600000001</v>
      </c>
      <c r="DO65" s="90"/>
      <c r="DP65" s="90"/>
      <c r="DQ65" s="88" t="s">
        <v>61</v>
      </c>
      <c r="DR65" s="81">
        <v>45</v>
      </c>
      <c r="DS65" s="315">
        <v>-78.742699999999999</v>
      </c>
      <c r="DU65" s="82">
        <v>16576</v>
      </c>
      <c r="DV65" s="82">
        <f ca="1">DU65-TabCalc[[#This Row],[M_V]]</f>
        <v>-112</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95343.500000000015</v>
      </c>
      <c r="G66" s="82">
        <f ca="1">IFERROR(TabCalc[[#This Row],[SB]]-TabCalc[[#This Row],[SST]],TabCalc[[#This Row],[SB]])</f>
        <v>350</v>
      </c>
      <c r="H66" s="532" t="str">
        <f ca="1">[1]!RTData[[#This Row],[Ticker_Symbol]]</f>
        <v>SAFAAPL</v>
      </c>
      <c r="I66" s="383">
        <f ca="1">_xlfn.XLOOKUP(TabCalc[[#This Row],[Ticker]],[1]!RTData[Ticker_Symbol],[1]!RTData[M_Price])</f>
        <v>272.41000000000003</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-1.9780000000000002E-3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0.20924404845765152</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21346.900000000005</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23611.238000000008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-1861.5000000000036</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-12660.000000000005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476.00000000001455</v>
      </c>
      <c r="AQ66" s="334">
        <f ca="1">_xlfn.LET(_xlpm.MVToday,DataShift!AV566,         _xlpm.MVY,DataShift!AU566,        _xlpm.MVYY, DataShift!AT566,                                IF(_xlpm.MVToday=_xlpm.MVY,_xlpm.MVY-_xlpm.MVYY,_xlpm.MVToday-_xlpm.MVY))</f>
        <v>-2185.4500000000116</v>
      </c>
      <c r="AR66" s="334">
        <f ca="1">_xlfn.LET(_xlpm.MVToday,DataShift!AV566,         _xlpm.MVY,DataShift!AU566,        _xlpm.MVYY, DataShift!AT566,         _xlpm.MVYYY, DataShift!AS566,                      IF(_xlpm.MVToday=_xlpm.MVY,      _xlpm.MVYY-_xlpm.MVYYY,          _xlpm.MVY-_xlpm.MVYY))</f>
        <v>-922.29999999998836</v>
      </c>
      <c r="AS66" s="984">
        <f ca="1">TabCalc[[#This Row],[Y]]/TabCalc[[#This Row],[M]]</f>
        <v>1.0147607283139384</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-8.6334177281551492E-4</v>
      </c>
      <c r="AY66" s="82">
        <f t="shared" ca="1" si="5"/>
        <v>150</v>
      </c>
      <c r="AZ66" s="90">
        <f ca="1">_xlfn.XLOOKUP(TabCalc[[#This Row],[Ticker]],[1]!RTData[Ticker_Symbol],[1]!RTData[V/VA])</f>
        <v>1.663350115283337E-3</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1.663350115283337E-3</v>
      </c>
      <c r="BC66" s="87" cm="1">
        <f t="array" aca="1" ref="BC66" ca="1">INDEX(TabReg[], 1, _xlfn.XMATCH(TabCalc[[#This Row],[Ticker]]&amp;1, TabReg[#Headers], 0))</f>
        <v>500</v>
      </c>
      <c r="BD66" s="159">
        <f ca="1">TabCalc[[#This Row],[Nbegin]]*TabCalc[[#This Row],[M]]*TabCalc[[#This Row],[Scale]]+TabCalc[[#This Row],[ValueBegin]]</f>
        <v>101781.39999999998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60919.899999999994</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127898.33999999998</v>
      </c>
      <c r="BM66" s="159">
        <f ca="1">IF(        OR( TabCalc[[#This Row],[GL]]&gt;ABS(TabCalc[[#This Row],[EfCost]]),TabCalc[[#This Row],[NAfter]]=0),             TabCalc[[#This Row],[GL]],     0)</f>
        <v>127898.33999999998</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t="e">
        <f ca="1">_xlfn.XLOOKUP(TabCalc[[#This Row],[Ticker]],[1]!RTData[Ticker_Symbol],[1]!#REF!)</f>
        <v>#REF!</v>
      </c>
      <c r="BT66" s="175">
        <f ca="1">(TabCalc[[#This Row],[ValueBegin]]+(TabCalc[[#This Row],[M]]-TabCalc[[#This Row],[A]])*TabCalc[[#This Row],[NAfter]])*TabCalc[[#This Row],[Scale]]</f>
        <v>-9029.059200000007</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25394.540800000013</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67.925553593261768</v>
      </c>
      <c r="CX66" s="405">
        <f ca="1">TabCalc[[#This Row],[ntoSell]]*TabCalc[[#This Row],[M]]</f>
        <v>18503.600054340441</v>
      </c>
      <c r="CY66" s="398">
        <f ca="1">_xlfn.LET(_xlpm.nToSell,IF(TabCalc[[#This Row],[M]]-TabCalc[[#This Row],[A]]&lt;=0,"",INT(DesiredSaleGain/(TabCalc[[#This Row],[M]]-IF(TabCalc[[#This Row],[E]]&gt;0,0,TabCalc[[#This Row],[A]])))),IF(_xlpm.nToSell&lt;=TabCalc[[#This Row],[NAfter]],_xlpm.nToSell,0))</f>
        <v>68</v>
      </c>
      <c r="CZ66" s="336">
        <f ca="1">IFERROR(TabCalc[[#This Row],[NMA]]*TabCalc[[#This Row],[M]],"")</f>
        <v>18523.88</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25394.540800000013</v>
      </c>
      <c r="DB66" s="90">
        <f ca="1">IFERROR((TabCalc[[#This Row],[M]]+TabCalc[[#This Row],[L_Bp]])/ABS(TabCalc[[#This Row],[L_Bp]])/(TODAY()-TabCalc[[#This Row],[L_Bdate]])*360,"")</f>
        <v>0.8383508598762387</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6" s="87">
        <f ca="1">TabCalc[[#This Row],[Nbegin]]*TabCalc[[#This Row],[Scale]]*TabCalc[[#This Row],[M]]</f>
        <v>136205</v>
      </c>
      <c r="DF66" s="87" cm="1">
        <f t="array" aca="1" ref="DF66" ca="1">SUMPRODUCT(ISNUMBER(INDIRECT("TabReg["&amp;TabCalc[[#This Row],[Ticker]]&amp;"2]"))* INDIRECT("TabReg["&amp;TabCalc[[#This Row],[Ticker]]&amp;"1]") * INDIRECT("TabReg["&amp;TabCalc[[#This Row],[Ticker]]&amp;"2]") )*TabCalc[[#This Row],[Scale]]</f>
        <v>32554.839999999967</v>
      </c>
      <c r="DI66" s="87">
        <f ca="1"/>
        <v>47047</v>
      </c>
      <c r="DJ66" s="90">
        <f t="shared" ca="1" si="3"/>
        <v>-0.80439123853619443</v>
      </c>
      <c r="DK66" t="str">
        <f ca="1">_xlfn.XLOOKUP(DI66,TabCalc[Column1],TabCalc[Ticker])</f>
        <v>OXY</v>
      </c>
      <c r="DL66" s="87">
        <f ca="1">_xlfn.XLOOKUP(DK66,TabCalc[Ticker],TabCalc[ValueBegin])</f>
        <v>-78617</v>
      </c>
      <c r="DM66" s="87">
        <f ca="1">_xlfn.XLOOKUP(DK66,TabCalc[Ticker],TabCalc[M_V])</f>
        <v>171080</v>
      </c>
      <c r="DN66" s="87">
        <f ca="1">_xlfn.XLOOKUP(DK66,TabCalc[Ticker],TabCalc[GL])</f>
        <v>-63238.826000000001</v>
      </c>
      <c r="DO66" s="90"/>
      <c r="DP66" s="90"/>
      <c r="DQ66" s="88" t="s">
        <v>62</v>
      </c>
      <c r="DR66" s="82">
        <v>1000</v>
      </c>
      <c r="DS66" s="83">
        <v>-144.56</v>
      </c>
      <c r="DU66" s="82">
        <v>94514</v>
      </c>
      <c r="DV66" s="82">
        <f ca="1">DU66-TabCalc[[#This Row],[M_V]]</f>
        <v>-829.50000000001455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352035</v>
      </c>
      <c r="G67" s="82">
        <f ca="1">IFERROR(TabCalc[[#This Row],[SB]]-TabCalc[[#This Row],[SST]],TabCalc[[#This Row],[SB]])</f>
        <v>1500</v>
      </c>
      <c r="H67" s="532" t="str">
        <f ca="1">[1]!RTData[[#This Row],[Ticker_Symbol]]</f>
        <v>SAFAMZN</v>
      </c>
      <c r="I67" s="383">
        <f ca="1">_xlfn.XLOOKUP(TabCalc[[#This Row],[Ticker]],[1]!RTData[Ticker_Symbol],[1]!RTData[M_Price])</f>
        <v>234.69</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-1.2163999999999999E-2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0.10237526056003442</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10719.999999999998</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10299.999999999996</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-6519.9999999999964</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-984.99999999999943</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-555</v>
      </c>
      <c r="AQ67" s="334">
        <f ca="1">_xlfn.LET(_xlpm.MVToday,DataShift!AV567,         _xlpm.MVY,DataShift!AU567,        _xlpm.MVYY, DataShift!AT567,                                IF(_xlpm.MVToday=_xlpm.MVY,_xlpm.MVY-_xlpm.MVYY,_xlpm.MVToday-_xlpm.MVY))</f>
        <v>728</v>
      </c>
      <c r="AR67" s="334">
        <f ca="1">_xlfn.LET(_xlpm.MVToday,DataShift!AV567,         _xlpm.MVY,DataShift!AU567,        _xlpm.MVYY, DataShift!AT567,         _xlpm.MVYYY, DataShift!AS567,                      IF(_xlpm.MVToday=_xlpm.MVY,      _xlpm.MVYY-_xlpm.MVYYY,          _xlpm.MVY-_xlpm.MVYY))</f>
        <v>308</v>
      </c>
      <c r="AS67" s="984">
        <f ca="1">TabCalc[[#This Row],[Y]]/TabCalc[[#This Row],[M]]</f>
        <v>1.2289577740849631</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-2.2920485181363119</v>
      </c>
      <c r="AY67" s="82">
        <f t="shared" ca="1" si="5"/>
        <v>500</v>
      </c>
      <c r="AZ67" s="90">
        <f ca="1">_xlfn.XLOOKUP(TabCalc[[#This Row],[Ticker]],[1]!RTData[Ticker_Symbol],[1]!RTData[V/VA])</f>
        <v>2.7120209366645639E-3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2.7120209366645639E-3</v>
      </c>
      <c r="BC67" s="87" cm="1">
        <f t="array" aca="1" ref="BC67" ca="1">INDEX(TabReg[], 1, _xlfn.XMATCH(TabCalc[[#This Row],[Ticker]]&amp;1, TabReg[#Headers], 0))</f>
        <v>2000</v>
      </c>
      <c r="BD67" s="159">
        <f ca="1">TabCalc[[#This Row],[Nbegin]]*TabCalc[[#This Row],[M]]*TabCalc[[#This Row],[Scale]]+TabCalc[[#This Row],[ValueBegin]]</f>
        <v>155100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37755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180383.84100000001</v>
      </c>
      <c r="BM67" s="159">
        <f ca="1">IF(        OR( TabCalc[[#This Row],[GL]]&gt;ABS(TabCalc[[#This Row],[EfCost]]),TabCalc[[#This Row],[NAfter]]=0),             TabCalc[[#This Row],[GL]],     0)</f>
        <v>180383.84100000001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t="e">
        <f ca="1">_xlfn.XLOOKUP(TabCalc[[#This Row],[Ticker]],[1]!RTData[Ticker_Symbol],[1]!#REF!)</f>
        <v>#REF!</v>
      </c>
      <c r="BT67" s="175">
        <f ca="1">(TabCalc[[#This Row],[ValueBegin]]+(TabCalc[[#This Row],[M]]-TabCalc[[#This Row],[A]])*TabCalc[[#This Row],[NAfter]])*TabCalc[[#This Row],[Scale]]</f>
        <v>-269295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44985.000000000015</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233.20895522388062</v>
      </c>
      <c r="CX67" s="405">
        <f ca="1">TabCalc[[#This Row],[ntoSell]]*TabCalc[[#This Row],[M]]</f>
        <v>54731.809701492544</v>
      </c>
      <c r="CY67" s="398">
        <f ca="1">_xlfn.LET(_xlpm.nToSell,IF(TabCalc[[#This Row],[M]]-TabCalc[[#This Row],[A]]&lt;=0,"",INT(DesiredSaleGain/(TabCalc[[#This Row],[M]]-IF(TabCalc[[#This Row],[E]]&gt;0,0,TabCalc[[#This Row],[A]])))),IF(_xlpm.nToSell&lt;=TabCalc[[#This Row],[NAfter]],_xlpm.nToSell,0))</f>
        <v>166</v>
      </c>
      <c r="CZ67" s="336">
        <f ca="1">IFERROR(TabCalc[[#This Row],[NMA]]*TabCalc[[#This Row],[M]],"")</f>
        <v>38958.54</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44985.000000000015</v>
      </c>
      <c r="DB67" s="90">
        <f ca="1">IFERROR((TabCalc[[#This Row],[M]]+TabCalc[[#This Row],[L_Bp]])/ABS(TabCalc[[#This Row],[L_Bp]])/(TODAY()-TabCalc[[#This Row],[L_Bdate]])*360,"")</f>
        <v>0.2276360901590391</v>
      </c>
      <c r="DC67" s="310">
        <f ca="1">MEDIAN(DataShift!F766:Z766)</f>
        <v>1.585E-3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7" s="87">
        <f ca="1">TabCalc[[#This Row],[Nbegin]]*TabCalc[[#This Row],[Scale]]*TabCalc[[#This Row],[M]]</f>
        <v>469380</v>
      </c>
      <c r="DF67" s="87" cm="1">
        <f t="array" aca="1" ref="DF67" ca="1">SUMPRODUCT(ISNUMBER(INDIRECT("TabReg["&amp;TabCalc[[#This Row],[Ticker]]&amp;"2]"))* INDIRECT("TabReg["&amp;TabCalc[[#This Row],[Ticker]]&amp;"1]") * INDIRECT("TabReg["&amp;TabCalc[[#This Row],[Ticker]]&amp;"2]") )*TabCalc[[#This Row],[Scale]]</f>
        <v>-171651.15899999999</v>
      </c>
      <c r="DI67" s="87">
        <f ca="1"/>
        <v>42300</v>
      </c>
      <c r="DJ67" s="90">
        <f t="shared" ref="DJ67:DJ96" ca="1" si="6">DN67/ABS(DL67)</f>
        <v>-1.3001462594696971</v>
      </c>
      <c r="DK67" t="str">
        <f ca="1">_xlfn.XLOOKUP(DI67,TabCalc[Column1],TabCalc[Ticker])</f>
        <v>BLNK</v>
      </c>
      <c r="DL67" s="87">
        <f ca="1">_xlfn.XLOOKUP(DK67,TabCalc[Ticker],TabCalc[ValueBegin])</f>
        <v>-211200</v>
      </c>
      <c r="DM67" s="87">
        <f ca="1">_xlfn.XLOOKUP(DK67,TabCalc[Ticker],TabCalc[M_V])</f>
        <v>169200</v>
      </c>
      <c r="DN67" s="87">
        <f ca="1">_xlfn.XLOOKUP(DK67,TabCalc[Ticker],TabCalc[GL])</f>
        <v>-274590.89</v>
      </c>
      <c r="DO67" s="90"/>
      <c r="DP67" s="90"/>
      <c r="DQ67" s="88" t="s">
        <v>63</v>
      </c>
      <c r="DR67" s="81">
        <v>200000</v>
      </c>
      <c r="DS67" s="315">
        <v>-166</v>
      </c>
      <c r="DU67" s="82">
        <v>373980</v>
      </c>
      <c r="DV67" s="82">
        <f ca="1">DU67-TabCalc[[#This Row],[M_V]]</f>
        <v>21945</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217850</v>
      </c>
      <c r="G68" s="82">
        <f ca="1">IFERROR(TabCalc[[#This Row],[SB]]-TabCalc[[#This Row],[SST]],TabCalc[[#This Row],[SB]])</f>
        <v>250</v>
      </c>
      <c r="H68" s="532" t="str">
        <f ca="1">[1]!RTData[[#This Row],[Ticker_Symbol]]</f>
        <v>SAFASML</v>
      </c>
      <c r="I68" s="383">
        <f ca="1">_xlfn.XLOOKUP(TabCalc[[#This Row],[Ticker]],[1]!RTData[Ticker_Symbol],[1]!RTData[M_Price])</f>
        <v>871.4</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-3.0890000000000002E-3</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6.8990207966846684E-2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19340.299999999996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10494.999999999998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-11404.799999999996</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-17472.84</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-1975</v>
      </c>
      <c r="AQ68" s="334">
        <f ca="1">_xlfn.LET(_xlpm.MVToday,DataShift!AV568,         _xlpm.MVY,DataShift!AU568,        _xlpm.MVYY, DataShift!AT568,                                IF(_xlpm.MVToday=_xlpm.MVY,_xlpm.MVY-_xlpm.MVYY,_xlpm.MVToday-_xlpm.MVY))</f>
        <v>1544.5500000000029</v>
      </c>
      <c r="AR68" s="334">
        <f ca="1">_xlfn.LET(_xlpm.MVToday,DataShift!AV568,         _xlpm.MVY,DataShift!AU568,        _xlpm.MVYY, DataShift!AT568,         _xlpm.MVYYY, DataShift!AS568,                      IF(_xlpm.MVToday=_xlpm.MVY,      _xlpm.MVYY-_xlpm.MVYYY,          _xlpm.MVY-_xlpm.MVYY))</f>
        <v>-876.04999999998836</v>
      </c>
      <c r="AS68" s="984">
        <f ca="1">TabCalc[[#This Row],[Y]]/TabCalc[[#This Row],[M]]</f>
        <v>1.0809080330502641</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-0.42697627176107839</v>
      </c>
      <c r="AY68" s="82">
        <f t="shared" ca="1" si="5"/>
        <v>0</v>
      </c>
      <c r="AZ68" s="90">
        <f ca="1">_xlfn.XLOOKUP(TabCalc[[#This Row],[Ticker]],[1]!RTData[Ticker_Symbol],[1]!RTData[V/VA])</f>
        <v>0.1427007365316057</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0.1427007365316057</v>
      </c>
      <c r="BC68" s="87" cm="1">
        <f t="array" aca="1" ref="BC68" ca="1">INDEX(TabReg[], 1, _xlfn.XMATCH(TabCalc[[#This Row],[Ticker]]&amp;1, TabReg[#Headers], 0))</f>
        <v>160</v>
      </c>
      <c r="BD68" s="159">
        <f ca="1">TabCalc[[#This Row],[Nbegin]]*TabCalc[[#This Row],[M]]*TabCalc[[#This Row],[Scale]]+TabCalc[[#This Row],[ValueBegin]]</f>
        <v>39737.600000000006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118163.6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176405.55800000002</v>
      </c>
      <c r="BM68" s="159">
        <f ca="1">IF(        OR( TabCalc[[#This Row],[GL]]&gt;ABS(TabCalc[[#This Row],[EfCost]]),TabCalc[[#This Row],[NAfter]]=0),             TabCalc[[#This Row],[GL]],     0)</f>
        <v>176405.55800000002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t="e">
        <f ca="1">_xlfn.XLOOKUP(TabCalc[[#This Row],[Ticker]],[1]!RTData[Ticker_Symbol],[1]!#REF!)</f>
        <v>#REF!</v>
      </c>
      <c r="BT68" s="175">
        <f ca="1">(TabCalc[[#This Row],[ValueBegin]]+(TabCalc[[#This Row],[M]]-TabCalc[[#This Row],[A]])*TabCalc[[#This Row],[NAfter]])*TabCalc[[#This Row],[Scale]]</f>
        <v>-45429.638000000014</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54256.761999999981</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18.096927141771328</v>
      </c>
      <c r="CX68" s="405">
        <f ca="1">TabCalc[[#This Row],[ntoSell]]*TabCalc[[#This Row],[M]]</f>
        <v>15769.662311339534</v>
      </c>
      <c r="CY68" s="398">
        <f ca="1">_xlfn.LET(_xlpm.nToSell,IF(TabCalc[[#This Row],[M]]-TabCalc[[#This Row],[A]]&lt;=0,"",INT(DesiredSaleGain/(TabCalc[[#This Row],[M]]-IF(TabCalc[[#This Row],[E]]&gt;0,0,TabCalc[[#This Row],[A]])))),IF(_xlpm.nToSell&lt;=TabCalc[[#This Row],[NAfter]],_xlpm.nToSell,0))</f>
        <v>23</v>
      </c>
      <c r="CZ68" s="336">
        <f ca="1">IFERROR(TabCalc[[#This Row],[NMA]]*TabCalc[[#This Row],[M]],"")</f>
        <v>20042.2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54256.761999999981</v>
      </c>
      <c r="DB68" s="90">
        <f ca="1">IFERROR((TabCalc[[#This Row],[M]]+TabCalc[[#This Row],[L_Bp]])/ABS(TabCalc[[#This Row],[L_Bp]])/(TODAY()-TabCalc[[#This Row],[L_Bdate]])*360,"")</f>
        <v>1.6226811621511432</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139424</v>
      </c>
      <c r="DF68" s="87" cm="1">
        <f t="array" aca="1" ref="DF68" ca="1">SUMPRODUCT(ISNUMBER(INDIRECT("TabReg["&amp;TabCalc[[#This Row],[Ticker]]&amp;"2]"))* INDIRECT("TabReg["&amp;TabCalc[[#This Row],[Ticker]]&amp;"1]") * INDIRECT("TabReg["&amp;TabCalc[[#This Row],[Ticker]]&amp;"2]") )*TabCalc[[#This Row],[Scale]]</f>
        <v>-41444.441999999995</v>
      </c>
      <c r="DI68" s="87">
        <f ca="1"/>
        <v>41100</v>
      </c>
      <c r="DJ68" s="90">
        <f t="shared" ca="1" si="6"/>
        <v>8.6980250164582246E-2</v>
      </c>
      <c r="DK68" t="str">
        <f ca="1">_xlfn.XLOOKUP(DI68,TabCalc[Column1],TabCalc[Ticker])</f>
        <v>PROF</v>
      </c>
      <c r="DL68" s="87">
        <f ca="1">_xlfn.XLOOKUP(DK68,TabCalc[Ticker],TabCalc[ValueBegin])</f>
        <v>-91140</v>
      </c>
      <c r="DM68" s="87">
        <f ca="1">_xlfn.XLOOKUP(DK68,TabCalc[Ticker],TabCalc[M_V])</f>
        <v>27400</v>
      </c>
      <c r="DN68" s="87">
        <f ca="1">_xlfn.XLOOKUP(DK68,TabCalc[Ticker],TabCalc[GL])</f>
        <v>7927.3800000000265</v>
      </c>
      <c r="DO68" s="90"/>
      <c r="DP68" s="90"/>
      <c r="DQ68" s="88" t="s">
        <v>64</v>
      </c>
      <c r="DR68" s="81">
        <v>850</v>
      </c>
      <c r="DS68" s="315">
        <v>-49.61</v>
      </c>
      <c r="DU68" s="82">
        <v>229500</v>
      </c>
      <c r="DV68" s="82">
        <f ca="1">DU68-TabCalc[[#This Row],[M_V]]</f>
        <v>11650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238700</v>
      </c>
      <c r="G69" s="82">
        <f ca="1">IFERROR(TabCalc[[#This Row],[SB]]-TabCalc[[#This Row],[SST]],TabCalc[[#This Row],[SB]])</f>
        <v>110000</v>
      </c>
      <c r="H69" s="532" t="str">
        <f ca="1">[1]!RTData[[#This Row],[Ticker_Symbol]]</f>
        <v>SAFDDD</v>
      </c>
      <c r="I69" s="383">
        <f ca="1">_xlfn.XLOOKUP(TabCalc[[#This Row],[Ticker]],[1]!RTData[Ticker_Symbol],[1]!RTData[M_Price])</f>
        <v>2.17</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4.6300000000000004E-3</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0.1473306976518797</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3,381 = $ 7,336</v>
      </c>
      <c r="Z69" s="211">
        <f ca="1">MIN(TabCalc[[#This Row],[L_Bn]],TabCalc[[#This Row],[NAfter]])*(TabCalc[[#This Row],[M]]+TabCalc[[#This Row],[L_Bp]])*TabCalc[[#This Row],[Scale]]</f>
        <v>5060.9999999999973</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-13032.500000000002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10890.000000000002</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11555</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9350</v>
      </c>
      <c r="AQ69" s="334">
        <f ca="1">_xlfn.LET(_xlpm.MVToday,DataShift!AV569,         _xlpm.MVY,DataShift!AU569,        _xlpm.MVYY, DataShift!AT569,                                IF(_xlpm.MVToday=_xlpm.MVY,_xlpm.MVY-_xlpm.MVYY,_xlpm.MVToday-_xlpm.MVY))</f>
        <v>-14805</v>
      </c>
      <c r="AR69" s="334">
        <f ca="1">_xlfn.LET(_xlpm.MVToday,DataShift!AV569,         _xlpm.MVY,DataShift!AU569,        _xlpm.MVYY, DataShift!AT569,         _xlpm.MVYYY, DataShift!AS569,                      IF(_xlpm.MVToday=_xlpm.MVY,      _xlpm.MVYY-_xlpm.MVYYY,          _xlpm.MVY-_xlpm.MVYY))</f>
        <v>1130.4000000000233</v>
      </c>
      <c r="AS69" s="984">
        <f ca="1">TabCalc[[#This Row],[Y]]/TabCalc[[#This Row],[M]]</f>
        <v>1.4976958525345623</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-0.17861921304501951</v>
      </c>
      <c r="AY69" s="82">
        <f t="shared" ref="AY69:AY96" ca="1" si="8">IF(G69&lt;C69,C69-G69,0)</f>
        <v>0</v>
      </c>
      <c r="AZ69" s="90">
        <f ca="1">_xlfn.XLOOKUP(TabCalc[[#This Row],[Ticker]],[1]!RTData[Ticker_Symbol],[1]!RTData[V/VA])</f>
        <v>4.5786842046550367E-4</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4.5786842046550367E-4</v>
      </c>
      <c r="BC69" s="87" cm="1">
        <f t="array" aca="1" ref="BC69" ca="1">INDEX(TabReg[], 1, _xlfn.XMATCH(TabCalc[[#This Row],[Ticker]]&amp;1, TabReg[#Headers], 0))</f>
        <v>850</v>
      </c>
      <c r="BD69" s="159">
        <f ca="1">TabCalc[[#This Row],[Nbegin]]*TabCalc[[#This Row],[M]]*TabCalc[[#This Row],[Scale]]+TabCalc[[#This Row],[ValueBegin]]</f>
        <v>-40324</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196531.5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-143377.91999999998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5.02</v>
      </c>
      <c r="BR69" s="174" t="str">
        <f ca="1">IF(TabCalc[[#This Row],[EfCost]]+TabCalc[[#This Row],[M_V]]&lt;TabCalc[[#This Row],[NoT_GL]],"Pile","")</f>
        <v>Pile</v>
      </c>
      <c r="BS69" s="165" t="e">
        <f ca="1">_xlfn.XLOOKUP(TabCalc[[#This Row],[Ticker]],[1]!RTData[Ticker_Symbol],[1]!#REF!)</f>
        <v>#REF!</v>
      </c>
      <c r="BT69" s="175">
        <f ca="1">(TabCalc[[#This Row],[ValueBegin]]+(TabCalc[[#This Row],[M]]-TabCalc[[#This Row],[A]])*TabCalc[[#This Row],[NAfter]])*TabCalc[[#This Row],[Scale]]</f>
        <v>-164620.00000000003</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-122451.50000000003</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5050.5050505050494</v>
      </c>
      <c r="CV69" s="404">
        <f ca="1">IF(TabCalc[[#This Row],[ntoBuy]]*TabCalc[[#This Row],[M]]&lt;=0,0,TabCalc[[#This Row],[ntoBuy]]*TabCalc[[#This Row],[M]])</f>
        <v>10959.595959595958</v>
      </c>
      <c r="CW69" s="404">
        <f ca="1">IF(TabCalc[[#This Row],[M]]&gt;ABS(TabCalc[[#This Row],[L_Bp]]),MIN(TabCalc[[#This Row],[NAfter]],DesiredSaleGain/(TabCalc[[#This Row],[M]]+TabCalc[[#This Row],[L_Bp]])),0)/TabCalc[[#This Row],[Scale]]</f>
        <v>20746.887966804989</v>
      </c>
      <c r="CX69" s="405">
        <f ca="1">TabCalc[[#This Row],[ntoSell]]*TabCalc[[#This Row],[M]]</f>
        <v>45020.746887966823</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-122451.50000000003</v>
      </c>
      <c r="DB69" s="90">
        <f ca="1">IFERROR((TabCalc[[#This Row],[M]]+TabCalc[[#This Row],[L_Bp]])/ABS(TabCalc[[#This Row],[L_Bp]])/(TODAY()-TabCalc[[#This Row],[L_Bdate]])*360,"")</f>
        <v>0.23923761622712669</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9" s="87">
        <f ca="1">TabCalc[[#This Row],[Nbegin]]*TabCalc[[#This Row],[Scale]]*TabCalc[[#This Row],[M]]</f>
        <v>1844.5</v>
      </c>
      <c r="DF69" s="87" cm="1">
        <f t="array" aca="1" ref="DF69" ca="1">SUMPRODUCT(ISNUMBER(INDIRECT("TabReg["&amp;TabCalc[[#This Row],[Ticker]]&amp;"2]"))* INDIRECT("TabReg["&amp;TabCalc[[#This Row],[Ticker]]&amp;"1]") * INDIRECT("TabReg["&amp;TabCalc[[#This Row],[Ticker]]&amp;"2]") )*TabCalc[[#This Row],[Scale]]</f>
        <v>-382077.92</v>
      </c>
      <c r="DI69" s="87">
        <f ca="1"/>
        <v>37030</v>
      </c>
      <c r="DJ69" s="90">
        <f t="shared" ca="1" si="6"/>
        <v>0.23602494326777215</v>
      </c>
      <c r="DK69" t="str">
        <f ca="1">_xlfn.XLOOKUP(DI69,TabCalc[Column1],TabCalc[Ticker])</f>
        <v>DIS</v>
      </c>
      <c r="DL69" s="87">
        <f ca="1">_xlfn.XLOOKUP(DK69,TabCalc[Ticker],TabCalc[ValueBegin])</f>
        <v>-59749.990000000005</v>
      </c>
      <c r="DM69" s="87">
        <f ca="1">_xlfn.XLOOKUP(DK69,TabCalc[Ticker],TabCalc[M_V])</f>
        <v>105800</v>
      </c>
      <c r="DN69" s="87">
        <f ca="1">_xlfn.XLOOKUP(DK69,TabCalc[Ticker],TabCalc[GL])</f>
        <v>14102.487999999954</v>
      </c>
      <c r="DO69" s="90"/>
      <c r="DP69" s="90"/>
      <c r="DQ69" s="88" t="s">
        <v>65</v>
      </c>
      <c r="DR69" s="81">
        <v>2000</v>
      </c>
      <c r="DS69" s="315">
        <v>-157.13999999999999</v>
      </c>
      <c r="DU69" s="82">
        <v>288750</v>
      </c>
      <c r="DV69" s="82">
        <f ca="1">DU69-TabCalc[[#This Row],[M_V]]</f>
        <v>50050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126960</v>
      </c>
      <c r="G70" s="82">
        <f ca="1">IFERROR(TabCalc[[#This Row],[SB]]-TabCalc[[#This Row],[SST]],TabCalc[[#This Row],[SB]])</f>
        <v>1200</v>
      </c>
      <c r="H70" s="532" t="str">
        <f ca="1">[1]!RTData[[#This Row],[Ticker_Symbol]]</f>
        <v>SAFDIS</v>
      </c>
      <c r="I70" s="383">
        <f ca="1">_xlfn.XLOOKUP(TabCalc[[#This Row],[Ticker]],[1]!RTData[Ticker_Symbol],[1]!RTData[M_Price])</f>
        <v>105.8</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-1.6819999999999998E-2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0.19063000616079095</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-3805.4000000000037</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-1967.0000000000016</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5666.1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10815.999999999996</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-2064</v>
      </c>
      <c r="AQ70" s="334">
        <f ca="1">_xlfn.LET(_xlpm.MVToday,DataShift!AV570,         _xlpm.MVY,DataShift!AU570,        _xlpm.MVYY, DataShift!AT570,                                IF(_xlpm.MVToday=_xlpm.MVY,_xlpm.MVY-_xlpm.MVYY,_xlpm.MVToday-_xlpm.MVY))</f>
        <v>150</v>
      </c>
      <c r="AR70" s="334">
        <f ca="1">_xlfn.LET(_xlpm.MVToday,DataShift!AV570,         _xlpm.MVY,DataShift!AU570,        _xlpm.MVYY, DataShift!AT570,         _xlpm.MVYYY, DataShift!AS570,                      IF(_xlpm.MVToday=_xlpm.MVY,      _xlpm.MVYY-_xlpm.MVYYY,          _xlpm.MVY-_xlpm.MVYY))</f>
        <v>-6125</v>
      </c>
      <c r="AS70" s="984">
        <f ca="1">TabCalc[[#This Row],[Y]]/TabCalc[[#This Row],[M]]</f>
        <v>1.2672249527410206</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-1.5931731499537716</v>
      </c>
      <c r="AY70" s="82">
        <f t="shared" ca="1" si="8"/>
        <v>590</v>
      </c>
      <c r="AZ70" s="90">
        <f ca="1">_xlfn.XLOOKUP(TabCalc[[#This Row],[Ticker]],[1]!RTData[Ticker_Symbol],[1]!RTData[V/VA])</f>
        <v>5.8750465755093165E-4</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5.8750465755093165E-4</v>
      </c>
      <c r="BC70" s="87" cm="1">
        <f t="array" aca="1" ref="BC70" ca="1">INDEX(TabReg[], 1, _xlfn.XMATCH(TabCalc[[#This Row],[Ticker]]&amp;1, TabReg[#Headers], 0))</f>
        <v>1790</v>
      </c>
      <c r="BD70" s="159">
        <f ca="1">TabCalc[[#This Row],[Nbegin]]*TabCalc[[#This Row],[M]]*TabCalc[[#This Row],[Scale]]+TabCalc[[#This Row],[ValueBegin]]</f>
        <v>2273.2999999999884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-60148.700000000012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30190.119999999981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127.5</v>
      </c>
      <c r="BR70" s="174" t="str">
        <f ca="1">IF(TabCalc[[#This Row],[EfCost]]+TabCalc[[#This Row],[M_V]]&lt;TabCalc[[#This Row],[NoT_GL]],"Pile","")</f>
        <v/>
      </c>
      <c r="BS70" s="165" t="e">
        <f ca="1">_xlfn.XLOOKUP(TabCalc[[#This Row],[Ticker]],[1]!RTData[Ticker_Symbol],[1]!#REF!)</f>
        <v>#REF!</v>
      </c>
      <c r="BT70" s="175">
        <f ca="1">(TabCalc[[#This Row],[ValueBegin]]+(TabCalc[[#This Row],[M]]-TabCalc[[#This Row],[A]])*TabCalc[[#This Row],[NAfter]])*TabCalc[[#This Row],[Scale]]</f>
        <v>-192796.80000000002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-5688.100000000014</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291.20559114734999</v>
      </c>
      <c r="CV70" s="404">
        <f ca="1">IF(TabCalc[[#This Row],[ntoBuy]]*TabCalc[[#This Row],[M]]&lt;=0,0,TabCalc[[#This Row],[ntoBuy]]*TabCalc[[#This Row],[M]])</f>
        <v>30809.551543389629</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-5688.100000000014</v>
      </c>
      <c r="DB70" s="90">
        <f ca="1">IFERROR((TabCalc[[#This Row],[M]]+TabCalc[[#This Row],[L_Bp]])/ABS(TabCalc[[#This Row],[L_Bp]])/(TODAY()-TabCalc[[#This Row],[L_Bdate]])*360,"")</f>
        <v>-0.54472346559441676</v>
      </c>
      <c r="DC70" s="310">
        <f ca="1">MEDIAN(DataShift!F769:Z769)</f>
        <v>-1.9380000000000001E-3</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0" s="87">
        <f ca="1">TabCalc[[#This Row],[Nbegin]]*TabCalc[[#This Row],[Scale]]*TabCalc[[#This Row],[M]]</f>
        <v>189382</v>
      </c>
      <c r="DF70" s="87" cm="1">
        <f t="array" aca="1" ref="DF70" ca="1">SUMPRODUCT(ISNUMBER(INDIRECT("TabReg["&amp;TabCalc[[#This Row],[Ticker]]&amp;"2]"))* INDIRECT("TabReg["&amp;TabCalc[[#This Row],[Ticker]]&amp;"1]") * INDIRECT("TabReg["&amp;TabCalc[[#This Row],[Ticker]]&amp;"2]") )*TabCalc[[#This Row],[Scale]]</f>
        <v>-96769.880000000019</v>
      </c>
      <c r="DI70" s="87">
        <f ca="1"/>
        <v>36150</v>
      </c>
      <c r="DJ70" s="90">
        <f t="shared" ca="1" si="6"/>
        <v>-1.2445435933093831</v>
      </c>
      <c r="DK70" t="str">
        <f ca="1">_xlfn.XLOOKUP(DI70,TabCalc[Column1],TabCalc[Ticker])</f>
        <v>BMRA</v>
      </c>
      <c r="DL70" s="87">
        <f ca="1">_xlfn.XLOOKUP(DK70,TabCalc[Ticker],TabCalc[ValueBegin])</f>
        <v>-103548</v>
      </c>
      <c r="DM70" s="87">
        <f ca="1">_xlfn.XLOOKUP(DK70,TabCalc[Ticker],TabCalc[M_V])</f>
        <v>30125</v>
      </c>
      <c r="DN70" s="87">
        <f ca="1">_xlfn.XLOOKUP(DK70,TabCalc[Ticker],TabCalc[GL])</f>
        <v>-128870</v>
      </c>
      <c r="DO70" s="90"/>
      <c r="DP70" s="90"/>
      <c r="DQ70" s="88" t="s">
        <v>66</v>
      </c>
      <c r="DR70" s="82">
        <v>500</v>
      </c>
      <c r="DS70" s="315">
        <v>-68.847200000000043</v>
      </c>
      <c r="DU70" s="82">
        <v>133764</v>
      </c>
      <c r="DV70" s="82">
        <f ca="1">DU70-TabCalc[[#This Row],[M_V]]</f>
        <v>6804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Row],[Ticker]],[1]!RTData[Ticker_Symbol],[1]!RTData[M_Price])</f>
        <v>70.56</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-1.8500000000000003E-2</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0.22588436853134375</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-43853.200000000004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-87599.2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-6050</v>
      </c>
      <c r="AR71" s="334">
        <f ca="1">_xlfn.LET(_xlpm.MVToday,DataShift!AV571,         _xlpm.MVY,DataShift!AU571,        _xlpm.MVYY, DataShift!AT571,         _xlpm.MVYYY, DataShift!AS571,                      IF(_xlpm.MVToday=_xlpm.MVY,      _xlpm.MVYY-_xlpm.MVYYY,          _xlpm.MVY-_xlpm.MVYY))</f>
        <v>-4400</v>
      </c>
      <c r="AS71" s="984">
        <f ca="1">TabCalc[[#This Row],[Y]]/TabCalc[[#This Row],[M]]</f>
        <v>1.0367609126984128</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-3.3809505069493408E-3</v>
      </c>
      <c r="AY71" s="82">
        <f t="shared" ca="1" si="8"/>
        <v>3900</v>
      </c>
      <c r="AZ71" s="90">
        <f ca="1">_xlfn.XLOOKUP(TabCalc[[#This Row],[Ticker]],[1]!RTData[Ticker_Symbol],[1]!RTData[V/VA])</f>
        <v>8.6062636309864679E-5</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8.6062636309864679E-5</v>
      </c>
      <c r="BC71" s="87" cm="1">
        <f t="array" aca="1" ref="BC71" ca="1">INDEX(TabReg[], 1, _xlfn.XMATCH(TabCalc[[#This Row],[Ticker]]&amp;1, TabReg[#Headers], 0))</f>
        <v>3900</v>
      </c>
      <c r="BD71" s="159">
        <f ca="1">TabCalc[[#This Row],[Nbegin]]*TabCalc[[#This Row],[M]]*TabCalc[[#This Row],[Scale]]+TabCalc[[#This Row],[ValueBegin]]</f>
        <v>121836</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t="e">
        <f ca="1">_xlfn.XLOOKUP(TabCalc[[#This Row],[Ticker]],[1]!RTData[Ticker_Symbol],[1]!#REF!)</f>
        <v>#REF!</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0.44060487390596625</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1" s="87">
        <f ca="1">TabCalc[[#This Row],[Nbegin]]*TabCalc[[#This Row],[Scale]]*TabCalc[[#This Row],[M]]</f>
        <v>275184</v>
      </c>
      <c r="DF71" s="87" cm="1">
        <f t="array" aca="1" ref="DF71" ca="1">SUMPRODUCT(ISNUMBER(INDIRECT("TabReg["&amp;TabCalc[[#This Row],[Ticker]]&amp;"2]"))* INDIRECT("TabReg["&amp;TabCalc[[#This Row],[Ticker]]&amp;"1]") * INDIRECT("TabReg["&amp;TabCalc[[#This Row],[Ticker]]&amp;"2]") )*TabCalc[[#This Row],[Scale]]</f>
        <v>62342.085000000006</v>
      </c>
      <c r="DI71" s="87">
        <f ca="1"/>
        <v>32578</v>
      </c>
      <c r="DJ71" s="90">
        <f t="shared" ca="1" si="6"/>
        <v>-0.14556614050689196</v>
      </c>
      <c r="DK71" t="str">
        <f ca="1">_xlfn.XLOOKUP(DI71,TabCalc[Column1],TabCalc[Ticker])</f>
        <v>PFE</v>
      </c>
      <c r="DL71" s="87">
        <f ca="1">_xlfn.XLOOKUP(DK71,TabCalc[Ticker],TabCalc[ValueBegin])</f>
        <v>-53976.000000000007</v>
      </c>
      <c r="DM71" s="87">
        <f ca="1">_xlfn.XLOOKUP(DK71,TabCalc[Ticker],TabCalc[M_V])</f>
        <v>40096</v>
      </c>
      <c r="DN71" s="87">
        <f ca="1">_xlfn.XLOOKUP(DK71,TabCalc[Ticker],TabCalc[GL])</f>
        <v>-7857.0780000000013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Row],[Ticker]],[1]!RTData[Ticker_Symbol],[1]!RTData[M_Price])</f>
        <v>381.1</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-1.6515999999999999E-2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0.13755825795572188</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-79180.000000000015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-42200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-5916</v>
      </c>
      <c r="AR72" s="334">
        <f ca="1">_xlfn.LET(_xlpm.MVToday,DataShift!AV572,         _xlpm.MVY,DataShift!AU572,        _xlpm.MVYY, DataShift!AT572,         _xlpm.MVYYY, DataShift!AS572,                      IF(_xlpm.MVToday=_xlpm.MVY,      _xlpm.MVYY-_xlpm.MVYYY,          _xlpm.MVY-_xlpm.MVYY))</f>
        <v>684</v>
      </c>
      <c r="AS72" s="984">
        <f ca="1">TabCalc[[#This Row],[Y]]/TabCalc[[#This Row],[M]]</f>
        <v>1.217775387037523</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-3.2321993562617646</v>
      </c>
      <c r="AY72" s="82">
        <f t="shared" ca="1" si="8"/>
        <v>200000</v>
      </c>
      <c r="AZ72" s="90">
        <f ca="1">_xlfn.XLOOKUP(TabCalc[[#This Row],[Ticker]],[1]!RTData[Ticker_Symbol],[1]!RTData[V/VA])</f>
        <v>0.10512331511079581</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0.10512331511079581</v>
      </c>
      <c r="BC72" s="87" cm="1">
        <f t="array" aca="1" ref="BC72" ca="1">INDEX(TabReg[], 1, _xlfn.XMATCH(TabCalc[[#This Row],[Ticker]]&amp;1, TabReg[#Headers], 0))</f>
        <v>200000</v>
      </c>
      <c r="BD72" s="159">
        <f ca="1">TabCalc[[#This Row],[Nbegin]]*TabCalc[[#This Row],[M]]*TabCalc[[#This Row],[Scale]]+TabCalc[[#This Row],[ValueBegin]]</f>
        <v>430200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t="e">
        <f ca="1">_xlfn.XLOOKUP(TabCalc[[#This Row],[Ticker]],[1]!RTData[Ticker_Symbol],[1]!#REF!)</f>
        <v>#REF!</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0.82674033948143821</v>
      </c>
      <c r="DC72" s="310">
        <f ca="1">MEDIAN(DataShift!F771:Z771)</f>
        <v>-1.1659999999999999E-3</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762200</v>
      </c>
      <c r="DF72" s="87" cm="1">
        <f t="array" aca="1" ref="DF72" ca="1">SUMPRODUCT(ISNUMBER(INDIRECT("TabReg["&amp;TabCalc[[#This Row],[Ticker]]&amp;"2]"))* INDIRECT("TabReg["&amp;TabCalc[[#This Row],[Ticker]]&amp;"1]") * INDIRECT("TabReg["&amp;TabCalc[[#This Row],[Ticker]]&amp;"2]") )*TabCalc[[#This Row],[Scale]]</f>
        <v>177515</v>
      </c>
      <c r="DI72" s="87">
        <f ca="1"/>
        <v>30299.999999999996</v>
      </c>
      <c r="DJ72" s="90">
        <f t="shared" ca="1" si="6"/>
        <v>1.0749511152416351</v>
      </c>
      <c r="DK72" t="str">
        <f ca="1">_xlfn.XLOOKUP(DI72,TabCalc[Column1],TabCalc[Ticker])</f>
        <v>BLDP</v>
      </c>
      <c r="DL72" s="87">
        <f ca="1">_xlfn.XLOOKUP(DK72,TabCalc[Ticker],TabCalc[ValueBegin])</f>
        <v>-26900</v>
      </c>
      <c r="DM72" s="87">
        <f ca="1">_xlfn.XLOOKUP(DK72,TabCalc[Ticker],TabCalc[M_V])</f>
        <v>60599.999999999993</v>
      </c>
      <c r="DN72" s="87">
        <f ca="1">_xlfn.XLOOKUP(DK72,TabCalc[Ticker],TabCalc[GL])</f>
        <v>28916.184999999983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123850</v>
      </c>
      <c r="G73" s="82">
        <f ca="1">IFERROR(TabCalc[[#This Row],[SB]]-TabCalc[[#This Row],[SST]],TabCalc[[#This Row],[SB]])</f>
        <v>5000</v>
      </c>
      <c r="H73" s="532" t="str">
        <f ca="1">[1]!RTData[[#This Row],[Ticker_Symbol]]</f>
        <v>SAFMRNA</v>
      </c>
      <c r="I73" s="383">
        <f ca="1">_xlfn.XLOOKUP(TabCalc[[#This Row],[Ticker]],[1]!RTData[Ticker_Symbol],[1]!RTData[M_Price])</f>
        <v>24.77</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-7.6119999999999998E-3</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-6.9390663072529654E-2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6,900 = $ 170,913</v>
      </c>
      <c r="Z73" s="211">
        <f ca="1">MIN(TabCalc[[#This Row],[L_Bn]],TabCalc[[#This Row],[NAfter]])*(TabCalc[[#This Row],[M]]+TabCalc[[#This Row],[L_Bp]])*TabCalc[[#This Row],[Scale]]</f>
        <v>-42127.80000000001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-47771.700000000012</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19866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30500.99</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1675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1.6269681065805408</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-3.7521769780742118</v>
      </c>
      <c r="AY73" s="82">
        <f t="shared" ca="1" si="8"/>
        <v>0</v>
      </c>
      <c r="AZ73" s="90">
        <f ca="1">_xlfn.XLOOKUP(TabCalc[[#This Row],[Ticker]],[1]!RTData[Ticker_Symbol],[1]!RTData[V/VA])</f>
        <v>1.1079459906615486E-3</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1.1079459906615486E-3</v>
      </c>
      <c r="BC73" s="87" cm="1">
        <f t="array" aca="1" ref="BC73" ca="1">INDEX(TabReg[], 1, _xlfn.XMATCH(TabCalc[[#This Row],[Ticker]]&amp;1, TabReg[#Headers], 0))</f>
        <v>500</v>
      </c>
      <c r="BD73" s="159">
        <f ca="1">TabCalc[[#This Row],[Nbegin]]*TabCalc[[#This Row],[M]]*TabCalc[[#This Row],[Scale]]+TabCalc[[#This Row],[ValueBegin]]</f>
        <v>-50790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60675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-174566.99599999998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42.56</v>
      </c>
      <c r="BR73" s="174" t="str">
        <f ca="1">IF(TabCalc[[#This Row],[EfCost]]+TabCalc[[#This Row],[M_V]]&lt;TabCalc[[#This Row],[NoT_GL]],"Pile","")</f>
        <v>Pile</v>
      </c>
      <c r="BS73" s="165" t="e">
        <f ca="1">_xlfn.XLOOKUP(TabCalc[[#This Row],[Ticker]],[1]!RTData[Ticker_Symbol],[1]!#REF!)</f>
        <v>#REF!</v>
      </c>
      <c r="BT73" s="175">
        <f ca="1">(TabCalc[[#This Row],[ValueBegin]]+(TabCalc[[#This Row],[M]]-TabCalc[[#This Row],[A]])*TabCalc[[#This Row],[NAfter]])*TabCalc[[#This Row],[Scale]]</f>
        <v>-247995.57550000001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-184820.57550000001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50.33725963958522</v>
      </c>
      <c r="CV73" s="404">
        <f ca="1">IF(TabCalc[[#This Row],[ntoBuy]]*TabCalc[[#This Row],[M]]&lt;=0,0,TabCalc[[#This Row],[ntoBuy]]*TabCalc[[#This Row],[M]])</f>
        <v>1246.8539212725259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-184820.57550000001</v>
      </c>
      <c r="DB73" s="90">
        <f ca="1">IFERROR((TabCalc[[#This Row],[M]]+TabCalc[[#This Row],[L_Bp]])/ABS(TabCalc[[#This Row],[L_Bp]])/(TODAY()-TabCalc[[#This Row],[L_Bdate]])*360,"")</f>
        <v>-0.43561828532150815</v>
      </c>
      <c r="DC73" s="310">
        <f ca="1">MEDIAN(DataShift!F772:Z772)</f>
        <v>4.6969999999999998E-3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3" s="87">
        <f ca="1">TabCalc[[#This Row],[Nbegin]]*TabCalc[[#This Row],[Scale]]*TabCalc[[#This Row],[M]]</f>
        <v>12385</v>
      </c>
      <c r="DF73" s="87" cm="1">
        <f t="array" aca="1" ref="DF73" ca="1">SUMPRODUCT(ISNUMBER(INDIRECT("TabReg["&amp;TabCalc[[#This Row],[Ticker]]&amp;"2]"))* INDIRECT("TabReg["&amp;TabCalc[[#This Row],[Ticker]]&amp;"1]") * INDIRECT("TabReg["&amp;TabCalc[[#This Row],[Ticker]]&amp;"2]") )*TabCalc[[#This Row],[Scale]]</f>
        <v>-298416.99599999998</v>
      </c>
      <c r="DI73" s="87">
        <f ca="1"/>
        <v>28070</v>
      </c>
      <c r="DJ73" s="90">
        <f t="shared" ca="1" si="6"/>
        <v>1.5122000995520162</v>
      </c>
      <c r="DK73" t="str">
        <f ca="1">_xlfn.XLOOKUP(DI73,TabCalc[Column1],TabCalc[Ticker])</f>
        <v>RIG</v>
      </c>
      <c r="DL73" s="87">
        <f ca="1">_xlfn.XLOOKUP(DK73,TabCalc[Ticker],TabCalc[ValueBegin])</f>
        <v>-20090</v>
      </c>
      <c r="DM73" s="87">
        <f ca="1">_xlfn.XLOOKUP(DK73,TabCalc[Ticker],TabCalc[M_V])</f>
        <v>172430</v>
      </c>
      <c r="DN73" s="87">
        <f ca="1">_xlfn.XLOOKUP(DK73,TabCalc[Ticker],TabCalc[GL])</f>
        <v>30380.100000000006</v>
      </c>
      <c r="DO73" s="90"/>
      <c r="DP73" s="90"/>
      <c r="DQ73" s="88" t="s">
        <v>69</v>
      </c>
      <c r="DR73" s="82">
        <v>1790</v>
      </c>
      <c r="DS73" s="315">
        <v>-104.53</v>
      </c>
      <c r="DU73" s="82">
        <v>118750</v>
      </c>
      <c r="DV73" s="82">
        <f ca="1">DU73-TabCalc[[#This Row],[M_V]]</f>
        <v>-5100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169200</v>
      </c>
      <c r="G74" s="82">
        <f ca="1">IFERROR(TabCalc[[#This Row],[SB]]-TabCalc[[#This Row],[SST]],TabCalc[[#This Row],[SB]])</f>
        <v>120000</v>
      </c>
      <c r="H74" s="532" t="str">
        <f ca="1">[1]!RTData[[#This Row],[Ticker_Symbol]]</f>
        <v>BLNK</v>
      </c>
      <c r="I74" s="383">
        <f ca="1">_xlfn.XLOOKUP(TabCalc[[#This Row],[Ticker]],[1]!RTData[Ticker_Symbol],[1]!RTData[M_Price])</f>
        <v>1.41</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-3.4247E-2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0.3132825523795712</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15919.999999999996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-10600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6000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3080.0000000000027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1.7021276595744681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-0.28673138297872336</v>
      </c>
      <c r="AY74" s="82">
        <f t="shared" ca="1" si="8"/>
        <v>0</v>
      </c>
      <c r="AZ74" s="90">
        <f ca="1">_xlfn.XLOOKUP(TabCalc[[#This Row],[Ticker]],[1]!RTData[Ticker_Symbol],[1]!RTData[V/VA])</f>
        <v>6.7201642321426539E-5</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6.7201642321426539E-5</v>
      </c>
      <c r="BC74" s="87" cm="1">
        <f t="array" aca="1" ref="BC74" ca="1">INDEX(TabReg[], 1, _xlfn.XMATCH(TabCalc[[#This Row],[Ticker]]&amp;1, TabReg[#Headers], 0))</f>
        <v>30000</v>
      </c>
      <c r="BD74" s="159">
        <f ca="1">TabCalc[[#This Row],[Nbegin]]*TabCalc[[#This Row],[M]]*TabCalc[[#This Row],[Scale]]+TabCalc[[#This Row],[ValueBegin]]</f>
        <v>-168900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-42000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-274590.89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5.51</v>
      </c>
      <c r="BR74" s="174" t="str">
        <f ca="1">IF(TabCalc[[#This Row],[EfCost]]+TabCalc[[#This Row],[M_V]]&lt;TabCalc[[#This Row],[NoT_GL]],"Pile","")</f>
        <v>Pile</v>
      </c>
      <c r="BS74" s="165" t="e">
        <f ca="1">_xlfn.XLOOKUP(TabCalc[[#This Row],[Ticker]],[1]!RTData[Ticker_Symbol],[1]!#REF!)</f>
        <v>#REF!</v>
      </c>
      <c r="BT74" s="175">
        <f ca="1">(TabCalc[[#This Row],[ValueBegin]]+(TabCalc[[#This Row],[M]]-TabCalc[[#This Row],[A]])*TabCalc[[#This Row],[NAfter]])*TabCalc[[#This Row],[Scale]]</f>
        <v>-305614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-94414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10000</v>
      </c>
      <c r="CV74" s="404">
        <f ca="1">IF(TabCalc[[#This Row],[ntoBuy]]*TabCalc[[#This Row],[M]]&lt;=0,0,TabCalc[[#This Row],[ntoBuy]]*TabCalc[[#This Row],[M]])</f>
        <v>14100</v>
      </c>
      <c r="CW74" s="404">
        <f ca="1">IF(TabCalc[[#This Row],[M]]&gt;ABS(TabCalc[[#This Row],[L_Bp]]),MIN(TabCalc[[#This Row],[NAfter]],DesiredSaleGain/(TabCalc[[#This Row],[M]]+TabCalc[[#This Row],[L_Bp]])),0)/TabCalc[[#This Row],[Scale]]</f>
        <v>12562.814070351762</v>
      </c>
      <c r="CX74" s="405">
        <f ca="1">TabCalc[[#This Row],[ntoSell]]*TabCalc[[#This Row],[M]]</f>
        <v>17713.567839195985</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-94414</v>
      </c>
      <c r="DB74" s="90">
        <f ca="1">IFERROR((TabCalc[[#This Row],[M]]+TabCalc[[#This Row],[L_Bp]])/ABS(TabCalc[[#This Row],[L_Bp]])/(TODAY()-TabCalc[[#This Row],[L_Bdate]])*360,"")</f>
        <v>0.98320158102766775</v>
      </c>
      <c r="DC74" s="310">
        <f ca="1">MEDIAN(DataShift!F773:Z773)</f>
        <v>-4.8999999999999998E-4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4" s="87">
        <f ca="1">TabCalc[[#This Row],[Nbegin]]*TabCalc[[#This Row],[Scale]]*TabCalc[[#This Row],[M]]</f>
        <v>42300</v>
      </c>
      <c r="DF74" s="87" cm="1">
        <f t="array" aca="1" ref="DF74" ca="1">SUMPRODUCT(ISNUMBER(INDIRECT("TabReg["&amp;TabCalc[[#This Row],[Ticker]]&amp;"2]"))* INDIRECT("TabReg["&amp;TabCalc[[#This Row],[Ticker]]&amp;"1]") * INDIRECT("TabReg["&amp;TabCalc[[#This Row],[Ticker]]&amp;"2]") )*TabCalc[[#This Row],[Scale]]</f>
        <v>-443790.89</v>
      </c>
      <c r="DI74" s="87">
        <f ca="1"/>
        <v>27216</v>
      </c>
      <c r="DJ74" s="90">
        <f t="shared" ca="1" si="6"/>
        <v>-1.4485052894958181</v>
      </c>
      <c r="DK74" t="str">
        <f ca="1">_xlfn.XLOOKUP(DI74,TabCalc[Column1],TabCalc[Ticker])</f>
        <v>XYZ</v>
      </c>
      <c r="DL74" s="87">
        <f ca="1">_xlfn.XLOOKUP(DK74,TabCalc[Ticker],TabCalc[ValueBegin])</f>
        <v>-118300.5</v>
      </c>
      <c r="DM74" s="87">
        <f ca="1">_xlfn.XLOOKUP(DK74,TabCalc[Ticker],TabCalc[M_V])</f>
        <v>36288</v>
      </c>
      <c r="DN74" s="87">
        <f ca="1">_xlfn.XLOOKUP(DK74,TabCalc[Ticker],TabCalc[GL])</f>
        <v>-171358.90000000002</v>
      </c>
      <c r="DO74" s="90"/>
      <c r="DP74" s="90"/>
      <c r="DQ74" s="88" t="s">
        <v>70</v>
      </c>
      <c r="DR74" s="81">
        <v>310</v>
      </c>
      <c r="DS74" s="315">
        <v>-358.7</v>
      </c>
      <c r="DU74" s="82">
        <v>177600</v>
      </c>
      <c r="DV74" s="82">
        <f ca="1">DU74-TabCalc[[#This Row],[M_V]]</f>
        <v>8400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280330</v>
      </c>
      <c r="G75" s="82">
        <f ca="1">IFERROR(TabCalc[[#This Row],[SB]]-TabCalc[[#This Row],[SST]],TabCalc[[#This Row],[SB]])</f>
        <v>17000</v>
      </c>
      <c r="H75" s="532" t="str">
        <f ca="1">[1]!RTData[[#This Row],[Ticker_Symbol]]</f>
        <v>ENI</v>
      </c>
      <c r="I75" s="383">
        <f ca="1">_xlfn.XLOOKUP(TabCalc[[#This Row],[Ticker]],[1]!RTData[Ticker_Symbol],[1]!RTData[M_Price])</f>
        <v>16.489999999999998</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9.7119999999999997E-4</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-9.5988294874614216E-2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16216.199999999992</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15684.299999999985</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-3149.999999999995</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-2559.999999999995</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340</v>
      </c>
      <c r="AQ75" s="334">
        <f ca="1">_xlfn.LET(_xlpm.MVToday,DataShift!AV575,         _xlpm.MVY,DataShift!AU575,        _xlpm.MVYY, DataShift!AT575,                                IF(_xlpm.MVToday=_xlpm.MVY,_xlpm.MVY-_xlpm.MVYY,_xlpm.MVToday-_xlpm.MVY))</f>
        <v>1225</v>
      </c>
      <c r="AR75" s="334">
        <f ca="1">_xlfn.LET(_xlpm.MVToday,DataShift!AV575,         _xlpm.MVY,DataShift!AU575,        _xlpm.MVYY, DataShift!AT575,         _xlpm.MVYYY, DataShift!AS575,                      IF(_xlpm.MVToday=_xlpm.MVY,      _xlpm.MVYY-_xlpm.MVYYY,          _xlpm.MVY-_xlpm.MVYY))</f>
        <v>2100</v>
      </c>
      <c r="AS75" s="984">
        <f ca="1">TabCalc[[#This Row],[Y]]/TabCalc[[#This Row],[M]]</f>
        <v>0.97772771376591883</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1.8633615435584752E-4</v>
      </c>
      <c r="AY75" s="82">
        <f t="shared" ca="1" si="8"/>
        <v>0</v>
      </c>
      <c r="AZ75" s="90">
        <f ca="1">_xlfn.XLOOKUP(TabCalc[[#This Row],[Ticker]],[1]!RTData[Ticker_Symbol],[1]!RTData[V/VA])</f>
        <v>0.20727782625951161</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0.20727782625951161</v>
      </c>
      <c r="BC75" s="87" cm="1">
        <f t="array" aca="1" ref="BC75" ca="1">INDEX(TabReg[], 1, _xlfn.XMATCH(TabCalc[[#This Row],[Ticker]]&amp;1, TabReg[#Headers], 0))</f>
        <v>7300</v>
      </c>
      <c r="BD75" s="159">
        <f ca="1">TabCalc[[#This Row],[Nbegin]]*TabCalc[[#This Row],[M]]*TabCalc[[#This Row],[Scale]]+TabCalc[[#This Row],[ValueBegin]]</f>
        <v>20512.999999999985</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180466</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43527.53600000008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t="e">
        <f ca="1">_xlfn.XLOOKUP(TabCalc[[#This Row],[Ticker]],[1]!RTData[Ticker_Symbol],[1]!#REF!)</f>
        <v>#REF!</v>
      </c>
      <c r="BT75" s="175">
        <f ca="1">(TabCalc[[#This Row],[ValueBegin]]+(TabCalc[[#This Row],[M]]-TabCalc[[#This Row],[A]])*TabCalc[[#This Row],[NAfter]])*TabCalc[[#This Row],[Scale]]</f>
        <v>-72673.500000000029</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27190.499999999967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3086.4197530864212</v>
      </c>
      <c r="CX75" s="405">
        <f ca="1">TabCalc[[#This Row],[ntoSell]]*TabCalc[[#This Row],[M]]</f>
        <v>50895.061728395078</v>
      </c>
      <c r="CY75" s="398">
        <f ca="1">_xlfn.LET(_xlpm.nToSell,IF(TabCalc[[#This Row],[M]]-TabCalc[[#This Row],[A]]&lt;=0,"",INT(DesiredSaleGain/(TabCalc[[#This Row],[M]]-IF(TabCalc[[#This Row],[E]]&gt;0,0,TabCalc[[#This Row],[A]])))),IF(_xlpm.nToSell&lt;=TabCalc[[#This Row],[NAfter]],_xlpm.nToSell,0))</f>
        <v>3126</v>
      </c>
      <c r="CZ75" s="336">
        <f ca="1">IFERROR(TabCalc[[#This Row],[NMA]]*TabCalc[[#This Row],[M]],"")</f>
        <v>51547.74</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27190.499999999967</v>
      </c>
      <c r="DB75" s="90">
        <f ca="1">IFERROR((TabCalc[[#This Row],[M]]+TabCalc[[#This Row],[L_Bp]])/ABS(TabCalc[[#This Row],[L_Bp]])/(TODAY()-TabCalc[[#This Row],[L_Bdate]])*360,"")</f>
        <v>0.66474416696112038</v>
      </c>
      <c r="DC75" s="310">
        <f ca="1">MEDIAN(DataShift!F774:Z774)</f>
        <v>-8.0000000000000002E-3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120376.99999999999</v>
      </c>
      <c r="DF75" s="87" cm="1">
        <f t="array" aca="1" ref="DF75" ca="1">SUMPRODUCT(ISNUMBER(INDIRECT("TabReg["&amp;TabCalc[[#This Row],[Ticker]]&amp;"2]"))* INDIRECT("TabReg["&amp;TabCalc[[#This Row],[Ticker]]&amp;"1]") * INDIRECT("TabReg["&amp;TabCalc[[#This Row],[Ticker]]&amp;"2]") )*TabCalc[[#This Row],[Scale]]</f>
        <v>-236802.46399999992</v>
      </c>
      <c r="DI75" s="87">
        <f ca="1"/>
        <v>26252</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69690</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138420</v>
      </c>
      <c r="G76" s="82">
        <f ca="1">IFERROR(TabCalc[[#This Row],[SB]]-TabCalc[[#This Row],[SST]],TabCalc[[#This Row],[SB]])</f>
        <v>30000</v>
      </c>
      <c r="H76" s="532" t="str">
        <f ca="1">[1]!RTData[[#This Row],[Ticker_Symbol]]</f>
        <v>EZJ</v>
      </c>
      <c r="I76" s="383">
        <f ca="1">_xlfn.XLOOKUP(TabCalc[[#This Row],[Ticker]],[1]!RTData[Ticker_Symbol],[1]!RTData[M_Price])</f>
        <v>461.4</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-1.6624E-2</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0.16983073115039787</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2077.9999999999973</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-1950</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3420.0000000000045</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14904.000000000013</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-1980</v>
      </c>
      <c r="AQ76" s="334">
        <f ca="1">_xlfn.LET(_xlpm.MVToday,DataShift!AV576,         _xlpm.MVY,DataShift!AU576,        _xlpm.MVYY, DataShift!AT576,                                IF(_xlpm.MVToday=_xlpm.MVY,_xlpm.MVY-_xlpm.MVYY,_xlpm.MVToday-_xlpm.MVY))</f>
        <v>-21588</v>
      </c>
      <c r="AR76" s="334">
        <f ca="1">_xlfn.LET(_xlpm.MVToday,DataShift!AV576,         _xlpm.MVY,DataShift!AU576,        _xlpm.MVYY, DataShift!AT576,         _xlpm.MVYYY, DataShift!AS576,                      IF(_xlpm.MVToday=_xlpm.MVY,      _xlpm.MVYY-_xlpm.MVYYY,          _xlpm.MVY-_xlpm.MVYY))</f>
        <v>10188</v>
      </c>
      <c r="AS76" s="984">
        <f ca="1">TabCalc[[#This Row],[Y]]/TabCalc[[#This Row],[M]]</f>
        <v>1.3572821846553966</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-15.503920236250522</v>
      </c>
      <c r="AY76" s="82">
        <f t="shared" ca="1" si="8"/>
        <v>0</v>
      </c>
      <c r="AZ76" s="90">
        <f ca="1">_xlfn.XLOOKUP(TabCalc[[#This Row],[Ticker]],[1]!RTData[Ticker_Symbol],[1]!RTData[V/VA])</f>
        <v>0.15127421790290552</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0.15127421790290552</v>
      </c>
      <c r="BC76" s="87" cm="1">
        <f t="array" aca="1" ref="BC76" ca="1">INDEX(TabReg[], 1, _xlfn.XMATCH(TabCalc[[#This Row],[Ticker]]&amp;1, TabReg[#Headers], 0))</f>
        <v>19440</v>
      </c>
      <c r="BD76" s="159">
        <f ca="1">TabCalc[[#This Row],[Nbegin]]*TabCalc[[#This Row],[M]]*TabCalc[[#This Row],[Scale]]+TabCalc[[#This Row],[ValueBegin]]</f>
        <v>-10031.039999999994</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38692.800000000003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30469.403000000006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585.26</v>
      </c>
      <c r="BR76" s="174" t="str">
        <f ca="1">IF(TabCalc[[#This Row],[EfCost]]+TabCalc[[#This Row],[M_V]]&lt;TabCalc[[#This Row],[NoT_GL]],"Pile","")</f>
        <v/>
      </c>
      <c r="BS76" s="165" t="e">
        <f ca="1">_xlfn.XLOOKUP(TabCalc[[#This Row],[Ticker]],[1]!RTData[Ticker_Symbol],[1]!#REF!)</f>
        <v>#REF!</v>
      </c>
      <c r="BT76" s="175">
        <f ca="1">(TabCalc[[#This Row],[ValueBegin]]+(TabCalc[[#This Row],[M]]-TabCalc[[#This Row],[A]])*TabCalc[[#This Row],[NAfter]])*TabCalc[[#This Row],[Scale]]</f>
        <v>-869.27200000001415</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12799.99999999859</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146.19883040935653</v>
      </c>
      <c r="CV76" s="404">
        <f ca="1">IF(TabCalc[[#This Row],[ntoBuy]]*TabCalc[[#This Row],[M]]&lt;=0,0,TabCalc[[#This Row],[ntoBuy]]*TabCalc[[#This Row],[M]])</f>
        <v>67456.140350877104</v>
      </c>
      <c r="CW76" s="404">
        <f ca="1">IF(TabCalc[[#This Row],[M]]&gt;ABS(TabCalc[[#This Row],[L_Bp]]),MIN(TabCalc[[#This Row],[NAfter]],DesiredSaleGain/(TabCalc[[#This Row],[M]]+TabCalc[[#This Row],[L_Bp]])),0)/TabCalc[[#This Row],[Scale]]</f>
        <v>48123.195380173311</v>
      </c>
      <c r="CX76" s="405">
        <f ca="1">TabCalc[[#This Row],[ntoSell]]*TabCalc[[#This Row],[M]]</f>
        <v>22204042.348411966</v>
      </c>
      <c r="CY76" s="398">
        <f ca="1">_xlfn.LET(_xlpm.nToSell,IF(TabCalc[[#This Row],[M]]-TabCalc[[#This Row],[A]]&lt;=0,"",INT(DesiredSaleGain/(TabCalc[[#This Row],[M]]-IF(TabCalc[[#This Row],[E]]&gt;0,0,TabCalc[[#This Row],[A]])))),IF(_xlpm.nToSell&lt;=TabCalc[[#This Row],[NAfter]],_xlpm.nToSell,0))</f>
        <v>11718</v>
      </c>
      <c r="CZ76" s="336">
        <f ca="1">IFERROR(TabCalc[[#This Row],[NMA]]*TabCalc[[#This Row],[M]],"")</f>
        <v>5406685.2000000002</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127.9999999999859</v>
      </c>
      <c r="DB76" s="90">
        <f ca="1">IFERROR((TabCalc[[#This Row],[M]]+TabCalc[[#This Row],[L_Bp]])/ABS(TabCalc[[#This Row],[L_Bp]])/(TODAY()-TabCalc[[#This Row],[L_Bdate]])*360,"")</f>
        <v>0.140565863660432</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6" s="87">
        <f ca="1">TabCalc[[#This Row],[Nbegin]]*TabCalc[[#This Row],[Scale]]*TabCalc[[#This Row],[M]]</f>
        <v>89696.16</v>
      </c>
      <c r="DF76" s="87" cm="1">
        <f t="array" aca="1" ref="DF76" ca="1">SUMPRODUCT(ISNUMBER(INDIRECT("TabReg["&amp;TabCalc[[#This Row],[Ticker]]&amp;"2]"))* INDIRECT("TabReg["&amp;TabCalc[[#This Row],[Ticker]]&amp;"1]") * INDIRECT("TabReg["&amp;TabCalc[[#This Row],[Ticker]]&amp;"2]") )*TabCalc[[#This Row],[Scale]]</f>
        <v>-107950.59699999999</v>
      </c>
      <c r="DI76" s="87">
        <f ca="1"/>
        <v>24513</v>
      </c>
      <c r="DJ76" s="90">
        <f t="shared" ca="1" si="6"/>
        <v>2.45918522292994</v>
      </c>
      <c r="DK76" t="str">
        <f ca="1">_xlfn.XLOOKUP(DI76,TabCalc[Column1],TabCalc[Ticker])</f>
        <v>HPQ</v>
      </c>
      <c r="DL76" s="87">
        <f ca="1">_xlfn.XLOOKUP(DK76,TabCalc[Ticker],TabCalc[ValueBegin])</f>
        <v>-15700</v>
      </c>
      <c r="DM76" s="87">
        <f ca="1">_xlfn.XLOOKUP(DK76,TabCalc[Ticker],TabCalc[M_V])</f>
        <v>122565.00000000001</v>
      </c>
      <c r="DN76" s="87">
        <f ca="1">_xlfn.XLOOKUP(DK76,TabCalc[Ticker],TabCalc[GL])</f>
        <v>38609.208000000057</v>
      </c>
      <c r="DO76" s="90"/>
      <c r="DP76" s="90"/>
      <c r="DQ76" s="88" t="s">
        <v>72</v>
      </c>
      <c r="DR76" s="81">
        <v>200</v>
      </c>
      <c r="DS76" s="315">
        <v>-85.85</v>
      </c>
      <c r="DU76" s="82">
        <v>144090</v>
      </c>
      <c r="DV76" s="82">
        <f ca="1">DU76-TabCalc[[#This Row],[M_V]]</f>
        <v>5670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Row],[Ticker]],[1]!RTData[Ticker_Symbol],[1]!RTData[M_Price])</f>
        <v>13.19</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-6.777E-3</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-0.31207496338400659</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-3510</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-3559.9999999999986</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9486</v>
      </c>
      <c r="AR77" s="334">
        <f ca="1">_xlfn.LET(_xlpm.MVToday,DataShift!AV577,         _xlpm.MVY,DataShift!AU577,        _xlpm.MVYY, DataShift!AT577,         _xlpm.MVYYY, DataShift!AS577,                      IF(_xlpm.MVToday=_xlpm.MVY,      _xlpm.MVYY-_xlpm.MVYYY,          _xlpm.MVY-_xlpm.MVYY))</f>
        <v>-272</v>
      </c>
      <c r="AS77" s="984">
        <f ca="1">TabCalc[[#This Row],[Y]]/TabCalc[[#This Row],[M]]</f>
        <v>0.92987111448066728</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4.8922974050125516E-3</v>
      </c>
      <c r="AY77" s="82">
        <f t="shared" ca="1" si="8"/>
        <v>12000</v>
      </c>
      <c r="AZ77" s="90">
        <f ca="1">_xlfn.XLOOKUP(TabCalc[[#This Row],[Ticker]],[1]!RTData[Ticker_Symbol],[1]!RTData[V/VA])</f>
        <v>6.9210674470169585E-5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6.9210674470169585E-5</v>
      </c>
      <c r="BC77" s="87" cm="1">
        <f t="array" aca="1" ref="BC77" ca="1">INDEX(TabReg[], 1, _xlfn.XMATCH(TabCalc[[#This Row],[Ticker]]&amp;1, TabReg[#Headers], 0))</f>
        <v>12000</v>
      </c>
      <c r="BD77" s="159">
        <f ca="1">TabCalc[[#This Row],[Nbegin]]*TabCalc[[#This Row],[M]]*TabCalc[[#This Row],[Scale]]+TabCalc[[#This Row],[ValueBegin]]</f>
        <v>-3600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t="e">
        <f ca="1">_xlfn.XLOOKUP(TabCalc[[#This Row],[Ticker]],[1]!RTData[Ticker_Symbol],[1]!#REF!)</f>
        <v>#REF!</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0.56681741456734291</v>
      </c>
      <c r="DC77" s="310">
        <f ca="1">MEDIAN(DataShift!F776:Z776)</f>
        <v>1.6130000000000001E-3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158280</v>
      </c>
      <c r="DF77" s="87" cm="1">
        <f t="array" aca="1" ref="DF77" ca="1">SUMPRODUCT(ISNUMBER(INDIRECT("TabReg["&amp;TabCalc[[#This Row],[Ticker]]&amp;"2]"))* INDIRECT("TabReg["&amp;TabCalc[[#This Row],[Ticker]]&amp;"1]") * INDIRECT("TabReg["&amp;TabCalc[[#This Row],[Ticker]]&amp;"2]") )*TabCalc[[#This Row],[Scale]]</f>
        <v>-12620</v>
      </c>
      <c r="DI77" s="87">
        <f ca="1"/>
        <v>24377.544999999998</v>
      </c>
      <c r="DJ77" s="90">
        <f t="shared" ca="1" si="6"/>
        <v>-0.56951733931617432</v>
      </c>
      <c r="DK77" t="str">
        <f ca="1">_xlfn.XLOOKUP(DI77,TabCalc[Column1],TabCalc[Ticker])</f>
        <v>DXC</v>
      </c>
      <c r="DL77" s="87">
        <f ca="1">_xlfn.XLOOKUP(DK77,TabCalc[Ticker],TabCalc[ValueBegin])</f>
        <v>-88065.18</v>
      </c>
      <c r="DM77" s="87">
        <f ca="1">_xlfn.XLOOKUP(DK77,TabCalc[Ticker],TabCalc[M_V])</f>
        <v>77430</v>
      </c>
      <c r="DN77" s="87">
        <f ca="1">_xlfn.XLOOKUP(DK77,TabCalc[Ticker],TabCalc[GL])</f>
        <v>-50154.646999999968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Row],[Ticker]],[1]!RTData[Ticker_Symbol],[1]!RTData[M_Price])</f>
        <v>58.26</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4.829E-3</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4.3548691161156075E-2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-54319.999999999993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-70401.600000000006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-3000</v>
      </c>
      <c r="AR78" s="334">
        <f ca="1">_xlfn.LET(_xlpm.MVToday,DataShift!AV578,         _xlpm.MVY,DataShift!AU578,        _xlpm.MVYY, DataShift!AT578,         _xlpm.MVYYY, DataShift!AS578,                      IF(_xlpm.MVToday=_xlpm.MVY,      _xlpm.MVYY-_xlpm.MVYYY,          _xlpm.MVY-_xlpm.MVYY))</f>
        <v>-2130</v>
      </c>
      <c r="AS78" s="984">
        <f ca="1">TabCalc[[#This Row],[Y]]/TabCalc[[#This Row],[M]]</f>
        <v>1.1103005492619293</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-7.0414637998195237E-2</v>
      </c>
      <c r="AY78" s="82">
        <f t="shared" ca="1" si="8"/>
        <v>5000</v>
      </c>
      <c r="AZ78" s="90">
        <f ca="1">_xlfn.XLOOKUP(TabCalc[[#This Row],[Ticker]],[1]!RTData[Ticker_Symbol],[1]!RTData[V/VA])</f>
        <v>0.14082448702358652</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0.14082448702358652</v>
      </c>
      <c r="BC78" s="87" cm="1">
        <f t="array" aca="1" ref="BC78" ca="1">INDEX(TabReg[], 1, _xlfn.XMATCH(TabCalc[[#This Row],[Ticker]]&amp;1, TabReg[#Headers], 0))</f>
        <v>5000</v>
      </c>
      <c r="BD78" s="159">
        <f ca="1">TabCalc[[#This Row],[Nbegin]]*TabCalc[[#This Row],[M]]*TabCalc[[#This Row],[Scale]]+TabCalc[[#This Row],[ValueBegin]]</f>
        <v>193150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t="e">
        <f ca="1">_xlfn.XLOOKUP(TabCalc[[#This Row],[Ticker]],[1]!RTData[Ticker_Symbol],[1]!#REF!)</f>
        <v>#REF!</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1.1997599388935363</v>
      </c>
      <c r="DC78" s="310">
        <f ca="1">MEDIAN(DataShift!F777:Z777)</f>
        <v>-1.64E-3</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8" s="87">
        <f ca="1">TabCalc[[#This Row],[Nbegin]]*TabCalc[[#This Row],[Scale]]*TabCalc[[#This Row],[M]]</f>
        <v>291300</v>
      </c>
      <c r="DF78" s="87" cm="1">
        <f t="array" aca="1" ref="DF78" ca="1">SUMPRODUCT(ISNUMBER(INDIRECT("TabReg["&amp;TabCalc[[#This Row],[Ticker]]&amp;"2]"))* INDIRECT("TabReg["&amp;TabCalc[[#This Row],[Ticker]]&amp;"1]") * INDIRECT("TabReg["&amp;TabCalc[[#This Row],[Ticker]]&amp;"2]") )*TabCalc[[#This Row],[Scale]]</f>
        <v>43473.079999999994</v>
      </c>
      <c r="DI78" s="87">
        <f ca="1"/>
        <v>23858</v>
      </c>
      <c r="DJ78" s="90">
        <f t="shared" ca="1" si="6"/>
        <v>0.57150537634408627</v>
      </c>
      <c r="DK78" t="str">
        <f ca="1">_xlfn.XLOOKUP(DI78,TabCalc[Column1],TabCalc[Ticker])</f>
        <v>XOM</v>
      </c>
      <c r="DL78" s="87">
        <f ca="1">_xlfn.XLOOKUP(DK78,TabCalc[Ticker],TabCalc[ValueBegin])</f>
        <v>-19902</v>
      </c>
      <c r="DM78" s="87">
        <f ca="1">_xlfn.XLOOKUP(DK78,TabCalc[Ticker],TabCalc[M_V])</f>
        <v>59645</v>
      </c>
      <c r="DN78" s="87">
        <f ca="1">_xlfn.XLOOKUP(DK78,TabCalc[Ticker],TabCalc[GL])</f>
        <v>11374.100000000006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135999</v>
      </c>
      <c r="G79" s="82">
        <f ca="1">IFERROR(TabCalc[[#This Row],[SB]]-TabCalc[[#This Row],[SST]],TabCalc[[#This Row],[SB]])</f>
        <v>900</v>
      </c>
      <c r="H79" s="532" t="str">
        <f ca="1">[1]!RTData[[#This Row],[Ticker_Symbol]]</f>
        <v>GNRC</v>
      </c>
      <c r="I79" s="383">
        <f ca="1">_xlfn.XLOOKUP(TabCalc[[#This Row],[Ticker]],[1]!RTData[Ticker_Symbol],[1]!RTData[M_Price])</f>
        <v>151.11000000000001</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-2.2764000000000003E-2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-0.16985959004910137</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-9614.9999999999945</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-3117.999999999995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8179.9999999999955</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23279.999999999989</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180</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1.3729773013036859</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-5.7105383840904933</v>
      </c>
      <c r="AY79" s="82">
        <f t="shared" ca="1" si="8"/>
        <v>0</v>
      </c>
      <c r="AZ79" s="90">
        <f ca="1">_xlfn.XLOOKUP(TabCalc[[#This Row],[Ticker]],[1]!RTData[Ticker_Symbol],[1]!RTData[V/VA])</f>
        <v>1.5818336471835091E-5</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1.5818336471835091E-5</v>
      </c>
      <c r="BC79" s="87" cm="1">
        <f t="array" aca="1" ref="BC79" ca="1">INDEX(TabReg[], 1, _xlfn.XMATCH(TabCalc[[#This Row],[Ticker]]&amp;1, TabReg[#Headers], 0))</f>
        <v>550</v>
      </c>
      <c r="BD79" s="159">
        <f ca="1">TabCalc[[#This Row],[Nbegin]]*TabCalc[[#This Row],[M]]*TabCalc[[#This Row],[Scale]]+TabCalc[[#This Row],[ValueBegin]]</f>
        <v>-21367.499999999985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31521</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14949.85000000002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205.61</v>
      </c>
      <c r="BR79" s="174" t="str">
        <f ca="1">IF(TabCalc[[#This Row],[EfCost]]+TabCalc[[#This Row],[M_V]]&lt;TabCalc[[#This Row],[NoT_GL]],"Pile","")</f>
        <v/>
      </c>
      <c r="BS79" s="165" t="e">
        <f ca="1">_xlfn.XLOOKUP(TabCalc[[#This Row],[Ticker]],[1]!RTData[Ticker_Symbol],[1]!#REF!)</f>
        <v>#REF!</v>
      </c>
      <c r="BT79" s="175">
        <f ca="1">(TabCalc[[#This Row],[ValueBegin]]+(TabCalc[[#This Row],[M]]-TabCalc[[#This Row],[A]])*TabCalc[[#This Row],[NAfter]])*TabCalc[[#This Row],[Scale]]</f>
        <v>-131322.99999999997</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-26844.999999999978</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122.24938875305631</v>
      </c>
      <c r="CV79" s="404">
        <f ca="1">IF(TabCalc[[#This Row],[ntoBuy]]*TabCalc[[#This Row],[M]]&lt;=0,0,TabCalc[[#This Row],[ntoBuy]]*TabCalc[[#This Row],[M]])</f>
        <v>18473.105134474339</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-26844.999999999978</v>
      </c>
      <c r="DB79" s="90">
        <f ca="1">IFERROR((TabCalc[[#This Row],[M]]+TabCalc[[#This Row],[L_Bp]])/ABS(TabCalc[[#This Row],[L_Bp]])/(TODAY()-TabCalc[[#This Row],[L_Bdate]])*360,"")</f>
        <v>-2.4228501352327503</v>
      </c>
      <c r="DC79" s="310">
        <f ca="1">MEDIAN(DataShift!F778:Z778)</f>
        <v>-1.276E-3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9" s="87">
        <f ca="1">TabCalc[[#This Row],[Nbegin]]*TabCalc[[#This Row],[Scale]]*TabCalc[[#This Row],[M]]</f>
        <v>83110.500000000015</v>
      </c>
      <c r="DF79" s="87" cm="1">
        <f t="array" aca="1" ref="DF79" ca="1">SUMPRODUCT(ISNUMBER(INDIRECT("TabReg["&amp;TabCalc[[#This Row],[Ticker]]&amp;"2]"))* INDIRECT("TabReg["&amp;TabCalc[[#This Row],[Ticker]]&amp;"1]") * INDIRECT("TabReg["&amp;TabCalc[[#This Row],[Ticker]]&amp;"2]") )*TabCalc[[#This Row],[Scale]]</f>
        <v>-121049.14999999998</v>
      </c>
      <c r="DI79" s="87">
        <f ca="1"/>
        <v>23010.359999999997</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4905</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Row],[Ticker]],[1]!RTData[Ticker_Symbol],[1]!RTData[M_Price])</f>
        <v>790.48</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-1.8647E-2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-0.19213234773817273</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-15858.000000000004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-29544.93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1.0143736716931484</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-2.3141743774040039E-3</v>
      </c>
      <c r="AY80" s="82">
        <f t="shared" ca="1" si="8"/>
        <v>310</v>
      </c>
      <c r="AZ80" s="90">
        <f ca="1">_xlfn.XLOOKUP(TabCalc[[#This Row],[Ticker]],[1]!RTData[Ticker_Symbol],[1]!RTData[V/VA])</f>
        <v>2.8609005735359916E-4</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2.8609005735359916E-4</v>
      </c>
      <c r="BC80" s="87" cm="1">
        <f t="array" aca="1" ref="BC80" ca="1">INDEX(TabReg[], 1, _xlfn.XMATCH(TabCalc[[#This Row],[Ticker]]&amp;1, TabReg[#Headers], 0))</f>
        <v>310</v>
      </c>
      <c r="BD80" s="159">
        <f ca="1">TabCalc[[#This Row],[Nbegin]]*TabCalc[[#This Row],[M]]*TabCalc[[#This Row],[Scale]]+TabCalc[[#This Row],[ValueBegin]]</f>
        <v>133851.80000000002</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t="e">
        <f ca="1">_xlfn.XLOOKUP(TabCalc[[#This Row],[Ticker]],[1]!RTData[Ticker_Symbol],[1]!#REF!)</f>
        <v>#REF!</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0.35610824103941519</v>
      </c>
      <c r="DC80" s="310">
        <f ca="1">MEDIAN(DataShift!F779:Z779)</f>
        <v>-1.103E-3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0" s="87">
        <f ca="1">TabCalc[[#This Row],[Nbegin]]*TabCalc[[#This Row],[Scale]]*TabCalc[[#This Row],[M]]</f>
        <v>245048.80000000002</v>
      </c>
      <c r="DF80" s="87" cm="1">
        <f t="array" aca="1" ref="DF80" ca="1">SUMPRODUCT(ISNUMBER(INDIRECT("TabReg["&amp;TabCalc[[#This Row],[Ticker]]&amp;"2]"))* INDIRECT("TabReg["&amp;TabCalc[[#This Row],[Ticker]]&amp;"1]") * INDIRECT("TabReg["&amp;TabCalc[[#This Row],[Ticker]]&amp;"2]") )*TabCalc[[#This Row],[Scale]]</f>
        <v>45917.739000000023</v>
      </c>
      <c r="DI80" s="87">
        <f ca="1"/>
        <v>21700</v>
      </c>
      <c r="DJ80" s="90">
        <f t="shared" ca="1" si="6"/>
        <v>0.2011643187066974</v>
      </c>
      <c r="DK80" t="str">
        <f ca="1">_xlfn.XLOOKUP(DI80,TabCalc[Column1],TabCalc[Ticker])</f>
        <v>MVEDDD</v>
      </c>
      <c r="DL80" s="87">
        <f ca="1">_xlfn.XLOOKUP(DK80,TabCalc[Ticker],TabCalc[ValueBegin])</f>
        <v>-43300</v>
      </c>
      <c r="DM80" s="87">
        <f ca="1">_xlfn.XLOOKUP(DK80,TabCalc[Ticker],TabCalc[M_V])</f>
        <v>21700</v>
      </c>
      <c r="DN80" s="87">
        <f ca="1">_xlfn.XLOOKUP(DK80,TabCalc[Ticker],TabCalc[GL])</f>
        <v>8710.4149999999972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15673.18</v>
      </c>
      <c r="G81" s="82">
        <f ca="1">IFERROR(TabCalc[[#This Row],[SB]]-TabCalc[[#This Row],[SST]],TabCalc[[#This Row],[SB]])</f>
        <v>15518</v>
      </c>
      <c r="H81" s="532" t="str">
        <f ca="1">[1]!RTData[[#This Row],[Ticker_Symbol]]</f>
        <v>LAZR</v>
      </c>
      <c r="I81" s="383">
        <f ca="1">_xlfn.XLOOKUP(TabCalc[[#This Row],[Ticker]],[1]!RTData[Ticker_Symbol],[1]!RTData[M_Price])</f>
        <v>1.01</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-4.7169999999999997E-2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0.14848936874452853</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199,727 = $ 201,724</v>
      </c>
      <c r="Z81" s="211">
        <f ca="1">MIN(TabCalc[[#This Row],[L_Bn]],TabCalc[[#This Row],[NAfter]])*(TabCalc[[#This Row],[M]]+TabCalc[[#This Row],[L_Bp]])*TabCalc[[#This Row],[Scale]]</f>
        <v>-52383.210000000006</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-21719.74</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-2172.5199999999968</v>
      </c>
      <c r="AQ81" s="334">
        <f ca="1">_xlfn.LET(_xlpm.MVToday,DataShift!AV581,         _xlpm.MVY,DataShift!AU581,        _xlpm.MVYY, DataShift!AT581,                                IF(_xlpm.MVToday=_xlpm.MVY,_xlpm.MVY-_xlpm.MVYY,_xlpm.MVToday-_xlpm.MVY))</f>
        <v>-3159</v>
      </c>
      <c r="AR81" s="334">
        <f ca="1">_xlfn.LET(_xlpm.MVToday,DataShift!AV581,         _xlpm.MVY,DataShift!AU581,        _xlpm.MVYY, DataShift!AT581,         _xlpm.MVYYY, DataShift!AS581,                      IF(_xlpm.MVToday=_xlpm.MVY,      _xlpm.MVYY-_xlpm.MVYYY,          _xlpm.MVY-_xlpm.MVYY))</f>
        <v>981</v>
      </c>
      <c r="AS81" s="984">
        <f ca="1">TabCalc[[#This Row],[Y]]/TabCalc[[#This Row],[M]]</f>
        <v>2.4752475247524752</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-1.3100788118811881</v>
      </c>
      <c r="AY81" s="82">
        <f t="shared" ca="1" si="8"/>
        <v>0</v>
      </c>
      <c r="AZ81" s="90">
        <f ca="1">_xlfn.XLOOKUP(TabCalc[[#This Row],[Ticker]],[1]!RTData[Ticker_Symbol],[1]!RTData[V/VA])</f>
        <v>2.335548082497526E-3</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2.335548082497526E-3</v>
      </c>
      <c r="BC81" s="87" cm="1">
        <f t="array" aca="1" ref="BC81" ca="1">INDEX(TabReg[], 1, _xlfn.XMATCH(TabCalc[[#This Row],[Ticker]]&amp;1, TabReg[#Headers], 0))</f>
        <v>5353</v>
      </c>
      <c r="BD81" s="159">
        <f ca="1">TabCalc[[#This Row],[Nbegin]]*TabCalc[[#This Row],[M]]*TabCalc[[#This Row],[Scale]]+TabCalc[[#This Row],[ValueBegin]]</f>
        <v>-246612.71</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-236346.06</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-320715.65999999997</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t="e">
        <f ca="1">_xlfn.XLOOKUP(TabCalc[[#This Row],[Ticker]],[1]!RTData[Ticker_Symbol],[1]!#REF!)</f>
        <v>#REF!</v>
      </c>
      <c r="BT81" s="175">
        <f ca="1">(TabCalc[[#This Row],[ValueBegin]]+(TabCalc[[#This Row],[M]]-TabCalc[[#This Row],[A]])*TabCalc[[#This Row],[NAfter]])*TabCalc[[#This Row],[Scale]]</f>
        <v>-572734.89999999991</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-320715.65999999997</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-320715.65999999997</v>
      </c>
      <c r="DB81" s="90">
        <f ca="1">IFERROR((TabCalc[[#This Row],[M]]+TabCalc[[#This Row],[L_Bp]])/ABS(TabCalc[[#This Row],[L_Bp]])/(TODAY()-TabCalc[[#This Row],[L_Bdate]])*360,"")</f>
        <v>-1.0151851928789548</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5406.53</v>
      </c>
      <c r="DF81" s="87" cm="1">
        <f t="array" aca="1" ref="DF81" ca="1">SUMPRODUCT(ISNUMBER(INDIRECT("TabReg["&amp;TabCalc[[#This Row],[Ticker]]&amp;"2]"))* INDIRECT("TabReg["&amp;TabCalc[[#This Row],[Ticker]]&amp;"1]") * INDIRECT("TabReg["&amp;TabCalc[[#This Row],[Ticker]]&amp;"2]") )*TabCalc[[#This Row],[Scale]]</f>
        <v>-336388.83999999997</v>
      </c>
      <c r="DI81" s="87">
        <f ca="1"/>
        <v>20860</v>
      </c>
      <c r="DJ81" s="90">
        <f t="shared" ca="1" si="6"/>
        <v>-1.0834527967287439</v>
      </c>
      <c r="DK81" t="str">
        <f ca="1">_xlfn.XLOOKUP(DI81,TabCalc[Column1],TabCalc[Ticker])</f>
        <v>UN0</v>
      </c>
      <c r="DL81" s="87">
        <f ca="1">_xlfn.XLOOKUP(DK81,TabCalc[Ticker],TabCalc[ValueBegin])</f>
        <v>-184394</v>
      </c>
      <c r="DM81" s="87">
        <f ca="1">_xlfn.XLOOKUP(DK81,TabCalc[Ticker],TabCalc[M_V])</f>
        <v>89400</v>
      </c>
      <c r="DN81" s="87">
        <f ca="1">_xlfn.XLOOKUP(DK81,TabCalc[Ticker],TabCalc[GL])</f>
        <v>-199782.19500000001</v>
      </c>
      <c r="DO81" s="90"/>
      <c r="DP81" s="90"/>
      <c r="DQ81" s="88" t="s">
        <v>77</v>
      </c>
      <c r="DR81" s="81">
        <v>19440</v>
      </c>
      <c r="DS81" s="315">
        <v>-513</v>
      </c>
      <c r="DU81" s="82">
        <v>20949.300000000003</v>
      </c>
      <c r="DV81" s="82">
        <f ca="1">DU81-TabCalc[[#This Row],[M_V]]</f>
        <v>5276.1200000000026</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39402</v>
      </c>
      <c r="G82" s="82">
        <f ca="1">IFERROR(TabCalc[[#This Row],[SB]]-TabCalc[[#This Row],[SST]],TabCalc[[#This Row],[SB]])</f>
        <v>1200</v>
      </c>
      <c r="H82" s="532" t="str">
        <f ca="1">[1]!RTData[[#This Row],[Ticker_Symbol]]</f>
        <v>LUV</v>
      </c>
      <c r="I82" s="383">
        <f ca="1">_xlfn.XLOOKUP(TabCalc[[#This Row],[Ticker]],[1]!RTData[Ticker_Symbol],[1]!RTData[M_Price])</f>
        <v>32.835000000000001</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-6.2050000000000004E-3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0.13520046847186851</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2565.1200000000031</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-1206.0000000000032</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973.82999999999527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-8590.0000000000036</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342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1.0377243794731232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-1.6987181038323452E-3</v>
      </c>
      <c r="AY82" s="82">
        <f t="shared" ca="1" si="8"/>
        <v>900</v>
      </c>
      <c r="AZ82" s="90">
        <f ca="1">_xlfn.XLOOKUP(TabCalc[[#This Row],[Ticker]],[1]!RTData[Ticker_Symbol],[1]!RTData[V/VA])</f>
        <v>3.330641905530884E-6</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3.330641905530884E-6</v>
      </c>
      <c r="BC82" s="87" cm="1">
        <f t="array" aca="1" ref="BC82" ca="1">INDEX(TabReg[], 1, _xlfn.XMATCH(TabCalc[[#This Row],[Ticker]]&amp;1, TabReg[#Headers], 0))</f>
        <v>2100</v>
      </c>
      <c r="BD82" s="159">
        <f ca="1">TabCalc[[#This Row],[Nbegin]]*TabCalc[[#This Row],[M]]*TabCalc[[#This Row],[Scale]]+TabCalc[[#This Row],[ValueBegin]]</f>
        <v>-24853.5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-54405</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-18398.450000000004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79.62</v>
      </c>
      <c r="BR82" s="174" t="str">
        <f ca="1">IF(TabCalc[[#This Row],[EfCost]]+TabCalc[[#This Row],[M_V]]&lt;TabCalc[[#This Row],[NoT_GL]],"Pile","")</f>
        <v/>
      </c>
      <c r="BS82" s="165" t="e">
        <f ca="1">_xlfn.XLOOKUP(TabCalc[[#This Row],[Ticker]],[1]!RTData[Ticker_Symbol],[1]!#REF!)</f>
        <v>#REF!</v>
      </c>
      <c r="BT82" s="175">
        <f ca="1">(TabCalc[[#This Row],[ValueBegin]]+(TabCalc[[#This Row],[M]]-TabCalc[[#This Row],[A]])*TabCalc[[#This Row],[NAfter]])*TabCalc[[#This Row],[Scale]]</f>
        <v>-91241.87999999999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2565.1200000000031</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6161.2396414158829</v>
      </c>
      <c r="CV82" s="404">
        <f ca="1">IF(TabCalc[[#This Row],[ntoBuy]]*TabCalc[[#This Row],[M]]&lt;=0,0,TabCalc[[#This Row],[ntoBuy]]*TabCalc[[#This Row],[M]])</f>
        <v>202304.30362589052</v>
      </c>
      <c r="CW82" s="404">
        <f ca="1">IF(TabCalc[[#This Row],[M]]&gt;ABS(TabCalc[[#This Row],[L_Bp]]),MIN(TabCalc[[#This Row],[NAfter]],DesiredSaleGain/(TabCalc[[#This Row],[M]]+TabCalc[[#This Row],[L_Bp]])),0)/TabCalc[[#This Row],[Scale]]</f>
        <v>1200</v>
      </c>
      <c r="CX82" s="405">
        <f ca="1">TabCalc[[#This Row],[ntoSell]]*TabCalc[[#This Row],[M]]</f>
        <v>39402</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2565.1200000000031</v>
      </c>
      <c r="DB82" s="90">
        <f ca="1">IFERROR((TabCalc[[#This Row],[M]]+TabCalc[[#This Row],[L_Bp]])/ABS(TabCalc[[#This Row],[L_Bp]])/(TODAY()-TabCalc[[#This Row],[L_Bdate]])*360,"")</f>
        <v>8.644290440861789E-2</v>
      </c>
      <c r="DC82" s="310">
        <f ca="1">MEDIAN(DataShift!F781:Z781)</f>
        <v>2.8830000000000001E-3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2" s="87">
        <f ca="1">TabCalc[[#This Row],[Nbegin]]*TabCalc[[#This Row],[Scale]]*TabCalc[[#This Row],[M]]</f>
        <v>68953.5</v>
      </c>
      <c r="DF82" s="87" cm="1">
        <f t="array" aca="1" ref="DF82" ca="1">SUMPRODUCT(ISNUMBER(INDIRECT("TabReg["&amp;TabCalc[[#This Row],[Ticker]]&amp;"2]"))* INDIRECT("TabReg["&amp;TabCalc[[#This Row],[Ticker]]&amp;"1]") * INDIRECT("TabReg["&amp;TabCalc[[#This Row],[Ticker]]&amp;"2]") )*TabCalc[[#This Row],[Scale]]</f>
        <v>-57800.450000000004</v>
      </c>
      <c r="DI82" s="87">
        <f ca="1"/>
        <v>18819</v>
      </c>
      <c r="DJ82" s="90">
        <f t="shared" ca="1" si="6"/>
        <v>-0.55526762850540246</v>
      </c>
      <c r="DK82" t="str">
        <f ca="1">_xlfn.XLOOKUP(DI82,TabCalc[Column1],TabCalc[Ticker])</f>
        <v>NVAX</v>
      </c>
      <c r="DL82" s="87">
        <f ca="1">_xlfn.XLOOKUP(DK82,TabCalc[Ticker],TabCalc[ValueBegin])</f>
        <v>-160110</v>
      </c>
      <c r="DM82" s="87">
        <f ca="1">_xlfn.XLOOKUP(DK82,TabCalc[Ticker],TabCalc[M_V])</f>
        <v>45305</v>
      </c>
      <c r="DN82" s="87">
        <f ca="1">_xlfn.XLOOKUP(DK82,TabCalc[Ticker],TabCalc[GL])</f>
        <v>-88903.9</v>
      </c>
      <c r="DO82" s="90"/>
      <c r="DP82" s="90"/>
      <c r="DQ82" s="88" t="s">
        <v>78</v>
      </c>
      <c r="DR82" s="81">
        <v>30000</v>
      </c>
      <c r="DS82" s="315">
        <v>-7.04</v>
      </c>
      <c r="DU82" s="82">
        <v>35604</v>
      </c>
      <c r="DV82" s="82">
        <f ca="1">DU82-TabCalc[[#This Row],[M_V]]</f>
        <v>-3798</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109146</v>
      </c>
      <c r="G83" s="82">
        <f ca="1">IFERROR(TabCalc[[#This Row],[SB]]-TabCalc[[#This Row],[SST]],TabCalc[[#This Row],[SB]])</f>
        <v>200</v>
      </c>
      <c r="H83" s="532" t="str">
        <f ca="1">[1]!RTData[[#This Row],[Ticker_Symbol]]</f>
        <v>MA</v>
      </c>
      <c r="I83" s="383">
        <f ca="1">_xlfn.XLOOKUP(TabCalc[[#This Row],[Ticker]],[1]!RTData[Ticker_Symbol],[1]!RTData[M_Price])</f>
        <v>545.73</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-1.7712000000000002E-2</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0.17327586145492055</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-2015.9999999999968</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-215.99999999998545</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4694.9999999999927</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93.999999999994088</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-2062</v>
      </c>
      <c r="AQ83" s="334">
        <f ca="1">_xlfn.LET(_xlpm.MVToday,DataShift!AV583,         _xlpm.MVY,DataShift!AU583,        _xlpm.MVYY, DataShift!AT583,                                IF(_xlpm.MVToday=_xlpm.MVY,_xlpm.MVY-_xlpm.MVYY,_xlpm.MVToday-_xlpm.MVY))</f>
        <v>-3646.7299999999996</v>
      </c>
      <c r="AR83" s="334">
        <f ca="1">_xlfn.LET(_xlpm.MVToday,DataShift!AV583,         _xlpm.MVY,DataShift!AU583,        _xlpm.MVYY, DataShift!AT583,         _xlpm.MVYYY, DataShift!AS583,                      IF(_xlpm.MVToday=_xlpm.MVY,      _xlpm.MVYY-_xlpm.MVYYY,          _xlpm.MVY-_xlpm.MVYY))</f>
        <v>879.87060000000201</v>
      </c>
      <c r="AS83" s="984">
        <f ca="1">TabCalc[[#This Row],[Y]]/TabCalc[[#This Row],[M]]</f>
        <v>1.2006041449068219</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-3.6694223079039325</v>
      </c>
      <c r="AY83" s="82">
        <f t="shared" ca="1" si="8"/>
        <v>130</v>
      </c>
      <c r="AZ83" s="90">
        <f ca="1">_xlfn.XLOOKUP(TabCalc[[#This Row],[Ticker]],[1]!RTData[Ticker_Symbol],[1]!RTData[V/VA])</f>
        <v>2.2444521480915932E-4</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2.2444521480915932E-4</v>
      </c>
      <c r="BC83" s="87" cm="1">
        <f t="array" aca="1" ref="BC83" ca="1">INDEX(TabReg[], 1, _xlfn.XMATCH(TabCalc[[#This Row],[Ticker]]&amp;1, TabReg[#Headers], 0))</f>
        <v>330</v>
      </c>
      <c r="BD83" s="159">
        <f ca="1">TabCalc[[#This Row],[Nbegin]]*TabCalc[[#This Row],[M]]*TabCalc[[#This Row],[Scale]]+TabCalc[[#This Row],[ValueBegin]]</f>
        <v>63561.299999999988</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-7383.6000000000058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46495.758999999991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507.53</v>
      </c>
      <c r="BR83" s="174" t="str">
        <f ca="1">IF(TabCalc[[#This Row],[EfCost]]+TabCalc[[#This Row],[M_V]]&lt;TabCalc[[#This Row],[NoT_GL]],"Pile","")</f>
        <v>Pile</v>
      </c>
      <c r="BS83" s="165" t="e">
        <f ca="1">_xlfn.XLOOKUP(TabCalc[[#This Row],[Ticker]],[1]!RTData[Ticker_Symbol],[1]!#REF!)</f>
        <v>#REF!</v>
      </c>
      <c r="BT83" s="175">
        <f ca="1">(TabCalc[[#This Row],[ValueBegin]]+(TabCalc[[#This Row],[M]]-TabCalc[[#This Row],[A]])*TabCalc[[#This Row],[NAfter]])*TabCalc[[#This Row],[Scale]]</f>
        <v>-118653.6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-2124.0000000000009</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106.49627263045809</v>
      </c>
      <c r="CV83" s="404">
        <f ca="1">IF(TabCalc[[#This Row],[ntoBuy]]*TabCalc[[#This Row],[M]]&lt;=0,0,TabCalc[[#This Row],[ntoBuy]]*TabCalc[[#This Row],[M]])</f>
        <v>58118.210862619897</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-2124.0000000000009</v>
      </c>
      <c r="DB83" s="90">
        <f ca="1">IFERROR((TabCalc[[#This Row],[M]]+TabCalc[[#This Row],[L_Bp]])/ABS(TabCalc[[#This Row],[L_Bp]])/(TODAY()-TabCalc[[#This Row],[L_Bdate]])*360,"")</f>
        <v>-0.23750198801887257</v>
      </c>
      <c r="DC83" s="310">
        <f ca="1">MEDIAN(DataShift!F782:Z782)</f>
        <v>-4.0670000000000005E-2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3" s="87">
        <f ca="1">TabCalc[[#This Row],[Nbegin]]*TabCalc[[#This Row],[Scale]]*TabCalc[[#This Row],[M]]</f>
        <v>180090.9</v>
      </c>
      <c r="DF83" s="87" cm="1">
        <f t="array" aca="1" ref="DF83" ca="1">SUMPRODUCT(ISNUMBER(INDIRECT("TabReg["&amp;TabCalc[[#This Row],[Ticker]]&amp;"2]"))* INDIRECT("TabReg["&amp;TabCalc[[#This Row],[Ticker]]&amp;"1]") * INDIRECT("TabReg["&amp;TabCalc[[#This Row],[Ticker]]&amp;"2]") )*TabCalc[[#This Row],[Scale]]</f>
        <v>-62650.241000000009</v>
      </c>
      <c r="DI83" s="87">
        <f ca="1"/>
        <v>15980</v>
      </c>
      <c r="DJ83" s="90">
        <f t="shared" ca="1" si="6"/>
        <v>0.26977102666333042</v>
      </c>
      <c r="DK83" t="str">
        <f ca="1">_xlfn.XLOOKUP(DI83,TabCalc[Column1],TabCalc[Ticker])</f>
        <v>LUMN</v>
      </c>
      <c r="DL83" s="87">
        <f ca="1">_xlfn.XLOOKUP(DK83,TabCalc[Ticker],TabCalc[ValueBegin])</f>
        <v>-54753.100000000006</v>
      </c>
      <c r="DM83" s="87">
        <f ca="1">_xlfn.XLOOKUP(DK83,TabCalc[Ticker],TabCalc[M_V])</f>
        <v>79.900000000000006</v>
      </c>
      <c r="DN83" s="87">
        <f ca="1">_xlfn.XLOOKUP(DK83,TabCalc[Ticker],TabCalc[GL])</f>
        <v>14770.8</v>
      </c>
      <c r="DO83" s="90"/>
      <c r="DP83" s="90"/>
      <c r="DQ83" s="88" t="s">
        <v>666</v>
      </c>
      <c r="DR83" s="82">
        <v>450</v>
      </c>
      <c r="DS83" s="315">
        <v>-262.89</v>
      </c>
      <c r="DU83" s="82">
        <v>110588.00000000001</v>
      </c>
      <c r="DV83" s="82">
        <f ca="1">DU83-TabCalc[[#This Row],[M_V]]</f>
        <v>1442.0000000000146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45305</v>
      </c>
      <c r="G84" s="82">
        <f ca="1">IFERROR(TabCalc[[#This Row],[SB]]-TabCalc[[#This Row],[SST]],TabCalc[[#This Row],[SB]])</f>
        <v>6500</v>
      </c>
      <c r="H84" s="532" t="str">
        <f ca="1">[1]!RTData[[#This Row],[Ticker_Symbol]]</f>
        <v>NVAX</v>
      </c>
      <c r="I84" s="383">
        <f ca="1">_xlfn.XLOOKUP(TabCalc[[#This Row],[Ticker]],[1]!RTData[Ticker_Symbol],[1]!RTData[M_Price])</f>
        <v>6.97</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-1.2747999999999999E-2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0.12017781627648977</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-12504.599999999999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10595.649999999998</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31934.999999999996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21546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325</v>
      </c>
      <c r="AQ84" s="334">
        <f ca="1">_xlfn.LET(_xlpm.MVToday,DataShift!AV584,         _xlpm.MVY,DataShift!AU584,        _xlpm.MVYY, DataShift!AT584,                                IF(_xlpm.MVToday=_xlpm.MVY,_xlpm.MVY-_xlpm.MVYY,_xlpm.MVToday-_xlpm.MVY))</f>
        <v>564</v>
      </c>
      <c r="AR84" s="334">
        <f ca="1">_xlfn.LET(_xlpm.MVToday,DataShift!AV584,         _xlpm.MVY,DataShift!AU584,        _xlpm.MVYY, DataShift!AT584,         _xlpm.MVYYY, DataShift!AS584,                      IF(_xlpm.MVToday=_xlpm.MVY,      _xlpm.MVYY-_xlpm.MVYYY,          _xlpm.MVY-_xlpm.MVYY))</f>
        <v>1098</v>
      </c>
      <c r="AS84" s="984">
        <f ca="1">TabCalc[[#This Row],[Y]]/TabCalc[[#This Row],[M]]</f>
        <v>1.8095408895265426</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-2.0435287208879065</v>
      </c>
      <c r="AY84" s="82">
        <f t="shared" ca="1" si="8"/>
        <v>0</v>
      </c>
      <c r="AZ84" s="90">
        <f ca="1">_xlfn.XLOOKUP(TabCalc[[#This Row],[Ticker]],[1]!RTData[Ticker_Symbol],[1]!RTData[V/VA])</f>
        <v>9.0168926976243643E-5</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9.0168926976243643E-5</v>
      </c>
      <c r="BC84" s="87" cm="1">
        <f t="array" aca="1" ref="BC84" ca="1">INDEX(TabReg[], 1, _xlfn.XMATCH(TabCalc[[#This Row],[Ticker]]&amp;1, TabReg[#Headers], 0))</f>
        <v>2700</v>
      </c>
      <c r="BD84" s="159">
        <f ca="1">TabCalc[[#This Row],[Nbegin]]*TabCalc[[#This Row],[M]]*TabCalc[[#This Row],[Scale]]+TabCalc[[#This Row],[ValueBegin]]</f>
        <v>-141291</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-114805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-88903.9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26.36</v>
      </c>
      <c r="BR84" s="174" t="str">
        <f ca="1">IF(TabCalc[[#This Row],[EfCost]]+TabCalc[[#This Row],[M_V]]&lt;TabCalc[[#This Row],[NoT_GL]],"Pile","")</f>
        <v/>
      </c>
      <c r="BS84" s="165" t="e">
        <f ca="1">_xlfn.XLOOKUP(TabCalc[[#This Row],[Ticker]],[1]!RTData[Ticker_Symbol],[1]!#REF!)</f>
        <v>#REF!</v>
      </c>
      <c r="BT84" s="175">
        <f ca="1">(TabCalc[[#This Row],[ValueBegin]]+(TabCalc[[#This Row],[M]]-TabCalc[[#This Row],[A]])*TabCalc[[#This Row],[NAfter]])*TabCalc[[#This Row],[Scale]]</f>
        <v>-169354.4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-9244.3999999999924</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782.84014404258653</v>
      </c>
      <c r="CV84" s="404">
        <f ca="1">IF(TabCalc[[#This Row],[ntoBuy]]*TabCalc[[#This Row],[M]]&lt;=0,0,TabCalc[[#This Row],[ntoBuy]]*TabCalc[[#This Row],[M]])</f>
        <v>5456.3958039768277</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-9244.3999999999924</v>
      </c>
      <c r="DB84" s="90">
        <f ca="1">IFERROR((TabCalc[[#This Row],[M]]+TabCalc[[#This Row],[L_Bp]])/ABS(TabCalc[[#This Row],[L_Bp]])/(TODAY()-TabCalc[[#This Row],[L_Bdate]])*360,"")</f>
        <v>-0.32576024008815735</v>
      </c>
      <c r="DC84" s="310">
        <f ca="1">MEDIAN(DataShift!F783:Z783)</f>
        <v>-5.3759999999999997E-3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4" s="87">
        <f ca="1">TabCalc[[#This Row],[Nbegin]]*TabCalc[[#This Row],[Scale]]*TabCalc[[#This Row],[M]]</f>
        <v>18819</v>
      </c>
      <c r="DF84" s="87" cm="1">
        <f t="array" aca="1" ref="DF84" ca="1">SUMPRODUCT(ISNUMBER(INDIRECT("TabReg["&amp;TabCalc[[#This Row],[Ticker]]&amp;"2]"))* INDIRECT("TabReg["&amp;TabCalc[[#This Row],[Ticker]]&amp;"1]") * INDIRECT("TabReg["&amp;TabCalc[[#This Row],[Ticker]]&amp;"2]") )*TabCalc[[#This Row],[Scale]]</f>
        <v>-134208.9</v>
      </c>
      <c r="DI84" s="87">
        <f ca="1"/>
        <v>12560</v>
      </c>
      <c r="DJ84" s="90">
        <f t="shared" ca="1" si="6"/>
        <v>-0.36031827176781001</v>
      </c>
      <c r="DK84" t="str">
        <f ca="1">_xlfn.XLOOKUP(DI84,TabCalc[Column1],TabCalc[Ticker])</f>
        <v>UNIT</v>
      </c>
      <c r="DL84" s="87">
        <f ca="1">_xlfn.XLOOKUP(DK84,TabCalc[Ticker],TabCalc[ValueBegin])</f>
        <v>-60640</v>
      </c>
      <c r="DM84" s="87">
        <f ca="1">_xlfn.XLOOKUP(DK84,TabCalc[Ticker],TabCalc[M_V])</f>
        <v>45435.8</v>
      </c>
      <c r="DN84" s="87">
        <f ca="1">_xlfn.XLOOKUP(DK84,TabCalc[Ticker],TabCalc[GL])</f>
        <v>-21849.699999999997</v>
      </c>
      <c r="DO84" s="90"/>
      <c r="DP84" s="90"/>
      <c r="DQ84" s="88" t="s">
        <v>79</v>
      </c>
      <c r="DR84" s="81">
        <v>12000</v>
      </c>
      <c r="DS84" s="315">
        <v>-13.49</v>
      </c>
      <c r="DU84" s="82">
        <v>48815</v>
      </c>
      <c r="DV84" s="82">
        <f ca="1">DU84-TabCalc[[#This Row],[M_V]]</f>
        <v>3510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Row],[Ticker]],[1]!RTData[Ticker_Symbol],[1]!RTData[M_Price])</f>
        <v>131.26</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-4.9280000000000001E-3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0.11257014777333414</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-11299.8</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-31859.999999999985</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-1113.9999999999854</v>
      </c>
      <c r="AR85" s="334">
        <f ca="1">_xlfn.LET(_xlpm.MVToday,DataShift!AV585,         _xlpm.MVY,DataShift!AU585,        _xlpm.MVYY, DataShift!AT585,         _xlpm.MVYYY, DataShift!AS585,                      IF(_xlpm.MVToday=_xlpm.MVY,      _xlpm.MVYY-_xlpm.MVYYY,          _xlpm.MVY-_xlpm.MVYY))</f>
        <v>-206.0000000000291</v>
      </c>
      <c r="AS85" s="984">
        <f ca="1">TabCalc[[#This Row],[Y]]/TabCalc[[#This Row],[M]]</f>
        <v>0.97100411397226882</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3.2954936721891785E-3</v>
      </c>
      <c r="AY85" s="82">
        <f t="shared" ca="1" si="8"/>
        <v>200</v>
      </c>
      <c r="AZ85" s="90">
        <f ca="1">_xlfn.XLOOKUP(TabCalc[[#This Row],[Ticker]],[1]!RTData[Ticker_Symbol],[1]!RTData[V/VA])</f>
        <v>1.0841290013074536E-3</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1.0841290013074536E-3</v>
      </c>
      <c r="BC85" s="87" cm="1">
        <f t="array" aca="1" ref="BC85" ca="1">INDEX(TabReg[], 1, _xlfn.XMATCH(TabCalc[[#This Row],[Ticker]]&amp;1, TabReg[#Headers], 0))</f>
        <v>200</v>
      </c>
      <c r="BD85" s="159">
        <f ca="1">TabCalc[[#This Row],[Nbegin]]*TabCalc[[#This Row],[M]]*TabCalc[[#This Row],[Scale]]+TabCalc[[#This Row],[ValueBegin]]</f>
        <v>9082</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t="e">
        <f ca="1">_xlfn.XLOOKUP(TabCalc[[#This Row],[Ticker]],[1]!RTData[Ticker_Symbol],[1]!#REF!)</f>
        <v>#REF!</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0.38730961804118591</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5" s="87">
        <f ca="1">TabCalc[[#This Row],[Nbegin]]*TabCalc[[#This Row],[Scale]]*TabCalc[[#This Row],[M]]</f>
        <v>26252</v>
      </c>
      <c r="DF85" s="87" cm="1">
        <f t="array" aca="1" ref="DF85" ca="1">SUMPRODUCT(ISNUMBER(INDIRECT("TabReg["&amp;TabCalc[[#This Row],[Ticker]]&amp;"2]"))* INDIRECT("TabReg["&amp;TabCalc[[#This Row],[Ticker]]&amp;"1]") * INDIRECT("TabReg["&amp;TabCalc[[#This Row],[Ticker]]&amp;"2]") )*TabCalc[[#This Row],[Scale]]</f>
        <v>13562.79389999999</v>
      </c>
      <c r="DI85" s="87">
        <f ca="1"/>
        <v>12385</v>
      </c>
      <c r="DJ85" s="90">
        <f t="shared" ca="1" si="6"/>
        <v>-2.7632290621290063</v>
      </c>
      <c r="DK85" t="str">
        <f ca="1">_xlfn.XLOOKUP(DI85,TabCalc[Column1],TabCalc[Ticker])</f>
        <v>SAFMRNA</v>
      </c>
      <c r="DL85" s="87">
        <f ca="1">_xlfn.XLOOKUP(DK85,TabCalc[Ticker],TabCalc[ValueBegin])</f>
        <v>-63175</v>
      </c>
      <c r="DM85" s="87">
        <f ca="1">_xlfn.XLOOKUP(DK85,TabCalc[Ticker],TabCalc[M_V])</f>
        <v>123850</v>
      </c>
      <c r="DN85" s="87">
        <f ca="1">_xlfn.XLOOKUP(DK85,TabCalc[Ticker],TabCalc[GL])</f>
        <v>-174566.99599999998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16692</v>
      </c>
      <c r="G86" s="82">
        <f ca="1">IFERROR(TabCalc[[#This Row],[SB]]-TabCalc[[#This Row],[SST]],TabCalc[[#This Row],[SB]])</f>
        <v>1200</v>
      </c>
      <c r="H86" s="532" t="str">
        <f ca="1">[1]!RTData[[#This Row],[Ticker_Symbol]]</f>
        <v>ORA</v>
      </c>
      <c r="I86" s="383">
        <f ca="1">_xlfn.XLOOKUP(TabCalc[[#This Row],[Ticker]],[1]!RTData[Ticker_Symbol],[1]!RTData[M_Price])</f>
        <v>13.91</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-7.8459999999999988E-3</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0.26540440820987565</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198.00000000000111</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4956.0000000000009</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-3760.0000000000014</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-4129.9999999999991</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-138</v>
      </c>
      <c r="AQ86" s="334">
        <f ca="1">_xlfn.LET(_xlpm.MVToday,DataShift!AV586,         _xlpm.MVY,DataShift!AU586,        _xlpm.MVYY, DataShift!AT586,                                IF(_xlpm.MVToday=_xlpm.MVY,_xlpm.MVY-_xlpm.MVYY,_xlpm.MVToday-_xlpm.MVY))</f>
        <v>-2853.5</v>
      </c>
      <c r="AR86" s="334">
        <f ca="1">_xlfn.LET(_xlpm.MVToday,DataShift!AV586,         _xlpm.MVY,DataShift!AU586,        _xlpm.MVYY, DataShift!AT586,         _xlpm.MVYYY, DataShift!AS586,                      IF(_xlpm.MVToday=_xlpm.MVY,      _xlpm.MVYY-_xlpm.MVYYY,          _xlpm.MVY-_xlpm.MVYY))</f>
        <v>-1892.1500000000015</v>
      </c>
      <c r="AS86" s="984">
        <f ca="1">TabCalc[[#This Row],[Y]]/TabCalc[[#This Row],[M]]</f>
        <v>1.1015255212077641</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-1.3214728638833252E-2</v>
      </c>
      <c r="AY86" s="82">
        <f t="shared" ca="1" si="8"/>
        <v>6500</v>
      </c>
      <c r="AZ86" s="90">
        <f ca="1">_xlfn.XLOOKUP(TabCalc[[#This Row],[Ticker]],[1]!RTData[Ticker_Symbol],[1]!RTData[V/VA])</f>
        <v>0.10826173304693219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0.10826173304693219</v>
      </c>
      <c r="BC86" s="87" cm="1">
        <f t="array" aca="1" ref="BC86" ca="1">INDEX(TabReg[], 1, _xlfn.XMATCH(TabCalc[[#This Row],[Ticker]]&amp;1, TabReg[#Headers], 0))</f>
        <v>7700</v>
      </c>
      <c r="BD86" s="159">
        <f ca="1">TabCalc[[#This Row],[Nbegin]]*TabCalc[[#This Row],[M]]*TabCalc[[#This Row],[Scale]]+TabCalc[[#This Row],[ValueBegin]]</f>
        <v>10549</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-79866</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6163.2000000000116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t="e">
        <f ca="1">_xlfn.XLOOKUP(TabCalc[[#This Row],[Ticker]],[1]!RTData[Ticker_Symbol],[1]!#REF!)</f>
        <v>#REF!</v>
      </c>
      <c r="BT86" s="175">
        <f ca="1">(TabCalc[[#This Row],[ValueBegin]]+(TabCalc[[#This Row],[M]]-TabCalc[[#This Row],[A]])*TabCalc[[#This Row],[NAfter]])*TabCalc[[#This Row],[Scale]]</f>
        <v>-96360</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198.00000000000111</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16692</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198.00000000000111</v>
      </c>
      <c r="DB86" s="90">
        <f ca="1">IFERROR((TabCalc[[#This Row],[M]]+TabCalc[[#This Row],[L_Bp]])/ABS(TabCalc[[#This Row],[L_Bp]])/(TODAY()-TabCalc[[#This Row],[L_Bdate]])*360,"")</f>
        <v>7.324697424641359E-2</v>
      </c>
      <c r="DC86" s="310">
        <f ca="1">MEDIAN(DataShift!F785:Z785)</f>
        <v>-1.2747999999999999E-2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107107</v>
      </c>
      <c r="DF86" s="87" cm="1">
        <f t="array" aca="1" ref="DF86" ca="1">SUMPRODUCT(ISNUMBER(INDIRECT("TabReg["&amp;TabCalc[[#This Row],[Ticker]]&amp;"2]"))* INDIRECT("TabReg["&amp;TabCalc[[#This Row],[Ticker]]&amp;"1]") * INDIRECT("TabReg["&amp;TabCalc[[#This Row],[Ticker]]&amp;"2]") )*TabCalc[[#This Row],[Scale]]</f>
        <v>-10528.799999999988</v>
      </c>
      <c r="DI86" s="87">
        <f ca="1"/>
        <v>10030</v>
      </c>
      <c r="DJ86" s="90">
        <f t="shared" ca="1" si="6"/>
        <v>8.2408528632565741</v>
      </c>
      <c r="DK86" t="str">
        <f ca="1">_xlfn.XLOOKUP(DI86,TabCalc[Column1],TabCalc[Ticker])</f>
        <v>C</v>
      </c>
      <c r="DL86" s="87">
        <f ca="1">_xlfn.XLOOKUP(DK86,TabCalc[Ticker],TabCalc[ValueBegin])</f>
        <v>-4907</v>
      </c>
      <c r="DM86" s="87">
        <f ca="1">_xlfn.XLOOKUP(DK86,TabCalc[Ticker],TabCalc[M_V])</f>
        <v>10531.5</v>
      </c>
      <c r="DN86" s="87">
        <f ca="1">_xlfn.XLOOKUP(DK86,TabCalc[Ticker],TabCalc[GL])</f>
        <v>40437.865000000005</v>
      </c>
      <c r="DO86" s="90"/>
      <c r="DP86" s="90"/>
      <c r="DQ86" s="88" t="s">
        <v>81</v>
      </c>
      <c r="DR86" s="81">
        <v>5353</v>
      </c>
      <c r="DS86" s="315">
        <v>-47.08</v>
      </c>
      <c r="DU86" s="82">
        <v>16458</v>
      </c>
      <c r="DV86" s="82">
        <f ca="1">DU86-TabCalc[[#This Row],[M_V]]</f>
        <v>-234</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171080</v>
      </c>
      <c r="G87" s="82">
        <f ca="1">IFERROR(TabCalc[[#This Row],[SB]]-TabCalc[[#This Row],[SST]],TabCalc[[#This Row],[SB]])</f>
        <v>4000</v>
      </c>
      <c r="H87" s="532" t="str">
        <f ca="1">[1]!RTData[[#This Row],[Ticker_Symbol]]</f>
        <v>OXY</v>
      </c>
      <c r="I87" s="383">
        <f ca="1">_xlfn.XLOOKUP(TabCalc[[#This Row],[Ticker]],[1]!RTData[Ticker_Symbol],[1]!RTData[M_Price])</f>
        <v>42.77</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1.7849E-2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-0.19656401861164913</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2,475 = $ 105,855</v>
      </c>
      <c r="Z87" s="211">
        <f ca="1">MIN(TabCalc[[#This Row],[L_Bn]],TabCalc[[#This Row],[NAfter]])*(TabCalc[[#This Row],[M]]+TabCalc[[#This Row],[L_Bp]])*TabCalc[[#This Row],[Scale]]</f>
        <v>-4469.9999999999991</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-4788</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9089.9999999999964</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40260.399999999987</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2980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1.1670105213935</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-0.17072454907620985</v>
      </c>
      <c r="AY87" s="82">
        <f t="shared" ca="1" si="8"/>
        <v>0</v>
      </c>
      <c r="AZ87" s="90">
        <f ca="1">_xlfn.XLOOKUP(TabCalc[[#This Row],[Ticker]],[1]!RTData[Ticker_Symbol],[1]!RTData[V/VA])</f>
        <v>1.2908707883083764E-3</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1.2908707883083764E-3</v>
      </c>
      <c r="BC87" s="87" cm="1">
        <f t="array" aca="1" ref="BC87" ca="1">INDEX(TabReg[], 1, _xlfn.XMATCH(TabCalc[[#This Row],[Ticker]]&amp;1, TabReg[#Headers], 0))</f>
        <v>1100</v>
      </c>
      <c r="BD87" s="159">
        <f ca="1">TabCalc[[#This Row],[Nbegin]]*TabCalc[[#This Row],[M]]*TabCalc[[#This Row],[Scale]]+TabCalc[[#This Row],[ValueBegin]]</f>
        <v>-31570</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92463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-63238.826000000001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91.17</v>
      </c>
      <c r="BR87" s="174" t="str">
        <f ca="1">IF(TabCalc[[#This Row],[EfCost]]+TabCalc[[#This Row],[M_V]]&lt;TabCalc[[#This Row],[NoT_GL]],"Pile","")</f>
        <v>Pile</v>
      </c>
      <c r="BS87" s="165" t="e">
        <f ca="1">_xlfn.XLOOKUP(TabCalc[[#This Row],[Ticker]],[1]!RTData[Ticker_Symbol],[1]!#REF!)</f>
        <v>#REF!</v>
      </c>
      <c r="BT87" s="175">
        <f ca="1">(TabCalc[[#This Row],[ValueBegin]]+(TabCalc[[#This Row],[M]]-TabCalc[[#This Row],[A]])*TabCalc[[#This Row],[NAfter]])*TabCalc[[#This Row],[Scale]]</f>
        <v>-124874.89999999998</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-46257.89999999998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550.05500550055024</v>
      </c>
      <c r="CV87" s="404">
        <f ca="1">IF(TabCalc[[#This Row],[ntoBuy]]*TabCalc[[#This Row],[M]]&lt;=0,0,TabCalc[[#This Row],[ntoBuy]]*TabCalc[[#This Row],[M]])</f>
        <v>23525.852585258537</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-46257.89999999998</v>
      </c>
      <c r="DB87" s="90">
        <f ca="1">IFERROR((TabCalc[[#This Row],[M]]+TabCalc[[#This Row],[L_Bp]])/ABS(TabCalc[[#This Row],[L_Bp]])/(TODAY()-TabCalc[[#This Row],[L_Bdate]])*360,"")</f>
        <v>-0.13903817242392297</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7" s="87">
        <f ca="1">TabCalc[[#This Row],[Nbegin]]*TabCalc[[#This Row],[Scale]]*TabCalc[[#This Row],[M]]</f>
        <v>47047</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-10732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40096</v>
      </c>
      <c r="G88" s="82">
        <f ca="1">IFERROR(TabCalc[[#This Row],[SB]]-TabCalc[[#This Row],[SST]],TabCalc[[#This Row],[SB]])</f>
        <v>1600</v>
      </c>
      <c r="H88" s="532" t="str">
        <f ca="1">[1]!RTData[[#This Row],[Ticker_Symbol]]</f>
        <v>PFE</v>
      </c>
      <c r="I88" s="383">
        <f ca="1">_xlfn.XLOOKUP(TabCalc[[#This Row],[Ticker]],[1]!RTData[Ticker_Symbol],[1]!RTData[M_Price])</f>
        <v>25.06</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-2.8306000000000001E-2</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4.698634986384824E-2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191.99999999999591</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-4584.0000000000036</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9732.8220000000038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6298.3500000000058</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-976</v>
      </c>
      <c r="AQ88" s="334">
        <f ca="1">_xlfn.LET(_xlpm.MVToday,DataShift!AV588,         _xlpm.MVY,DataShift!AU588,        _xlpm.MVYY, DataShift!AT588,                                IF(_xlpm.MVToday=_xlpm.MVY,_xlpm.MVY-_xlpm.MVYY,_xlpm.MVToday-_xlpm.MVY))</f>
        <v>-306</v>
      </c>
      <c r="AR88" s="334">
        <f ca="1">_xlfn.LET(_xlpm.MVToday,DataShift!AV588,         _xlpm.MVY,DataShift!AU588,        _xlpm.MVYY, DataShift!AT588,         _xlpm.MVYYY, DataShift!AS588,                      IF(_xlpm.MVToday=_xlpm.MVY,      _xlpm.MVYY-_xlpm.MVYYY,          _xlpm.MVY-_xlpm.MVYY))</f>
        <v>270</v>
      </c>
      <c r="AS88" s="984">
        <f ca="1">TabCalc[[#This Row],[Y]]/TabCalc[[#This Row],[M]]</f>
        <v>1.1473224261771748</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-6.983966882066385E-2</v>
      </c>
      <c r="AY88" s="82">
        <f t="shared" ca="1" si="8"/>
        <v>0</v>
      </c>
      <c r="AZ88" s="90">
        <f ca="1">_xlfn.XLOOKUP(TabCalc[[#This Row],[Ticker]],[1]!RTData[Ticker_Symbol],[1]!RTData[V/VA])</f>
        <v>2.3622780176557525E-4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2.3622780176557525E-4</v>
      </c>
      <c r="BC88" s="87" cm="1">
        <f t="array" aca="1" ref="BC88" ca="1">INDEX(TabReg[], 1, _xlfn.XMATCH(TabCalc[[#This Row],[Ticker]]&amp;1, TabReg[#Headers], 0))</f>
        <v>1300</v>
      </c>
      <c r="BD88" s="159">
        <f ca="1">TabCalc[[#This Row],[Nbegin]]*TabCalc[[#This Row],[M]]*TabCalc[[#This Row],[Scale]]+TabCalc[[#This Row],[ValueBegin]]</f>
        <v>-21398.000000000007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-13880.000000000007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-7857.0780000000013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46.92</v>
      </c>
      <c r="BR88" s="174" t="str">
        <f ca="1">IF(TabCalc[[#This Row],[EfCost]]+TabCalc[[#This Row],[M_V]]&lt;TabCalc[[#This Row],[NoT_GL]],"Pile","")</f>
        <v/>
      </c>
      <c r="BS88" s="165" t="e">
        <f ca="1">_xlfn.XLOOKUP(TabCalc[[#This Row],[Ticker]],[1]!RTData[Ticker_Symbol],[1]!#REF!)</f>
        <v>#REF!</v>
      </c>
      <c r="BT88" s="175">
        <f ca="1">(TabCalc[[#This Row],[ValueBegin]]+(TabCalc[[#This Row],[M]]-TabCalc[[#This Row],[A]])*TabCalc[[#This Row],[NAfter]])*TabCalc[[#This Row],[Scale]]</f>
        <v>-53784.000000000015</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191.99999999999591</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1032.5884928338355</v>
      </c>
      <c r="CV88" s="404">
        <f ca="1">IF(TabCalc[[#This Row],[ntoBuy]]*TabCalc[[#This Row],[M]]&lt;=0,0,TabCalc[[#This Row],[ntoBuy]]*TabCalc[[#This Row],[M]])</f>
        <v>25876.667630415915</v>
      </c>
      <c r="CW88" s="404">
        <f ca="1">IF(TabCalc[[#This Row],[M]]&gt;ABS(TabCalc[[#This Row],[L_Bp]]),MIN(TabCalc[[#This Row],[NAfter]],DesiredSaleGain/(TabCalc[[#This Row],[M]]+TabCalc[[#This Row],[L_Bp]])),0)/TabCalc[[#This Row],[Scale]]</f>
        <v>1600</v>
      </c>
      <c r="CX88" s="405">
        <f ca="1">TabCalc[[#This Row],[ntoSell]]*TabCalc[[#This Row],[M]]</f>
        <v>40096</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191.99999999999591</v>
      </c>
      <c r="DB88" s="90">
        <f ca="1">IFERROR((TabCalc[[#This Row],[M]]+TabCalc[[#This Row],[L_Bp]])/ABS(TabCalc[[#This Row],[L_Bp]])/(TODAY()-TabCalc[[#This Row],[L_Bdate]])*360,"")</f>
        <v>4.7982193274939168E-3</v>
      </c>
      <c r="DC88" s="310">
        <f ca="1">MEDIAN(DataShift!F787:Z787)</f>
        <v>1.475E-3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8" s="87">
        <f ca="1">TabCalc[[#This Row],[Nbegin]]*TabCalc[[#This Row],[Scale]]*TabCalc[[#This Row],[M]]</f>
        <v>32578</v>
      </c>
      <c r="DF88" s="87" cm="1">
        <f t="array" aca="1" ref="DF88" ca="1">SUMPRODUCT(ISNUMBER(INDIRECT("TabReg["&amp;TabCalc[[#This Row],[Ticker]]&amp;"2]"))* INDIRECT("TabReg["&amp;TabCalc[[#This Row],[Ticker]]&amp;"1]") * INDIRECT("TabReg["&amp;TabCalc[[#This Row],[Ticker]]&amp;"2]") )*TabCalc[[#This Row],[Scale]]</f>
        <v>-47953.078000000001</v>
      </c>
      <c r="DI88" s="87">
        <f ca="1"/>
        <v>5952.5</v>
      </c>
      <c r="DJ88" s="90">
        <f t="shared" ca="1" si="6"/>
        <v>-42.43036800000025</v>
      </c>
      <c r="DK88" t="str">
        <f ca="1">_xlfn.XLOOKUP(DI88,TabCalc[Column1],TabCalc[Ticker])</f>
        <v>DSY</v>
      </c>
      <c r="DL88" s="87">
        <f ca="1">_xlfn.XLOOKUP(DK88,TabCalc[Ticker],TabCalc[ValueBegin])</f>
        <v>-250</v>
      </c>
      <c r="DM88" s="87">
        <f ca="1">_xlfn.XLOOKUP(DK88,TabCalc[Ticker],TabCalc[M_V])</f>
        <v>95240</v>
      </c>
      <c r="DN88" s="87">
        <f ca="1">_xlfn.XLOOKUP(DK88,TabCalc[Ticker],TabCalc[GL])</f>
        <v>-10607.592000000062</v>
      </c>
      <c r="DO88" s="90"/>
      <c r="DP88" s="90"/>
      <c r="DQ88" s="88" t="s">
        <v>83</v>
      </c>
      <c r="DR88" s="81">
        <v>2700</v>
      </c>
      <c r="DS88" s="315">
        <v>-59.3</v>
      </c>
      <c r="DU88" s="82">
        <v>38912</v>
      </c>
      <c r="DV88" s="82">
        <f ca="1">DU88-TabCalc[[#This Row],[M_V]]</f>
        <v>-1184</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172430</v>
      </c>
      <c r="G89" s="82">
        <f ca="1">IFERROR(TabCalc[[#This Row],[SB]]-TabCalc[[#This Row],[SST]],TabCalc[[#This Row],[SB]])</f>
        <v>43000</v>
      </c>
      <c r="H89" s="532" t="str">
        <f ca="1">[1]!RTData[[#This Row],[Ticker_Symbol]]</f>
        <v>RIG</v>
      </c>
      <c r="I89" s="383">
        <f ca="1">_xlfn.XLOOKUP(TabCalc[[#This Row],[Ticker]],[1]!RTData[Ticker_Symbol],[1]!RTData[M_Price])</f>
        <v>4.01</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0</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-5.6099497415465646E-2</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8189.9999999999982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24249.999999999993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-274.99999999999858</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5469.9000000000015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0</v>
      </c>
      <c r="AQ89" s="334">
        <f ca="1">_xlfn.LET(_xlpm.MVToday,DataShift!AV589,         _xlpm.MVY,DataShift!AU589,        _xlpm.MVYY, DataShift!AT589,                                IF(_xlpm.MVToday=_xlpm.MVY,_xlpm.MVY-_xlpm.MVYY,_xlpm.MVToday-_xlpm.MVY))</f>
        <v>6322.7999999999884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0.98599750623441407</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1.1165668247467321E-5</v>
      </c>
      <c r="AY89" s="82">
        <f t="shared" ca="1" si="8"/>
        <v>0</v>
      </c>
      <c r="AZ89" s="90">
        <f ca="1">_xlfn.XLOOKUP(TabCalc[[#This Row],[Ticker]],[1]!RTData[Ticker_Symbol],[1]!RTData[V/VA])</f>
        <v>1.0834344622670705E-4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1.0834344622670705E-4</v>
      </c>
      <c r="BC89" s="87" cm="1">
        <f t="array" aca="1" ref="BC89" ca="1">INDEX(TabReg[], 1, _xlfn.XMATCH(TabCalc[[#This Row],[Ticker]]&amp;1, TabReg[#Headers], 0))</f>
        <v>7000</v>
      </c>
      <c r="BD89" s="159">
        <f ca="1">TabCalc[[#This Row],[Nbegin]]*TabCalc[[#This Row],[M]]*TabCalc[[#This Row],[Scale]]+TabCalc[[#This Row],[ValueBegin]]</f>
        <v>7980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152340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30380.100000000006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t="e">
        <f ca="1">_xlfn.XLOOKUP(TabCalc[[#This Row],[Ticker]],[1]!RTData[Ticker_Symbol],[1]!#REF!)</f>
        <v>#REF!</v>
      </c>
      <c r="BT89" s="175">
        <f ca="1">(TabCalc[[#This Row],[ValueBegin]]+(TabCalc[[#This Row],[M]]-TabCalc[[#This Row],[A]])*TabCalc[[#This Row],[NAfter]])*TabCalc[[#This Row],[Scale]]</f>
        <v>10669.999999999985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30759.999999999985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7936.5079365079382</v>
      </c>
      <c r="CX89" s="405">
        <f ca="1">TabCalc[[#This Row],[ntoSell]]*TabCalc[[#This Row],[M]]</f>
        <v>31825.396825396831</v>
      </c>
      <c r="CY89" s="398">
        <f ca="1">_xlfn.LET(_xlpm.nToSell,IF(TabCalc[[#This Row],[M]]-TabCalc[[#This Row],[A]]&lt;=0,"",INT(DesiredSaleGain/(TabCalc[[#This Row],[M]]-IF(TabCalc[[#This Row],[E]]&gt;0,0,TabCalc[[#This Row],[A]])))),IF(_xlpm.nToSell&lt;=TabCalc[[#This Row],[NAfter]],_xlpm.nToSell,0))</f>
        <v>6989</v>
      </c>
      <c r="CZ89" s="336">
        <f ca="1">IFERROR(TabCalc[[#This Row],[NMA]]*TabCalc[[#This Row],[M]],"")</f>
        <v>28025.89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30759.999999999985</v>
      </c>
      <c r="DB89" s="90">
        <f ca="1">IFERROR((TabCalc[[#This Row],[M]]+TabCalc[[#This Row],[L_Bp]])/ABS(TabCalc[[#This Row],[L_Bp]])/(TODAY()-TabCalc[[#This Row],[L_Bdate]])*360,"")</f>
        <v>1.1982248520710057</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9" s="87">
        <f ca="1">TabCalc[[#This Row],[Nbegin]]*TabCalc[[#This Row],[Scale]]*TabCalc[[#This Row],[M]]</f>
        <v>28070</v>
      </c>
      <c r="DF89" s="87" cm="1">
        <f t="array" aca="1" ref="DF89" ca="1">SUMPRODUCT(ISNUMBER(INDIRECT("TabReg["&amp;TabCalc[[#This Row],[Ticker]]&amp;"2]"))* INDIRECT("TabReg["&amp;TabCalc[[#This Row],[Ticker]]&amp;"1]") * INDIRECT("TabReg["&amp;TabCalc[[#This Row],[Ticker]]&amp;"2]") )*TabCalc[[#This Row],[Scale]]</f>
        <v>-142049.9</v>
      </c>
      <c r="DI89" s="87">
        <f ca="1"/>
        <v>5406.53</v>
      </c>
      <c r="DJ89" s="90">
        <f t="shared" ca="1" si="6"/>
        <v>-1.2725840296955104</v>
      </c>
      <c r="DK89" t="str">
        <f ca="1">_xlfn.XLOOKUP(DI89,TabCalc[Column1],TabCalc[Ticker])</f>
        <v>LAZR</v>
      </c>
      <c r="DL89" s="87">
        <f ca="1">_xlfn.XLOOKUP(DK89,TabCalc[Ticker],TabCalc[ValueBegin])</f>
        <v>-252019.24</v>
      </c>
      <c r="DM89" s="87">
        <f ca="1">_xlfn.XLOOKUP(DK89,TabCalc[Ticker],TabCalc[M_V])</f>
        <v>15673.18</v>
      </c>
      <c r="DN89" s="87">
        <f ca="1">_xlfn.XLOOKUP(DK89,TabCalc[Ticker],TabCalc[GL])</f>
        <v>-320715.65999999997</v>
      </c>
      <c r="DO89" s="90"/>
      <c r="DP89" s="90"/>
      <c r="DQ89" s="316" t="s">
        <v>84</v>
      </c>
      <c r="DR89" s="81">
        <v>1100</v>
      </c>
      <c r="DS89" s="315">
        <v>-71.47</v>
      </c>
      <c r="DU89" s="82">
        <v>186960</v>
      </c>
      <c r="DV89" s="82">
        <f ca="1">DU89-TabCalc[[#This Row],[M_V]]</f>
        <v>14530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Row],[Ticker]],[1]!RTData[Ticker_Symbol],[1]!RTData[M_Price])</f>
        <v>38.229999999999997</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5.5230000000000001E-3</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0.38437971726387288</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-11854.999999999976</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-6473.9999999999964</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1096</v>
      </c>
      <c r="AR90" s="334">
        <f ca="1">_xlfn.LET(_xlpm.MVToday,DataShift!AV590,         _xlpm.MVY,DataShift!AU590,        _xlpm.MVYY, DataShift!AT590,         _xlpm.MVYYY, DataShift!AS590,                      IF(_xlpm.MVToday=_xlpm.MVY,      _xlpm.MVYY-_xlpm.MVYYY,          _xlpm.MVY-_xlpm.MVYY))</f>
        <v>-800</v>
      </c>
      <c r="AS90" s="984">
        <f ca="1">TabCalc[[#This Row],[Y]]/TabCalc[[#This Row],[M]]</f>
        <v>1.0833225215799112</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-2.0414264596285675E-2</v>
      </c>
      <c r="AY90" s="82">
        <f t="shared" ca="1" si="8"/>
        <v>2700</v>
      </c>
      <c r="AZ90" s="90">
        <f ca="1">_xlfn.XLOOKUP(TabCalc[[#This Row],[Ticker]],[1]!RTData[Ticker_Symbol],[1]!RTData[V/VA])</f>
        <v>0.65011551878952545</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0.65011551878952545</v>
      </c>
      <c r="BC90" s="87" cm="1">
        <f t="array" aca="1" ref="BC90" ca="1">INDEX(TabReg[], 1, _xlfn.XMATCH(TabCalc[[#This Row],[Ticker]]&amp;1, TabReg[#Headers], 0))</f>
        <v>2700</v>
      </c>
      <c r="BD90" s="159">
        <f ca="1">TabCalc[[#This Row],[Nbegin]]*TabCalc[[#This Row],[M]]*TabCalc[[#This Row],[Scale]]+TabCalc[[#This Row],[ValueBegin]]</f>
        <v>21383.999999999985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t="e">
        <f ca="1">_xlfn.XLOOKUP(TabCalc[[#This Row],[Ticker]],[1]!RTData[Ticker_Symbol],[1]!#REF!)</f>
        <v>#REF!</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4.3788624874728684E-2</v>
      </c>
      <c r="DC90" s="310">
        <f ca="1">MEDIAN(DataShift!F789:Z789)</f>
        <v>-3.0270000000000002E-3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0" s="87">
        <f ca="1">TabCalc[[#This Row],[Nbegin]]*TabCalc[[#This Row],[Scale]]*TabCalc[[#This Row],[M]]</f>
        <v>103220.99999999999</v>
      </c>
      <c r="DF90" s="87" cm="1">
        <f t="array" aca="1" ref="DF90" ca="1">SUMPRODUCT(ISNUMBER(INDIRECT("TabReg["&amp;TabCalc[[#This Row],[Ticker]]&amp;"2]"))* INDIRECT("TabReg["&amp;TabCalc[[#This Row],[Ticker]]&amp;"1]") * INDIRECT("TabReg["&amp;TabCalc[[#This Row],[Ticker]]&amp;"2]") )*TabCalc[[#This Row],[Scale]]</f>
        <v>9803.4699999999721</v>
      </c>
      <c r="DI90" s="87">
        <f ca="1"/>
        <v>4954</v>
      </c>
      <c r="DJ90" s="90">
        <f t="shared" ca="1" si="6"/>
        <v>-20.612861136179955</v>
      </c>
      <c r="DK90" t="str">
        <f ca="1">_xlfn.XLOOKUP(DI90,TabCalc[Column1],TabCalc[Ticker])</f>
        <v>MRNA</v>
      </c>
      <c r="DL90" s="87">
        <f ca="1">_xlfn.XLOOKUP(DK90,TabCalc[Ticker],TabCalc[ValueBegin])</f>
        <v>-25031.07</v>
      </c>
      <c r="DM90" s="87">
        <f ca="1">_xlfn.XLOOKUP(DK90,TabCalc[Ticker],TabCalc[M_V])</f>
        <v>297240</v>
      </c>
      <c r="DN90" s="87">
        <f ca="1">_xlfn.XLOOKUP(DK90,TabCalc[Ticker],TabCalc[GL])</f>
        <v>-515961.97</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36288</v>
      </c>
      <c r="G91" s="82">
        <f ca="1">IFERROR(TabCalc[[#This Row],[SB]]-TabCalc[[#This Row],[SST]],TabCalc[[#This Row],[SB]])</f>
        <v>600</v>
      </c>
      <c r="H91" s="532" t="str">
        <f ca="1">[1]!RTData[[#This Row],[Ticker_Symbol]]</f>
        <v>XYZ</v>
      </c>
      <c r="I91" s="383">
        <f ca="1">_xlfn.XLOOKUP(TabCalc[[#This Row],[Ticker]],[1]!RTData[Ticker_Symbol],[1]!RTData[M_Price])</f>
        <v>60.48</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-2.9212999999999999E-2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-0.26577227213971688</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-9876</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203.99999999999778</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1560.0000000000023</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11009.999999999995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-330</v>
      </c>
      <c r="AQ91" s="334">
        <f ca="1">_xlfn.LET(_xlpm.MVToday,DataShift!AV591,         _xlpm.MVY,DataShift!AU591,        _xlpm.MVYY, DataShift!AT591,                                IF(_xlpm.MVToday=_xlpm.MVY,_xlpm.MVY-_xlpm.MVYY,_xlpm.MVToday-_xlpm.MVY))</f>
        <v>2150</v>
      </c>
      <c r="AR91" s="334">
        <f ca="1">_xlfn.LET(_xlpm.MVToday,DataShift!AV591,         _xlpm.MVY,DataShift!AU591,        _xlpm.MVYY, DataShift!AT591,         _xlpm.MVYYY, DataShift!AS591,                      IF(_xlpm.MVToday=_xlpm.MVY,      _xlpm.MVYY-_xlpm.MVYYY,          _xlpm.MVY-_xlpm.MVYY))</f>
        <v>-18120</v>
      </c>
      <c r="AS91" s="984">
        <f ca="1">TabCalc[[#This Row],[Y]]/TabCalc[[#This Row],[M]]</f>
        <v>1.4633806216931218</v>
      </c>
      <c r="AT91" s="297" t="str" cm="1">
        <f t="array" aca="1" ref="AT91" ca="1">IFERROR(_xlfn.IFS(          TabCalc[[#This Row],[E]]&gt;0, "Free Trade",      TabCalc[[#This Row],[A]]&lt;MIN(TabCalc[[#This Row],[L_Sp]],TabCalc[[#This Row],[M]]), "Buy",            TabCalc[[#This Row],[M]]&lt;TabCalc[[#This Row],[L_Sp]],       "Refill",       TabCalc[[#This Row],[M]]&gt;TabCalc[[#This Row],[L_Sp]],"S_more"),"")</f>
        <v>Refill</v>
      </c>
      <c r="AU91" s="297" t="str">
        <f ca="1">IF(           AND(TabCalc[[#This Row],[E]]&lt;=0,          TabCalc[[#This Row],[A]]&gt;MIN(TabCalc[[#This Row],[M]],TabCalc[[#This Row],[L_Sp]]),             TabCalc[[#This Row],[L_Sp]]&lt;=TabCalc[[#This Row],[M]]),                       "S_more","")</f>
        <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-4.1121418406972783</v>
      </c>
      <c r="AY91" s="82">
        <f t="shared" ca="1" si="8"/>
        <v>0</v>
      </c>
      <c r="AZ91" s="90">
        <f ca="1">_xlfn.XLOOKUP(TabCalc[[#This Row],[Ticker]],[1]!RTData[Ticker_Symbol],[1]!RTData[V/VA])</f>
        <v>2.7026738112069636E-3</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2.7026738112069636E-3</v>
      </c>
      <c r="BC91" s="87" cm="1">
        <f t="array" aca="1" ref="BC91" ca="1">INDEX(TabReg[], 1, _xlfn.XMATCH(TabCalc[[#This Row],[Ticker]]&amp;1, TabReg[#Headers], 0))</f>
        <v>450</v>
      </c>
      <c r="BD91" s="159">
        <f ca="1">TabCalc[[#This Row],[Nbegin]]*TabCalc[[#This Row],[M]]*TabCalc[[#This Row],[Scale]]+TabCalc[[#This Row],[ValueBegin]]</f>
        <v>-91084.5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-82012.5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-171358.90000000002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574.32</v>
      </c>
      <c r="BR91" s="174" t="str">
        <f ca="1">IF(TabCalc[[#This Row],[EfCost]]+TabCalc[[#This Row],[M_V]]&lt;TabCalc[[#This Row],[NoT_GL]],"Pile","")</f>
        <v>Pile</v>
      </c>
      <c r="BS91" s="165" t="e">
        <f ca="1">_xlfn.XLOOKUP(TabCalc[[#This Row],[Ticker]],[1]!RTData[Ticker_Symbol],[1]!#REF!)</f>
        <v>#REF!</v>
      </c>
      <c r="BT91" s="175">
        <f ca="1">(TabCalc[[#This Row],[ValueBegin]]+(TabCalc[[#This Row],[M]]-TabCalc[[#This Row],[A]])*TabCalc[[#This Row],[NAfter]])*TabCalc[[#This Row],[Scale]]</f>
        <v>-128176.5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-9876</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6410.2564102564011</v>
      </c>
      <c r="CV91" s="404">
        <f ca="1">IF(TabCalc[[#This Row],[ntoBuy]]*TabCalc[[#This Row],[M]]&lt;=0,0,TabCalc[[#This Row],[ntoBuy]]*TabCalc[[#This Row],[M]])</f>
        <v>387692.30769230711</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-9876</v>
      </c>
      <c r="DB91" s="90">
        <f ca="1">IFERROR((TabCalc[[#This Row],[M]]+TabCalc[[#This Row],[L_Bp]])/ABS(TabCalc[[#This Row],[L_Bp]])/(TODAY()-TabCalc[[#This Row],[L_Bdate]])*360,"")</f>
        <v>-1.3053535001960588</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27216</v>
      </c>
      <c r="DF91" s="87" cm="1">
        <f t="array" aca="1" ref="DF91" ca="1">SUMPRODUCT(ISNUMBER(INDIRECT("TabReg["&amp;TabCalc[[#This Row],[Ticker]]&amp;"2]"))* INDIRECT("TabReg["&amp;TabCalc[[#This Row],[Ticker]]&amp;"1]") * INDIRECT("TabReg["&amp;TabCalc[[#This Row],[Ticker]]&amp;"2]") )*TabCalc[[#This Row],[Scale]]</f>
        <v>-207646.90000000002</v>
      </c>
      <c r="DI91" s="87">
        <f ca="1"/>
        <v>4952</v>
      </c>
      <c r="DJ91" s="90">
        <f t="shared" ca="1" si="6"/>
        <v>-1.0943607682878171</v>
      </c>
      <c r="DK91" t="str">
        <f ca="1">_xlfn.XLOOKUP(DI91,TabCalc[Column1],TabCalc[Ticker])</f>
        <v>XPER</v>
      </c>
      <c r="DL91" s="87">
        <f ca="1">_xlfn.XLOOKUP(DK91,TabCalc[Ticker],TabCalc[ValueBegin])</f>
        <v>-55366.229999999996</v>
      </c>
      <c r="DM91" s="87">
        <f ca="1">_xlfn.XLOOKUP(DK91,TabCalc[Ticker],TabCalc[M_V])</f>
        <v>61900.000000000007</v>
      </c>
      <c r="DN91" s="87">
        <f ca="1">_xlfn.XLOOKUP(DK91,TabCalc[Ticker],TabCalc[GL])</f>
        <v>-60590.629999999983</v>
      </c>
      <c r="DO91" s="90"/>
      <c r="DP91" s="90"/>
      <c r="DQ91" s="88" t="s">
        <v>86</v>
      </c>
      <c r="DR91" s="81">
        <v>2700</v>
      </c>
      <c r="DS91" s="315">
        <v>-30.31</v>
      </c>
      <c r="DU91" s="82">
        <v>43554</v>
      </c>
      <c r="DV91" s="82">
        <f ca="1">DU91-TabCalc[[#This Row],[M_V]]</f>
        <v>7266</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289305</v>
      </c>
      <c r="G92" s="82">
        <f ca="1">IFERROR(TabCalc[[#This Row],[SB]]-TabCalc[[#This Row],[SST]],TabCalc[[#This Row],[SB]])</f>
        <v>1500</v>
      </c>
      <c r="H92" s="532" t="str">
        <f ca="1">[1]!RTData[[#This Row],[Ticker_Symbol]]</f>
        <v>THC</v>
      </c>
      <c r="I92" s="383">
        <f ca="1">_xlfn.XLOOKUP(TabCalc[[#This Row],[Ticker]],[1]!RTData[Ticker_Symbol],[1]!RTData[M_Price])</f>
        <v>192.87</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-1.9272000000000001E-2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7.8228576244207426E-2</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-2511.0000000000014</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40690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11669.999999999987</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352.49999999999915</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-4965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1.190537927101156</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-1.1206390542585887</v>
      </c>
      <c r="AY92" s="82">
        <f t="shared" ca="1" si="8"/>
        <v>500</v>
      </c>
      <c r="AZ92" s="90">
        <f ca="1">_xlfn.XLOOKUP(TabCalc[[#This Row],[Ticker]],[1]!RTData[Ticker_Symbol],[1]!RTData[V/VA])</f>
        <v>1.8178756496513504E-5</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1.8178756496513504E-5</v>
      </c>
      <c r="BC92" s="87" cm="1">
        <f t="array" aca="1" ref="BC92" ca="1">INDEX(TabReg[], 1, _xlfn.XMATCH(TabCalc[[#This Row],[Ticker]]&amp;1, TabReg[#Headers], 0))</f>
        <v>2000</v>
      </c>
      <c r="BD92" s="159">
        <f ca="1">TabCalc[[#This Row],[Nbegin]]*TabCalc[[#This Row],[M]]*TabCalc[[#This Row],[Scale]]+TabCalc[[#This Row],[ValueBegin]]</f>
        <v>293600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197165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282470.848</v>
      </c>
      <c r="BM92" s="159">
        <f ca="1">IF(        OR( TabCalc[[#This Row],[GL]]&gt;ABS(TabCalc[[#This Row],[EfCost]]),TabCalc[[#This Row],[NAfter]]=0),             TabCalc[[#This Row],[GL]],     0)</f>
        <v>282470.848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7.44</v>
      </c>
      <c r="BR92" s="174" t="str">
        <f ca="1">IF(TabCalc[[#This Row],[EfCost]]+TabCalc[[#This Row],[M_V]]&lt;TabCalc[[#This Row],[NoT_GL]],"Pile","")</f>
        <v>Pile</v>
      </c>
      <c r="BS92" s="165" t="e">
        <f ca="1">_xlfn.XLOOKUP(TabCalc[[#This Row],[Ticker]],[1]!RTData[Ticker_Symbol],[1]!#REF!)</f>
        <v>#REF!</v>
      </c>
      <c r="BT92" s="175">
        <f ca="1">(TabCalc[[#This Row],[ValueBegin]]+(TabCalc[[#This Row],[M]]-TabCalc[[#This Row],[A]])*TabCalc[[#This Row],[NAfter]])*TabCalc[[#This Row],[Scale]]</f>
        <v>-43556.884999999995</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48583.115000000005</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428.44901456726694</v>
      </c>
      <c r="CV92" s="404">
        <f ca="1">IF(TabCalc[[#This Row],[ntoBuy]]*TabCalc[[#This Row],[M]]&lt;=0,0,TabCalc[[#This Row],[ntoBuy]]*TabCalc[[#This Row],[M]])</f>
        <v>82634.961439588777</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154</v>
      </c>
      <c r="CZ92" s="336">
        <f ca="1">IFERROR(TabCalc[[#This Row],[NMA]]*TabCalc[[#This Row],[M]],"")</f>
        <v>29701.98</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48583.115000000005</v>
      </c>
      <c r="DB92" s="90">
        <f ca="1">IFERROR((TabCalc[[#This Row],[M]]+TabCalc[[#This Row],[L_Bp]])/ABS(TabCalc[[#This Row],[L_Bp]])/(TODAY()-TabCalc[[#This Row],[L_Bdate]])*360,"")</f>
        <v>-0.3743291592128804</v>
      </c>
      <c r="DC92" s="310">
        <f ca="1">MEDIAN(DataShift!F791:Z791)</f>
        <v>-6.9110000000000005E-3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2" s="87">
        <f ca="1">TabCalc[[#This Row],[Nbegin]]*TabCalc[[#This Row],[Scale]]*TabCalc[[#This Row],[M]]</f>
        <v>385740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22290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Row],[Ticker]],[1]!RTData[Ticker_Symbol],[1]!RTData[M_Price])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0.31301957054988561</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-3024</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t="e">
        <f ca="1">_xlfn.XLOOKUP(TabCalc[[#This Row],[Ticker]],[1]!RTData[Ticker_Symbol],[1]!#REF!)</f>
        <v>#REF!</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0.87337097808564734</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2130</v>
      </c>
      <c r="DJ93" s="90">
        <f t="shared" ca="1" si="6"/>
        <v>-0.77994526805496311</v>
      </c>
      <c r="DK93" t="str">
        <f ca="1">_xlfn.XLOOKUP(DI93,TabCalc[Column1],TabCalc[Ticker])</f>
        <v>PW</v>
      </c>
      <c r="DL93" s="87">
        <f ca="1">_xlfn.XLOOKUP(DK93,TabCalc[Ticker],TabCalc[ValueBegin])</f>
        <v>-9500.85</v>
      </c>
      <c r="DM93" s="87">
        <f ca="1">_xlfn.XLOOKUP(DK93,TabCalc[Ticker],TabCalc[M_V])</f>
        <v>7100</v>
      </c>
      <c r="DN93" s="87">
        <f ca="1">_xlfn.XLOOKUP(DK93,TabCalc[Ticker],TabCalc[GL])</f>
        <v>-7410.1429999999964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780868.8</v>
      </c>
      <c r="G94" s="82">
        <f ca="1">IFERROR(TabCalc[[#This Row],[SB]]-TabCalc[[#This Row],[SST]],TabCalc[[#This Row],[SB]])</f>
        <v>77100</v>
      </c>
      <c r="H94" s="532" t="str">
        <f ca="1">[1]!RTData[[#This Row],[Ticker_Symbol]]</f>
        <v>LOCK</v>
      </c>
      <c r="I94" s="383">
        <f ca="1">_xlfn.XLOOKUP(TabCalc[[#This Row],[Ticker]],[1]!RTData[Ticker_Symbol],[1]!RTData[M_Price])</f>
        <v>10.128</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4.1640000000000002E-3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3.1974912016432405E-2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-40,652 = $ -411,724</v>
      </c>
      <c r="Z94" s="211">
        <f ca="1">MIN(TabCalc[[#This Row],[L_Bn]],TabCalc[[#This Row],[NAfter]])*(TabCalc[[#This Row],[M]]+TabCalc[[#This Row],[L_Bp]])*TabCalc[[#This Row],[Scale]]</f>
        <v>369154.80000000005</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-6013.7999999999302</v>
      </c>
      <c r="AQ94" s="334">
        <f ca="1">_xlfn.LET(_xlpm.MVToday,DataShift!AV594,         _xlpm.MVY,DataShift!AU594,        _xlpm.MVYY, DataShift!AT594,                                IF(_xlpm.MVToday=_xlpm.MVY,_xlpm.MVY-_xlpm.MVYY,_xlpm.MVToday-_xlpm.MVY))</f>
        <v>-17962.5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369154.80000000005</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369154.80000000005</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369154.80000000005</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t="e">
        <f ca="1">_xlfn.XLOOKUP(TabCalc[[#This Row],[Ticker]],[1]!RTData[Ticker_Symbol],[1]!#REF!)</f>
        <v>#REF!</v>
      </c>
      <c r="BT94" s="175">
        <f ca="1">(TabCalc[[#This Row],[ValueBegin]]+(TabCalc[[#This Row],[M]]-TabCalc[[#This Row],[A]])*TabCalc[[#This Row],[NAfter]])*TabCalc[[#This Row],[Scale]]</f>
        <v>-42559.199999999953</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369154.80000000005</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1044.2773600668338</v>
      </c>
      <c r="CX94" s="405">
        <f ca="1">TabCalc[[#This Row],[ntoSell]]*TabCalc[[#This Row],[M]]</f>
        <v>10576.441102756893</v>
      </c>
      <c r="CY94" s="398">
        <f ca="1">_xlfn.LET(_xlpm.nToSell,IF(TabCalc[[#This Row],[M]]-TabCalc[[#This Row],[A]]&lt;=0,"",INT(DesiredSaleGain/(TabCalc[[#This Row],[M]]-IF(TabCalc[[#This Row],[E]]&gt;0,0,TabCalc[[#This Row],[A]])))),IF(_xlpm.nToSell&lt;=TabCalc[[#This Row],[NAfter]],_xlpm.nToSell,0))</f>
        <v>1044</v>
      </c>
      <c r="CZ94" s="336">
        <f ca="1">IFERROR(TabCalc[[#This Row],[NMA]]*TabCalc[[#This Row],[M]],"")</f>
        <v>10573.632</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369154.80000000005</v>
      </c>
      <c r="DB94" s="90">
        <f ca="1">IFERROR((TabCalc[[#This Row],[M]]+TabCalc[[#This Row],[L_Bp]])/ABS(TabCalc[[#This Row],[L_Bp]])/(TODAY()-TabCalc[[#This Row],[L_Bdate]])*360,"")</f>
        <v>0.25376298494806027</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780868.8</v>
      </c>
      <c r="DF94" s="87" cm="1">
        <f t="array" aca="1" ref="DF94" ca="1">SUMPRODUCT(ISNUMBER(INDIRECT("TabReg["&amp;TabCalc[[#This Row],[Ticker]]&amp;"2]"))* INDIRECT("TabReg["&amp;TabCalc[[#This Row],[Ticker]]&amp;"1]") * INDIRECT("TabReg["&amp;TabCalc[[#This Row],[Ticker]]&amp;"2]") )*TabCalc[[#This Row],[Scale]]</f>
        <v>-411714</v>
      </c>
      <c r="DI94" s="87">
        <f ca="1"/>
        <v>1844.5</v>
      </c>
      <c r="DJ94" s="90">
        <f t="shared" ca="1" si="6"/>
        <v>-3.4001190462074766</v>
      </c>
      <c r="DK94" t="str">
        <f ca="1">_xlfn.XLOOKUP(DI94,TabCalc[Column1],TabCalc[Ticker])</f>
        <v>SAFDDD</v>
      </c>
      <c r="DL94" s="87">
        <f ca="1">_xlfn.XLOOKUP(DK94,TabCalc[Ticker],TabCalc[ValueBegin])</f>
        <v>-42168.5</v>
      </c>
      <c r="DM94" s="87">
        <f ca="1">_xlfn.XLOOKUP(DK94,TabCalc[Ticker],TabCalc[M_V])</f>
        <v>238700</v>
      </c>
      <c r="DN94" s="87">
        <f ca="1">_xlfn.XLOOKUP(DK94,TabCalc[Ticker],TabCalc[GL])</f>
        <v>-143377.91999999998</v>
      </c>
      <c r="DO94" s="90"/>
      <c r="DP94" s="90"/>
      <c r="DQ94" s="88" t="s">
        <v>89</v>
      </c>
      <c r="DR94" s="81">
        <v>3200</v>
      </c>
      <c r="DS94" s="315">
        <v>-26.21</v>
      </c>
      <c r="DU94" s="82">
        <v>801994.2</v>
      </c>
      <c r="DV94" s="82">
        <f ca="1">DU94-TabCalc[[#This Row],[M_V]]</f>
        <v>21125.399999999907</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174280</v>
      </c>
      <c r="G95" s="82">
        <f ca="1">IFERROR(TabCalc[[#This Row],[SB]]-TabCalc[[#This Row],[SST]],TabCalc[[#This Row],[SB]])</f>
        <v>200</v>
      </c>
      <c r="H95" s="532" t="str">
        <f ca="1">[1]!RTData[[#This Row],[Ticker_Symbol]]</f>
        <v>JBASML</v>
      </c>
      <c r="I95" s="383">
        <f ca="1">_xlfn.XLOOKUP(TabCalc[[#This Row],[Ticker]],[1]!RTData[Ticker_Symbol],[1]!RTData[M_Price])</f>
        <v>871.4</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-3.0890000000000002E-3</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29531.999999999993</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-12959.99999999998</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-1580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1.0809080330502641</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-0.42697627176107839</v>
      </c>
      <c r="AY95" s="82">
        <f t="shared" ca="1" si="8"/>
        <v>300</v>
      </c>
      <c r="AZ95" s="90">
        <f ca="1">_xlfn.XLOOKUP(TabCalc[[#This Row],[Ticker]],[1]!RTData[Ticker_Symbol],[1]!RTData[V/VA])</f>
        <v>0.1427007365316057</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0.1427007365316057</v>
      </c>
      <c r="BC95" s="87" cm="1">
        <f t="array" aca="1" ref="BC95" ca="1">INDEX(TabReg[], 1, _xlfn.XMATCH(TabCalc[[#This Row],[Ticker]]&amp;1, TabReg[#Headers], 0))</f>
        <v>500</v>
      </c>
      <c r="BD95" s="159">
        <f ca="1">TabCalc[[#This Row],[Nbegin]]*TabCalc[[#This Row],[M]]*TabCalc[[#This Row],[Scale]]+TabCalc[[#This Row],[ValueBegin]]</f>
        <v>73830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-187590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60870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t="e">
        <f ca="1">_xlfn.XLOOKUP(TabCalc[[#This Row],[Ticker]],[1]!RTData[Ticker_Symbol],[1]!#REF!)</f>
        <v>#REF!</v>
      </c>
      <c r="BT95" s="175">
        <f ca="1">(TabCalc[[#This Row],[ValueBegin]]+(TabCalc[[#This Row],[M]]-TabCalc[[#This Row],[A]])*TabCalc[[#This Row],[NAfter]])*TabCalc[[#This Row],[Scale]]</f>
        <v>-332338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29531.999999999993</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33.861573885954229</v>
      </c>
      <c r="CX95" s="405">
        <f ca="1">TabCalc[[#This Row],[ntoSell]]*TabCalc[[#This Row],[M]]</f>
        <v>29506.975484220515</v>
      </c>
      <c r="CY95" s="398">
        <f ca="1">_xlfn.LET(_xlpm.nToSell,IF(TabCalc[[#This Row],[M]]-TabCalc[[#This Row],[A]]&lt;=0,"",INT(DesiredSaleGain/(TabCalc[[#This Row],[M]]-IF(TabCalc[[#This Row],[E]]&gt;0,0,TabCalc[[#This Row],[A]])))),IF(_xlpm.nToSell&lt;=TabCalc[[#This Row],[NAfter]],_xlpm.nToSell,0))</f>
        <v>33</v>
      </c>
      <c r="CZ95" s="336">
        <f ca="1">IFERROR(TabCalc[[#This Row],[NMA]]*TabCalc[[#This Row],[M]],"")</f>
        <v>28756.2</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29531.999999999993</v>
      </c>
      <c r="DB95" s="90">
        <f ca="1">IFERROR((TabCalc[[#This Row],[M]]+TabCalc[[#This Row],[L_Bp]])/ABS(TabCalc[[#This Row],[L_Bp]])/(TODAY()-TabCalc[[#This Row],[L_Bdate]])*360,"")</f>
        <v>0.23924585007177246</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435700</v>
      </c>
      <c r="DF95" s="87" cm="1">
        <f t="array" aca="1" ref="DF95" ca="1">SUMPRODUCT(ISNUMBER(INDIRECT("TabReg["&amp;TabCalc[[#This Row],[Ticker]]&amp;"2]"))* INDIRECT("TabReg["&amp;TabCalc[[#This Row],[Ticker]]&amp;"1]") * INDIRECT("TabReg["&amp;TabCalc[[#This Row],[Ticker]]&amp;"2]") )*TabCalc[[#This Row],[Scale]]</f>
        <v>-113410</v>
      </c>
      <c r="DI95" s="87">
        <f ca="1"/>
        <v>1341</v>
      </c>
      <c r="DJ95" s="90">
        <f t="shared" ca="1" si="6"/>
        <v>-6.5358157362877173E-2</v>
      </c>
      <c r="DK95" t="str">
        <f ca="1">_xlfn.XLOOKUP(DI95,TabCalc[Column1],TabCalc[Ticker])</f>
        <v>MVEUN0</v>
      </c>
      <c r="DL95" s="87">
        <f ca="1">_xlfn.XLOOKUP(DK95,TabCalc[Ticker],TabCalc[ValueBegin])</f>
        <v>-3543.4214999999999</v>
      </c>
      <c r="DM95" s="87">
        <f ca="1">_xlfn.XLOOKUP(DK95,TabCalc[Ticker],TabCalc[M_V])</f>
        <v>16688</v>
      </c>
      <c r="DN95" s="87">
        <f ca="1">_xlfn.XLOOKUP(DK95,TabCalc[Ticker],TabCalc[GL])</f>
        <v>-231.59150000000227</v>
      </c>
      <c r="DO95" s="90"/>
      <c r="DP95" s="90"/>
      <c r="DQ95" s="88" t="s">
        <v>1556</v>
      </c>
      <c r="DR95" s="81">
        <v>77100</v>
      </c>
      <c r="DS95" s="315">
        <v>-5.34</v>
      </c>
      <c r="DU95" s="82">
        <v>183600</v>
      </c>
      <c r="DV95" s="82">
        <f ca="1">DU95-TabCalc[[#This Row],[M_V]]</f>
        <v>9320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273420</v>
      </c>
      <c r="G96" s="82">
        <f ca="1">IFERROR(TabCalc[[#This Row],[SB]]-TabCalc[[#This Row],[SST]],TabCalc[[#This Row],[SB]])</f>
        <v>18000</v>
      </c>
      <c r="H96" s="532" t="str">
        <f ca="1">[1]!RTData[[#This Row],[Ticker_Symbol]]</f>
        <v>JBEOAN</v>
      </c>
      <c r="I96" s="383">
        <f ca="1">_xlfn.XLOOKUP(TabCalc[[#This Row],[Ticker]],[1]!RTData[Ticker_Symbol],[1]!RTData[M_Price])</f>
        <v>15.19</v>
      </c>
      <c r="J96" s="382">
        <v>14.337085499999999</v>
      </c>
      <c r="K96" s="381">
        <f ca="1">_xlfn.XLOOKUP(TabCalc[[#This Row],[Ticker]],[1]!RTData[Ticker_Symbol],[1]!RTData[1YT])</f>
        <v>16.919589999999999</v>
      </c>
      <c r="L96" s="382">
        <f ca="1">IF(OR(TabCalc[[#This Row],[NAfter]]=0,TabCalc[[#This Row],[EfCost]]&gt;0),0,TabCalc[[#This Row],[EfCost]]/TabCalc[[#This Row],[NAfter]]/TabCalc[[#This Row],[Scale]])</f>
        <v>0</v>
      </c>
      <c r="M96" s="732">
        <f ca="1">_xlfn.XLOOKUP(TabCalc[[#This Row],[Ticker]],[1]!RTData[Ticker_Symbol],[1]!RTData[Change%])</f>
        <v>-3.6080000000000001E-3</v>
      </c>
      <c r="N96" s="1077">
        <v>0</v>
      </c>
      <c r="O96" s="899">
        <f>TabCalc[[#This Row],[Up20]]-1+TabCalc[[#This Row],[Up20]]</f>
        <v>-1</v>
      </c>
      <c r="P96" s="899">
        <f>TabCalc[[#This Row],[Up20]]-TabCalc[[#This Row],[Up150]]</f>
        <v>-0.1111111111111111</v>
      </c>
      <c r="Q96" s="899">
        <v>0.1111111111111111</v>
      </c>
      <c r="R96" s="899">
        <f>TabCalc[[#This Row],[Up150]]-1+TabCalc[[#This Row],[Up150]]</f>
        <v>-0.77777777777777768</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0.32947653389663728</v>
      </c>
      <c r="U96" s="1013">
        <v>18000</v>
      </c>
      <c r="V96" s="1013">
        <v>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1849.9999999999961</v>
      </c>
      <c r="AA96" s="209" cm="1">
        <f t="array" aca="1" ref="AA96" ca="1">_xlfn.XLOOKUP(TabCalc[[#This Row],[L_Bp]],INDIRECT("TabReg["&amp;TabCalc[[#This Row],[Ticker]]&amp;"2]"),INDIRECT("TabReg["&amp;TabCalc[[#This Row],[Ticker]]&amp;"]"))</f>
        <v>45902</v>
      </c>
      <c r="AB96" s="210" cm="1">
        <f t="array" aca="1" ref="AB96" ca="1">_xlfn.XLOOKUP(TabCalc[[#This Row],[L_Bp]],INDIRECT("TabReg["&amp;TabCalc[[#This Row],[Ticker]]&amp;"2]"),INDIRECT("TabReg["&amp;TabCalc[[#This Row],[Ticker]]&amp;"1]"))</f>
        <v>5000</v>
      </c>
      <c r="AC96" s="194" cm="1">
        <f t="array" aca="1" ref="AC96" ca="1">IFERROR(INDEX(INDIRECT("TabReg["&amp;TabCalc[[#This Row],[Ticker]]&amp;"2]"),    _xlfn.XMATCH(    MAX(    _xlfn._xlws.FILTER(INDIRECT("TabReg["&amp;TabCalc[[#This Row],[Ticker]]&amp;"]"), INDIRECT("TabReg["&amp;TabCalc[[#This Row],[Ticker]]&amp;"2]")&lt;0)     ), INDIRECT("TabReg["&amp;TabCalc[[#This Row],[Ticker]]&amp;"]"),      0)), "")</f>
        <v>-14.82</v>
      </c>
      <c r="AD96" s="211">
        <f ca="1">IFERROR(MIN(TabCalc[[#This Row],[L_B1n]],TabCalc[[#This Row],[NAfter]])*(TabCalc[[#This Row],[M]]+TabCalc[[#This Row],[L_B1p]])*TabCalc[[#This Row],[Scale]],"")</f>
        <v>-1072.5390000000025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0" cm="1">
        <f t="array" aca="1" ref="AF96" ca="1">IFERROR(_xlfn.XLOOKUP(TabCalc[[#This Row],[L_B1D]],INDIRECT("TabReg["&amp;TabCalc[[#This Row],[Ticker]]&amp;"]"),INDIRECT("TabReg["&amp;TabCalc[[#This Row],[Ticker]]&amp;"1]")),0)</f>
        <v>3000</v>
      </c>
      <c r="AG96" s="194" cm="1">
        <f t="array" aca="1" ref="AG96" ca="1">IFERROR(_xlfn.XLOOKUP(TabCalc[[#This Row],[L_B1D]],INDIRECT("TabReg["&amp;TabCalc[[#This Row],[Ticker]]&amp;"]"),INDIRECT("TabReg["&amp;TabCalc[[#This Row],[Ticker]]&amp;"2]")),0)</f>
        <v>-15.547513</v>
      </c>
      <c r="AH96" s="300">
        <f ca="1">IFERROR(TabCalc[[#This Row],[L_Sn]]*(TabCalc[[#This Row],[L_Sp]]-TabCalc[[#This Row],[M]])*TabCalc[[#This Row],[Scale]],"")</f>
        <v>2790.0000000000045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9240.0000000000164</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-90</v>
      </c>
      <c r="AQ96" s="334">
        <f ca="1">_xlfn.LET(_xlpm.MVToday,DataShift!AV596,         _xlpm.MVY,DataShift!AU598,        _xlpm.MVYY, DataShift!AT598,                                IF(_xlpm.MVToday=_xlpm.MVY,_xlpm.MVY-_xlpm.MVYY,_xlpm.MVToday-_xlpm.MVY))</f>
        <v>490978.80000000005</v>
      </c>
      <c r="AR96" s="334">
        <f ca="1">_xlfn.LET(_xlpm.MVToday,DataShift!AV596,         _xlpm.MVY,DataShift!AU598,        _xlpm.MVYY, DataShift!AT598,         _xlpm.MVYYY, DataShift!AS598,                      IF(_xlpm.MVToday=_xlpm.MVY,      _xlpm.MVYY-_xlpm.MVYYY,          _xlpm.MVY-_xlpm.MVYY))</f>
        <v>450.00000000005821</v>
      </c>
      <c r="AS96" s="984">
        <f ca="1">TabCalc[[#This Row],[Y]]/TabCalc[[#This Row],[M]]</f>
        <v>1.1138637261356155</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5">
        <f ca="1">IFERROR((TabCalc[[#This Row],[M]]-TabCalc[[#This Row],[Y]])*(TabCalc[[#This Row],[M]]-TabCalc[[#This Row],[Y]])*(TabCalc[[#This Row],[M]]-TabCalc[[#This Row],[Y]])/(TabCalc[[#This Row],[Y]]*TabCalc[[#This Row],[M]]),"")</f>
        <v>-2.0131766668688787E-2</v>
      </c>
      <c r="AY96" s="82">
        <f t="shared" ca="1" si="8"/>
        <v>32000</v>
      </c>
      <c r="AZ96" s="90">
        <f ca="1">_xlfn.XLOOKUP(TabCalc[[#This Row],[Ticker]],[1]!RTData[Ticker_Symbol],[1]!RTData[V/VA])</f>
        <v>7.1240551570914536E-4</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7.1240551570914536E-4</v>
      </c>
      <c r="BC96" s="87" cm="1">
        <f t="array" aca="1" ref="BC96" ca="1">INDEX(TabReg[], 1, _xlfn.XMATCH(TabCalc[[#This Row],[Ticker]]&amp;1, TabReg[#Headers], 0))</f>
        <v>50000</v>
      </c>
      <c r="BD96" s="159">
        <f ca="1">TabCalc[[#This Row],[Nbegin]]*TabCalc[[#This Row],[M]]*TabCalc[[#This Row],[Scale]]+TabCalc[[#This Row],[ValueBegin]]</f>
        <v>308500</v>
      </c>
      <c r="BE96" s="337" t="str" cm="1">
        <f t="array" aca="1" ref="BE96" ca="1">_xlfn.IFS(TabCalc[[#This Row],[Cost+Gain]]&gt;0,"Free",             TabCalc[[#This Row],[GL]]&gt;0,"Gainer",                TRUE,"Looser")</f>
        <v>Free</v>
      </c>
      <c r="BF96" s="159">
        <f ca="1">TabCalc[[#This Row],[Tot_Paid]]-TabCalc[[#This Row],[ValueBegin]]</f>
        <v>-456180.09060139989</v>
      </c>
      <c r="BG96" s="338">
        <f ca="1">IF(TabCalc[[#This Row],[EfCost]]&gt;TabCalc[[#This Row],[ValueBegin]],       0,        TabCalc[[#This Row],[EfCost]]-TabCalc[[#This Row],[ValueBegin]]*(1+Commission))</f>
        <v>0</v>
      </c>
      <c r="BH96" s="339">
        <f ca="1">TabCalc[[#This Row],[M_V]]+TabCalc[[#This Row],[ValueBegin]]</f>
        <v>-177580</v>
      </c>
      <c r="BI96" s="159" cm="1">
        <f t="array" aca="1" ref="BI96" ca="1">SUMPRODUCT(_xlfn._xlws.FILTER(INDIRECT("TabReg["&amp;TabCalc[[#This Row],[Ticker]]&amp;"1]") * INDIRECT("TabReg["&amp;TabCalc[[#This Row],[Ticker]]&amp;"2]"), INDIRECT("TabReg["&amp;TabCalc[[#This Row],[Ticker]]&amp;"2]")&lt;0))*(1+Commission)*TabCalc[[#This Row],[Scale]]</f>
        <v>-907180.09060139989</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29153.021000000008</v>
      </c>
      <c r="BL96" s="159">
        <f ca="1">TabCalc[[#This Row],[M_V]]+TabCalc[[#This Row],[EfCost]]</f>
        <v>302573.02100000001</v>
      </c>
      <c r="BM96" s="159">
        <f ca="1">IF(        OR( TabCalc[[#This Row],[GL]]&gt;ABS(TabCalc[[#This Row],[EfCost]]),TabCalc[[#This Row],[NAfter]]=0),             TabCalc[[#This Row],[GL]],     0)</f>
        <v>302573.02100000001</v>
      </c>
      <c r="BN96" s="159" cm="1">
        <f t="array" aca="1" ref="BN96" ca="1">SUMPRODUCT(_xlfn._xlws.FILTER(IF(INDIRECT("TabReg["&amp;TabCalc[[#This Row],[Ticker]]&amp;"2]") ="", 0, INDIRECT("TabReg["&amp;TabCalc[[#This Row],[Ticker]]&amp;"1]")  ),  INDIRECT("TabReg["&amp;TabCalc[[#This Row],[Ticker]]&amp;"2]") &lt; 0))</f>
        <v>85000</v>
      </c>
      <c r="BO96" s="159">
        <f ca="1">TabCalc[[#This Row],[SB]]-TabCalc[[#This Row],[Nbegin]]</f>
        <v>35000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4" t="str">
        <f ca="1">IF(TabCalc[[#This Row],[EfCost]]+TabCalc[[#This Row],[M_V]]&lt;TabCalc[[#This Row],[NoT_GL]],"Pile","")</f>
        <v>Pile</v>
      </c>
      <c r="BS96" s="165" t="e">
        <f ca="1">_xlfn.XLOOKUP(TabCalc[[#This Row],[Ticker]],[1]!RTData[Ticker_Symbol],[1]!#REF!)</f>
        <v>#REF!</v>
      </c>
      <c r="BT96" s="175">
        <f ca="1">(TabCalc[[#This Row],[ValueBegin]]+(TabCalc[[#This Row],[M]]-TabCalc[[#This Row],[A]])*TabCalc[[#This Row],[NAfter]])*TabCalc[[#This Row],[Scale]]</f>
        <v>-435647.53899999999</v>
      </c>
      <c r="BU96" s="191" cm="1">
        <f t="array" aca="1" ref="BU96" ca="1">_xlfn.XLOOKUP(TabCalc[[#This Row],[Ticker]],TabReg[[#Headers],[AAPL]:[UnknownX28]],Reg!B$72:KF$72)+3</f>
        <v>20</v>
      </c>
      <c r="BV96" s="192" cm="1">
        <f t="array" aca="1" ref="BV96" ca="1">_xlfn.XLOOKUP(TabCalc[[#This Row],[Ticker]],TabReg[[#Headers],[AAPL]:[UnknownX28]],Reg!B$73:KF$73)+2</f>
        <v>285</v>
      </c>
      <c r="BW96" s="193">
        <f ca="1">IFERROR(MAX(TabCalc[[#This Row],[Max_SD]],TabCalc[[#This Row],[Max_PD]]),0)</f>
        <v>45936</v>
      </c>
      <c r="BX96" s="193" t="str" cm="1">
        <f t="array" aca="1" ref="BX96" ca="1">_xlfn.LET(_xlpm.LAST_T,TabCalc[[#This Row],[L_TP]],_xlfn.IFS(_xlpm.LAST_T&lt;0,"Purchase",_xlpm.LAST_T&gt;0,"Sale"))</f>
        <v>Sale</v>
      </c>
      <c r="BY96" s="192" cm="1">
        <f t="array" aca="1" ref="BY96" ca="1">INDEX(Reg!$A$1:$KF$73,TabCalc[[#This Row],[L_I1]],TabCalc[[#This Row],[L_I2]])</f>
        <v>3000</v>
      </c>
      <c r="BZ96" s="194" cm="1">
        <f t="array" aca="1" ref="BZ96" ca="1">INDEX(Reg!$A$1:$KF$73,TabCalc[[#This Row],[L_I1]],TabCalc[[#This Row],[L_I2]]+1)</f>
        <v>16.12</v>
      </c>
      <c r="CA96" s="159">
        <f ca="1">TabCalc[[#This Row],[NAfter]]*(TabCalc[[#This Row],[M]]-IF(TabCalc[[#This Row],[E]]&gt;0,0,TabCalc[[#This Row],[A]]))</f>
        <v>15352.461000000012</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45902</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45770</v>
      </c>
      <c r="CS96" s="176" cm="1">
        <f t="array" aca="1" ref="CS96" ca="1">IFERROR(_xlfn.XLOOKUP(TabCalc[[#This Row],[WB2P]],INDIRECT("TabReg["&amp;TabCalc[[#This Row],[Ticker]]&amp;"2]"),INDIRECT("TabReg["&amp;TabCalc[[#This Row],[Ticker]]&amp;"1]")),0)</f>
        <v>5000</v>
      </c>
      <c r="CT96" s="171">
        <f ca="1">_xlfn.MINIFS(INDIRECT("TabReg["&amp;TabCalc[[#This Row],[Ticker]]&amp;"2]"), INDIRECT("TabReg["&amp;TabCalc[[#This Row],[Ticker]]&amp;"2]"), "&gt;" &amp; MIN(INDIRECT("TabReg["&amp;TabCalc[[#This Row],[Ticker]]&amp;"2]")))</f>
        <v>-14.97</v>
      </c>
      <c r="CU96" s="403">
        <f ca="1">IF(TabCalc[[#This Row],[M]]&lt;TabCalc[[#This Row],[L_Sp]],DesiredBuyGain/(TabCalc[[#This Row],[L_Sp]]-TabCalc[[#This Row],[M]]),0)</f>
        <v>5376.3440860214969</v>
      </c>
      <c r="CV96" s="404">
        <f ca="1">IF(TabCalc[[#This Row],[ntoBuy]]*TabCalc[[#This Row],[M]]&lt;=0,0,TabCalc[[#This Row],[ntoBuy]]*TabCalc[[#This Row],[M]])</f>
        <v>81666.666666666541</v>
      </c>
      <c r="CW96" s="404">
        <f ca="1">IF(TabCalc[[#This Row],[M]]&gt;ABS(TabCalc[[#This Row],[L_Bp]]),MIN(TabCalc[[#This Row],[NAfter]],DesiredSaleGain/(TabCalc[[#This Row],[M]]+TabCalc[[#This Row],[L_Bp]])),0)/TabCalc[[#This Row],[Scale]]</f>
        <v>13513.513513513542</v>
      </c>
      <c r="CX96" s="405">
        <f ca="1">TabCalc[[#This Row],[ntoSell]]*TabCalc[[#This Row],[M]]</f>
        <v>205270.2702702707</v>
      </c>
      <c r="CY96" s="399">
        <f ca="1">_xlfn.LET(_xlpm.nToSell,IF(TabCalc[[#This Row],[M]]-TabCalc[[#This Row],[A]]&lt;=0,"",INT(DesiredSaleGain/(TabCalc[[#This Row],[M]]-IF(TabCalc[[#This Row],[E]]&gt;0,0,TabCalc[[#This Row],[A]])))),IF(_xlpm.nToSell&lt;=TabCalc[[#This Row],[NAfter]],_xlpm.nToSell,0))</f>
        <v>5862</v>
      </c>
      <c r="CZ96" s="336">
        <f ca="1">IFERROR(TabCalc[[#This Row],[NMA]]*TabCalc[[#This Row],[M]],"")</f>
        <v>89043.78</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15352.461000000012</v>
      </c>
      <c r="DB96" s="90">
        <f ca="1">IFERROR((TabCalc[[#This Row],[M]]+TabCalc[[#This Row],[L_Bp]])/ABS(TabCalc[[#This Row],[L_Bp]])/(TODAY()-TabCalc[[#This Row],[L_Bdate]])*360,"")</f>
        <v>0.1182612401448964</v>
      </c>
      <c r="DC96" s="310">
        <f ca="1">MEDIAN(DataShift!F795:Z795)</f>
        <v>-1.505E-3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6" s="87">
        <f ca="1">TabCalc[[#This Row],[Nbegin]]*TabCalc[[#This Row],[Scale]]*TabCalc[[#This Row],[M]]</f>
        <v>759500</v>
      </c>
      <c r="DF96" s="87" cm="1">
        <f t="array" aca="1" ref="DF96" ca="1">SUMPRODUCT(ISNUMBER(INDIRECT("TabReg["&amp;TabCalc[[#This Row],[Ticker]]&amp;"2]"))* INDIRECT("TabReg["&amp;TabCalc[[#This Row],[Ticker]]&amp;"1]") * INDIRECT("TabReg["&amp;TabCalc[[#This Row],[Ticker]]&amp;"2]") )*TabCalc[[#This Row],[Scale]]</f>
        <v>29153.021000000008</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10080</v>
      </c>
    </row>
    <row r="97" spans="1:109" ht="23" thickBot="1" x14ac:dyDescent="0.35">
      <c r="A97" s="216"/>
      <c r="B97" s="216"/>
      <c r="D97" s="216"/>
      <c r="E97" s="85">
        <f ca="1">SUBTOTAL(109,TabCalc[ValueBegin])</f>
        <v>-25594821.556763712</v>
      </c>
      <c r="F97" s="82">
        <f ca="1">SUBTOTAL(109,TabCalc[M_V])</f>
        <v>34050536.809999995</v>
      </c>
      <c r="H97" t="s">
        <v>1086</v>
      </c>
      <c r="I97" s="216"/>
      <c r="J97" s="217"/>
      <c r="K97" s="34"/>
      <c r="L97" s="217"/>
      <c r="M97" s="733"/>
      <c r="N97" s="896"/>
      <c r="O97" s="895"/>
      <c r="P97" s="895"/>
      <c r="Q97" s="895"/>
      <c r="R97" s="895"/>
      <c r="S97" s="733">
        <f ca="1">SUBTOTAL(101,TabCalc[DPWC150])</f>
        <v>-0.58868653844979479</v>
      </c>
      <c r="T97" s="733">
        <f ca="1">SUBTOTAL(101,TabCalc[DPWC20])</f>
        <v>5.8314919892352053E-2</v>
      </c>
      <c r="U97" s="733"/>
      <c r="V97" s="733"/>
      <c r="W97" s="11">
        <f>SUBTOTAL(103,TabCalc[NMZ])</f>
        <v>94</v>
      </c>
      <c r="X97" s="11">
        <f ca="1">COUNTIF(TabCalc[Type],"Pile")</f>
        <v>44</v>
      </c>
      <c r="Y97" s="216"/>
      <c r="Z97" s="368">
        <f ca="1">SUBTOTAL(109,TabCalc[Rev(MinStock)])</f>
        <v>249777.60030699996</v>
      </c>
      <c r="AA97" s="369"/>
      <c r="AB97" s="369"/>
      <c r="AC97" s="369"/>
      <c r="AD97" s="368">
        <f ca="1">SUBTOTAL(109,TabCalc[ReverseS1])</f>
        <v>-27764.700491999967</v>
      </c>
      <c r="AE97" s="369"/>
      <c r="AF97" s="369"/>
      <c r="AG97" s="370"/>
      <c r="AH97" s="371">
        <f ca="1">SUBTOTAL(109,TabCalc[ReverseB])</f>
        <v>8429.1314000000457</v>
      </c>
      <c r="AI97" s="372"/>
      <c r="AJ97" s="369"/>
      <c r="AK97" s="370"/>
      <c r="AL97" s="371">
        <f ca="1">SUBTOTAL(109,TabCalc[ReverseB1])</f>
        <v>100286.35799999999</v>
      </c>
      <c r="AM97" s="218"/>
      <c r="AN97" s="367"/>
      <c r="AO97" s="367"/>
      <c r="AP97" s="985">
        <f ca="1">SUBTOTAL(109,TabCalc[SaldOp])</f>
        <v>106723.17000000004</v>
      </c>
      <c r="AQ97" s="986"/>
      <c r="AR97" s="986"/>
      <c r="AS97" s="987">
        <f ca="1">SUBTOTAL(101,TabCalc[Gravity])</f>
        <v>1.2414022018978019</v>
      </c>
      <c r="AT97" s="1"/>
      <c r="AU97" s="1"/>
      <c r="AX97" s="305">
        <f ca="1">SUBTOTAL(105,TabCalc[Repulse])</f>
        <v>-303.5883484834963</v>
      </c>
      <c r="BC97" s="1401">
        <f ca="1">SUBTOTAL(109,TabCalc[NoT_C])</f>
        <v>4969653</v>
      </c>
      <c r="BD97" s="158">
        <f ca="1">SUBTOTAL(109,TabCalc[NoT_GL])</f>
        <v>13793245.69063629</v>
      </c>
      <c r="BE97" s="158">
        <f ca="1">SUBTOTAL(109,TabCalc[GLStatus])</f>
        <v>0</v>
      </c>
      <c r="BF97" s="158">
        <f ca="1">SUBTOTAL(109,TabCalc[AddBuys])</f>
        <v>-72825127.027200013</v>
      </c>
      <c r="BG97" s="158">
        <f ca="1">SUBTOTAL(109,TabCalc[AddCash])</f>
        <v>-9468687.9139840379</v>
      </c>
      <c r="BH97" s="158">
        <f ca="1">SUBTOTAL(109,TabCalc[AddValue])</f>
        <v>8455715.2532362919</v>
      </c>
      <c r="BI97" s="158">
        <f ca="1">SUBTOTAL(109,TabCalc[Tot_Paid])</f>
        <v>-98419948.583963707</v>
      </c>
      <c r="BJ97" s="158">
        <f ca="1">SUBTOTAL(109,TabCalc[S_Income])</f>
        <v>75595454.054459721</v>
      </c>
      <c r="BK97" s="158">
        <f ca="1">SUBTOTAL(109,TabCalc[EfCost])</f>
        <v>-22372205.718754712</v>
      </c>
      <c r="BL97" s="158">
        <f ca="1">SUBTOTAL(109,TabCalc[GL])</f>
        <v>11678331.09124529</v>
      </c>
      <c r="BM97" s="158">
        <f ca="1">SUBTOTAL(109,TabCalc[Cost+Gain])</f>
        <v>11283688.64109</v>
      </c>
      <c r="BN97" s="158">
        <f ca="1">SUBTOTAL(109,TabCalc[SB])</f>
        <v>8796804</v>
      </c>
      <c r="BO97" s="158">
        <f ca="1">SUBTOTAL(109,TabCalc[SABT])</f>
        <v>3824053</v>
      </c>
      <c r="BP97" s="158">
        <f ca="1">SUBTOTAL(109,TabCalc[SST])</f>
        <v>3812324</v>
      </c>
      <c r="BQ97" s="11"/>
      <c r="BR97" s="126"/>
      <c r="BS97" s="11"/>
      <c r="BT97" s="158">
        <f ca="1">SUBTOTAL(109,TabCalc[CostReduct])</f>
        <v>-23179950.833785336</v>
      </c>
      <c r="BU97" s="218"/>
      <c r="BV97" s="11"/>
      <c r="BW97" s="11"/>
      <c r="BX97" s="11"/>
      <c r="BY97" s="11"/>
      <c r="BZ97" s="220"/>
      <c r="CA97" s="158">
        <f ca="1">SUBTOTAL(109,TabCalc[Resale(ME)])</f>
        <v>11120480.879155379</v>
      </c>
      <c r="CB97" s="11"/>
      <c r="CC97" s="11"/>
      <c r="CD97" s="11"/>
      <c r="CE97" s="11"/>
      <c r="CF97" s="11"/>
      <c r="CG97" s="11"/>
      <c r="CH97" s="11"/>
      <c r="CI97" s="11"/>
      <c r="CJ97" s="11"/>
      <c r="CK97" s="11"/>
      <c r="CL97" s="11"/>
      <c r="CM97" s="11"/>
      <c r="CN97" s="11"/>
      <c r="CO97" s="11"/>
      <c r="CP97" s="11"/>
      <c r="CQ97" s="11"/>
      <c r="CR97" s="11"/>
      <c r="CS97" s="11"/>
      <c r="CT97" s="219">
        <f ca="1">SUBTOTAL(109,TabCalc[WB2P])</f>
        <v>-10058.658016888887</v>
      </c>
      <c r="CU97" s="11">
        <f ca="1">SUBTOTAL(103,TabCalc[ntoBuy])</f>
        <v>94</v>
      </c>
      <c r="CV97" s="407">
        <f ca="1">SUBTOTAL(109,TabCalc[BuyCost])</f>
        <v>3641019.6578378454</v>
      </c>
      <c r="CW97" s="11"/>
      <c r="CX97" s="407">
        <f ca="1">SUBTOTAL(109,TabCalc[vReverse])</f>
        <v>83989797.928493053</v>
      </c>
      <c r="CY97" s="11"/>
      <c r="CZ97" s="11"/>
      <c r="DA97" s="11"/>
      <c r="DB97" s="1066">
        <f ca="1">SUBTOTAL(101,TabCalc[Ann%RevLB])</f>
        <v>0.24552596481390657</v>
      </c>
      <c r="DC97" s="1066"/>
      <c r="DD97" s="11"/>
      <c r="DE97" s="1408">
        <f ca="1">SUBTOTAL(109,TabCalc[Column1])</f>
        <v>39388067.247399993</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39388067.247399993</v>
      </c>
      <c r="AZ99" s="82">
        <f ca="1">TabCalc[[#Totals],[GLStatus]]+TabCalc[[#Totals],[EfCost]]</f>
        <v>-22372205.718754712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6" t="s">
        <v>945</v>
      </c>
      <c r="BK100" s="1497"/>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-25094395.948454715</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35791504.559999995</v>
      </c>
      <c r="AX103" s="704" t="s">
        <v>1461</v>
      </c>
      <c r="AY103" s="93">
        <f ca="1">BI103+BD103</f>
        <v>6209962.2927654833</v>
      </c>
      <c r="AZ103" s="82">
        <f ca="1">SUMIF(TabCalc[EfCost],"&gt;0",TabCalc[EfCost])</f>
        <v>2722190.2297</v>
      </c>
      <c r="BA103" s="82">
        <f ca="1">SUMIF(TabCalc[EfCost],"&lt;0",TabCalc[EfCost])</f>
        <v>-25094395.948454715</v>
      </c>
      <c r="BB103" s="93">
        <f ca="1">SUMIF(TabCalc[GL],"&gt;0",TabCalc[ValueBegin])</f>
        <v>-18101764.431799993</v>
      </c>
      <c r="BC103" s="93">
        <f ca="1">SUMIF(TabCalc[GL],"&gt;0",TabCalc[M_V])</f>
        <v>28586371.379999999</v>
      </c>
      <c r="BD103" s="93">
        <f ca="1">SUMIF(TabCalc[GL],"&gt;0",TabCalc[AddBuys])</f>
        <v>-59830251.016639546</v>
      </c>
      <c r="BE103" s="93">
        <f ca="1">SUMIF(TabCalc[GL],"&gt;=0",TabCalc[AddCash])</f>
        <v>-5537531.908598721</v>
      </c>
      <c r="BF103" s="93">
        <f ca="1">SUMIF(TabCalc[GL],"&gt;=0",TabCalc[AddValue])</f>
        <v>10484606.948200006</v>
      </c>
      <c r="BG103" s="93">
        <f ca="1">SUMIF(TabCalc[GL],"&gt;0",TabCalc[Tot_Paid])</f>
        <v>-77932015.448439553</v>
      </c>
      <c r="BH103" s="93">
        <f ca="1">SUMIF(TabCalc[GL],"&gt;0",TabCalc[EfCost])</f>
        <v>-11517552.202917</v>
      </c>
      <c r="BI103" s="93">
        <f ca="1">SUMIF(TabCalc[GL],"&gt;0",TabCalc[S_Income])</f>
        <v>66040213.309405029</v>
      </c>
      <c r="BJ103" s="93">
        <f ca="1">SUMIF(TabCalc[NoT_GL],"&gt;0",TabCalc[NoT_GL])</f>
        <v>18088551.208200004</v>
      </c>
      <c r="BK103" s="93">
        <f ca="1">SUMIF(TabCalc[GL],"&gt;=0",TabCalc[GL])</f>
        <v>17068819.177083004</v>
      </c>
      <c r="BL103" s="93">
        <f ca="1">BC103+NetCash</f>
        <v>31308561.609699998</v>
      </c>
      <c r="BM103" s="93">
        <f ca="1">SUMIF(TabCalc[GL],"&gt;0",TabCalc[Cost+Gain])</f>
        <v>11312337.62589</v>
      </c>
      <c r="BN103" s="93">
        <f ca="1">Commission*(BG103-BI103)</f>
        <v>-374327.79477039585</v>
      </c>
      <c r="BO103" s="87">
        <f ca="1">SUMIF(TabCalc[GL],"&gt;0",TabCalc[AddCash])</f>
        <v>-5537531.908598721</v>
      </c>
      <c r="BP103" s="87">
        <f ca="1">SUMIF(TabCalc[GL],"&gt;0",TabCalc[S_Income])</f>
        <v>66040213.309405029</v>
      </c>
      <c r="BQ103" s="789" t="s">
        <v>2223</v>
      </c>
      <c r="BR103" s="790">
        <f ca="1">SUMIFS(TabCalc[M_V], TabCalc[Cur], "="&amp;$BR$102, TabCalc[GL], "&gt;0")</f>
        <v>5255396.4800000004</v>
      </c>
      <c r="BS103" s="790">
        <f ca="1">SUMIFS(TabCalc[M_V], TabCalc[Cur], "="&amp;$BS$102, TabCalc[GL], "&gt;0")</f>
        <v>21204144.900000002</v>
      </c>
      <c r="BT103" s="790">
        <f ca="1">SUMIFS(TabCalc[M_V], TabCalc[Cur], "="&amp;$BT$102, TabCalc[GL], "&gt;0")</f>
        <v>934830</v>
      </c>
      <c r="BU103" s="790">
        <v>361201</v>
      </c>
      <c r="BV103" s="789">
        <f ca="1">SUMIF(TabCalc[Cur],"="&amp;BV102,TabCalc[M_V])</f>
        <v>0</v>
      </c>
      <c r="BW103" s="87">
        <f ca="1">SUMIF(TabCalc[Cost+Gain],"&gt;0",TabCalc[M_V])</f>
        <v>10825772.58</v>
      </c>
      <c r="BX103" s="87">
        <f ca="1">SUMIF(TabCalc[GLStatus],"="&amp;BX102,TabCalc[M_V])</f>
        <v>17760598.800000001</v>
      </c>
      <c r="BY103" s="87">
        <f ca="1">SUMIF(TabCalc[GLStatus],"="&amp;BY102,TabCalc[M_V])</f>
        <v>5464165.4299999997</v>
      </c>
    </row>
    <row r="104" spans="1:109" x14ac:dyDescent="0.3">
      <c r="AW104" s="93" cm="1">
        <f t="array" aca="1" ref="AW104" ca="1">SUMPRODUCT(TabCalc[NoT_C],TabCalc[M]*TabCalc[Scale]*(TabCalc[GL]&lt;0))</f>
        <v>3608597.6673999997</v>
      </c>
      <c r="AX104" s="140" t="s">
        <v>1462</v>
      </c>
      <c r="AY104" s="93">
        <f ca="1">BI104+BD104</f>
        <v>-3439635.2655057386</v>
      </c>
      <c r="AZ104" s="82">
        <f ca="1">SUMIF(TabCalc[NAfter],0,TabCalc[GL])</f>
        <v>323965.18309999997</v>
      </c>
      <c r="BB104" s="93">
        <f ca="1">SUMIF(TabCalc[GL],"&lt;0",TabCalc[ValueBegin])</f>
        <v>-7493057.1249637175</v>
      </c>
      <c r="BC104" s="93">
        <f ca="1">SUMIF(TabCalc[GL],"&lt;0",TabCalc[M_V])</f>
        <v>5464165.4299999997</v>
      </c>
      <c r="BD104" s="93">
        <f ca="1">SUMIF(TabCalc[GL],"&lt;0",TabCalc[AddBuys])</f>
        <v>-12994876.010560457</v>
      </c>
      <c r="BE104" s="93">
        <f ca="1">SUMIF(TabCalc[GL],"&lt;0",TabCalc[AddCash])</f>
        <v>-3931156.0053853146</v>
      </c>
      <c r="BF104" s="93">
        <f ca="1">SUMIF(TabCalc[GL],"&lt;0",TabCalc[AddValue])</f>
        <v>-2028891.6949637174</v>
      </c>
      <c r="BG104" s="93">
        <f ca="1">SUMIF(TabCalc[GL],"&lt;0",TabCalc[Tot_Paid])</f>
        <v>-20487933.135524176</v>
      </c>
      <c r="BH104" s="93">
        <f ca="1">SUMIF(TabCalc[GL],"&lt;0",TabCalc[EfCost])</f>
        <v>-10854653.515837716</v>
      </c>
      <c r="BI104" s="93">
        <f ca="1">SUMIF(TabCalc[GL],"&lt;0",TabCalc[S_Income])</f>
        <v>9555240.7450547181</v>
      </c>
      <c r="BJ104" s="93">
        <f ca="1">SUMIF(TabCalc[NoT_GL],"&lt;0",TabCalc[NoT_GL])</f>
        <v>-4295305.5175637184</v>
      </c>
      <c r="BK104" s="93">
        <f ca="1">SUMIF(TabCalc[GL],"&lt;0",TabCalc[GL])</f>
        <v>-5390488.085837719</v>
      </c>
      <c r="BL104" s="93">
        <f ca="1">BC104+BO104</f>
        <v>1533009.4246146851</v>
      </c>
      <c r="BM104" s="93">
        <f ca="1">SUMIF(TabCalc[GL],"&lt;0",TabCalc[Cost+Gain])</f>
        <v>-28648.984799999995</v>
      </c>
      <c r="BN104" s="93">
        <f ca="1">Commission*(BG104-BI104)</f>
        <v>-78112.252089505128</v>
      </c>
      <c r="BO104" s="87">
        <f ca="1">SUMIF(TabCalc[GL],"&lt;0",TabCalc[AddCash])</f>
        <v>-3931156.0053853146</v>
      </c>
      <c r="BP104" s="87">
        <f ca="1">SUMIF(TabCalc[GL],"&lt;0",TabCalc[S_Income])</f>
        <v>9555240.7450547181</v>
      </c>
      <c r="BQ104" s="362" t="s">
        <v>2224</v>
      </c>
      <c r="BR104" s="795">
        <f ca="1">SUMIFS(TabCalc[M_V], TabCalc[Cur], "="&amp;$BR$102, TabCalc[GL], "&lt;0")</f>
        <v>3373888</v>
      </c>
      <c r="BS104" s="790">
        <f ca="1">SUMIFS(TabCalc[M_V], TabCalc[Cur], "="&amp;$BS$102, TabCalc[GL], "&lt;0")</f>
        <v>2090277.43</v>
      </c>
      <c r="BT104" s="790">
        <f ca="1">SUMIFS(TabCalc[M_V], TabCalc[Cur], "="&amp;$BT$102, TabCalc[GL], "&lt;0")</f>
        <v>0</v>
      </c>
      <c r="BU104" s="790">
        <f ca="1">SUMIFS(TabCalc[M_V], TabCalc[Cur], BU$102, TabCalc[GL], "&lt;0")</f>
        <v>0</v>
      </c>
      <c r="BV104" s="789"/>
      <c r="BW104" s="310">
        <f ca="1">BW103/$BC$105</f>
        <v>0.31793250838913872</v>
      </c>
      <c r="BX104" s="310">
        <f ca="1">BX103/$BC$105</f>
        <v>0.52159526585742555</v>
      </c>
      <c r="BY104" s="310">
        <f ca="1">BY103/$BC$105</f>
        <v>0.16047222575343595</v>
      </c>
    </row>
    <row r="105" spans="1:109" x14ac:dyDescent="0.3">
      <c r="M105" cm="1">
        <f t="array" aca="1" ref="M105" ca="1">SUMPRODUCT((ISTEXT(TabCalc[Pile?]))*(NOT(_xlfn.ISFORMULA(TabCalc[Pile?]))))</f>
        <v>0</v>
      </c>
      <c r="AW105" s="93">
        <f ca="1">SUM(AW103:AW104)</f>
        <v>39400102.227399997</v>
      </c>
      <c r="AX105" t="s">
        <v>1908</v>
      </c>
      <c r="AZ105" s="82">
        <f ca="1">SUM(AZ103:AZ104)</f>
        <v>3046155.4128</v>
      </c>
      <c r="BB105" s="93">
        <f ca="1">TabCalc[[#Totals],[ValueBegin]]</f>
        <v>-25594821.556763712</v>
      </c>
      <c r="BC105" s="657">
        <f ca="1">TabCalc[[#Totals],[M_V]]</f>
        <v>34050536.809999995</v>
      </c>
      <c r="BJ105" s="93">
        <f ca="1">SUM(BJ103:BJ104)</f>
        <v>13793245.690636285</v>
      </c>
      <c r="BK105" s="93">
        <f ca="1">SUM(BK103:BK104)</f>
        <v>11678331.091245286</v>
      </c>
      <c r="BL105" s="93">
        <f ca="1">SUM(BL103:BL104)</f>
        <v>32841571.034314685</v>
      </c>
      <c r="BN105" s="93">
        <f ca="1">SUM(BN103:BN104)</f>
        <v>-452440.04685990099</v>
      </c>
      <c r="BQ105" s="796" t="s">
        <v>2226</v>
      </c>
      <c r="BR105" s="797">
        <f ca="1">BR104-F8-F7-F57</f>
        <v>-1353811.9999999998</v>
      </c>
      <c r="BS105" s="791"/>
      <c r="BT105" s="789"/>
      <c r="BU105" s="789"/>
      <c r="BV105" s="789"/>
    </row>
    <row r="106" spans="1:109" x14ac:dyDescent="0.3">
      <c r="BA106" t="s">
        <v>2146</v>
      </c>
      <c r="BC106" s="93">
        <f ca="1">TabCalc[[#Totals],[EfCost]]</f>
        <v>-22372205.718754712</v>
      </c>
      <c r="BG106" s="82"/>
      <c r="BQ106" s="789" t="s">
        <v>2216</v>
      </c>
      <c r="BR106" s="792">
        <f ca="1">SUMIFS(TabCalc[GL], TabCalc[Cur], BR$102, TabCalc[GL], "&gt;0")</f>
        <v>3014094.5775000001</v>
      </c>
      <c r="BS106" s="790">
        <f ca="1">SUMIFS(TabCalc[GL], TabCalc[Cur], BS$102, TabCalc[GL], "&gt;0")</f>
        <v>12517106.255290002</v>
      </c>
      <c r="BT106" s="791">
        <f ca="1">SUMIFS(TabCalc[GL], TabCalc[Cur], BT$102, TabCalc[GL], "&gt;0")</f>
        <v>1391114.0342930001</v>
      </c>
      <c r="BU106" s="790">
        <f ca="1">SUMIFS(TabCalc[GL], TabCalc[Cur], BU$102, TabCalc[GL], "&gt;0")</f>
        <v>146504.30999999994</v>
      </c>
      <c r="BV106" s="789"/>
    </row>
    <row r="107" spans="1:109" x14ac:dyDescent="0.3">
      <c r="BA107" t="s">
        <v>2692</v>
      </c>
      <c r="BC107" s="82">
        <f ca="1">BC105+BC106</f>
        <v>11678331.091245282</v>
      </c>
      <c r="BF107" s="90">
        <f ca="1">ABS(BC107/BC106)</f>
        <v>0.52200177479394838</v>
      </c>
      <c r="BQ107" s="789" t="s">
        <v>2217</v>
      </c>
      <c r="BR107" s="793">
        <f ca="1">SUMIFS(TabCalc[EfCost], TabCalc[Cur], BR$102, TabCalc[GL], "&gt;0")</f>
        <v>-2241301.9024999999</v>
      </c>
      <c r="BS107" s="793">
        <f ca="1">SUMIFS(TabCalc[EfCost], TabCalc[Cur], BS$102, TabCalc[GL], "&gt;0")</f>
        <v>-8687038.6447100006</v>
      </c>
      <c r="BT107" s="793">
        <f ca="1">SUMIFS(TabCalc[EfCost], TabCalc[Cur], BT$102, TabCalc[GL], "&gt;0")</f>
        <v>456284.03429300006</v>
      </c>
      <c r="BU107" s="793">
        <f ca="1">SUMIFS(TabCalc[EfCost], TabCalc[Cur], BU$102, TabCalc[GL], "&gt;0")</f>
        <v>-1045495.6900000001</v>
      </c>
      <c r="BV107" s="789"/>
    </row>
    <row r="108" spans="1:109" hidden="1" x14ac:dyDescent="0.3">
      <c r="BC108" s="654" t="s">
        <v>2147</v>
      </c>
      <c r="BE108" s="655">
        <f ca="1">TabCalc[[#Totals],[AddValue]]</f>
        <v>8455715.2532362919</v>
      </c>
      <c r="BF108" s="90">
        <f ca="1">BE108/BC107</f>
        <v>0.72405168060144831</v>
      </c>
      <c r="BO108" s="789" t="s">
        <v>2218</v>
      </c>
      <c r="BP108" s="794">
        <f ca="1">+ABS(BR106/BR107)</f>
        <v>1.344796332050586</v>
      </c>
      <c r="BQ108" s="794">
        <f ca="1">+ABS(BS106/BS107)</f>
        <v>1.4408945058523865</v>
      </c>
      <c r="BR108" s="794">
        <f ca="1">+ABS(BT106/BT107)</f>
        <v>3.04878963483457</v>
      </c>
      <c r="BS108" s="794">
        <f ca="1">+ABS(BU106/BU107)</f>
        <v>0.14012904252144734</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1816468.1534999998</v>
      </c>
      <c r="BQ193" s="792">
        <f ca="1">SUMIFS(TabCalc[Cost+Gain], TabCalc[Cur], BS$102, TabCalc[GL], "&gt;0")</f>
        <v>8169663.8052900005</v>
      </c>
      <c r="BR193" s="792">
        <f ca="1">SUMIFS(TabCalc[Cost+Gain], TabCalc[Cur], BT$102, TabCalc[GL], "&gt;0")</f>
        <v>1326205.6671000002</v>
      </c>
      <c r="BS193" s="792">
        <f ca="1">SUMIFS(TabCalc[Cost+Gain], TabCalc[Cur], BU$102, TabCalc[GL], "&gt;0")</f>
        <v>0</v>
      </c>
      <c r="BT193" s="789"/>
    </row>
    <row r="194" spans="50:246" x14ac:dyDescent="0.3">
      <c r="BO194" s="789" t="s">
        <v>2221</v>
      </c>
      <c r="BP194" s="792">
        <f ca="1">SUMIFS(TabCalc[EfCost], TabCalc[Cur], BR$102, TabCalc[EfCost], "&gt;0")</f>
        <v>1088242.9785</v>
      </c>
      <c r="BQ194" s="792">
        <f ca="1">SUMIFS(TabCalc[EfCost], TabCalc[Cur], BS$102, TabCalc[EfCost], "&gt;0")</f>
        <v>726951.58409999986</v>
      </c>
      <c r="BR194" s="792">
        <f ca="1">SUMIFS(TabCalc[EfCost], TabCalc[Cur], BT$102, TabCalc[EfCost], "&gt;0")</f>
        <v>906995.66710000008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-59830251.016639546</v>
      </c>
      <c r="BB202" s="93">
        <f ca="1">AY202+BA202</f>
        <v>-77932015.448439538</v>
      </c>
      <c r="BC202" s="93">
        <f ca="1">BI103</f>
        <v>66040213.309405029</v>
      </c>
      <c r="BD202" s="93">
        <f ca="1">BB202+BC202</f>
        <v>-11891802.13903451</v>
      </c>
      <c r="BE202" s="93">
        <f ca="1">BA202+BC202</f>
        <v>6209962.2927654833</v>
      </c>
      <c r="BF202" s="93">
        <f ca="1">BE202-BG202</f>
        <v>3487772.0630654832</v>
      </c>
      <c r="BG202" s="93">
        <f ca="1">NetCash</f>
        <v>2722190.2297</v>
      </c>
      <c r="BH202" s="93">
        <f ca="1">BC103</f>
        <v>28586371.379999999</v>
      </c>
      <c r="BI202" s="93">
        <f ca="1">BH202-AZ202</f>
        <v>10484606.948200006</v>
      </c>
      <c r="BJ202" s="93">
        <f ca="1">BG202+BI202</f>
        <v>13206797.177900005</v>
      </c>
      <c r="BK202" s="93"/>
      <c r="BL202" s="90">
        <f ca="1">BH202/(-BD202)</f>
        <v>2.40387209993732</v>
      </c>
      <c r="BM202" s="93"/>
      <c r="BN202" s="90">
        <f ca="1">BI202/-BD202</f>
        <v>0.88166678402633147</v>
      </c>
      <c r="BO202" s="93">
        <f ca="1">(BB202-BC202)*Commission</f>
        <v>-374327.79477039585</v>
      </c>
    </row>
    <row r="203" spans="50:246" x14ac:dyDescent="0.3">
      <c r="AX203" s="666" t="s">
        <v>2104</v>
      </c>
      <c r="AY203" s="93">
        <f ca="1">BB104</f>
        <v>-7493057.1249637175</v>
      </c>
      <c r="AZ203" s="93">
        <f ca="1">-AY203</f>
        <v>7493057.1249637175</v>
      </c>
      <c r="BA203" s="93">
        <f ca="1">BD104</f>
        <v>-12994876.010560457</v>
      </c>
      <c r="BB203" s="93">
        <f ca="1">AY203+BA203</f>
        <v>-20487933.135524176</v>
      </c>
      <c r="BC203" s="93">
        <f ca="1">BI104</f>
        <v>9555240.7450547181</v>
      </c>
      <c r="BD203" s="93">
        <f ca="1">BB203+BC203</f>
        <v>-10932692.390469458</v>
      </c>
      <c r="BE203" s="93">
        <f ca="1">BA203+BC203</f>
        <v>-3439635.2655057386</v>
      </c>
      <c r="BF203" s="685">
        <v>0</v>
      </c>
      <c r="BG203" s="685">
        <v>0</v>
      </c>
      <c r="BH203" s="93">
        <f ca="1">BC104</f>
        <v>5464165.4299999997</v>
      </c>
      <c r="BI203" s="93">
        <f ca="1">BH203-AZ203</f>
        <v>-2028891.6949637178</v>
      </c>
      <c r="BJ203" s="93">
        <f ca="1">BG203+BI203</f>
        <v>-2028891.6949637178</v>
      </c>
      <c r="BK203" s="93"/>
      <c r="BL203" s="90">
        <f ca="1">BH203/(-BD203)</f>
        <v>0.49980052807150871</v>
      </c>
      <c r="BM203" s="93"/>
      <c r="BN203" s="90">
        <f ca="1">BI203/-BD203</f>
        <v>-0.18558024158188136</v>
      </c>
      <c r="BO203" s="93">
        <f ca="1">(BB203-BC203)*Commission</f>
        <v>-78112.252089505128</v>
      </c>
    </row>
    <row r="204" spans="50:246" x14ac:dyDescent="0.3">
      <c r="AY204" s="725">
        <f t="shared" ref="AY204:AZ204" ca="1" si="9">AY202+AY203</f>
        <v>-25594821.556763709</v>
      </c>
      <c r="AZ204" s="725">
        <f t="shared" ca="1" si="9"/>
        <v>25594821.556763709</v>
      </c>
      <c r="BA204" s="725">
        <f ca="1">BA202+BA203</f>
        <v>-72825127.027199998</v>
      </c>
      <c r="BB204" s="725">
        <f t="shared" ref="BB204:BM204" ca="1" si="10">BB202+BB203</f>
        <v>-98419948.583963722</v>
      </c>
      <c r="BC204" s="725">
        <f t="shared" ca="1" si="10"/>
        <v>75595454.054459751</v>
      </c>
      <c r="BD204" s="725">
        <f t="shared" ca="1" si="10"/>
        <v>-22824494.529503968</v>
      </c>
      <c r="BE204" s="725">
        <f t="shared" ca="1" si="10"/>
        <v>2770327.0272597447</v>
      </c>
      <c r="BF204" s="725">
        <f ca="1">BF202+BF203</f>
        <v>3487772.0630654832</v>
      </c>
      <c r="BG204" s="725">
        <f ca="1">BG202+BG203</f>
        <v>2722190.2297</v>
      </c>
      <c r="BH204" s="725">
        <f t="shared" ca="1" si="10"/>
        <v>34050536.810000002</v>
      </c>
      <c r="BI204" s="725">
        <f t="shared" ca="1" si="10"/>
        <v>8455715.2532362882</v>
      </c>
      <c r="BJ204" s="725">
        <f t="shared" ca="1" si="10"/>
        <v>11177905.482936287</v>
      </c>
      <c r="BK204" s="725"/>
      <c r="BL204" s="865">
        <f ca="1">BH204/(-BD204)</f>
        <v>1.4918418791699746</v>
      </c>
      <c r="BM204" s="725">
        <f t="shared" si="10"/>
        <v>0</v>
      </c>
      <c r="BN204" s="865">
        <f ca="1">BI204/-BD204</f>
        <v>0.37046670375574148</v>
      </c>
      <c r="BO204" s="93">
        <f ca="1">(BB204-BC204)*Commission</f>
        <v>-452440.04685990099</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X4 T4">
    <cfRule type="colorScale" priority="120">
      <colorScale>
        <cfvo type="min"/>
        <cfvo type="percentile" val="50"/>
        <cfvo type="max"/>
        <color rgb="FFF8696B"/>
        <color rgb="FFFFEB84"/>
        <color rgb="FF63BE7B"/>
      </colorScale>
    </cfRule>
  </conditionalFormatting>
  <conditionalFormatting sqref="T5 X5">
    <cfRule type="colorScale" priority="119">
      <colorScale>
        <cfvo type="min"/>
        <cfvo type="percentile" val="50"/>
        <cfvo type="max"/>
        <color rgb="FFF8696B"/>
        <color rgb="FFFFEB84"/>
        <color rgb="FF63BE7B"/>
      </colorScale>
    </cfRule>
  </conditionalFormatting>
  <conditionalFormatting sqref="X6 T6">
    <cfRule type="colorScale" priority="118">
      <colorScale>
        <cfvo type="min"/>
        <cfvo type="percentile" val="50"/>
        <cfvo type="max"/>
        <color rgb="FFF8696B"/>
        <color rgb="FFFFEB84"/>
        <color rgb="FF63BE7B"/>
      </colorScale>
    </cfRule>
  </conditionalFormatting>
  <conditionalFormatting sqref="X7 T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X11 T11">
    <cfRule type="colorScale" priority="115">
      <colorScale>
        <cfvo type="min"/>
        <cfvo type="percentile" val="50"/>
        <cfvo type="max"/>
        <color rgb="FFF8696B"/>
        <color rgb="FFFFEB84"/>
        <color rgb="FF63BE7B"/>
      </colorScale>
    </cfRule>
  </conditionalFormatting>
  <conditionalFormatting sqref="X12 T12">
    <cfRule type="colorScale" priority="114">
      <colorScale>
        <cfvo type="min"/>
        <cfvo type="percentile" val="50"/>
        <cfvo type="max"/>
        <color rgb="FFF8696B"/>
        <color rgb="FFFFEB84"/>
        <color rgb="FF63BE7B"/>
      </colorScale>
    </cfRule>
  </conditionalFormatting>
  <conditionalFormatting sqref="X13 T13">
    <cfRule type="colorScale" priority="113">
      <colorScale>
        <cfvo type="min"/>
        <cfvo type="percentile" val="50"/>
        <cfvo type="max"/>
        <color rgb="FFF8696B"/>
        <color rgb="FFFFEB84"/>
        <color rgb="FF63BE7B"/>
      </colorScale>
    </cfRule>
  </conditionalFormatting>
  <conditionalFormatting sqref="X14 T14">
    <cfRule type="colorScale" priority="112">
      <colorScale>
        <cfvo type="min"/>
        <cfvo type="percentile" val="50"/>
        <cfvo type="max"/>
        <color rgb="FFF8696B"/>
        <color rgb="FFFFEB84"/>
        <color rgb="FF63BE7B"/>
      </colorScale>
    </cfRule>
  </conditionalFormatting>
  <conditionalFormatting sqref="X15 T15">
    <cfRule type="colorScale" priority="111">
      <colorScale>
        <cfvo type="min"/>
        <cfvo type="percentile" val="50"/>
        <cfvo type="max"/>
        <color rgb="FFF8696B"/>
        <color rgb="FFFFEB84"/>
        <color rgb="FF63BE7B"/>
      </colorScale>
    </cfRule>
  </conditionalFormatting>
  <conditionalFormatting sqref="X16 T16">
    <cfRule type="colorScale" priority="110">
      <colorScale>
        <cfvo type="min"/>
        <cfvo type="percentile" val="50"/>
        <cfvo type="max"/>
        <color rgb="FFF8696B"/>
        <color rgb="FFFFEB84"/>
        <color rgb="FF63BE7B"/>
      </colorScale>
    </cfRule>
  </conditionalFormatting>
  <conditionalFormatting sqref="X17 T17">
    <cfRule type="colorScale" priority="109">
      <colorScale>
        <cfvo type="min"/>
        <cfvo type="percentile" val="50"/>
        <cfvo type="max"/>
        <color rgb="FFF8696B"/>
        <color rgb="FFFFEB84"/>
        <color rgb="FF63BE7B"/>
      </colorScale>
    </cfRule>
  </conditionalFormatting>
  <conditionalFormatting sqref="X18 T18">
    <cfRule type="colorScale" priority="108">
      <colorScale>
        <cfvo type="min"/>
        <cfvo type="percentile" val="50"/>
        <cfvo type="max"/>
        <color rgb="FFF8696B"/>
        <color rgb="FFFFEB84"/>
        <color rgb="FF63BE7B"/>
      </colorScale>
    </cfRule>
  </conditionalFormatting>
  <conditionalFormatting sqref="X19 T19">
    <cfRule type="colorScale" priority="107">
      <colorScale>
        <cfvo type="min"/>
        <cfvo type="percentile" val="50"/>
        <cfvo type="max"/>
        <color rgb="FFF8696B"/>
        <color rgb="FFFFEB84"/>
        <color rgb="FF63BE7B"/>
      </colorScale>
    </cfRule>
  </conditionalFormatting>
  <conditionalFormatting sqref="X20 T20">
    <cfRule type="colorScale" priority="106">
      <colorScale>
        <cfvo type="min"/>
        <cfvo type="percentile" val="50"/>
        <cfvo type="max"/>
        <color rgb="FFF8696B"/>
        <color rgb="FFFFEB84"/>
        <color rgb="FF63BE7B"/>
      </colorScale>
    </cfRule>
  </conditionalFormatting>
  <conditionalFormatting sqref="X21 T21">
    <cfRule type="colorScale" priority="105">
      <colorScale>
        <cfvo type="min"/>
        <cfvo type="percentile" val="50"/>
        <cfvo type="max"/>
        <color rgb="FFF8696B"/>
        <color rgb="FFFFEB84"/>
        <color rgb="FF63BE7B"/>
      </colorScale>
    </cfRule>
  </conditionalFormatting>
  <conditionalFormatting sqref="X22 T22">
    <cfRule type="colorScale" priority="104">
      <colorScale>
        <cfvo type="min"/>
        <cfvo type="percentile" val="50"/>
        <cfvo type="max"/>
        <color rgb="FFF8696B"/>
        <color rgb="FFFFEB84"/>
        <color rgb="FF63BE7B"/>
      </colorScale>
    </cfRule>
  </conditionalFormatting>
  <conditionalFormatting sqref="X23 T23">
    <cfRule type="colorScale" priority="103">
      <colorScale>
        <cfvo type="min"/>
        <cfvo type="percentile" val="50"/>
        <cfvo type="max"/>
        <color rgb="FFF8696B"/>
        <color rgb="FFFFEB84"/>
        <color rgb="FF63BE7B"/>
      </colorScale>
    </cfRule>
  </conditionalFormatting>
  <conditionalFormatting sqref="X24 T24">
    <cfRule type="colorScale" priority="102">
      <colorScale>
        <cfvo type="min"/>
        <cfvo type="percentile" val="50"/>
        <cfvo type="max"/>
        <color rgb="FFF8696B"/>
        <color rgb="FFFFEB84"/>
        <color rgb="FF63BE7B"/>
      </colorScale>
    </cfRule>
  </conditionalFormatting>
  <conditionalFormatting sqref="X25 T25">
    <cfRule type="colorScale" priority="101">
      <colorScale>
        <cfvo type="min"/>
        <cfvo type="percentile" val="50"/>
        <cfvo type="max"/>
        <color rgb="FFF8696B"/>
        <color rgb="FFFFEB84"/>
        <color rgb="FF63BE7B"/>
      </colorScale>
    </cfRule>
  </conditionalFormatting>
  <conditionalFormatting sqref="T26 X26">
    <cfRule type="colorScale" priority="100">
      <colorScale>
        <cfvo type="min"/>
        <cfvo type="percentile" val="50"/>
        <cfvo type="max"/>
        <color rgb="FFF8696B"/>
        <color rgb="FFFFEB84"/>
        <color rgb="FF63BE7B"/>
      </colorScale>
    </cfRule>
  </conditionalFormatting>
  <conditionalFormatting sqref="T27 X27">
    <cfRule type="colorScale" priority="99">
      <colorScale>
        <cfvo type="min"/>
        <cfvo type="percentile" val="50"/>
        <cfvo type="max"/>
        <color rgb="FFF8696B"/>
        <color rgb="FFFFEB84"/>
        <color rgb="FF63BE7B"/>
      </colorScale>
    </cfRule>
  </conditionalFormatting>
  <conditionalFormatting sqref="T28 X28">
    <cfRule type="colorScale" priority="98">
      <colorScale>
        <cfvo type="min"/>
        <cfvo type="percentile" val="50"/>
        <cfvo type="max"/>
        <color rgb="FFF8696B"/>
        <color rgb="FFFFEB84"/>
        <color rgb="FF63BE7B"/>
      </colorScale>
    </cfRule>
  </conditionalFormatting>
  <conditionalFormatting sqref="X29 T29">
    <cfRule type="colorScale" priority="97">
      <colorScale>
        <cfvo type="min"/>
        <cfvo type="percentile" val="50"/>
        <cfvo type="max"/>
        <color rgb="FFF8696B"/>
        <color rgb="FFFFEB84"/>
        <color rgb="FF63BE7B"/>
      </colorScale>
    </cfRule>
  </conditionalFormatting>
  <conditionalFormatting sqref="X30 T30">
    <cfRule type="colorScale" priority="96">
      <colorScale>
        <cfvo type="min"/>
        <cfvo type="percentile" val="50"/>
        <cfvo type="max"/>
        <color rgb="FFF8696B"/>
        <color rgb="FFFFEB84"/>
        <color rgb="FF63BE7B"/>
      </colorScale>
    </cfRule>
  </conditionalFormatting>
  <conditionalFormatting sqref="X31 T31">
    <cfRule type="colorScale" priority="95">
      <colorScale>
        <cfvo type="min"/>
        <cfvo type="percentile" val="50"/>
        <cfvo type="max"/>
        <color rgb="FFF8696B"/>
        <color rgb="FFFFEB84"/>
        <color rgb="FF63BE7B"/>
      </colorScale>
    </cfRule>
  </conditionalFormatting>
  <conditionalFormatting sqref="X32 T32">
    <cfRule type="colorScale" priority="94">
      <colorScale>
        <cfvo type="min"/>
        <cfvo type="percentile" val="50"/>
        <cfvo type="max"/>
        <color rgb="FFF8696B"/>
        <color rgb="FFFFEB84"/>
        <color rgb="FF63BE7B"/>
      </colorScale>
    </cfRule>
  </conditionalFormatting>
  <conditionalFormatting sqref="X33 T33">
    <cfRule type="colorScale" priority="93">
      <colorScale>
        <cfvo type="min"/>
        <cfvo type="percentile" val="50"/>
        <cfvo type="max"/>
        <color rgb="FFF8696B"/>
        <color rgb="FFFFEB84"/>
        <color rgb="FF63BE7B"/>
      </colorScale>
    </cfRule>
  </conditionalFormatting>
  <conditionalFormatting sqref="X34 T34">
    <cfRule type="colorScale" priority="92">
      <colorScale>
        <cfvo type="min"/>
        <cfvo type="percentile" val="50"/>
        <cfvo type="max"/>
        <color rgb="FFF8696B"/>
        <color rgb="FFFFEB84"/>
        <color rgb="FF63BE7B"/>
      </colorScale>
    </cfRule>
  </conditionalFormatting>
  <conditionalFormatting sqref="X35 T35">
    <cfRule type="colorScale" priority="91">
      <colorScale>
        <cfvo type="min"/>
        <cfvo type="percentile" val="50"/>
        <cfvo type="max"/>
        <color rgb="FFF8696B"/>
        <color rgb="FFFFEB84"/>
        <color rgb="FF63BE7B"/>
      </colorScale>
    </cfRule>
  </conditionalFormatting>
  <conditionalFormatting sqref="X36 T36">
    <cfRule type="colorScale" priority="90">
      <colorScale>
        <cfvo type="min"/>
        <cfvo type="percentile" val="50"/>
        <cfvo type="max"/>
        <color rgb="FFF8696B"/>
        <color rgb="FFFFEB84"/>
        <color rgb="FF63BE7B"/>
      </colorScale>
    </cfRule>
  </conditionalFormatting>
  <conditionalFormatting sqref="X37 T37">
    <cfRule type="colorScale" priority="89">
      <colorScale>
        <cfvo type="min"/>
        <cfvo type="percentile" val="50"/>
        <cfvo type="max"/>
        <color rgb="FFF8696B"/>
        <color rgb="FFFFEB84"/>
        <color rgb="FF63BE7B"/>
      </colorScale>
    </cfRule>
  </conditionalFormatting>
  <conditionalFormatting sqref="T38 X38">
    <cfRule type="colorScale" priority="88">
      <colorScale>
        <cfvo type="min"/>
        <cfvo type="percentile" val="50"/>
        <cfvo type="max"/>
        <color rgb="FFF8696B"/>
        <color rgb="FFFFEB84"/>
        <color rgb="FF63BE7B"/>
      </colorScale>
    </cfRule>
  </conditionalFormatting>
  <conditionalFormatting sqref="T39 X39">
    <cfRule type="colorScale" priority="87">
      <colorScale>
        <cfvo type="min"/>
        <cfvo type="percentile" val="50"/>
        <cfvo type="max"/>
        <color rgb="FFF8696B"/>
        <color rgb="FFFFEB84"/>
        <color rgb="FF63BE7B"/>
      </colorScale>
    </cfRule>
  </conditionalFormatting>
  <conditionalFormatting sqref="T40 X40">
    <cfRule type="colorScale" priority="86">
      <colorScale>
        <cfvo type="min"/>
        <cfvo type="percentile" val="50"/>
        <cfvo type="max"/>
        <color rgb="FFF8696B"/>
        <color rgb="FFFFEB84"/>
        <color rgb="FF63BE7B"/>
      </colorScale>
    </cfRule>
  </conditionalFormatting>
  <conditionalFormatting sqref="T41 X41">
    <cfRule type="colorScale" priority="85">
      <colorScale>
        <cfvo type="min"/>
        <cfvo type="percentile" val="50"/>
        <cfvo type="max"/>
        <color rgb="FFF8696B"/>
        <color rgb="FFFFEB84"/>
        <color rgb="FF63BE7B"/>
      </colorScale>
    </cfRule>
  </conditionalFormatting>
  <conditionalFormatting sqref="T42 X42">
    <cfRule type="colorScale" priority="84">
      <colorScale>
        <cfvo type="min"/>
        <cfvo type="percentile" val="50"/>
        <cfvo type="max"/>
        <color rgb="FFF8696B"/>
        <color rgb="FFFFEB84"/>
        <color rgb="FF63BE7B"/>
      </colorScale>
    </cfRule>
  </conditionalFormatting>
  <conditionalFormatting sqref="T43 X43">
    <cfRule type="colorScale" priority="83">
      <colorScale>
        <cfvo type="min"/>
        <cfvo type="percentile" val="50"/>
        <cfvo type="max"/>
        <color rgb="FFF8696B"/>
        <color rgb="FFFFEB84"/>
        <color rgb="FF63BE7B"/>
      </colorScale>
    </cfRule>
  </conditionalFormatting>
  <conditionalFormatting sqref="T44 X44">
    <cfRule type="colorScale" priority="82">
      <colorScale>
        <cfvo type="min"/>
        <cfvo type="percentile" val="50"/>
        <cfvo type="max"/>
        <color rgb="FFF8696B"/>
        <color rgb="FFFFEB84"/>
        <color rgb="FF63BE7B"/>
      </colorScale>
    </cfRule>
  </conditionalFormatting>
  <conditionalFormatting sqref="T45 X45">
    <cfRule type="colorScale" priority="81">
      <colorScale>
        <cfvo type="min"/>
        <cfvo type="percentile" val="50"/>
        <cfvo type="max"/>
        <color rgb="FFF8696B"/>
        <color rgb="FFFFEB84"/>
        <color rgb="FF63BE7B"/>
      </colorScale>
    </cfRule>
  </conditionalFormatting>
  <conditionalFormatting sqref="T46 X46">
    <cfRule type="colorScale" priority="80">
      <colorScale>
        <cfvo type="min"/>
        <cfvo type="percentile" val="50"/>
        <cfvo type="max"/>
        <color rgb="FFF8696B"/>
        <color rgb="FFFFEB84"/>
        <color rgb="FF63BE7B"/>
      </colorScale>
    </cfRule>
  </conditionalFormatting>
  <conditionalFormatting sqref="T47 X47">
    <cfRule type="colorScale" priority="79">
      <colorScale>
        <cfvo type="min"/>
        <cfvo type="percentile" val="50"/>
        <cfvo type="max"/>
        <color rgb="FFF8696B"/>
        <color rgb="FFFFEB84"/>
        <color rgb="FF63BE7B"/>
      </colorScale>
    </cfRule>
  </conditionalFormatting>
  <conditionalFormatting sqref="T48 X48">
    <cfRule type="colorScale" priority="78">
      <colorScale>
        <cfvo type="min"/>
        <cfvo type="percentile" val="50"/>
        <cfvo type="max"/>
        <color rgb="FFF8696B"/>
        <color rgb="FFFFEB84"/>
        <color rgb="FF63BE7B"/>
      </colorScale>
    </cfRule>
  </conditionalFormatting>
  <conditionalFormatting sqref="X49 T49">
    <cfRule type="colorScale" priority="77">
      <colorScale>
        <cfvo type="min"/>
        <cfvo type="percentile" val="50"/>
        <cfvo type="max"/>
        <color rgb="FFF8696B"/>
        <color rgb="FFFFEB84"/>
        <color rgb="FF63BE7B"/>
      </colorScale>
    </cfRule>
  </conditionalFormatting>
  <conditionalFormatting sqref="T50 X50">
    <cfRule type="colorScale" priority="76">
      <colorScale>
        <cfvo type="min"/>
        <cfvo type="percentile" val="50"/>
        <cfvo type="max"/>
        <color rgb="FFF8696B"/>
        <color rgb="FFFFEB84"/>
        <color rgb="FF63BE7B"/>
      </colorScale>
    </cfRule>
  </conditionalFormatting>
  <conditionalFormatting sqref="T51 X51">
    <cfRule type="colorScale" priority="75">
      <colorScale>
        <cfvo type="min"/>
        <cfvo type="percentile" val="50"/>
        <cfvo type="max"/>
        <color rgb="FFF8696B"/>
        <color rgb="FFFFEB84"/>
        <color rgb="FF63BE7B"/>
      </colorScale>
    </cfRule>
  </conditionalFormatting>
  <conditionalFormatting sqref="T52 X52">
    <cfRule type="colorScale" priority="74">
      <colorScale>
        <cfvo type="min"/>
        <cfvo type="percentile" val="50"/>
        <cfvo type="max"/>
        <color rgb="FFF8696B"/>
        <color rgb="FFFFEB84"/>
        <color rgb="FF63BE7B"/>
      </colorScale>
    </cfRule>
  </conditionalFormatting>
  <conditionalFormatting sqref="T53 X53">
    <cfRule type="colorScale" priority="73">
      <colorScale>
        <cfvo type="min"/>
        <cfvo type="percentile" val="50"/>
        <cfvo type="max"/>
        <color rgb="FFF8696B"/>
        <color rgb="FFFFEB84"/>
        <color rgb="FF63BE7B"/>
      </colorScale>
    </cfRule>
  </conditionalFormatting>
  <conditionalFormatting sqref="T54 X54">
    <cfRule type="colorScale" priority="72">
      <colorScale>
        <cfvo type="min"/>
        <cfvo type="percentile" val="50"/>
        <cfvo type="max"/>
        <color rgb="FFF8696B"/>
        <color rgb="FFFFEB84"/>
        <color rgb="FF63BE7B"/>
      </colorScale>
    </cfRule>
  </conditionalFormatting>
  <conditionalFormatting sqref="T55 X55">
    <cfRule type="colorScale" priority="71">
      <colorScale>
        <cfvo type="min"/>
        <cfvo type="percentile" val="50"/>
        <cfvo type="max"/>
        <color rgb="FFF8696B"/>
        <color rgb="FFFFEB84"/>
        <color rgb="FF63BE7B"/>
      </colorScale>
    </cfRule>
  </conditionalFormatting>
  <conditionalFormatting sqref="T56 X56">
    <cfRule type="colorScale" priority="70">
      <colorScale>
        <cfvo type="min"/>
        <cfvo type="percentile" val="50"/>
        <cfvo type="max"/>
        <color rgb="FFF8696B"/>
        <color rgb="FFFFEB84"/>
        <color rgb="FF63BE7B"/>
      </colorScale>
    </cfRule>
  </conditionalFormatting>
  <conditionalFormatting sqref="T57 X57">
    <cfRule type="colorScale" priority="69">
      <colorScale>
        <cfvo type="min"/>
        <cfvo type="percentile" val="50"/>
        <cfvo type="max"/>
        <color rgb="FFF8696B"/>
        <color rgb="FFFFEB84"/>
        <color rgb="FF63BE7B"/>
      </colorScale>
    </cfRule>
  </conditionalFormatting>
  <conditionalFormatting sqref="T58 X58">
    <cfRule type="colorScale" priority="68">
      <colorScale>
        <cfvo type="min"/>
        <cfvo type="percentile" val="50"/>
        <cfvo type="max"/>
        <color rgb="FFF8696B"/>
        <color rgb="FFFFEB84"/>
        <color rgb="FF63BE7B"/>
      </colorScale>
    </cfRule>
  </conditionalFormatting>
  <conditionalFormatting sqref="X59 T59">
    <cfRule type="colorScale" priority="67">
      <colorScale>
        <cfvo type="min"/>
        <cfvo type="percentile" val="50"/>
        <cfvo type="max"/>
        <color rgb="FFF8696B"/>
        <color rgb="FFFFEB84"/>
        <color rgb="FF63BE7B"/>
      </colorScale>
    </cfRule>
  </conditionalFormatting>
  <conditionalFormatting sqref="X60 T60">
    <cfRule type="colorScale" priority="66">
      <colorScale>
        <cfvo type="min"/>
        <cfvo type="percentile" val="50"/>
        <cfvo type="max"/>
        <color rgb="FFF8696B"/>
        <color rgb="FFFFEB84"/>
        <color rgb="FF63BE7B"/>
      </colorScale>
    </cfRule>
  </conditionalFormatting>
  <conditionalFormatting sqref="T61 X61">
    <cfRule type="colorScale" priority="65">
      <colorScale>
        <cfvo type="min"/>
        <cfvo type="percentile" val="50"/>
        <cfvo type="max"/>
        <color rgb="FFF8696B"/>
        <color rgb="FFFFEB84"/>
        <color rgb="FF63BE7B"/>
      </colorScale>
    </cfRule>
  </conditionalFormatting>
  <conditionalFormatting sqref="T62 X62">
    <cfRule type="colorScale" priority="64">
      <colorScale>
        <cfvo type="min"/>
        <cfvo type="percentile" val="50"/>
        <cfvo type="max"/>
        <color rgb="FFF8696B"/>
        <color rgb="FFFFEB84"/>
        <color rgb="FF63BE7B"/>
      </colorScale>
    </cfRule>
  </conditionalFormatting>
  <conditionalFormatting sqref="T63 X63">
    <cfRule type="colorScale" priority="63">
      <colorScale>
        <cfvo type="min"/>
        <cfvo type="percentile" val="50"/>
        <cfvo type="max"/>
        <color rgb="FFF8696B"/>
        <color rgb="FFFFEB84"/>
        <color rgb="FF63BE7B"/>
      </colorScale>
    </cfRule>
  </conditionalFormatting>
  <conditionalFormatting sqref="T64 X64">
    <cfRule type="colorScale" priority="62">
      <colorScale>
        <cfvo type="min"/>
        <cfvo type="percentile" val="50"/>
        <cfvo type="max"/>
        <color rgb="FFF8696B"/>
        <color rgb="FFFFEB84"/>
        <color rgb="FF63BE7B"/>
      </colorScale>
    </cfRule>
  </conditionalFormatting>
  <conditionalFormatting sqref="T65 X65">
    <cfRule type="colorScale" priority="61">
      <colorScale>
        <cfvo type="min"/>
        <cfvo type="percentile" val="50"/>
        <cfvo type="max"/>
        <color rgb="FFF8696B"/>
        <color rgb="FFFFEB84"/>
        <color rgb="FF63BE7B"/>
      </colorScale>
    </cfRule>
  </conditionalFormatting>
  <conditionalFormatting sqref="T66 X66">
    <cfRule type="colorScale" priority="60">
      <colorScale>
        <cfvo type="min"/>
        <cfvo type="percentile" val="50"/>
        <cfvo type="max"/>
        <color rgb="FFF8696B"/>
        <color rgb="FFFFEB84"/>
        <color rgb="FF63BE7B"/>
      </colorScale>
    </cfRule>
  </conditionalFormatting>
  <conditionalFormatting sqref="T67 X67">
    <cfRule type="colorScale" priority="59">
      <colorScale>
        <cfvo type="min"/>
        <cfvo type="percentile" val="50"/>
        <cfvo type="max"/>
        <color rgb="FFF8696B"/>
        <color rgb="FFFFEB84"/>
        <color rgb="FF63BE7B"/>
      </colorScale>
    </cfRule>
  </conditionalFormatting>
  <conditionalFormatting sqref="T68 X68">
    <cfRule type="colorScale" priority="58">
      <colorScale>
        <cfvo type="min"/>
        <cfvo type="percentile" val="50"/>
        <cfvo type="max"/>
        <color rgb="FFF8696B"/>
        <color rgb="FFFFEB84"/>
        <color rgb="FF63BE7B"/>
      </colorScale>
    </cfRule>
  </conditionalFormatting>
  <conditionalFormatting sqref="X69 T69">
    <cfRule type="colorScale" priority="57">
      <colorScale>
        <cfvo type="min"/>
        <cfvo type="percentile" val="50"/>
        <cfvo type="max"/>
        <color rgb="FFF8696B"/>
        <color rgb="FFFFEB84"/>
        <color rgb="FF63BE7B"/>
      </colorScale>
    </cfRule>
  </conditionalFormatting>
  <conditionalFormatting sqref="X70 T70">
    <cfRule type="colorScale" priority="56">
      <colorScale>
        <cfvo type="min"/>
        <cfvo type="percentile" val="50"/>
        <cfvo type="max"/>
        <color rgb="FFF8696B"/>
        <color rgb="FFFFEB84"/>
        <color rgb="FF63BE7B"/>
      </colorScale>
    </cfRule>
  </conditionalFormatting>
  <conditionalFormatting sqref="X71 T71">
    <cfRule type="colorScale" priority="55">
      <colorScale>
        <cfvo type="min"/>
        <cfvo type="percentile" val="50"/>
        <cfvo type="max"/>
        <color rgb="FFF8696B"/>
        <color rgb="FFFFEB84"/>
        <color rgb="FF63BE7B"/>
      </colorScale>
    </cfRule>
  </conditionalFormatting>
  <conditionalFormatting sqref="T72 X72">
    <cfRule type="colorScale" priority="54">
      <colorScale>
        <cfvo type="min"/>
        <cfvo type="percentile" val="50"/>
        <cfvo type="max"/>
        <color rgb="FFF8696B"/>
        <color rgb="FFFFEB84"/>
        <color rgb="FF63BE7B"/>
      </colorScale>
    </cfRule>
  </conditionalFormatting>
  <conditionalFormatting sqref="T73 X73">
    <cfRule type="colorScale" priority="53">
      <colorScale>
        <cfvo type="min"/>
        <cfvo type="percentile" val="50"/>
        <cfvo type="max"/>
        <color rgb="FFF8696B"/>
        <color rgb="FFFFEB84"/>
        <color rgb="FF63BE7B"/>
      </colorScale>
    </cfRule>
  </conditionalFormatting>
  <conditionalFormatting sqref="T74 X74">
    <cfRule type="colorScale" priority="52">
      <colorScale>
        <cfvo type="min"/>
        <cfvo type="percentile" val="50"/>
        <cfvo type="max"/>
        <color rgb="FFF8696B"/>
        <color rgb="FFFFEB84"/>
        <color rgb="FF63BE7B"/>
      </colorScale>
    </cfRule>
  </conditionalFormatting>
  <conditionalFormatting sqref="T75 X75">
    <cfRule type="colorScale" priority="51">
      <colorScale>
        <cfvo type="min"/>
        <cfvo type="percentile" val="50"/>
        <cfvo type="max"/>
        <color rgb="FFF8696B"/>
        <color rgb="FFFFEB84"/>
        <color rgb="FF63BE7B"/>
      </colorScale>
    </cfRule>
  </conditionalFormatting>
  <conditionalFormatting sqref="T76 X76">
    <cfRule type="colorScale" priority="50">
      <colorScale>
        <cfvo type="min"/>
        <cfvo type="percentile" val="50"/>
        <cfvo type="max"/>
        <color rgb="FFF8696B"/>
        <color rgb="FFFFEB84"/>
        <color rgb="FF63BE7B"/>
      </colorScale>
    </cfRule>
  </conditionalFormatting>
  <conditionalFormatting sqref="T77 X77">
    <cfRule type="colorScale" priority="49">
      <colorScale>
        <cfvo type="min"/>
        <cfvo type="percentile" val="50"/>
        <cfvo type="max"/>
        <color rgb="FFF8696B"/>
        <color rgb="FFFFEB84"/>
        <color rgb="FF63BE7B"/>
      </colorScale>
    </cfRule>
  </conditionalFormatting>
  <conditionalFormatting sqref="T78 X78">
    <cfRule type="colorScale" priority="48">
      <colorScale>
        <cfvo type="min"/>
        <cfvo type="percentile" val="50"/>
        <cfvo type="max"/>
        <color rgb="FFF8696B"/>
        <color rgb="FFFFEB84"/>
        <color rgb="FF63BE7B"/>
      </colorScale>
    </cfRule>
  </conditionalFormatting>
  <conditionalFormatting sqref="X79 T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X80 T80">
    <cfRule type="colorScale" priority="45">
      <colorScale>
        <cfvo type="min"/>
        <cfvo type="percentile" val="50"/>
        <cfvo type="max"/>
        <color rgb="FFF8696B"/>
        <color rgb="FFFFEB84"/>
        <color rgb="FF63BE7B"/>
      </colorScale>
    </cfRule>
  </conditionalFormatting>
  <conditionalFormatting sqref="X81 T81">
    <cfRule type="colorScale" priority="44">
      <colorScale>
        <cfvo type="min"/>
        <cfvo type="percentile" val="50"/>
        <cfvo type="max"/>
        <color rgb="FFF8696B"/>
        <color rgb="FFFFEB84"/>
        <color rgb="FF63BE7B"/>
      </colorScale>
    </cfRule>
  </conditionalFormatting>
  <conditionalFormatting sqref="T82 X82">
    <cfRule type="colorScale" priority="43">
      <colorScale>
        <cfvo type="min"/>
        <cfvo type="percentile" val="50"/>
        <cfvo type="max"/>
        <color rgb="FFF8696B"/>
        <color rgb="FFFFEB84"/>
        <color rgb="FF63BE7B"/>
      </colorScale>
    </cfRule>
  </conditionalFormatting>
  <conditionalFormatting sqref="T83 X83">
    <cfRule type="colorScale" priority="42">
      <colorScale>
        <cfvo type="min"/>
        <cfvo type="percentile" val="50"/>
        <cfvo type="max"/>
        <color rgb="FFF8696B"/>
        <color rgb="FFFFEB84"/>
        <color rgb="FF63BE7B"/>
      </colorScale>
    </cfRule>
  </conditionalFormatting>
  <conditionalFormatting sqref="T84 X84">
    <cfRule type="colorScale" priority="41">
      <colorScale>
        <cfvo type="min"/>
        <cfvo type="percentile" val="50"/>
        <cfvo type="max"/>
        <color rgb="FFF8696B"/>
        <color rgb="FFFFEB84"/>
        <color rgb="FF63BE7B"/>
      </colorScale>
    </cfRule>
  </conditionalFormatting>
  <conditionalFormatting sqref="T85 X85">
    <cfRule type="colorScale" priority="40">
      <colorScale>
        <cfvo type="min"/>
        <cfvo type="percentile" val="50"/>
        <cfvo type="max"/>
        <color rgb="FFF8696B"/>
        <color rgb="FFFFEB84"/>
        <color rgb="FF63BE7B"/>
      </colorScale>
    </cfRule>
  </conditionalFormatting>
  <conditionalFormatting sqref="T86 X86">
    <cfRule type="colorScale" priority="39">
      <colorScale>
        <cfvo type="min"/>
        <cfvo type="percentile" val="50"/>
        <cfvo type="max"/>
        <color rgb="FFF8696B"/>
        <color rgb="FFFFEB84"/>
        <color rgb="FF63BE7B"/>
      </colorScale>
    </cfRule>
  </conditionalFormatting>
  <conditionalFormatting sqref="T87 X87">
    <cfRule type="colorScale" priority="38">
      <colorScale>
        <cfvo type="min"/>
        <cfvo type="percentile" val="50"/>
        <cfvo type="max"/>
        <color rgb="FFF8696B"/>
        <color rgb="FFFFEB84"/>
        <color rgb="FF63BE7B"/>
      </colorScale>
    </cfRule>
  </conditionalFormatting>
  <conditionalFormatting sqref="T88 X88">
    <cfRule type="colorScale" priority="37">
      <colorScale>
        <cfvo type="min"/>
        <cfvo type="percentile" val="50"/>
        <cfvo type="max"/>
        <color rgb="FFF8696B"/>
        <color rgb="FFFFEB84"/>
        <color rgb="FF63BE7B"/>
      </colorScale>
    </cfRule>
  </conditionalFormatting>
  <conditionalFormatting sqref="T89 X89">
    <cfRule type="colorScale" priority="36">
      <colorScale>
        <cfvo type="min"/>
        <cfvo type="percentile" val="50"/>
        <cfvo type="max"/>
        <color rgb="FFF8696B"/>
        <color rgb="FFFFEB84"/>
        <color rgb="FF63BE7B"/>
      </colorScale>
    </cfRule>
  </conditionalFormatting>
  <conditionalFormatting sqref="X90 T90">
    <cfRule type="colorScale" priority="35">
      <colorScale>
        <cfvo type="min"/>
        <cfvo type="percentile" val="50"/>
        <cfvo type="max"/>
        <color rgb="FFF8696B"/>
        <color rgb="FFFFEB84"/>
        <color rgb="FF63BE7B"/>
      </colorScale>
    </cfRule>
  </conditionalFormatting>
  <conditionalFormatting sqref="X91 T91">
    <cfRule type="colorScale" priority="34">
      <colorScale>
        <cfvo type="min"/>
        <cfvo type="percentile" val="50"/>
        <cfvo type="max"/>
        <color rgb="FFF8696B"/>
        <color rgb="FFFFEB84"/>
        <color rgb="FF63BE7B"/>
      </colorScale>
    </cfRule>
  </conditionalFormatting>
  <conditionalFormatting sqref="X92 T92">
    <cfRule type="colorScale" priority="33">
      <colorScale>
        <cfvo type="min"/>
        <cfvo type="percentile" val="50"/>
        <cfvo type="max"/>
        <color rgb="FFF8696B"/>
        <color rgb="FFFFEB84"/>
        <color rgb="FF63BE7B"/>
      </colorScale>
    </cfRule>
  </conditionalFormatting>
  <conditionalFormatting sqref="X93 T93">
    <cfRule type="colorScale" priority="32">
      <colorScale>
        <cfvo type="min"/>
        <cfvo type="percentile" val="50"/>
        <cfvo type="max"/>
        <color rgb="FFF8696B"/>
        <color rgb="FFFFEB84"/>
        <color rgb="FF63BE7B"/>
      </colorScale>
    </cfRule>
  </conditionalFormatting>
  <conditionalFormatting sqref="X94 T94">
    <cfRule type="colorScale" priority="31">
      <colorScale>
        <cfvo type="min"/>
        <cfvo type="percentile" val="50"/>
        <cfvo type="max"/>
        <color rgb="FFF8696B"/>
        <color rgb="FFFFEB84"/>
        <color rgb="FF63BE7B"/>
      </colorScale>
    </cfRule>
  </conditionalFormatting>
  <conditionalFormatting sqref="X95 T95">
    <cfRule type="colorScale" priority="30">
      <colorScale>
        <cfvo type="min"/>
        <cfvo type="percentile" val="50"/>
        <cfvo type="max"/>
        <color rgb="FFF8696B"/>
        <color rgb="FFFFEB84"/>
        <color rgb="FF63BE7B"/>
      </colorScale>
    </cfRule>
  </conditionalFormatting>
  <conditionalFormatting sqref="X96 T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45975</v>
      </c>
      <c r="C2" s="63" t="s">
        <v>2615</v>
      </c>
      <c r="D2" s="1084" t="s">
        <v>2506</v>
      </c>
      <c r="E2" s="1166"/>
      <c r="F2" s="1085"/>
      <c r="G2" s="1085"/>
      <c r="H2" s="540"/>
      <c r="I2" s="69"/>
      <c r="J2" s="583" t="s">
        <v>2583</v>
      </c>
    </row>
    <row r="3" spans="1:16" x14ac:dyDescent="0.3">
      <c r="A3" s="63" t="s">
        <v>0</v>
      </c>
      <c r="B3" s="1158">
        <f ca="1">TODAY()</f>
        <v>45978</v>
      </c>
      <c r="C3" s="1197" t="s">
        <v>2612</v>
      </c>
      <c r="D3" s="1079">
        <f ca="1">_xlfn.XLOOKUP(A3,TabCalc[Ticker],TabCalc[Ch_Today])</f>
        <v>-1.9780000000000002E-3</v>
      </c>
      <c r="E3" s="1167">
        <f ca="1">_xlfn.XLOOKUP(A3,TabCalc[Ticker],TabCalc[Agiotage])</f>
        <v>1.663350115283337E-3</v>
      </c>
      <c r="F3" s="1042" t="str">
        <f ca="1">IFERROR( _xlfn.LET(_xlpm.nma,_xlfn.XLOOKUP(A3,TabCalc[Ticker],TabCalc[NMA]),_xlpm.revenue,_xlfn.XLOOKUP(A3,TabCalc[Ticker],TabCalc[Revenue]),_xlpm.nma&amp;"="&amp;TEXT(_xlpm.revenue,"#,#0")&amp;"@M: "&amp;H3),"")</f>
        <v>82=22,338@M: 272.41</v>
      </c>
      <c r="G3" s="1080">
        <f ca="1">IF(A3=IDTICKER,ID_Up20,_xlfn.XLOOKUP(A3,TabCalc[Ticker],TabCalc[Up20]))</f>
        <v>0</v>
      </c>
      <c r="H3" s="1045">
        <f ca="1">_xlfn.XLOOKUP(A3,TabCalc[Ticker],TabCalc[M])</f>
        <v>272.41000000000003</v>
      </c>
      <c r="I3" s="1073">
        <f ca="1">TODAY()</f>
        <v>45978</v>
      </c>
      <c r="J3" s="1171" t="str">
        <f ca="1">IFERROR("("&amp;TEXT(D3,"#0.0%")&amp;":"&amp;INT(100*E3)&amp;"%)@"&amp;TEXT(H3,"#,#0.#0")&amp;":("&amp;F3&amp;")"&amp;"&gt;UpMark "&amp;TEXT(G3,"#,#0%"),"Formulas ready to copy below")</f>
        <v>(-0.2%:0%)@272.41:(82=22,338@M: 272.41)&gt;UpMark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272.41000000000003</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45978</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12.86</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45978</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45978</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234.69</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45978</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0.68799999999999994</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45978</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871.4</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45978</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342.46</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45978</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89.1</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45978</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3.03</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45978</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2.41</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45978</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100.3</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45978</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78</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45978</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77.87</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45978</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2.17</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45978</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105.8</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45978</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23.81</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45978</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121.55</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45978</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12.904999999999999</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45978</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15.19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45978</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45978</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70.56</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45978</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22.83</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45978</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24.513000000000002</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45978</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381.1</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45978</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66.709999999999994</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45978</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10.11</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45978</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7.99</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45978</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24.77</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45978</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510.18</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45978</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83.85</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45978</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87.8</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45978</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1112.17</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45978</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2.54</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45978</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38.51</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45978</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6.85</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45978</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4.4000000000000004</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45978</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0.71</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45978</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41.94</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45978</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45.38</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45978</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210.2</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45978</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14.99</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45978</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8.9499999999999993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45978</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404.35</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45978</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284.87</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45978</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29.8</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45978</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6.28</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45978</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28.04</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45978</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59.6</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45978</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10.72</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45978</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45978</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119.29</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45978</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6.19</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45978</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0.68799999999999994</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45978</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2.17</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45978</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23.81</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45978</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15.19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45978</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16.489999999999998</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45978</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45978</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58.26</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45978</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13.91</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45978</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45.38</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45978</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210.2</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45978</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29.8</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45978</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272.41000000000003</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45978</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234.69</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45978</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871.4</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45978</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2.17</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45978</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105.8</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45978</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70.56</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45978</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381.1</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45978</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24.77</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45978</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1.41</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45978</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16.489999999999998</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45978</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461.4</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45978</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13.19</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45978</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58.26</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45978</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151.11000000000001</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45978</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790.48</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45978</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1.01</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45978</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32.835000000000001</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45978</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545.73</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45978</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6.97</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45978</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131.26</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45978</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13.91</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45978</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42.77</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45978</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25.06</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45978</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4.01</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45978</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38.229999999999997</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45978</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60.48</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45978</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192.87</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45978</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45978</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10.128</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45978</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871.4</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45978</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15.19</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45978</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375" priority="41" operator="lessThan">
      <formula>0.45</formula>
    </cfRule>
    <cfRule type="cellIs" dxfId="2374" priority="42" operator="greaterThan">
      <formula>0.55</formula>
    </cfRule>
  </conditionalFormatting>
  <conditionalFormatting sqref="C71 C58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71 C58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373" priority="15">
      <formula>_xlfn.ISFORMULA(J5)</formula>
    </cfRule>
    <cfRule type="expression" dxfId="23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371" priority="21" operator="lessThan">
      <formula>0.45</formula>
    </cfRule>
    <cfRule type="cellIs" dxfId="2370" priority="22" operator="greaterThan">
      <formula>0.55</formula>
    </cfRule>
  </conditionalFormatting>
  <conditionalFormatting sqref="P64">
    <cfRule type="expression" dxfId="2369" priority="20">
      <formula>_xlfn.ISFORMULA(P64)</formula>
    </cfRule>
  </conditionalFormatting>
  <conditionalFormatting sqref="M76">
    <cfRule type="cellIs" dxfId="2368" priority="18" operator="lessThan">
      <formula>0.45</formula>
    </cfRule>
    <cfRule type="cellIs" dxfId="2367" priority="19" operator="greaterThan">
      <formula>0.55</formula>
    </cfRule>
  </conditionalFormatting>
  <conditionalFormatting sqref="P76">
    <cfRule type="expression" dxfId="2366" priority="17">
      <formula>_xlfn.ISFORMULA(P76)</formula>
    </cfRule>
  </conditionalFormatting>
  <conditionalFormatting sqref="J3">
    <cfRule type="expression" dxfId="2365" priority="13">
      <formula>_xlfn.ISFORMULA(J3)</formula>
    </cfRule>
    <cfRule type="expression" dxfId="2364" priority="14">
      <formula>_xlfn.ISFORMULA(J3)</formula>
    </cfRule>
  </conditionalFormatting>
  <conditionalFormatting sqref="J21">
    <cfRule type="expression" dxfId="2363" priority="11">
      <formula>_xlfn.ISFORMULA(J21)</formula>
    </cfRule>
    <cfRule type="expression" dxfId="2362" priority="12">
      <formula>_xlfn.ISFORMULA(J21)</formula>
    </cfRule>
  </conditionalFormatting>
  <conditionalFormatting sqref="J81">
    <cfRule type="expression" dxfId="2361" priority="9">
      <formula>_xlfn.ISFORMULA(J81)</formula>
    </cfRule>
    <cfRule type="expression" dxfId="2360" priority="10">
      <formula>_xlfn.ISFORMULA(J81)</formula>
    </cfRule>
  </conditionalFormatting>
  <conditionalFormatting sqref="J91">
    <cfRule type="expression" dxfId="2359" priority="7">
      <formula>_xlfn.ISFORMULA(J91)</formula>
    </cfRule>
    <cfRule type="expression" dxfId="2358" priority="8">
      <formula>_xlfn.ISFORMULA(J91)</formula>
    </cfRule>
  </conditionalFormatting>
  <conditionalFormatting sqref="J94">
    <cfRule type="expression" dxfId="2357" priority="5">
      <formula>_xlfn.ISFORMULA(J94)</formula>
    </cfRule>
    <cfRule type="expression" dxfId="2356" priority="6">
      <formula>_xlfn.ISFORMULA(J94)</formula>
    </cfRule>
  </conditionalFormatting>
  <conditionalFormatting sqref="J56">
    <cfRule type="expression" dxfId="2355" priority="1">
      <formula>_xlfn.ISFORMULA(J56)</formula>
    </cfRule>
    <cfRule type="expression" dxfId="23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SAP</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45975</v>
      </c>
      <c r="I2" s="1009">
        <f t="shared" ca="1" si="0"/>
        <v>45975</v>
      </c>
      <c r="J2" s="1009">
        <f t="shared" ca="1" si="0"/>
        <v>45975</v>
      </c>
      <c r="K2" s="1009">
        <f t="shared" ca="1" si="0"/>
        <v>45975</v>
      </c>
      <c r="L2" s="1009">
        <f t="shared" ca="1" si="0"/>
        <v>45975</v>
      </c>
      <c r="M2" s="1009">
        <f t="shared" ca="1" si="0"/>
        <v>45975</v>
      </c>
      <c r="N2" s="1009">
        <f t="shared" ca="1" si="0"/>
        <v>45975</v>
      </c>
      <c r="O2" s="1009">
        <f t="shared" ca="1" si="0"/>
        <v>45975</v>
      </c>
      <c r="P2" s="1009">
        <f t="shared" ca="1" si="0"/>
        <v>45975</v>
      </c>
      <c r="Q2" s="1009">
        <f t="shared" ca="1" si="0"/>
        <v>45975</v>
      </c>
      <c r="R2" s="1009">
        <f t="shared" ca="1" si="0"/>
        <v>45975</v>
      </c>
      <c r="S2" s="1009">
        <f t="shared" ca="1" si="0"/>
        <v>45975</v>
      </c>
      <c r="T2" s="1009">
        <f t="shared" ca="1" si="0"/>
        <v>45975</v>
      </c>
      <c r="U2" s="1009">
        <f t="shared" ca="1" si="0"/>
        <v>45975</v>
      </c>
      <c r="V2" s="1009">
        <f t="shared" ca="1" si="0"/>
        <v>45975</v>
      </c>
      <c r="W2" s="1009">
        <f t="shared" ca="1" si="0"/>
        <v>45975</v>
      </c>
      <c r="X2" s="1009">
        <f ca="1">WORKDAY(TODAY(),-1)</f>
        <v>45975</v>
      </c>
      <c r="Y2" s="1009">
        <f ca="1">WORKDAY(TODAY(),0)</f>
        <v>45978</v>
      </c>
      <c r="Z2" s="1010">
        <f ca="1">TODAY()</f>
        <v>45978</v>
      </c>
      <c r="AW2" s="392"/>
      <c r="BQ2"/>
      <c r="BR2"/>
    </row>
    <row r="3" spans="1:248" ht="22" customHeight="1" x14ac:dyDescent="0.3">
      <c r="D3" s="360"/>
      <c r="E3" s="393"/>
      <c r="F3" s="62">
        <f t="shared" ref="F3:X3" ca="1" si="1">WORKDAY(G3,-1)</f>
        <v>45950</v>
      </c>
      <c r="G3" s="62">
        <f t="shared" ca="1" si="1"/>
        <v>45951</v>
      </c>
      <c r="H3" s="62">
        <f t="shared" ca="1" si="1"/>
        <v>45952</v>
      </c>
      <c r="I3" s="62">
        <f t="shared" ca="1" si="1"/>
        <v>45953</v>
      </c>
      <c r="J3" s="62">
        <f t="shared" ca="1" si="1"/>
        <v>45954</v>
      </c>
      <c r="K3" s="62">
        <f t="shared" ca="1" si="1"/>
        <v>45957</v>
      </c>
      <c r="L3" s="62">
        <f t="shared" ca="1" si="1"/>
        <v>45958</v>
      </c>
      <c r="M3" s="62">
        <f t="shared" ca="1" si="1"/>
        <v>45959</v>
      </c>
      <c r="N3" s="62">
        <f t="shared" ca="1" si="1"/>
        <v>45960</v>
      </c>
      <c r="O3" s="62">
        <f t="shared" ca="1" si="1"/>
        <v>45961</v>
      </c>
      <c r="P3" s="62">
        <f t="shared" ca="1" si="1"/>
        <v>45964</v>
      </c>
      <c r="Q3" s="62">
        <f t="shared" ca="1" si="1"/>
        <v>45965</v>
      </c>
      <c r="R3" s="62">
        <f t="shared" ca="1" si="1"/>
        <v>45966</v>
      </c>
      <c r="S3" s="62">
        <f t="shared" ca="1" si="1"/>
        <v>45967</v>
      </c>
      <c r="T3" s="62">
        <f t="shared" ca="1" si="1"/>
        <v>45968</v>
      </c>
      <c r="U3" s="62">
        <f t="shared" ca="1" si="1"/>
        <v>45971</v>
      </c>
      <c r="V3" s="62">
        <f t="shared" ca="1" si="1"/>
        <v>45972</v>
      </c>
      <c r="W3" s="62">
        <f t="shared" ca="1" si="1"/>
        <v>45973</v>
      </c>
      <c r="X3" s="62">
        <f t="shared" ca="1" si="1"/>
        <v>45974</v>
      </c>
      <c r="Y3" s="62">
        <f ca="1">WORKDAY(Z3,-1)</f>
        <v>45975</v>
      </c>
      <c r="Z3" s="62">
        <f ca="1">IF(TODAY()=WORKDAY(TODAY(),0),TODAY(),WORKDAY(TODAY(),0))</f>
        <v>45978</v>
      </c>
      <c r="AA3" s="4"/>
      <c r="AB3" s="117">
        <f t="shared" ref="AB3:AV3" ca="1" si="2">F3</f>
        <v>45950</v>
      </c>
      <c r="AC3" s="117">
        <f t="shared" ca="1" si="2"/>
        <v>45951</v>
      </c>
      <c r="AD3" s="117">
        <f t="shared" ca="1" si="2"/>
        <v>45952</v>
      </c>
      <c r="AE3" s="117">
        <f t="shared" ca="1" si="2"/>
        <v>45953</v>
      </c>
      <c r="AF3" s="117">
        <f t="shared" ca="1" si="2"/>
        <v>45954</v>
      </c>
      <c r="AG3" s="117">
        <f t="shared" ca="1" si="2"/>
        <v>45957</v>
      </c>
      <c r="AH3" s="117">
        <f t="shared" ca="1" si="2"/>
        <v>45958</v>
      </c>
      <c r="AI3" s="117">
        <f t="shared" ca="1" si="2"/>
        <v>45959</v>
      </c>
      <c r="AJ3" s="117">
        <f t="shared" ca="1" si="2"/>
        <v>45960</v>
      </c>
      <c r="AK3" s="117">
        <f t="shared" ca="1" si="2"/>
        <v>45961</v>
      </c>
      <c r="AL3" s="117">
        <f t="shared" ca="1" si="2"/>
        <v>45964</v>
      </c>
      <c r="AM3" s="117">
        <f t="shared" ca="1" si="2"/>
        <v>45965</v>
      </c>
      <c r="AN3" s="117">
        <f t="shared" ca="1" si="2"/>
        <v>45966</v>
      </c>
      <c r="AO3" s="117">
        <f t="shared" ca="1" si="2"/>
        <v>45967</v>
      </c>
      <c r="AP3" s="117">
        <f t="shared" ca="1" si="2"/>
        <v>45968</v>
      </c>
      <c r="AQ3" s="117">
        <f t="shared" ca="1" si="2"/>
        <v>45971</v>
      </c>
      <c r="AR3" s="117">
        <f t="shared" ca="1" si="2"/>
        <v>45972</v>
      </c>
      <c r="AS3" s="117">
        <f t="shared" ca="1" si="2"/>
        <v>45973</v>
      </c>
      <c r="AT3" s="117">
        <f t="shared" ca="1" si="2"/>
        <v>45974</v>
      </c>
      <c r="AU3" s="117">
        <f t="shared" ca="1" si="2"/>
        <v>45975</v>
      </c>
      <c r="AV3" s="117">
        <f t="shared" ca="1" si="2"/>
        <v>45978</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[1]DataRT!$A3</f>
        <v>AAPL</v>
      </c>
      <c r="B5" s="240"/>
      <c r="C5" s="241"/>
      <c r="D5" s="241">
        <f>ROW()</f>
        <v>5</v>
      </c>
      <c r="E5" s="384">
        <f ca="1">[1]DataRT!$E3</f>
        <v>45975.943448899998</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[1]DataRT!$F3</f>
        <v>272.95</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[1]DataRT!$A4</f>
        <v>ADEA</v>
      </c>
      <c r="B6" s="248"/>
      <c r="C6" s="249"/>
      <c r="D6" s="249">
        <f>ROW()</f>
        <v>6</v>
      </c>
      <c r="E6" s="385">
        <f ca="1">[1]DataRT!$E4</f>
        <v>45975.991322626563</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[1]DataRT!$F4</f>
        <v>13.14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[1]DataRT!$A5</f>
        <v>AET</v>
      </c>
      <c r="B7" s="240"/>
      <c r="C7" s="241"/>
      <c r="D7" s="241">
        <f>ROW()</f>
        <v>7</v>
      </c>
      <c r="E7" s="386">
        <f ca="1">[1]DataRT!$E5</f>
        <v>45978.417772279689</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[1]DataRT!$F5</f>
        <v>45.2</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[1]DataRT!$A6</f>
        <v>AMZN</v>
      </c>
      <c r="B8" s="248"/>
      <c r="C8" s="249"/>
      <c r="D8" s="249">
        <f>ROW()</f>
        <v>8</v>
      </c>
      <c r="E8" s="385">
        <f ca="1">[1]DataRT!$E6</f>
        <v>45976.041631921093</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[1]DataRT!$F6</f>
        <v>237.58</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[1]DataRT!$A7</f>
        <v>ALDNE</v>
      </c>
      <c r="B9" s="240"/>
      <c r="C9" s="241"/>
      <c r="D9" s="241">
        <f>ROW()</f>
        <v>9</v>
      </c>
      <c r="E9" s="386">
        <f ca="1">[1]DataRT!$E7</f>
        <v>45978.437939003903</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[1]DataRT!$F7</f>
        <v>0.66600000000000004</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[1]DataRT!$A8</f>
        <v>ASML</v>
      </c>
      <c r="B10" s="248"/>
      <c r="C10" s="249"/>
      <c r="D10" s="249">
        <f>ROW()</f>
        <v>10</v>
      </c>
      <c r="E10" s="385">
        <f ca="1">[1]DataRT!$E8</f>
        <v>45978.450787037036</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[1]DataRT!$F8</f>
        <v>874.1</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[1]DataRT!$A9</f>
        <v>AVGO</v>
      </c>
      <c r="B11" s="248"/>
      <c r="C11" s="249"/>
      <c r="D11" s="249">
        <f>ROW()</f>
        <v>11</v>
      </c>
      <c r="E11" s="385">
        <f ca="1">[1]DataRT!$E11</f>
        <v>45975.875002303124</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[1]DataRT!$F9</f>
        <v>339.98</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[1]DataRT!$A10</f>
        <v>AZN</v>
      </c>
      <c r="B12" s="248"/>
      <c r="C12" s="249"/>
      <c r="D12" s="249">
        <f>ROW()</f>
        <v>12</v>
      </c>
      <c r="E12" s="385">
        <f ca="1">[1]DataRT!$E12</f>
        <v>45975.877866353905</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[1]DataRT!$F10</f>
        <v>88.61</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[1]DataRT!$A11</f>
        <v>BLDP</v>
      </c>
      <c r="B13" s="248"/>
      <c r="C13" s="249"/>
      <c r="D13" s="249">
        <f>ROW()</f>
        <v>13</v>
      </c>
      <c r="E13" s="385">
        <f ca="1">[1]DataRT!$E13</f>
        <v>45975.915142534373</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[1]DataRT!$F11</f>
        <v>3.19</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[1]DataRT!$A12</f>
        <v>BMRA</v>
      </c>
      <c r="B14" s="248"/>
      <c r="C14" s="249"/>
      <c r="D14" s="249">
        <f>ROW()</f>
        <v>14</v>
      </c>
      <c r="E14" s="385">
        <f ca="1">[1]DataRT!$E14</f>
        <v>45975.885475428127</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[1]DataRT!$F12</f>
        <v>2.5</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[1]DataRT!$A13</f>
        <v>C</v>
      </c>
      <c r="B15" s="248"/>
      <c r="C15" s="249"/>
      <c r="D15" s="249">
        <f>ROW()</f>
        <v>15</v>
      </c>
      <c r="E15" s="385">
        <f ca="1">[1]DataRT!$E15</f>
        <v>45975.989830022656</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[1]DataRT!$F13</f>
        <v>100.67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[1]DataRT!$A14</f>
        <v>CSCO</v>
      </c>
      <c r="B16" s="248"/>
      <c r="C16" s="249"/>
      <c r="D16" s="249">
        <f>ROW()</f>
        <v>16</v>
      </c>
      <c r="E16" s="385">
        <f ca="1">[1]DataRT!$E16</f>
        <v>45975.988048899999</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[1]DataRT!$F14</f>
        <v>77.38</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[1]DataRT!$A15</f>
        <v>CVS</v>
      </c>
      <c r="B17" s="248"/>
      <c r="C17" s="249"/>
      <c r="D17" s="249">
        <f>ROW()</f>
        <v>17</v>
      </c>
      <c r="E17" s="385">
        <f ca="1">[1]DataRT!$E17</f>
        <v>45975.875001492968</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[1]DataRT!$F15</f>
        <v>79.239999999999995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[1]DataRT!$A16</f>
        <v>DDD</v>
      </c>
      <c r="B18" s="248"/>
      <c r="C18" s="249"/>
      <c r="D18" s="249">
        <f>ROW()</f>
        <v>18</v>
      </c>
      <c r="E18" s="385">
        <f ca="1">[1]DataRT!$E18</f>
        <v>45978.450752314813</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[1]DataRT!$F16</f>
        <v>2.16</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[1]DataRT!$A17</f>
        <v>DIS</v>
      </c>
      <c r="B19" s="248"/>
      <c r="C19" s="249"/>
      <c r="D19" s="249">
        <f>ROW()</f>
        <v>19</v>
      </c>
      <c r="E19" s="385">
        <f ca="1">[1]DataRT!$E19</f>
        <v>45975.995868321093</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[1]DataRT!$F17</f>
        <v>107.61</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[1]DataRT!$A18</f>
        <v>DSY</v>
      </c>
      <c r="B20" s="248"/>
      <c r="C20" s="249"/>
      <c r="D20" s="249">
        <f>ROW()</f>
        <v>20</v>
      </c>
      <c r="E20" s="385">
        <f ca="1">[1]DataRT!$E20</f>
        <v>45975.885481122656</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[1]DataRT!$F18</f>
        <v>23.99</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[1]DataRT!$A19</f>
        <v>DVA</v>
      </c>
      <c r="B21" s="248"/>
      <c r="C21" s="249"/>
      <c r="D21" s="249">
        <f>ROW()</f>
        <v>21</v>
      </c>
      <c r="E21" s="385">
        <f ca="1">[1]DataRT!$E21</f>
        <v>45978.450694444444</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[1]DataRT!$F19</f>
        <v>123.05</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[1]DataRT!$A20</f>
        <v>DXC</v>
      </c>
      <c r="B22" s="248"/>
      <c r="C22" s="249"/>
      <c r="D22" s="249">
        <f>ROW()</f>
        <v>22</v>
      </c>
      <c r="E22" s="385">
        <f ca="1">[1]DataRT!$E22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[1]DataRT!$F20</f>
        <v>13.32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[1]DataRT!$A21</f>
        <v>EOAN</v>
      </c>
      <c r="B23" s="248"/>
      <c r="C23" s="249"/>
      <c r="D23" s="249">
        <f>ROW()</f>
        <v>23</v>
      </c>
      <c r="E23" s="385">
        <f ca="1">[1]DataRT!$E23</f>
        <v>45975.888899710153</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[1]DataRT!$F21</f>
        <v>15.244999999999999</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[1]DataRT!$A22</f>
        <v>EPIX</v>
      </c>
      <c r="B24" s="248"/>
      <c r="C24" s="249"/>
      <c r="D24" s="249">
        <f>ROW()</f>
        <v>24</v>
      </c>
      <c r="E24" s="385">
        <f ca="1">[1]DataRT!$E24</f>
        <v>45975.885527128907</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[1]DataRT!$F22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[1]DataRT!$A23</f>
        <v>GM</v>
      </c>
      <c r="B25" s="248"/>
      <c r="C25" s="249"/>
      <c r="D25" s="249">
        <f>ROW()</f>
        <v>25</v>
      </c>
      <c r="E25" s="385">
        <f ca="1">[1]DataRT!$E25</f>
        <v>45975.967854872659</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[1]DataRT!$F23</f>
        <v>71.89</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[1]DataRT!$A24</f>
        <v>HPE</v>
      </c>
      <c r="B26" s="248"/>
      <c r="C26" s="249"/>
      <c r="D26" s="249">
        <f>ROW()</f>
        <v>26</v>
      </c>
      <c r="E26" s="385">
        <f ca="1">[1]DataRT!$E26</f>
        <v>45978.450759409374</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[1]DataRT!$F24</f>
        <v>22.93</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[1]DataRT!$A25</f>
        <v>HPQ</v>
      </c>
      <c r="B27" s="248"/>
      <c r="C27" s="249"/>
      <c r="D27" s="249">
        <f>ROW()</f>
        <v>27</v>
      </c>
      <c r="E27" s="385">
        <f ca="1">[1]DataRT!$E27</f>
        <v>45976.036036492966</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[1]DataRT!$F25</f>
        <v>24.98</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[1]DataRT!$A26</f>
        <v>IAG</v>
      </c>
      <c r="B28" s="248"/>
      <c r="C28" s="249"/>
      <c r="D28" s="249">
        <f>ROW()</f>
        <v>28</v>
      </c>
      <c r="E28" s="385">
        <f ca="1">[1]DataRT!$E28</f>
        <v>45975.888900138278</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[1]DataRT!$F26</f>
        <v>387.5</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110000</v>
      </c>
      <c r="AW28" s="251"/>
      <c r="AX28" s="88" t="str">
        <f t="shared" ca="1" si="3"/>
        <v>IAG</v>
      </c>
      <c r="BA28" s="251"/>
      <c r="CP28" s="251"/>
      <c r="EH28" s="110"/>
      <c r="FD28" s="283"/>
      <c r="FZ28" s="251"/>
      <c r="GV28" s="251"/>
      <c r="HR28" s="251"/>
      <c r="IN28" s="251"/>
    </row>
    <row r="29" spans="1:248" hidden="1" x14ac:dyDescent="0.3">
      <c r="A29" s="239" t="str">
        <f ca="1">[1]DataRT!$A27</f>
        <v>KR</v>
      </c>
      <c r="B29" s="248"/>
      <c r="C29" s="249"/>
      <c r="D29" s="249">
        <f>ROW()</f>
        <v>29</v>
      </c>
      <c r="E29" s="385">
        <f ca="1">[1]DataRT!$E29</f>
        <v>45976.040816191409</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[1]DataRT!$F27</f>
        <v>65.62</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[1]DataRT!$A28</f>
        <v>LNSR</v>
      </c>
      <c r="B30" s="248"/>
      <c r="C30" s="249"/>
      <c r="D30" s="249">
        <f>ROW()</f>
        <v>30</v>
      </c>
      <c r="E30" s="385">
        <f ca="1">[1]DataRT!$E30</f>
        <v>45975.875000983593</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[1]DataRT!$F28</f>
        <v>10.25</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[1]DataRT!$A29</f>
        <v>LUMN</v>
      </c>
      <c r="B31" s="248"/>
      <c r="C31" s="249"/>
      <c r="D31" s="249">
        <f>ROW()</f>
        <v>31</v>
      </c>
      <c r="E31" s="385">
        <f ca="1">[1]DataRT!$E31</f>
        <v>45975.964029467184</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[1]DataRT!$F29</f>
        <v>8.1199999999999992</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[1]DataRT!$A30</f>
        <v>MRNA</v>
      </c>
      <c r="B32" s="248"/>
      <c r="C32" s="249"/>
      <c r="D32" s="249">
        <f>ROW()</f>
        <v>32</v>
      </c>
      <c r="E32" s="385">
        <f ca="1">[1]DataRT!$E32</f>
        <v>45975.998642256251</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[1]DataRT!$F30</f>
        <v>24.96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[1]DataRT!$A31</f>
        <v>MSFT</v>
      </c>
      <c r="B33" s="248"/>
      <c r="C33" s="249"/>
      <c r="D33" s="249">
        <f>ROW()</f>
        <v>33</v>
      </c>
      <c r="E33" s="385">
        <f ca="1">[1]DataRT!$E33</f>
        <v>45975.940734339842</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[1]DataRT!$F31</f>
        <v>503.29</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[1]DataRT!$A32</f>
        <v>NEE</v>
      </c>
      <c r="B34" s="248"/>
      <c r="C34" s="249"/>
      <c r="D34" s="249">
        <f>ROW()</f>
        <v>34</v>
      </c>
      <c r="E34" s="385">
        <f ca="1">[1]DataRT!$E34</f>
        <v>45976.041662071097</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[1]DataRT!$F32</f>
        <v>83.99</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[1]DataRT!$A33</f>
        <v>NEM</v>
      </c>
      <c r="B35" s="248"/>
      <c r="C35" s="249"/>
      <c r="D35" s="249">
        <f>ROW()</f>
        <v>35</v>
      </c>
      <c r="E35" s="385">
        <f ca="1">[1]DataRT!$E35</f>
        <v>45975.996821897657</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[1]DataRT!$F33</f>
        <v>89.72</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[1]DataRT!$A34</f>
        <v>NFLX</v>
      </c>
      <c r="B36" s="248"/>
      <c r="C36" s="249"/>
      <c r="D36" s="249">
        <f>ROW()</f>
        <v>36</v>
      </c>
      <c r="E36" s="385">
        <f ca="1">[1]DataRT!$E36</f>
        <v>45975.940726921093</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[1]DataRT!$F34</f>
        <v>1154.23</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[1]DataRT!$A35</f>
        <v>NOTE</v>
      </c>
      <c r="B37" s="248"/>
      <c r="C37" s="249"/>
      <c r="D37" s="249">
        <f>ROW()</f>
        <v>37</v>
      </c>
      <c r="E37" s="385">
        <f ca="1">[1]DataRT!$E37</f>
        <v>45975.881998876561</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[1]DataRT!$F35</f>
        <v>2.5299999999999998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[1]DataRT!$A36</f>
        <v>PAAS</v>
      </c>
      <c r="B38" s="248"/>
      <c r="C38" s="249"/>
      <c r="D38" s="249">
        <f>ROW()</f>
        <v>38</v>
      </c>
      <c r="E38" s="385">
        <f ca="1">[1]DataRT!$E38</f>
        <v>45975.884234733596</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[1]DataRT!$F36</f>
        <v>39.049999999999997</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[1]DataRT!$A37</f>
        <v>PROF</v>
      </c>
      <c r="B39" s="248"/>
      <c r="C39" s="249"/>
      <c r="D39" s="249">
        <f>ROW()</f>
        <v>39</v>
      </c>
      <c r="E39" s="385">
        <f ca="1">[1]DataRT!$E39</f>
        <v>45976.041666678124</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[1]DataRT!$F37</f>
        <v>6.35</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[1]DataRT!$A38</f>
        <v>POET</v>
      </c>
      <c r="B40" s="248"/>
      <c r="C40" s="249"/>
      <c r="D40" s="249">
        <f>ROW()</f>
        <v>40</v>
      </c>
      <c r="E40" s="385">
        <f ca="1">[1]DataRT!$E40</f>
        <v>45976.038211203122</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[1]DataRT!$F38</f>
        <v>4.7</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[1]DataRT!$A39</f>
        <v>PW</v>
      </c>
      <c r="B41" s="248"/>
      <c r="C41" s="249"/>
      <c r="D41" s="249">
        <f>ROW()</f>
        <v>41</v>
      </c>
      <c r="E41" s="385">
        <f ca="1">[1]DataRT!$E41</f>
        <v>45978.450694444444</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[1]DataRT!$F39</f>
        <v>0.61990000000000001</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[1]DataRT!$A40</f>
        <v>RIGL</v>
      </c>
      <c r="B42" s="248"/>
      <c r="C42" s="249"/>
      <c r="D42" s="249">
        <f>ROW()</f>
        <v>42</v>
      </c>
      <c r="E42" s="385">
        <f ca="1">[1]DataRT!$E42</f>
        <v>45978.450787037036</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[1]DataRT!$F40</f>
        <v>39.880000000000003</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[1]DataRT!$A41</f>
        <v>RWE</v>
      </c>
      <c r="B43" s="248"/>
      <c r="C43" s="249"/>
      <c r="D43" s="249">
        <f>ROW()</f>
        <v>43</v>
      </c>
      <c r="E43" s="385">
        <f ca="1">[1]DataRT!$E43</f>
        <v>45975.874991921097</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[1]DataRT!$F41</f>
        <v>45.33</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[1]DataRT!$A42</f>
        <v>SAP</v>
      </c>
      <c r="B44" s="248"/>
      <c r="C44" s="249"/>
      <c r="D44" s="249">
        <f>ROW()</f>
        <v>44</v>
      </c>
      <c r="E44" s="385">
        <f ca="1">[1]DataRT!$E44</f>
        <v>45975.984498935155</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[1]DataRT!$F42</f>
        <v>211.1</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[1]DataRT!$A43</f>
        <v>SHECY</v>
      </c>
      <c r="B45" s="248"/>
      <c r="C45" s="249"/>
      <c r="D45" s="249">
        <f>ROW()</f>
        <v>45</v>
      </c>
      <c r="E45" s="385">
        <f ca="1">[1]DataRT!$E45</f>
        <v>45976.041656307811</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[1]DataRT!$F43</f>
        <v>14.8</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[1]DataRT!$A44</f>
        <v>SSYS</v>
      </c>
      <c r="B46" s="248"/>
      <c r="C46" s="249"/>
      <c r="D46" s="249">
        <f>ROW()</f>
        <v>46</v>
      </c>
      <c r="E46" s="385">
        <f ca="1">[1]DataRT!$E46</f>
        <v>45975.950405323434</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[1]DataRT!$F44</f>
        <v>9.33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[1]DataRT!$A45</f>
        <v>TSLA</v>
      </c>
      <c r="B47" s="248"/>
      <c r="C47" s="249"/>
      <c r="D47" s="249">
        <f>ROW()</f>
        <v>47</v>
      </c>
      <c r="E47" s="385">
        <f ca="1">[1]DataRT!$E47</f>
        <v>45978.447916666664</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[1]DataRT!$F45</f>
        <v>401.99</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[1]DataRT!$A46</f>
        <v>TSM</v>
      </c>
      <c r="B48" s="248"/>
      <c r="C48" s="249"/>
      <c r="D48" s="249">
        <f>ROW()</f>
        <v>48</v>
      </c>
      <c r="E48" s="385">
        <f ca="1">[1]DataRT!$E48</f>
        <v>45975.901083378907</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[1]DataRT!$F46</f>
        <v>282.2</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[1]DataRT!$A47</f>
        <v>UN0</v>
      </c>
      <c r="B49" s="248"/>
      <c r="C49" s="249"/>
      <c r="D49" s="249">
        <f>ROW()</f>
        <v>49</v>
      </c>
      <c r="E49" s="385">
        <f ca="1">[1]DataRT!$E49</f>
        <v>45975.874991481251</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[1]DataRT!$F47</f>
        <v>28.6</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[1]DataRT!$A48</f>
        <v>UNIT</v>
      </c>
      <c r="B50" s="248"/>
      <c r="C50" s="249"/>
      <c r="D50" s="249">
        <f>ROW()</f>
        <v>50</v>
      </c>
      <c r="E50" s="385">
        <f ca="1">[1]DataRT!$E50</f>
        <v>45978.449317129627</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[1]DataRT!$F48</f>
        <v>6.0350000000000001</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[1]DataRT!$A49</f>
        <v>VLVLY</v>
      </c>
      <c r="B51" s="248"/>
      <c r="C51" s="249"/>
      <c r="D51" s="249">
        <f>ROW()</f>
        <v>51</v>
      </c>
      <c r="E51" s="385">
        <f ca="1">[1]DataRT!$E49</f>
        <v>45975.874991481251</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[1]DataRT!$F49</f>
        <v>28.37</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[1]DataRT!$A50</f>
        <v>VONN</v>
      </c>
      <c r="B52" s="248"/>
      <c r="C52" s="249"/>
      <c r="D52" s="249">
        <f>ROW()</f>
        <v>52</v>
      </c>
      <c r="E52" s="385">
        <f ca="1">[1]DataRT!$E50</f>
        <v>45978.449317129627</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[1]DataRT!$F50</f>
        <v>60</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[1]DataRT!$A51</f>
        <v>VTRS</v>
      </c>
      <c r="B53" s="248"/>
      <c r="C53" s="249"/>
      <c r="D53" s="249">
        <f>ROW()</f>
        <v>53</v>
      </c>
      <c r="E53" s="385">
        <f ca="1">[1]DataRT!$E51</f>
        <v>45975.891768471876</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[1]DataRT!$F51</f>
        <v>10.91</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[1]DataRT!$A52</f>
        <v>WBA</v>
      </c>
      <c r="B54" s="248"/>
      <c r="C54" s="249"/>
      <c r="D54" s="249">
        <f>ROW()</f>
        <v>54</v>
      </c>
      <c r="E54" s="385">
        <f ca="1">[1]DataRT!$E52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[1]DataRT!$F52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[1]DataRT!$A53</f>
        <v>XOM</v>
      </c>
      <c r="B55" s="248"/>
      <c r="C55" s="249"/>
      <c r="D55" s="249">
        <f>ROW()</f>
        <v>55</v>
      </c>
      <c r="E55" s="385">
        <f ca="1">[1]DataRT!$E53</f>
        <v>45975.888898066405</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[1]DataRT!$F53</f>
        <v>117.76</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[1]DataRT!$A54</f>
        <v>XPER</v>
      </c>
      <c r="B56" s="248"/>
      <c r="C56" s="249"/>
      <c r="D56" s="249">
        <f>ROW()</f>
        <v>56</v>
      </c>
      <c r="E56" s="385">
        <f ca="1">[1]DataRT!$E54</f>
        <v>45975.88889869141</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[1]DataRT!$F54</f>
        <v>6.3</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[1]DataRT!$A55</f>
        <v>MVEALDNE</v>
      </c>
      <c r="B57" s="248"/>
      <c r="C57" s="249"/>
      <c r="D57" s="249">
        <f>ROW()</f>
        <v>57</v>
      </c>
      <c r="E57" s="385">
        <f ca="1">[1]DataRT!$E55</f>
        <v>45978.437939003903</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[1]DataRT!$F55</f>
        <v>0.66600000000000004</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[1]DataRT!$A56</f>
        <v>MVEDDD</v>
      </c>
      <c r="B58" s="248"/>
      <c r="C58" s="249"/>
      <c r="D58" s="249">
        <f>ROW()</f>
        <v>58</v>
      </c>
      <c r="E58" s="385">
        <f ca="1">[1]DataRT!$E56</f>
        <v>45975.988048899999</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[1]DataRT!$F56</f>
        <v>2.16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[1]DataRT!$A57</f>
        <v>MVEDSY</v>
      </c>
      <c r="B59" s="248"/>
      <c r="C59" s="249"/>
      <c r="D59" s="249">
        <f>ROW()</f>
        <v>59</v>
      </c>
      <c r="E59" s="385">
        <f ca="1">[1]DataRT!$E57</f>
        <v>45978.450752314813</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[1]DataRT!$F57</f>
        <v>23.99</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[1]DataRT!$A58</f>
        <v>MVEEOAN</v>
      </c>
      <c r="B60" s="248"/>
      <c r="C60" s="249"/>
      <c r="D60" s="249">
        <f>ROW()</f>
        <v>60</v>
      </c>
      <c r="E60" s="385">
        <f ca="1">[1]DataRT!$E58</f>
        <v>45978.450694444444</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[1]DataRT!$F58</f>
        <v>15.244999999999999</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[1]DataRT!$A59</f>
        <v>MVEENI</v>
      </c>
      <c r="B61" s="248"/>
      <c r="C61" s="249"/>
      <c r="D61" s="249">
        <f>ROW()</f>
        <v>61</v>
      </c>
      <c r="E61" s="385">
        <f ca="1">[1]DataRT!$E59</f>
        <v>45978.450810185182</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[1]DataRT!$F59</f>
        <v>16.474</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[1]DataRT!$A60</f>
        <v>MVEEPIX</v>
      </c>
      <c r="B62" s="248"/>
      <c r="C62" s="249"/>
      <c r="D62" s="249">
        <f>ROW()</f>
        <v>62</v>
      </c>
      <c r="E62" s="385">
        <f ca="1">[1]DataRT!$E60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[1]DataRT!$F60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[1]DataRT!$A61</f>
        <v>MVEGLE</v>
      </c>
      <c r="B63" s="248"/>
      <c r="C63" s="249"/>
      <c r="D63" s="249">
        <f>ROW()</f>
        <v>63</v>
      </c>
      <c r="E63" s="385">
        <f ca="1">[1]DataRT!$E61</f>
        <v>45978.450752314813</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[1]DataRT!$F61</f>
        <v>57.98</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[1]DataRT!$A62</f>
        <v>MVEORA</v>
      </c>
      <c r="B64" s="248"/>
      <c r="C64" s="249"/>
      <c r="D64" s="249">
        <f>ROW()</f>
        <v>64</v>
      </c>
      <c r="E64" s="385">
        <f ca="1">[1]DataRT!$E62</f>
        <v>45978.450335648151</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[1]DataRT!$F62</f>
        <v>14.02</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[1]DataRT!$A63</f>
        <v>MVERWE</v>
      </c>
      <c r="B65" s="248"/>
      <c r="C65" s="249"/>
      <c r="D65" s="249">
        <f>ROW()</f>
        <v>65</v>
      </c>
      <c r="E65" s="385">
        <f ca="1">[1]DataRT!$E63</f>
        <v>45978.450694444444</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[1]DataRT!$F63</f>
        <v>45.33</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[1]DataRT!$A64</f>
        <v>MVESAP</v>
      </c>
      <c r="B66" s="248"/>
      <c r="C66" s="249"/>
      <c r="D66" s="249">
        <f>ROW()</f>
        <v>66</v>
      </c>
      <c r="E66" s="385">
        <f ca="1">[1]DataRT!$E64</f>
        <v>45978.450787037036</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[1]DataRT!$F64</f>
        <v>211.1</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[1]DataRT!$A65</f>
        <v>MVEUN0</v>
      </c>
      <c r="B67" s="248"/>
      <c r="C67" s="249"/>
      <c r="D67" s="249">
        <f>ROW()</f>
        <v>67</v>
      </c>
      <c r="E67" s="385">
        <f ca="1">[1]DataRT!$E65</f>
        <v>45978.447916666664</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[1]DataRT!$F65</f>
        <v>28.6</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[1]DataRT!$A66</f>
        <v>SAFAAPL</v>
      </c>
      <c r="B68" s="248"/>
      <c r="C68" s="249"/>
      <c r="D68" s="249">
        <f>ROW()</f>
        <v>68</v>
      </c>
      <c r="E68" s="385">
        <f ca="1">[1]DataRT!$E66</f>
        <v>45975.943448899998</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[1]DataRT!$F66</f>
        <v>272.95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[1]DataRT!$A67</f>
        <v>SAFAMZN</v>
      </c>
      <c r="B69" s="248"/>
      <c r="C69" s="249"/>
      <c r="D69" s="249">
        <f>ROW()</f>
        <v>69</v>
      </c>
      <c r="E69" s="385">
        <f ca="1">[1]DataRT!$E67</f>
        <v>45976.041631921093</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[1]DataRT!$F67</f>
        <v>237.58</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[1]DataRT!$A68</f>
        <v>SAFASML</v>
      </c>
      <c r="B70" s="248"/>
      <c r="C70" s="249"/>
      <c r="D70" s="249">
        <f>ROW()</f>
        <v>70</v>
      </c>
      <c r="E70" s="385">
        <f ca="1">[1]DataRT!$E68</f>
        <v>45978.450787037036</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[1]DataRT!$F68</f>
        <v>874.1</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[1]DataRT!$A69</f>
        <v>SAFDDD</v>
      </c>
      <c r="B71" s="248"/>
      <c r="C71" s="249"/>
      <c r="D71" s="249">
        <f>ROW()</f>
        <v>71</v>
      </c>
      <c r="E71" s="385">
        <f ca="1">[1]DataRT!$E69</f>
        <v>45975.988048899999</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[1]DataRT!$F69</f>
        <v>2.16</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[1]DataRT!$A70</f>
        <v>SAFDIS</v>
      </c>
      <c r="B72" s="248"/>
      <c r="C72" s="249"/>
      <c r="D72" s="249">
        <f>ROW()</f>
        <v>72</v>
      </c>
      <c r="E72" s="385">
        <f ca="1">[1]DataRT!$E70</f>
        <v>45975.875001492968</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[1]DataRT!$F70</f>
        <v>107.61</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[1]DataRT!$A71</f>
        <v>SAFGM</v>
      </c>
      <c r="B73" s="248"/>
      <c r="C73" s="249"/>
      <c r="D73" s="249">
        <f>ROW()</f>
        <v>73</v>
      </c>
      <c r="E73" s="385">
        <f ca="1">[1]DataRT!$E71</f>
        <v>45975.888899710153</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[1]DataRT!$F71</f>
        <v>71.89</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[1]DataRT!$A72</f>
        <v>SAFIAG</v>
      </c>
      <c r="B74" s="248"/>
      <c r="C74" s="249"/>
      <c r="D74" s="249">
        <f>ROW()</f>
        <v>74</v>
      </c>
      <c r="E74" s="385">
        <f ca="1">[1]DataRT!$E72</f>
        <v>45978.450759409374</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[1]DataRT!$F72</f>
        <v>387.5</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[1]DataRT!$A73</f>
        <v>SAFMRNA</v>
      </c>
      <c r="B75" s="248"/>
      <c r="C75" s="249"/>
      <c r="D75" s="249">
        <f>ROW()</f>
        <v>75</v>
      </c>
      <c r="E75" s="385">
        <f ca="1">[1]DataRT!$E73</f>
        <v>45975.875000983593</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[1]DataRT!$F73</f>
        <v>24.96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[1]DataRT!$A74</f>
        <v>BLNK</v>
      </c>
      <c r="B76" s="248"/>
      <c r="C76" s="249"/>
      <c r="D76" s="249">
        <f>ROW()</f>
        <v>76</v>
      </c>
      <c r="E76" s="385">
        <f ca="1">[1]DataRT!$E74</f>
        <v>45975.875011967189</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[1]DataRT!$F74</f>
        <v>1.46</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[1]DataRT!$A75</f>
        <v>ENI</v>
      </c>
      <c r="B77" s="248"/>
      <c r="C77" s="249"/>
      <c r="D77" s="249">
        <f>ROW()</f>
        <v>77</v>
      </c>
      <c r="E77" s="385">
        <f ca="1">[1]DataRT!$E75</f>
        <v>45978.450810185182</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[1]DataRT!$F75</f>
        <v>16.474</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[1]DataRT!$A76</f>
        <v>EZJ</v>
      </c>
      <c r="B78" s="248"/>
      <c r="C78" s="249"/>
      <c r="D78" s="249">
        <f>ROW()</f>
        <v>78</v>
      </c>
      <c r="E78" s="385">
        <f ca="1">[1]DataRT!$E76</f>
        <v>45978.450518171092</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[1]DataRT!$F76</f>
        <v>469.2</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[1]DataRT!$A77</f>
        <v>F</v>
      </c>
      <c r="B79" s="248"/>
      <c r="C79" s="249"/>
      <c r="D79" s="249">
        <f>ROW()</f>
        <v>79</v>
      </c>
      <c r="E79" s="385">
        <f ca="1">[1]DataRT!$E77</f>
        <v>45975.885475231247</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[1]DataRT!$F77</f>
        <v>13.28</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[1]DataRT!$A78</f>
        <v>GLE</v>
      </c>
      <c r="B80" s="248"/>
      <c r="C80" s="249"/>
      <c r="D80" s="249">
        <f>ROW()</f>
        <v>80</v>
      </c>
      <c r="E80" s="385">
        <f ca="1">[1]DataRT!$E78</f>
        <v>45978.450752314813</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[1]DataRT!$F78</f>
        <v>57.98</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[1]DataRT!$A79</f>
        <v>GNRC</v>
      </c>
      <c r="B81" s="248"/>
      <c r="C81" s="249"/>
      <c r="D81" s="249">
        <f>ROW()</f>
        <v>81</v>
      </c>
      <c r="E81" s="385">
        <f ca="1">[1]DataRT!$E79</f>
        <v>45975.888899687503</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[1]DataRT!$F79</f>
        <v>154.63</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[1]DataRT!$A80</f>
        <v>GS</v>
      </c>
      <c r="B82" s="248"/>
      <c r="C82" s="249"/>
      <c r="D82" s="249">
        <f>ROW()</f>
        <v>82</v>
      </c>
      <c r="E82" s="385">
        <f ca="1">[1]DataRT!$E80</f>
        <v>45975.89176975625</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[1]DataRT!$F80</f>
        <v>805.5</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[1]DataRT!$A81</f>
        <v>LAZR</v>
      </c>
      <c r="B83" s="248"/>
      <c r="C83" s="249"/>
      <c r="D83" s="249">
        <f>ROW()</f>
        <v>83</v>
      </c>
      <c r="E83" s="385">
        <f ca="1">[1]DataRT!$E81</f>
        <v>45975.87501148125</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[1]DataRT!$F81</f>
        <v>1.06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[1]DataRT!$A82</f>
        <v>LUV</v>
      </c>
      <c r="B84" s="248"/>
      <c r="C84" s="249"/>
      <c r="D84" s="249">
        <f>ROW()</f>
        <v>84</v>
      </c>
      <c r="E84" s="385">
        <f ca="1">[1]DataRT!$E82</f>
        <v>45975.998725925783</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[1]DataRT!$F82</f>
        <v>33.04</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[1]DataRT!$A83</f>
        <v>MA</v>
      </c>
      <c r="B85" s="248"/>
      <c r="C85" s="249"/>
      <c r="D85" s="249">
        <f>ROW()</f>
        <v>85</v>
      </c>
      <c r="E85" s="385">
        <f ca="1">[1]DataRT!$E83</f>
        <v>45975.940730000002</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[1]DataRT!$F83</f>
        <v>555.57000000000005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[1]DataRT!$A84</f>
        <v>NVAX</v>
      </c>
      <c r="B86" s="248"/>
      <c r="C86" s="249"/>
      <c r="D86" s="249">
        <f>ROW()</f>
        <v>86</v>
      </c>
      <c r="E86" s="385">
        <f ca="1">[1]DataRT!$E84</f>
        <v>45975.87512053203</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[1]DataRT!$F84</f>
        <v>7.06</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[1]DataRT!$A85</f>
        <v>NVS</v>
      </c>
      <c r="B87" s="248"/>
      <c r="C87" s="249"/>
      <c r="D87" s="249">
        <f>ROW()</f>
        <v>87</v>
      </c>
      <c r="E87" s="385">
        <f ca="1">[1]DataRT!$E85</f>
        <v>45975.881944444445</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[1]DataRT!$F85</f>
        <v>131.91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[1]DataRT!$A86</f>
        <v>ORA</v>
      </c>
      <c r="B88" s="248"/>
      <c r="C88" s="249"/>
      <c r="D88" s="249">
        <f>ROW()</f>
        <v>88</v>
      </c>
      <c r="E88" s="385">
        <f ca="1">[1]DataRT!$E86</f>
        <v>45978.450335648151</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[1]DataRT!$F86</f>
        <v>14.02</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[1]DataRT!$A87</f>
        <v>OXY</v>
      </c>
      <c r="B89" s="248"/>
      <c r="C89" s="249"/>
      <c r="D89" s="249">
        <f>ROW()</f>
        <v>89</v>
      </c>
      <c r="E89" s="385">
        <f ca="1">[1]DataRT!$E87</f>
        <v>45975.915142210157</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[1]DataRT!$F87</f>
        <v>42.02</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[1]DataRT!$A88</f>
        <v>PFE</v>
      </c>
      <c r="B90" s="248"/>
      <c r="C90" s="249"/>
      <c r="D90" s="249">
        <f>ROW()</f>
        <v>90</v>
      </c>
      <c r="E90" s="385">
        <f ca="1">[1]DataRT!$E88</f>
        <v>45975.888897164063</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[1]DataRT!$F88</f>
        <v>25.79</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[1]DataRT!$A89</f>
        <v>RIG</v>
      </c>
      <c r="B91" s="248"/>
      <c r="C91" s="249"/>
      <c r="D91" s="249">
        <f>ROW()</f>
        <v>91</v>
      </c>
      <c r="E91" s="385">
        <f ca="1">[1]DataRT!$E89</f>
        <v>45976.039006307816</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[1]DataRT!$F89</f>
        <v>4.01</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[1]DataRT!$A90</f>
        <v>RRC</v>
      </c>
      <c r="B92" s="248"/>
      <c r="C92" s="249"/>
      <c r="D92" s="249">
        <f>ROW()</f>
        <v>92</v>
      </c>
      <c r="E92" s="385">
        <f ca="1">[1]DataRT!$E90</f>
        <v>45975.911023182809</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[1]DataRT!$F90</f>
        <v>38.020000000000003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[1]DataRT!$A91</f>
        <v>XYZ</v>
      </c>
      <c r="B93" s="240"/>
      <c r="C93" s="241"/>
      <c r="D93" s="241">
        <f>ROW()</f>
        <v>93</v>
      </c>
      <c r="E93" s="386">
        <f ca="1">[1]DataRT!$E91</f>
        <v>45975.94072721016</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[1]DataRT!$F91</f>
        <v>62.3</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[1]DataRT!$A92</f>
        <v>THC</v>
      </c>
      <c r="B94" s="248"/>
      <c r="C94" s="249"/>
      <c r="D94" s="249">
        <f>ROW()</f>
        <v>94</v>
      </c>
      <c r="E94" s="385">
        <f ca="1">[1]DataRT!$E92</f>
        <v>45975.885474953124</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[1]DataRT!$F92</f>
        <v>196.66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[1]DataRT!$A93</f>
        <v>X</v>
      </c>
      <c r="B95" s="240"/>
      <c r="C95" s="241"/>
      <c r="D95" s="241">
        <f>ROW()</f>
        <v>95</v>
      </c>
      <c r="E95" s="386">
        <f ca="1">[1]DataRT!$E93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[1]DataRT!$F93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[1]DataRT!$A94</f>
        <v>LOCK</v>
      </c>
      <c r="B96" s="248"/>
      <c r="C96" s="249"/>
      <c r="D96" s="249">
        <f>ROW()</f>
        <v>96</v>
      </c>
      <c r="E96" s="385">
        <f ca="1">[1]DataRT!$E94</f>
        <v>45978.450659722221</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[1]DataRT!$F94</f>
        <v>10.086</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[1]DataRT!$A95</f>
        <v>JBASML</v>
      </c>
      <c r="D97" s="249">
        <f>ROW()</f>
        <v>97</v>
      </c>
      <c r="E97" s="385">
        <f ca="1">[1]DataRT!$E95</f>
        <v>45978.450787037036</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[1]DataRT!$F95</f>
        <v>874.1</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[1]DataRT!$A96</f>
        <v>JBEOAN</v>
      </c>
      <c r="D98" s="249">
        <f>ROW()</f>
        <v>98</v>
      </c>
      <c r="E98" s="385">
        <f ca="1">[1]DataRT!$E96</f>
        <v>45978.450694444444</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[1]DataRT!$F96</f>
        <v>15.244999999999999</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18000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45975.943448899998</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45950</v>
      </c>
      <c r="G103" s="117">
        <f t="shared" ca="1" si="5"/>
        <v>45951</v>
      </c>
      <c r="H103" s="117">
        <f t="shared" ca="1" si="5"/>
        <v>45952</v>
      </c>
      <c r="I103" s="117">
        <f t="shared" ca="1" si="5"/>
        <v>45953</v>
      </c>
      <c r="J103" s="117">
        <f t="shared" ca="1" si="5"/>
        <v>45954</v>
      </c>
      <c r="K103" s="117">
        <f t="shared" ca="1" si="5"/>
        <v>45957</v>
      </c>
      <c r="L103" s="117">
        <f t="shared" ca="1" si="5"/>
        <v>45958</v>
      </c>
      <c r="M103" s="117">
        <f t="shared" ca="1" si="5"/>
        <v>45959</v>
      </c>
      <c r="N103" s="117">
        <f t="shared" ca="1" si="5"/>
        <v>45960</v>
      </c>
      <c r="O103" s="117">
        <f t="shared" ca="1" si="5"/>
        <v>45961</v>
      </c>
      <c r="P103" s="117">
        <f t="shared" ca="1" si="5"/>
        <v>45964</v>
      </c>
      <c r="Q103" s="117">
        <f t="shared" ca="1" si="5"/>
        <v>45965</v>
      </c>
      <c r="R103" s="117">
        <f t="shared" ca="1" si="5"/>
        <v>45966</v>
      </c>
      <c r="S103" s="117">
        <f t="shared" ca="1" si="5"/>
        <v>45967</v>
      </c>
      <c r="T103" s="117">
        <f t="shared" ca="1" si="5"/>
        <v>45968</v>
      </c>
      <c r="U103" s="117">
        <f t="shared" ca="1" si="5"/>
        <v>45971</v>
      </c>
      <c r="V103" s="117">
        <f t="shared" ca="1" si="5"/>
        <v>45972</v>
      </c>
      <c r="W103" s="117">
        <f t="shared" ca="1" si="5"/>
        <v>45973</v>
      </c>
      <c r="X103" s="117">
        <f t="shared" ca="1" si="5"/>
        <v>45974</v>
      </c>
      <c r="Y103" s="117">
        <f t="shared" ca="1" si="5"/>
        <v>45975</v>
      </c>
      <c r="Z103" s="117">
        <f t="shared" ca="1" si="5"/>
        <v>45978</v>
      </c>
      <c r="AB103" s="117">
        <f t="shared" ref="AB103:AV103" ca="1" si="6">F103</f>
        <v>45950</v>
      </c>
      <c r="AC103" s="117">
        <f t="shared" ca="1" si="6"/>
        <v>45951</v>
      </c>
      <c r="AD103" s="117">
        <f t="shared" ca="1" si="6"/>
        <v>45952</v>
      </c>
      <c r="AE103" s="117">
        <f t="shared" ca="1" si="6"/>
        <v>45953</v>
      </c>
      <c r="AF103" s="117">
        <f t="shared" ca="1" si="6"/>
        <v>45954</v>
      </c>
      <c r="AG103" s="117">
        <f t="shared" ca="1" si="6"/>
        <v>45957</v>
      </c>
      <c r="AH103" s="117">
        <f t="shared" ca="1" si="6"/>
        <v>45958</v>
      </c>
      <c r="AI103" s="117">
        <f t="shared" ca="1" si="6"/>
        <v>45959</v>
      </c>
      <c r="AJ103" s="117">
        <f t="shared" ca="1" si="6"/>
        <v>45960</v>
      </c>
      <c r="AK103" s="117">
        <f t="shared" ca="1" si="6"/>
        <v>45961</v>
      </c>
      <c r="AL103" s="117">
        <f t="shared" ca="1" si="6"/>
        <v>45964</v>
      </c>
      <c r="AM103" s="117">
        <f t="shared" ca="1" si="6"/>
        <v>45965</v>
      </c>
      <c r="AN103" s="117">
        <f t="shared" ca="1" si="6"/>
        <v>45966</v>
      </c>
      <c r="AO103" s="117">
        <f t="shared" ca="1" si="6"/>
        <v>45967</v>
      </c>
      <c r="AP103" s="117">
        <f t="shared" ca="1" si="6"/>
        <v>45968</v>
      </c>
      <c r="AQ103" s="117">
        <f t="shared" ca="1" si="6"/>
        <v>45971</v>
      </c>
      <c r="AR103" s="117">
        <f t="shared" ca="1" si="6"/>
        <v>45972</v>
      </c>
      <c r="AS103" s="117">
        <f t="shared" ca="1" si="6"/>
        <v>45973</v>
      </c>
      <c r="AT103" s="117">
        <f t="shared" ca="1" si="6"/>
        <v>45974</v>
      </c>
      <c r="AU103" s="117">
        <f t="shared" ca="1" si="6"/>
        <v>45975</v>
      </c>
      <c r="AV103" s="117">
        <f t="shared" ca="1" si="6"/>
        <v>45978</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[1]DataRT!$D3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[1]DataRT!$G3</f>
        <v>271.05</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1.663350115283337E-3</v>
      </c>
      <c r="AW105" s="272"/>
      <c r="AX105" s="88" t="str">
        <f t="shared" ref="AX105:AX136" ca="1" si="8">A105</f>
        <v>AAPL</v>
      </c>
      <c r="AY105" t="s">
        <v>1015</v>
      </c>
      <c r="AZ105" t="s">
        <v>1015</v>
      </c>
      <c r="BA105" s="251">
        <v>1589</v>
      </c>
      <c r="EH105" s="110"/>
    </row>
    <row r="106" spans="1:248" x14ac:dyDescent="0.3">
      <c r="A106" s="239" t="str">
        <f t="shared" ca="1" si="7"/>
        <v>ADEA</v>
      </c>
      <c r="B106" s="248" t="str">
        <f ca="1">[1]DataRT!$D4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[1]DataRT!$G4</f>
        <v>12.96</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1.1948287810356775E-6</v>
      </c>
      <c r="AW106" s="273"/>
      <c r="AX106" s="88" t="str">
        <f t="shared" ca="1" si="8"/>
        <v>ADEA</v>
      </c>
      <c r="CP106" s="273"/>
      <c r="EH106" s="110"/>
    </row>
    <row r="107" spans="1:248" x14ac:dyDescent="0.3">
      <c r="A107" s="239" t="str">
        <f t="shared" ca="1" si="7"/>
        <v>AET</v>
      </c>
      <c r="B107" s="240" t="str">
        <f ca="1">[1]DataRT!$D5</f>
        <v>GBp</v>
      </c>
      <c r="C107" s="241"/>
      <c r="D107" s="1106">
        <f>ROW()</f>
        <v>107</v>
      </c>
      <c r="E107" s="242"/>
      <c r="F107" s="243">
        <v>46.1</v>
      </c>
      <c r="G107" s="243" t="e" vm="433">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[1]DataRT!$G5</f>
        <v>47</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0.17172375690607736</v>
      </c>
      <c r="AW107" s="274"/>
      <c r="AX107" s="88" t="str">
        <f t="shared" ca="1" si="8"/>
        <v>AET</v>
      </c>
      <c r="AY107" t="s">
        <v>2460</v>
      </c>
      <c r="BA107" s="251">
        <f>ROW(A1697)</f>
        <v>1697</v>
      </c>
      <c r="CP107" s="274"/>
      <c r="EH107" s="110"/>
    </row>
    <row r="108" spans="1:248" x14ac:dyDescent="0.3">
      <c r="A108" s="239" t="str">
        <f t="shared" ca="1" si="7"/>
        <v>AMZN</v>
      </c>
      <c r="B108" s="248" t="str">
        <f ca="1">[1]DataRT!$D6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[1]DataRT!$G6</f>
        <v>235.06</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2.7120209366645639E-3</v>
      </c>
      <c r="AW108" s="277"/>
      <c r="AX108" s="88" t="str">
        <f t="shared" ca="1" si="8"/>
        <v>AMZN</v>
      </c>
      <c r="BA108" s="251">
        <v>1886</v>
      </c>
      <c r="CP108" s="275"/>
      <c r="EH108" s="110"/>
    </row>
    <row r="109" spans="1:248" x14ac:dyDescent="0.3">
      <c r="A109" s="239" t="str">
        <f t="shared" ca="1" si="7"/>
        <v>ALDNE</v>
      </c>
      <c r="B109" s="240" t="str">
        <f ca="1">[1]DataRT!$D7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[1]DataRT!$G7</f>
        <v>0.68</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0.15100864553314122</v>
      </c>
      <c r="AW109" s="277"/>
      <c r="AX109" s="88" t="str">
        <f t="shared" ca="1" si="8"/>
        <v>ALDNE</v>
      </c>
      <c r="BA109" s="251">
        <v>1985</v>
      </c>
      <c r="CP109" s="275"/>
      <c r="EH109" s="110"/>
    </row>
    <row r="110" spans="1:248" x14ac:dyDescent="0.3">
      <c r="A110" s="239" t="str">
        <f t="shared" ca="1" si="7"/>
        <v>ASML</v>
      </c>
      <c r="B110" s="248" t="str">
        <f ca="1">[1]DataRT!$D8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[1]DataRT!$G8</f>
        <v>879.3</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0.1427007365316057</v>
      </c>
      <c r="AW110" s="277"/>
      <c r="AX110" s="88" t="str">
        <f t="shared" ca="1" si="8"/>
        <v>ASML</v>
      </c>
      <c r="BA110" s="251">
        <v>2084</v>
      </c>
      <c r="CP110" s="275"/>
      <c r="EH110" s="110"/>
    </row>
    <row r="111" spans="1:248" x14ac:dyDescent="0.3">
      <c r="A111" s="239" t="str">
        <f t="shared" ca="1" si="7"/>
        <v>AVGO</v>
      </c>
      <c r="B111" s="240" t="str">
        <f ca="1">[1]DataRT!$D11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[1]DataRT!$G9</f>
        <v>331.47</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1.9670701818742457E-3</v>
      </c>
      <c r="AW111" s="277"/>
      <c r="AX111" s="88" t="str">
        <f t="shared" ca="1" si="8"/>
        <v>AVGO</v>
      </c>
      <c r="BA111" s="251">
        <v>2183</v>
      </c>
      <c r="CP111" s="275"/>
      <c r="EH111" s="110"/>
    </row>
    <row r="112" spans="1:248" hidden="1" x14ac:dyDescent="0.3">
      <c r="A112" s="239" t="str">
        <f t="shared" ca="1" si="7"/>
        <v>AZN</v>
      </c>
      <c r="B112" s="248" t="str">
        <f ca="1">[1]DataRT!$D12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[1]DataRT!$G10</f>
        <v>88.515000000000001</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1.4614245077424926E-3</v>
      </c>
      <c r="AW112" s="277"/>
      <c r="AX112" s="88" t="str">
        <f t="shared" ca="1" si="8"/>
        <v>AZN</v>
      </c>
      <c r="BA112" s="251">
        <v>2282</v>
      </c>
      <c r="CP112" s="275"/>
      <c r="EH112" s="110"/>
    </row>
    <row r="113" spans="1:138" hidden="1" x14ac:dyDescent="0.3">
      <c r="A113" s="239" t="str">
        <f t="shared" ca="1" si="7"/>
        <v>BLDP</v>
      </c>
      <c r="B113" s="240" t="str">
        <f ca="1">[1]DataRT!$D13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[1]DataRT!$G11</f>
        <v>2.94</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1.4723542829705686E-3</v>
      </c>
      <c r="AW113" s="277"/>
      <c r="AX113" s="88" t="str">
        <f t="shared" ca="1" si="8"/>
        <v>BLDP</v>
      </c>
      <c r="BA113" s="251">
        <v>2381</v>
      </c>
      <c r="CP113" s="275"/>
      <c r="EH113" s="110"/>
    </row>
    <row r="114" spans="1:138" hidden="1" x14ac:dyDescent="0.3">
      <c r="A114" s="239" t="str">
        <f t="shared" ca="1" si="7"/>
        <v>BMRA</v>
      </c>
      <c r="B114" s="248" t="str">
        <f ca="1">[1]DataRT!$D14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[1]DataRT!$G12</f>
        <v>2.4704000000000002</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2.1129417683310277E-4</v>
      </c>
      <c r="AW114" s="277"/>
      <c r="AX114" s="88" t="str">
        <f t="shared" ca="1" si="8"/>
        <v>BMRA</v>
      </c>
      <c r="BA114" s="251">
        <v>2480</v>
      </c>
      <c r="CP114" s="275"/>
      <c r="EH114" s="110"/>
    </row>
    <row r="115" spans="1:138" hidden="1" x14ac:dyDescent="0.3">
      <c r="A115" s="239" t="str">
        <f t="shared" ca="1" si="7"/>
        <v>C</v>
      </c>
      <c r="B115" s="240" t="str">
        <f ca="1">[1]DataRT!$D15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[1]DataRT!$G13</f>
        <v>99.83</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1.2191787082273127E-4</v>
      </c>
      <c r="AW115" s="277"/>
      <c r="AX115" s="88" t="str">
        <f t="shared" ca="1" si="8"/>
        <v>C</v>
      </c>
      <c r="BA115" s="251">
        <v>2579</v>
      </c>
      <c r="CP115" s="275"/>
      <c r="EH115" s="110"/>
    </row>
    <row r="116" spans="1:138" hidden="1" x14ac:dyDescent="0.3">
      <c r="A116" s="239" t="str">
        <f t="shared" ca="1" si="7"/>
        <v>CSCO</v>
      </c>
      <c r="B116" s="248" t="str">
        <f ca="1">[1]DataRT!$D16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[1]DataRT!$G14</f>
        <v>76.58</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4.3965705683731403E-4</v>
      </c>
      <c r="AW116" s="277"/>
      <c r="AX116" s="88" t="str">
        <f t="shared" ca="1" si="8"/>
        <v>CSCO</v>
      </c>
      <c r="BA116" s="251">
        <v>2678</v>
      </c>
      <c r="CP116" s="275"/>
      <c r="EH116" s="110"/>
    </row>
    <row r="117" spans="1:138" hidden="1" x14ac:dyDescent="0.3">
      <c r="A117" s="239" t="str">
        <f t="shared" ca="1" si="7"/>
        <v>CVS</v>
      </c>
      <c r="B117" s="240" t="str">
        <f ca="1">[1]DataRT!$D17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[1]DataRT!$G15</f>
        <v>79.39</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4.9106485735995575E-5</v>
      </c>
      <c r="AW117" s="277"/>
      <c r="AX117" s="88" t="str">
        <f t="shared" ca="1" si="8"/>
        <v>CVS</v>
      </c>
      <c r="BA117" s="251">
        <v>2777</v>
      </c>
      <c r="CP117" s="275"/>
      <c r="EH117" s="110"/>
    </row>
    <row r="118" spans="1:138" hidden="1" x14ac:dyDescent="0.3">
      <c r="A118" s="239" t="str">
        <f t="shared" ca="1" si="7"/>
        <v>DDD</v>
      </c>
      <c r="B118" s="248" t="str">
        <f ca="1">[1]DataRT!$D18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[1]DataRT!$G16</f>
        <v>2.085</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4.5786842046550367E-4</v>
      </c>
      <c r="AW118" s="277"/>
      <c r="AX118" s="88" t="str">
        <f t="shared" ca="1" si="8"/>
        <v>DDD</v>
      </c>
      <c r="BA118" s="251">
        <v>2876</v>
      </c>
      <c r="CP118" s="275"/>
      <c r="EH118" s="110"/>
    </row>
    <row r="119" spans="1:138" hidden="1" x14ac:dyDescent="0.3">
      <c r="A119" s="239" t="str">
        <f t="shared" ca="1" si="7"/>
        <v>DIS</v>
      </c>
      <c r="B119" s="240" t="str">
        <f ca="1">[1]DataRT!$D19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[1]DataRT!$G17</f>
        <v>107.52</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5.8750465755093165E-4</v>
      </c>
      <c r="AW119" s="277"/>
      <c r="AX119" s="88" t="str">
        <f t="shared" ca="1" si="8"/>
        <v>DIS</v>
      </c>
      <c r="BA119" s="251">
        <v>2975</v>
      </c>
      <c r="CP119" s="275"/>
      <c r="EH119" s="110"/>
    </row>
    <row r="120" spans="1:138" hidden="1" x14ac:dyDescent="0.3">
      <c r="A120" s="239" t="str">
        <f t="shared" ca="1" si="7"/>
        <v>DSY</v>
      </c>
      <c r="B120" s="248" t="str">
        <f ca="1">[1]DataRT!$D20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[1]DataRT!$G18</f>
        <v>24</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0.10492537313432836</v>
      </c>
      <c r="AW120" s="277"/>
      <c r="AX120" s="88" t="str">
        <f t="shared" ca="1" si="8"/>
        <v>DSY</v>
      </c>
      <c r="BA120" s="251">
        <v>3074</v>
      </c>
      <c r="CP120" s="275"/>
      <c r="EH120" s="110"/>
    </row>
    <row r="121" spans="1:138" hidden="1" x14ac:dyDescent="0.3">
      <c r="A121" s="239" t="str">
        <f t="shared" ca="1" si="7"/>
        <v>DVA</v>
      </c>
      <c r="B121" s="240" t="str">
        <f ca="1">[1]DataRT!$D21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[1]DataRT!$G19</f>
        <v>123.4</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0.77739301290205343</v>
      </c>
      <c r="AW121" s="277"/>
      <c r="AX121" s="88" t="str">
        <f t="shared" ca="1" si="8"/>
        <v>DVA</v>
      </c>
      <c r="BA121" s="251">
        <v>3173</v>
      </c>
      <c r="CP121" s="275"/>
      <c r="EH121" s="110"/>
    </row>
    <row r="122" spans="1:138" hidden="1" x14ac:dyDescent="0.3">
      <c r="A122" s="239" t="str">
        <f t="shared" ca="1" si="7"/>
        <v>DXC</v>
      </c>
      <c r="B122" s="248" t="str">
        <f ca="1">[1]DataRT!$D22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[1]DataRT!$G20</f>
        <v>13.25</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7.7021527516940984E-5</v>
      </c>
      <c r="AW122" s="277"/>
      <c r="AX122" s="88" t="str">
        <f t="shared" ca="1" si="8"/>
        <v>DXC</v>
      </c>
      <c r="BA122" s="251">
        <v>3272</v>
      </c>
      <c r="CP122" s="275"/>
      <c r="EH122" s="110"/>
    </row>
    <row r="123" spans="1:138" hidden="1" x14ac:dyDescent="0.3">
      <c r="A123" s="239" t="str">
        <f t="shared" ca="1" si="7"/>
        <v>EOAN</v>
      </c>
      <c r="B123" s="240" t="str">
        <f ca="1">[1]DataRT!$D23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[1]DataRT!$G21</f>
        <v>15.195</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7.1240551570914536E-4</v>
      </c>
      <c r="AW123" s="277"/>
      <c r="AX123" s="88" t="str">
        <f t="shared" ca="1" si="8"/>
        <v>EOAN</v>
      </c>
      <c r="BA123" s="251">
        <v>3371</v>
      </c>
      <c r="CP123" s="275"/>
      <c r="EH123" s="110"/>
    </row>
    <row r="124" spans="1:138" hidden="1" x14ac:dyDescent="0.3">
      <c r="A124" s="239" t="str">
        <f t="shared" ca="1" si="7"/>
        <v>EPIX</v>
      </c>
      <c r="B124" s="248" t="str">
        <f ca="1">[1]DataRT!$D24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[1]DataRT!$G22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[1]DataRT!$D25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[1]DataRT!$G23</f>
        <v>71.36</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8.6062636309864679E-5</v>
      </c>
      <c r="AW125" s="277"/>
      <c r="AX125" s="88" t="str">
        <f t="shared" ca="1" si="8"/>
        <v>GM</v>
      </c>
      <c r="BA125" s="251">
        <v>3569</v>
      </c>
      <c r="CP125" s="275"/>
      <c r="EH125" s="110"/>
    </row>
    <row r="126" spans="1:138" hidden="1" x14ac:dyDescent="0.3">
      <c r="A126" s="239" t="str">
        <f t="shared" ca="1" si="7"/>
        <v>HPE</v>
      </c>
      <c r="B126" s="248" t="str">
        <f ca="1">[1]DataRT!$D26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[1]DataRT!$G24</f>
        <v>22.48</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1.2243818965373132E-3</v>
      </c>
      <c r="AW126" s="277"/>
      <c r="AX126" s="88" t="str">
        <f t="shared" ca="1" si="8"/>
        <v>HPE</v>
      </c>
      <c r="BA126" s="251">
        <v>3668</v>
      </c>
      <c r="CP126" s="275"/>
      <c r="EH126" s="110"/>
    </row>
    <row r="127" spans="1:138" hidden="1" x14ac:dyDescent="0.3">
      <c r="A127" s="239" t="str">
        <f t="shared" ca="1" si="7"/>
        <v>HPQ</v>
      </c>
      <c r="B127" s="240" t="str">
        <f ca="1">[1]DataRT!$D27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[1]DataRT!$G25</f>
        <v>24.7</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4.3166557896760572E-3</v>
      </c>
      <c r="AW127" s="277"/>
      <c r="AX127" s="88" t="str">
        <f t="shared" ca="1" si="8"/>
        <v>HPQ</v>
      </c>
      <c r="BA127" s="251">
        <v>3767</v>
      </c>
      <c r="CP127" s="275"/>
      <c r="EH127" s="110"/>
    </row>
    <row r="128" spans="1:138" hidden="1" x14ac:dyDescent="0.3">
      <c r="A128" s="239" t="str">
        <f t="shared" ca="1" si="7"/>
        <v>IAG</v>
      </c>
      <c r="B128" s="248" t="str">
        <f ca="1">[1]DataRT!$D28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[1]DataRT!$G26</f>
        <v>388.5</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0.10512331511079581</v>
      </c>
      <c r="AW128" s="277"/>
      <c r="AX128" s="88" t="str">
        <f t="shared" ca="1" si="8"/>
        <v>IAG</v>
      </c>
      <c r="BA128" s="251">
        <v>3866</v>
      </c>
      <c r="CP128" s="275"/>
      <c r="EH128" s="110"/>
    </row>
    <row r="129" spans="1:138" hidden="1" x14ac:dyDescent="0.3">
      <c r="A129" s="239" t="str">
        <f t="shared" ca="1" si="7"/>
        <v>KR</v>
      </c>
      <c r="B129" s="240" t="str">
        <f ca="1">[1]DataRT!$D29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[1]DataRT!$G27</f>
        <v>65.94</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8.4933270760272677E-6</v>
      </c>
      <c r="AW129" s="277"/>
      <c r="AX129" s="88" t="str">
        <f t="shared" ca="1" si="8"/>
        <v>KR</v>
      </c>
      <c r="BA129" s="251">
        <v>3965</v>
      </c>
      <c r="CP129" s="275"/>
      <c r="EH129" s="110"/>
    </row>
    <row r="130" spans="1:138" hidden="1" x14ac:dyDescent="0.3">
      <c r="A130" s="239" t="str">
        <f t="shared" ca="1" si="7"/>
        <v>LNSR</v>
      </c>
      <c r="B130" s="248" t="str">
        <f ca="1">[1]DataRT!$D30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[1]DataRT!$G28</f>
        <v>10.31</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0.67310504152532458</v>
      </c>
      <c r="AW130" s="277"/>
      <c r="AX130" s="88" t="str">
        <f t="shared" ca="1" si="8"/>
        <v>LNSR</v>
      </c>
      <c r="BA130" s="251">
        <v>4064</v>
      </c>
      <c r="CP130" s="275"/>
      <c r="EH130" s="110"/>
    </row>
    <row r="131" spans="1:138" hidden="1" x14ac:dyDescent="0.3">
      <c r="A131" s="239" t="str">
        <f t="shared" ca="1" si="7"/>
        <v>LUMN</v>
      </c>
      <c r="B131" s="240" t="str">
        <f ca="1">[1]DataRT!$D31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[1]DataRT!$G29</f>
        <v>7.75</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2.8763183520520572E-4</v>
      </c>
      <c r="AW131" s="277"/>
      <c r="AX131" s="88" t="str">
        <f t="shared" ca="1" si="8"/>
        <v>LUMN</v>
      </c>
      <c r="BA131" s="251">
        <v>4163</v>
      </c>
      <c r="CP131" s="275"/>
      <c r="EH131" s="110"/>
    </row>
    <row r="132" spans="1:138" hidden="1" x14ac:dyDescent="0.3">
      <c r="A132" s="239" t="str">
        <f t="shared" ca="1" si="7"/>
        <v>MRNA</v>
      </c>
      <c r="B132" s="248" t="str">
        <f ca="1">[1]DataRT!$D32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[1]DataRT!$G30</f>
        <v>24.434999999999999</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1.1079459906615486E-3</v>
      </c>
      <c r="AW132" s="277"/>
      <c r="AX132" s="88" t="str">
        <f t="shared" ca="1" si="8"/>
        <v>MRNA</v>
      </c>
      <c r="BA132" s="251">
        <v>4262</v>
      </c>
      <c r="CP132" s="275"/>
      <c r="EH132" s="110"/>
    </row>
    <row r="133" spans="1:138" hidden="1" x14ac:dyDescent="0.3">
      <c r="A133" s="239" t="str">
        <f t="shared" ca="1" si="7"/>
        <v>MSFT</v>
      </c>
      <c r="B133" s="240" t="str">
        <f ca="1">[1]DataRT!$D33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[1]DataRT!$G31</f>
        <v>498.23</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1.3927540245892689E-3</v>
      </c>
      <c r="AW133" s="277"/>
      <c r="AX133" s="88" t="str">
        <f t="shared" ca="1" si="8"/>
        <v>MSFT</v>
      </c>
      <c r="BA133" s="251">
        <v>4361</v>
      </c>
      <c r="CP133" s="275"/>
      <c r="EH133" s="110"/>
    </row>
    <row r="134" spans="1:138" hidden="1" x14ac:dyDescent="0.3">
      <c r="A134" s="239" t="str">
        <f t="shared" ca="1" si="7"/>
        <v>NEE</v>
      </c>
      <c r="B134" s="248" t="str">
        <f ca="1">[1]DataRT!$D34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[1]DataRT!$G32</f>
        <v>83.51</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1.303453695704332E-4</v>
      </c>
      <c r="AW134" s="277"/>
      <c r="AX134" s="88" t="str">
        <f t="shared" ca="1" si="8"/>
        <v>NEE</v>
      </c>
      <c r="BA134" s="251">
        <v>4460</v>
      </c>
      <c r="CP134" s="275"/>
      <c r="EH134" s="110"/>
    </row>
    <row r="135" spans="1:138" hidden="1" x14ac:dyDescent="0.3">
      <c r="A135" s="239" t="str">
        <f t="shared" ca="1" si="7"/>
        <v>NEM</v>
      </c>
      <c r="B135" s="240" t="str">
        <f ca="1">[1]DataRT!$D35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[1]DataRT!$G33</f>
        <v>86.19</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4.6623648690558679E-4</v>
      </c>
      <c r="AW135" s="277"/>
      <c r="AX135" s="88" t="str">
        <f t="shared" ca="1" si="8"/>
        <v>NEM</v>
      </c>
      <c r="BA135" s="251">
        <v>4559</v>
      </c>
      <c r="CP135" s="275"/>
      <c r="EH135" s="110"/>
    </row>
    <row r="136" spans="1:138" hidden="1" x14ac:dyDescent="0.3">
      <c r="A136" s="239" t="str">
        <f t="shared" ca="1" si="7"/>
        <v>NFLX</v>
      </c>
      <c r="B136" s="248" t="str">
        <f ca="1">[1]DataRT!$D36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[1]DataRT!$G34</f>
        <v>1142.73</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3.4597705182637987E-2</v>
      </c>
      <c r="AW136" s="277"/>
      <c r="AX136" s="88" t="str">
        <f t="shared" ca="1" si="8"/>
        <v>NFLX</v>
      </c>
      <c r="BA136" s="251">
        <v>4658</v>
      </c>
      <c r="CP136" s="275"/>
      <c r="EH136" s="110"/>
    </row>
    <row r="137" spans="1:138" hidden="1" x14ac:dyDescent="0.3">
      <c r="A137" s="239" t="str">
        <f t="shared" ref="A137:A168" ca="1" si="9">A37</f>
        <v>NOTE</v>
      </c>
      <c r="B137" s="240" t="str">
        <f ca="1">[1]DataRT!$D37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[1]DataRT!$G35</f>
        <v>2.52</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1.1904908516935759E-4</v>
      </c>
      <c r="AW137" s="277"/>
      <c r="AX137" s="88" t="str">
        <f t="shared" ref="AX137:AX168" ca="1" si="10">A137</f>
        <v>NOTE</v>
      </c>
      <c r="BA137" s="251">
        <v>4757</v>
      </c>
      <c r="CP137" s="275"/>
      <c r="EH137" s="110"/>
    </row>
    <row r="138" spans="1:138" hidden="1" x14ac:dyDescent="0.3">
      <c r="A138" s="239" t="str">
        <f t="shared" ca="1" si="9"/>
        <v>PAAS</v>
      </c>
      <c r="B138" s="248" t="str">
        <f ca="1">[1]DataRT!$D38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[1]DataRT!$G36</f>
        <v>36.81</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5.2451708599980218E-4</v>
      </c>
      <c r="AW138" s="277"/>
      <c r="AX138" s="88" t="str">
        <f t="shared" ca="1" si="10"/>
        <v>PAAS</v>
      </c>
      <c r="BA138" s="251">
        <v>4856</v>
      </c>
      <c r="CP138" s="275"/>
      <c r="EH138" s="110"/>
    </row>
    <row r="139" spans="1:138" hidden="1" x14ac:dyDescent="0.3">
      <c r="A139" s="239" t="str">
        <f t="shared" ca="1" si="9"/>
        <v>PROF</v>
      </c>
      <c r="B139" s="240" t="str">
        <f ca="1">[1]DataRT!$D39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[1]DataRT!$G37</f>
        <v>5.99</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6.0746796594593659</v>
      </c>
      <c r="AW139" s="277"/>
      <c r="AX139" s="88" t="str">
        <f t="shared" ca="1" si="10"/>
        <v>PROF</v>
      </c>
      <c r="BA139" s="251">
        <v>4955</v>
      </c>
      <c r="CP139" s="275"/>
      <c r="EH139" s="110"/>
    </row>
    <row r="140" spans="1:138" hidden="1" x14ac:dyDescent="0.3">
      <c r="A140" s="239" t="str">
        <f t="shared" ca="1" si="9"/>
        <v>POET</v>
      </c>
      <c r="B140" s="248" t="str">
        <f ca="1">[1]DataRT!$D40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[1]DataRT!$G38</f>
        <v>4.2</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2.8162469848329948E-3</v>
      </c>
      <c r="AW140" s="277"/>
      <c r="AX140" s="88" t="str">
        <f t="shared" ca="1" si="10"/>
        <v>POET</v>
      </c>
      <c r="BA140" s="251">
        <v>5054</v>
      </c>
      <c r="CP140" s="275"/>
      <c r="EH140" s="110"/>
    </row>
    <row r="141" spans="1:138" hidden="1" x14ac:dyDescent="0.3">
      <c r="A141" s="239" t="str">
        <f t="shared" ca="1" si="9"/>
        <v>PW</v>
      </c>
      <c r="B141" s="240" t="str">
        <f ca="1">[1]DataRT!$D41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[1]DataRT!$G39</f>
        <v>0.6</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9.3454688987438753E-3</v>
      </c>
      <c r="AW141" s="277"/>
      <c r="AX141" s="88" t="str">
        <f t="shared" ca="1" si="10"/>
        <v>PW</v>
      </c>
      <c r="BA141" s="251">
        <v>5153</v>
      </c>
      <c r="CP141" s="275"/>
      <c r="EH141" s="110"/>
    </row>
    <row r="142" spans="1:138" hidden="1" x14ac:dyDescent="0.3">
      <c r="A142" s="239" t="str">
        <f t="shared" ca="1" si="9"/>
        <v>RIGL</v>
      </c>
      <c r="B142" s="248" t="str">
        <f ca="1">[1]DataRT!$D42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[1]DataRT!$G40</f>
        <v>39.53</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9.3750837061045182E-5</v>
      </c>
      <c r="AW142" s="277"/>
      <c r="AX142" s="88" t="str">
        <f t="shared" ca="1" si="10"/>
        <v>RIGL</v>
      </c>
      <c r="BA142" s="251">
        <v>5252</v>
      </c>
      <c r="CP142" s="275"/>
      <c r="EH142" s="110"/>
    </row>
    <row r="143" spans="1:138" hidden="1" x14ac:dyDescent="0.3">
      <c r="A143" s="239" t="str">
        <f t="shared" ca="1" si="9"/>
        <v>RWE</v>
      </c>
      <c r="B143" s="240" t="str">
        <f ca="1">[1]DataRT!$D43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[1]DataRT!$G41</f>
        <v>45.7</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7.3873717920976329E-4</v>
      </c>
      <c r="AW143" s="277"/>
      <c r="AX143" s="88" t="str">
        <f t="shared" ca="1" si="10"/>
        <v>RWE</v>
      </c>
      <c r="BA143" s="251">
        <v>5351</v>
      </c>
      <c r="CP143" s="275"/>
      <c r="EH143" s="110"/>
    </row>
    <row r="144" spans="1:138" hidden="1" x14ac:dyDescent="0.3">
      <c r="A144" s="239" t="str">
        <f t="shared" ca="1" si="9"/>
        <v>SAP</v>
      </c>
      <c r="B144" s="248" t="str">
        <f ca="1">[1]DataRT!$D44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[1]DataRT!$G42</f>
        <v>211.6</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0.15718001402410189</v>
      </c>
      <c r="AW144" s="277"/>
      <c r="AX144" s="88" t="str">
        <f t="shared" ca="1" si="10"/>
        <v>SAP</v>
      </c>
      <c r="BA144" s="251">
        <v>5450</v>
      </c>
      <c r="CP144" s="275"/>
      <c r="EH144" s="110"/>
    </row>
    <row r="145" spans="1:138" hidden="1" x14ac:dyDescent="0.3">
      <c r="A145" s="239" t="str">
        <f t="shared" ca="1" si="9"/>
        <v>SHECY</v>
      </c>
      <c r="B145" s="240" t="str">
        <f ca="1">[1]DataRT!$D45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[1]DataRT!$G43</f>
        <v>14.94</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0.12795064721805283</v>
      </c>
      <c r="AW145" s="277"/>
      <c r="AX145" s="88" t="str">
        <f t="shared" ca="1" si="10"/>
        <v>SHECY</v>
      </c>
      <c r="BA145" s="251">
        <v>5549</v>
      </c>
      <c r="CP145" s="275"/>
      <c r="EH145" s="110"/>
    </row>
    <row r="146" spans="1:138" hidden="1" x14ac:dyDescent="0.3">
      <c r="A146" s="239" t="str">
        <f t="shared" ca="1" si="9"/>
        <v>SSYS</v>
      </c>
      <c r="B146" s="248" t="str">
        <f ca="1">[1]DataRT!$D46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[1]DataRT!$G44</f>
        <v>8.91</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7.0318592659626732E-4</v>
      </c>
      <c r="AW146" s="277"/>
      <c r="AX146" s="88" t="str">
        <f t="shared" ca="1" si="10"/>
        <v>SSYS</v>
      </c>
      <c r="BA146" s="251">
        <v>5648</v>
      </c>
      <c r="CP146" s="275"/>
      <c r="EH146" s="110"/>
    </row>
    <row r="147" spans="1:138" hidden="1" x14ac:dyDescent="0.3">
      <c r="A147" s="239" t="str">
        <f t="shared" ca="1" si="9"/>
        <v>TSLA</v>
      </c>
      <c r="B147" s="240" t="str">
        <f ca="1">[1]DataRT!$D47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[1]DataRT!$G45</f>
        <v>386.3</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3.9707188888134714E-3</v>
      </c>
      <c r="AW147" s="277"/>
      <c r="AX147" s="88" t="str">
        <f t="shared" ca="1" si="10"/>
        <v>TSLA</v>
      </c>
      <c r="BA147" s="251">
        <v>5747</v>
      </c>
      <c r="CP147" s="275"/>
      <c r="EH147" s="110"/>
    </row>
    <row r="148" spans="1:138" hidden="1" x14ac:dyDescent="0.3">
      <c r="A148" s="239" t="str">
        <f t="shared" ca="1" si="9"/>
        <v>TSM</v>
      </c>
      <c r="B148" s="248" t="str">
        <f ca="1">[1]DataRT!$D48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[1]DataRT!$G46</f>
        <v>275.91000000000003</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3.579393845927167E-3</v>
      </c>
      <c r="AW148" s="277"/>
      <c r="AX148" s="88" t="str">
        <f t="shared" ca="1" si="10"/>
        <v>TSM</v>
      </c>
      <c r="BA148" s="251">
        <v>5846</v>
      </c>
      <c r="CP148" s="275"/>
      <c r="EH148" s="110"/>
    </row>
    <row r="149" spans="1:138" hidden="1" x14ac:dyDescent="0.3">
      <c r="A149" s="239" t="str">
        <f t="shared" ca="1" si="9"/>
        <v>UN0</v>
      </c>
      <c r="B149" s="240" t="e">
        <f>[1]DataRT!#REF!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[1]DataRT!$G47</f>
        <v>29.65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2.5362318840579712E-2</v>
      </c>
      <c r="AW149" s="277"/>
      <c r="AX149" s="88" t="str">
        <f t="shared" ca="1" si="10"/>
        <v>UN0</v>
      </c>
      <c r="BA149" s="251">
        <v>5945</v>
      </c>
      <c r="CP149" s="275"/>
      <c r="EH149" s="110"/>
    </row>
    <row r="150" spans="1:138" hidden="1" x14ac:dyDescent="0.3">
      <c r="A150" s="239" t="str">
        <f t="shared" ca="1" si="9"/>
        <v>UNIT</v>
      </c>
      <c r="B150" s="248" t="e">
        <f>[1]DataRT!#REF!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[1]DataRT!$G48</f>
        <v>5.9</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3.1156902902410422E-5</v>
      </c>
      <c r="AW150" s="277"/>
      <c r="AX150" s="88" t="str">
        <f t="shared" ca="1" si="10"/>
        <v>UNIT</v>
      </c>
      <c r="BA150" s="251">
        <v>6044</v>
      </c>
      <c r="CP150" s="275"/>
      <c r="EH150" s="110"/>
    </row>
    <row r="151" spans="1:138" hidden="1" x14ac:dyDescent="0.3">
      <c r="A151" s="239" t="str">
        <f t="shared" ca="1" si="9"/>
        <v>VLVLY</v>
      </c>
      <c r="B151" s="240" t="str">
        <f ca="1">[1]DataRT!$D49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[1]DataRT!$G49</f>
        <v>27.82</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3.0948271353104243E-2</v>
      </c>
      <c r="AW151" s="277"/>
      <c r="AX151" s="88" t="str">
        <f t="shared" ca="1" si="10"/>
        <v>VLVLY</v>
      </c>
      <c r="BA151" s="251">
        <v>6143</v>
      </c>
      <c r="CP151" s="275"/>
      <c r="EH151" s="110"/>
    </row>
    <row r="152" spans="1:138" hidden="1" x14ac:dyDescent="0.3">
      <c r="A152" s="239" t="str">
        <f t="shared" ca="1" si="9"/>
        <v>VONN</v>
      </c>
      <c r="B152" s="248" t="str">
        <f ca="1">[1]DataRT!$D50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[1]DataRT!$G50</f>
        <v>60</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0.42833015527104329</v>
      </c>
      <c r="AW152" s="277"/>
      <c r="AX152" s="88" t="str">
        <f t="shared" ca="1" si="10"/>
        <v>VONN</v>
      </c>
      <c r="BA152" s="251">
        <v>6242</v>
      </c>
      <c r="CP152" s="275"/>
      <c r="EH152" s="110"/>
    </row>
    <row r="153" spans="1:138" hidden="1" x14ac:dyDescent="0.3">
      <c r="A153" s="239" t="str">
        <f t="shared" ca="1" si="9"/>
        <v>VTRS</v>
      </c>
      <c r="B153" s="240" t="str">
        <f ca="1">[1]DataRT!$D51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[1]DataRT!$G51</f>
        <v>10.83</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5.6187673121244343E-7</v>
      </c>
      <c r="AW153" s="277"/>
      <c r="AX153" s="88" t="str">
        <f t="shared" ca="1" si="10"/>
        <v>VTRS</v>
      </c>
      <c r="BA153" s="251">
        <v>6341</v>
      </c>
      <c r="CP153" s="275"/>
      <c r="EH153" s="110"/>
    </row>
    <row r="154" spans="1:138" hidden="1" x14ac:dyDescent="0.3">
      <c r="A154" s="239" t="str">
        <f t="shared" ca="1" si="9"/>
        <v>WBA</v>
      </c>
      <c r="B154" s="248" t="str">
        <f ca="1">[1]DataRT!$D52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[1]DataRT!$G52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[1]DataRT!$D53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[1]DataRT!$G53</f>
        <v>118.45</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3.4090178993023115E-4</v>
      </c>
      <c r="AW155" s="277"/>
      <c r="AX155" s="88" t="str">
        <f t="shared" ca="1" si="10"/>
        <v>XOM</v>
      </c>
      <c r="BA155" s="251">
        <v>6539</v>
      </c>
      <c r="CP155" s="275"/>
      <c r="EH155" s="110"/>
    </row>
    <row r="156" spans="1:138" hidden="1" x14ac:dyDescent="0.3">
      <c r="A156" s="239" t="str">
        <f t="shared" ca="1" si="9"/>
        <v>XPER</v>
      </c>
      <c r="B156" s="248" t="str">
        <f ca="1">[1]DataRT!$D54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[1]DataRT!$G54</f>
        <v>6.21</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1.1060872052413513</v>
      </c>
      <c r="AW156" s="277"/>
      <c r="AX156" s="88" t="str">
        <f t="shared" ca="1" si="10"/>
        <v>XPER</v>
      </c>
      <c r="BA156" s="251">
        <v>6638</v>
      </c>
      <c r="CP156" s="275"/>
      <c r="EH156" s="110"/>
    </row>
    <row r="157" spans="1:138" hidden="1" x14ac:dyDescent="0.3">
      <c r="A157" s="239" t="str">
        <f t="shared" ca="1" si="9"/>
        <v>MVEALDNE</v>
      </c>
      <c r="B157" s="240" t="str">
        <f ca="1">[1]DataRT!$D55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[1]DataRT!$G55</f>
        <v>0.68</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0.15100864553314122</v>
      </c>
      <c r="AW157" s="277"/>
      <c r="AX157" s="88" t="str">
        <f t="shared" ca="1" si="10"/>
        <v>MVEALDNE</v>
      </c>
      <c r="BA157" s="251">
        <v>6737</v>
      </c>
      <c r="CP157" s="275"/>
      <c r="EH157" s="110"/>
    </row>
    <row r="158" spans="1:138" hidden="1" x14ac:dyDescent="0.3">
      <c r="A158" s="239" t="str">
        <f t="shared" ca="1" si="9"/>
        <v>MVEDDD</v>
      </c>
      <c r="B158" s="248" t="str">
        <f ca="1">[1]DataRT!$D56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[1]DataRT!$G56</f>
        <v>2.085</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4.5786842046550367E-4</v>
      </c>
      <c r="AW158" s="277"/>
      <c r="AX158" s="88" t="str">
        <f t="shared" ca="1" si="10"/>
        <v>MVEDDD</v>
      </c>
      <c r="BA158" s="251">
        <v>6836</v>
      </c>
      <c r="CP158" s="275"/>
      <c r="EH158" s="110"/>
    </row>
    <row r="159" spans="1:138" hidden="1" x14ac:dyDescent="0.3">
      <c r="A159" s="239" t="str">
        <f t="shared" ca="1" si="9"/>
        <v>MVEDSY</v>
      </c>
      <c r="B159" s="240" t="str">
        <f ca="1">[1]DataRT!$D57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[1]DataRT!$G57</f>
        <v>24</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0.10492537313432836</v>
      </c>
      <c r="AW159" s="277"/>
      <c r="AX159" s="88" t="str">
        <f t="shared" ca="1" si="10"/>
        <v>MVEDSY</v>
      </c>
      <c r="BA159" s="251">
        <v>6935</v>
      </c>
      <c r="CP159" s="275"/>
      <c r="EH159" s="110"/>
    </row>
    <row r="160" spans="1:138" hidden="1" x14ac:dyDescent="0.3">
      <c r="A160" s="239" t="str">
        <f t="shared" ca="1" si="9"/>
        <v>MVEEOAN</v>
      </c>
      <c r="B160" s="248" t="str">
        <f ca="1">[1]DataRT!$D58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[1]DataRT!$G58</f>
        <v>15.195</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7.1240551570914536E-4</v>
      </c>
      <c r="AW160" s="277"/>
      <c r="AX160" s="88" t="str">
        <f t="shared" ca="1" si="10"/>
        <v>MVEEOAN</v>
      </c>
      <c r="BA160" s="251">
        <v>7034</v>
      </c>
      <c r="CP160" s="275"/>
      <c r="EH160" s="110"/>
    </row>
    <row r="161" spans="1:138" hidden="1" x14ac:dyDescent="0.3">
      <c r="A161" s="239" t="str">
        <f t="shared" ca="1" si="9"/>
        <v>MVEENI</v>
      </c>
      <c r="B161" s="240" t="str">
        <f ca="1">[1]DataRT!$D59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[1]DataRT!$G59</f>
        <v>16.47</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0.20727782625951161</v>
      </c>
      <c r="AW161" s="277"/>
      <c r="AX161" s="88" t="str">
        <f t="shared" ca="1" si="10"/>
        <v>MVEENI</v>
      </c>
      <c r="BA161" s="251">
        <v>7133</v>
      </c>
      <c r="CP161" s="275"/>
      <c r="EH161" s="110"/>
    </row>
    <row r="162" spans="1:138" hidden="1" x14ac:dyDescent="0.3">
      <c r="A162" s="239" t="str">
        <f t="shared" ca="1" si="9"/>
        <v>MVEEPIX</v>
      </c>
      <c r="B162" s="248" t="str">
        <f ca="1">[1]DataRT!$D60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[1]DataRT!$G60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[1]DataRT!$D61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[1]DataRT!$G61</f>
        <v>58.54</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0.14082448702358652</v>
      </c>
      <c r="AW163" s="277"/>
      <c r="AX163" s="88" t="str">
        <f t="shared" ca="1" si="10"/>
        <v>MVEGLE</v>
      </c>
      <c r="BA163" s="251">
        <v>7331</v>
      </c>
      <c r="CP163" s="275"/>
      <c r="EH163" s="110"/>
    </row>
    <row r="164" spans="1:138" hidden="1" x14ac:dyDescent="0.3">
      <c r="A164" s="239" t="str">
        <f t="shared" ca="1" si="9"/>
        <v>MVEORA</v>
      </c>
      <c r="B164" s="248" t="str">
        <f ca="1">[1]DataRT!$D62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[1]DataRT!$G62</f>
        <v>14.025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0.10826173304693219</v>
      </c>
      <c r="AW164" s="277"/>
      <c r="AX164" s="88" t="str">
        <f t="shared" ca="1" si="10"/>
        <v>MVEORA</v>
      </c>
      <c r="BA164" s="251">
        <v>7430</v>
      </c>
      <c r="CP164" s="275"/>
      <c r="EH164" s="110"/>
    </row>
    <row r="165" spans="1:138" hidden="1" x14ac:dyDescent="0.3">
      <c r="A165" s="239" t="str">
        <f t="shared" ca="1" si="9"/>
        <v>MVERWE</v>
      </c>
      <c r="B165" s="240" t="str">
        <f ca="1">[1]DataRT!$D63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[1]DataRT!$G63</f>
        <v>45.7</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7.3873717920976329E-4</v>
      </c>
      <c r="AW165" s="277"/>
      <c r="AX165" s="88" t="str">
        <f t="shared" ca="1" si="10"/>
        <v>MVERWE</v>
      </c>
      <c r="BA165" s="251">
        <v>7529</v>
      </c>
      <c r="CP165" s="275"/>
      <c r="EH165" s="110"/>
    </row>
    <row r="166" spans="1:138" hidden="1" x14ac:dyDescent="0.3">
      <c r="A166" s="239" t="str">
        <f t="shared" ca="1" si="9"/>
        <v>MVESAP</v>
      </c>
      <c r="B166" s="248" t="str">
        <f ca="1">[1]DataRT!$D64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[1]DataRT!$G64</f>
        <v>211.6</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0.15718001402410189</v>
      </c>
      <c r="AW166" s="277"/>
      <c r="AX166" s="88" t="str">
        <f t="shared" ca="1" si="10"/>
        <v>MVESAP</v>
      </c>
      <c r="BA166" s="251">
        <v>7628</v>
      </c>
      <c r="CP166" s="275"/>
      <c r="EH166" s="110"/>
    </row>
    <row r="167" spans="1:138" hidden="1" x14ac:dyDescent="0.3">
      <c r="A167" s="239" t="str">
        <f t="shared" ca="1" si="9"/>
        <v>MVEUN0</v>
      </c>
      <c r="B167" s="240" t="str">
        <f ca="1">[1]DataRT!$D65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[1]DataRT!$G65</f>
        <v>29.65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2.5362318840579712E-2</v>
      </c>
      <c r="AW167" s="277"/>
      <c r="AX167" s="88" t="str">
        <f t="shared" ca="1" si="10"/>
        <v>MVEUN0</v>
      </c>
      <c r="BA167" s="251">
        <v>7727</v>
      </c>
      <c r="CP167" s="275"/>
      <c r="EH167" s="110"/>
    </row>
    <row r="168" spans="1:138" hidden="1" x14ac:dyDescent="0.3">
      <c r="A168" s="239" t="str">
        <f t="shared" ca="1" si="9"/>
        <v>SAFAAPL</v>
      </c>
      <c r="B168" s="248" t="str">
        <f ca="1">[1]DataRT!$D66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[1]DataRT!$G66</f>
        <v>271.05</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1.663350115283337E-3</v>
      </c>
      <c r="AW168" s="277"/>
      <c r="AX168" s="88" t="str">
        <f t="shared" ca="1" si="10"/>
        <v>SAFAAPL</v>
      </c>
      <c r="BA168" s="251">
        <v>7826</v>
      </c>
      <c r="CP168" s="275"/>
      <c r="EH168" s="110"/>
    </row>
    <row r="169" spans="1:138" hidden="1" x14ac:dyDescent="0.3">
      <c r="A169" s="239" t="str">
        <f t="shared" ref="A169:A198" ca="1" si="11">A69</f>
        <v>SAFAMZN</v>
      </c>
      <c r="B169" s="240" t="str">
        <f ca="1">[1]DataRT!$D67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[1]DataRT!$G67</f>
        <v>235.06</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2.7120209366645639E-3</v>
      </c>
      <c r="AW169" s="277"/>
      <c r="AX169" s="88" t="str">
        <f t="shared" ref="AX169:AX198" ca="1" si="12">A169</f>
        <v>SAFAMZN</v>
      </c>
      <c r="BA169" s="251">
        <v>7925</v>
      </c>
      <c r="CP169" s="275"/>
      <c r="EH169" s="110"/>
    </row>
    <row r="170" spans="1:138" hidden="1" x14ac:dyDescent="0.3">
      <c r="A170" s="239" t="str">
        <f t="shared" ca="1" si="11"/>
        <v>SAFASML</v>
      </c>
      <c r="B170" s="248" t="str">
        <f ca="1">[1]DataRT!$D68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[1]DataRT!$G68</f>
        <v>879.3</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0.1427007365316057</v>
      </c>
      <c r="AW170" s="277"/>
      <c r="AX170" s="88" t="str">
        <f t="shared" ca="1" si="12"/>
        <v>SAFASML</v>
      </c>
      <c r="BA170" s="251">
        <v>8024</v>
      </c>
      <c r="CP170" s="275"/>
      <c r="EH170" s="110"/>
    </row>
    <row r="171" spans="1:138" hidden="1" x14ac:dyDescent="0.3">
      <c r="A171" s="239" t="str">
        <f t="shared" ca="1" si="11"/>
        <v>SAFDDD</v>
      </c>
      <c r="B171" s="240" t="str">
        <f ca="1">[1]DataRT!$D69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[1]DataRT!$G69</f>
        <v>2.085</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4.5786842046550367E-4</v>
      </c>
      <c r="AW171" s="277"/>
      <c r="AX171" s="88" t="str">
        <f t="shared" ca="1" si="12"/>
        <v>SAFDDD</v>
      </c>
      <c r="BA171" s="251">
        <v>8123</v>
      </c>
      <c r="CP171" s="275"/>
      <c r="EH171" s="110"/>
    </row>
    <row r="172" spans="1:138" hidden="1" x14ac:dyDescent="0.3">
      <c r="A172" s="239" t="str">
        <f t="shared" ca="1" si="11"/>
        <v>SAFDIS</v>
      </c>
      <c r="B172" s="248" t="str">
        <f ca="1">[1]DataRT!$D70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[1]DataRT!$G70</f>
        <v>107.52</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5.8750465755093165E-4</v>
      </c>
      <c r="AW172" s="277"/>
      <c r="AX172" s="88" t="str">
        <f t="shared" ca="1" si="12"/>
        <v>SAFDIS</v>
      </c>
      <c r="BA172" s="251">
        <v>8222</v>
      </c>
      <c r="CP172" s="275"/>
      <c r="EH172" s="110"/>
    </row>
    <row r="173" spans="1:138" hidden="1" x14ac:dyDescent="0.3">
      <c r="A173" s="239" t="str">
        <f t="shared" ca="1" si="11"/>
        <v>SAFGM</v>
      </c>
      <c r="B173" s="240" t="str">
        <f ca="1">[1]DataRT!$D71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[1]DataRT!$G71</f>
        <v>71.36</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8.6062636309864679E-5</v>
      </c>
      <c r="AW173" s="277"/>
      <c r="AX173" s="88" t="str">
        <f t="shared" ca="1" si="12"/>
        <v>SAFGM</v>
      </c>
      <c r="BA173" s="251">
        <v>8321</v>
      </c>
      <c r="CP173" s="275"/>
      <c r="EH173" s="110"/>
    </row>
    <row r="174" spans="1:138" hidden="1" x14ac:dyDescent="0.3">
      <c r="A174" s="239" t="str">
        <f t="shared" ca="1" si="11"/>
        <v>SAFIAG</v>
      </c>
      <c r="B174" s="248" t="str">
        <f ca="1">[1]DataRT!$D72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[1]DataRT!$G72</f>
        <v>388.5</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0.10512331511079581</v>
      </c>
      <c r="AW174" s="277"/>
      <c r="AX174" s="88" t="str">
        <f t="shared" ca="1" si="12"/>
        <v>SAFIAG</v>
      </c>
      <c r="BA174" s="251">
        <v>8420</v>
      </c>
      <c r="CP174" s="275"/>
      <c r="EH174" s="110"/>
    </row>
    <row r="175" spans="1:138" hidden="1" x14ac:dyDescent="0.3">
      <c r="A175" s="239" t="str">
        <f t="shared" ca="1" si="11"/>
        <v>SAFMRNA</v>
      </c>
      <c r="B175" s="240" t="str">
        <f ca="1">[1]DataRT!$D73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[1]DataRT!$G73</f>
        <v>24.434999999999999</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1.1079459906615486E-3</v>
      </c>
      <c r="AW175" s="277"/>
      <c r="AX175" s="88" t="str">
        <f t="shared" ca="1" si="12"/>
        <v>SAFMRNA</v>
      </c>
      <c r="BA175" s="251">
        <v>8519</v>
      </c>
      <c r="CP175" s="275"/>
      <c r="EH175" s="110"/>
    </row>
    <row r="176" spans="1:138" hidden="1" x14ac:dyDescent="0.3">
      <c r="A176" s="239" t="str">
        <f t="shared" ca="1" si="11"/>
        <v>BLNK</v>
      </c>
      <c r="B176" s="248" t="str">
        <f ca="1">[1]DataRT!$D74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[1]DataRT!$G74</f>
        <v>1.4</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6.7201642321426539E-5</v>
      </c>
      <c r="AW176" s="277"/>
      <c r="AX176" s="88" t="str">
        <f t="shared" ca="1" si="12"/>
        <v>BLNK</v>
      </c>
      <c r="BA176" s="251">
        <v>8618</v>
      </c>
      <c r="CP176" s="275"/>
      <c r="EH176" s="110"/>
    </row>
    <row r="177" spans="1:138" hidden="1" x14ac:dyDescent="0.3">
      <c r="A177" s="239" t="str">
        <f t="shared" ca="1" si="11"/>
        <v>ENI</v>
      </c>
      <c r="B177" s="240" t="str">
        <f ca="1">[1]DataRT!$D75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[1]DataRT!$G75</f>
        <v>16.47</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0.20727782625951161</v>
      </c>
      <c r="AW177" s="277"/>
      <c r="AX177" s="88" t="str">
        <f t="shared" ca="1" si="12"/>
        <v>ENI</v>
      </c>
      <c r="BA177" s="251">
        <v>8717</v>
      </c>
      <c r="CP177" s="275"/>
      <c r="EH177" s="110"/>
    </row>
    <row r="178" spans="1:138" hidden="1" x14ac:dyDescent="0.3">
      <c r="A178" s="239" t="str">
        <f t="shared" ca="1" si="11"/>
        <v>EZJ</v>
      </c>
      <c r="B178" s="248" t="str">
        <f ca="1">[1]DataRT!$D76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[1]DataRT!$G76</f>
        <v>468</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0.15127421790290552</v>
      </c>
      <c r="AW178" s="277"/>
      <c r="AX178" s="88" t="str">
        <f t="shared" ca="1" si="12"/>
        <v>EZJ</v>
      </c>
      <c r="BA178" s="251">
        <v>8816</v>
      </c>
      <c r="CP178" s="275"/>
      <c r="EH178" s="110"/>
    </row>
    <row r="179" spans="1:138" hidden="1" x14ac:dyDescent="0.3">
      <c r="A179" s="239" t="str">
        <f t="shared" ca="1" si="11"/>
        <v>F</v>
      </c>
      <c r="B179" s="240" t="str">
        <f ca="1">[1]DataRT!$D77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[1]DataRT!$G77</f>
        <v>13.18</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6.9210674470169585E-5</v>
      </c>
      <c r="AW179" s="277"/>
      <c r="AX179" s="88" t="str">
        <f t="shared" ca="1" si="12"/>
        <v>F</v>
      </c>
      <c r="BA179" s="251">
        <v>8915</v>
      </c>
      <c r="CP179" s="275"/>
      <c r="EH179" s="110"/>
    </row>
    <row r="180" spans="1:138" hidden="1" x14ac:dyDescent="0.3">
      <c r="A180" s="239" t="str">
        <f t="shared" ca="1" si="11"/>
        <v>GLE</v>
      </c>
      <c r="B180" s="248" t="str">
        <f ca="1">[1]DataRT!$D78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[1]DataRT!$G78</f>
        <v>58.54</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0.14082448702358652</v>
      </c>
      <c r="AW180" s="277"/>
      <c r="AX180" s="88" t="str">
        <f t="shared" ca="1" si="12"/>
        <v>GLE</v>
      </c>
      <c r="BA180" s="251">
        <v>9014</v>
      </c>
      <c r="CP180" s="275"/>
      <c r="EH180" s="110"/>
    </row>
    <row r="181" spans="1:138" hidden="1" x14ac:dyDescent="0.3">
      <c r="A181" s="239" t="str">
        <f t="shared" ca="1" si="11"/>
        <v>GNRC</v>
      </c>
      <c r="B181" s="240" t="str">
        <f ca="1">[1]DataRT!$D79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[1]DataRT!$G79</f>
        <v>150.91</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1.5818336471835091E-5</v>
      </c>
      <c r="AW181" s="277"/>
      <c r="AX181" s="88" t="str">
        <f t="shared" ca="1" si="12"/>
        <v>GNRC</v>
      </c>
      <c r="BA181" s="251">
        <v>9113</v>
      </c>
      <c r="CP181" s="275"/>
      <c r="EH181" s="110"/>
    </row>
    <row r="182" spans="1:138" hidden="1" x14ac:dyDescent="0.3">
      <c r="A182" s="239" t="str">
        <f t="shared" ca="1" si="11"/>
        <v>GS</v>
      </c>
      <c r="B182" s="248" t="str">
        <f ca="1">[1]DataRT!$D80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[1]DataRT!$G80</f>
        <v>795.55</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2.8609005735359916E-4</v>
      </c>
      <c r="AW182" s="277"/>
      <c r="AX182" s="88" t="str">
        <f t="shared" ca="1" si="12"/>
        <v>GS</v>
      </c>
      <c r="BA182" s="251">
        <v>9212</v>
      </c>
      <c r="CP182" s="275"/>
      <c r="EH182" s="110"/>
    </row>
    <row r="183" spans="1:138" hidden="1" x14ac:dyDescent="0.3">
      <c r="A183" s="239" t="str">
        <f t="shared" ca="1" si="11"/>
        <v>LAZR</v>
      </c>
      <c r="B183" s="240" t="str">
        <f ca="1">[1]DataRT!$D81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[1]DataRT!$G81</f>
        <v>1.1499999999999999</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2.335548082497526E-3</v>
      </c>
      <c r="AW183" s="277"/>
      <c r="AX183" s="88" t="str">
        <f t="shared" ca="1" si="12"/>
        <v>LAZR</v>
      </c>
      <c r="BA183" s="251">
        <v>9311</v>
      </c>
      <c r="CP183" s="275"/>
      <c r="EH183" s="110"/>
    </row>
    <row r="184" spans="1:138" hidden="1" x14ac:dyDescent="0.3">
      <c r="A184" s="239" t="str">
        <f t="shared" ca="1" si="11"/>
        <v>LUV</v>
      </c>
      <c r="B184" s="248" t="str">
        <f ca="1">[1]DataRT!$D82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[1]DataRT!$G82</f>
        <v>32.549999999999997</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3.330641905530884E-6</v>
      </c>
      <c r="AW184" s="277"/>
      <c r="AX184" s="88" t="str">
        <f t="shared" ca="1" si="12"/>
        <v>LUV</v>
      </c>
      <c r="BA184" s="251">
        <v>9410</v>
      </c>
      <c r="CP184" s="275"/>
      <c r="EH184" s="110"/>
    </row>
    <row r="185" spans="1:138" hidden="1" x14ac:dyDescent="0.3">
      <c r="A185" s="239" t="str">
        <f t="shared" ca="1" si="11"/>
        <v>MA</v>
      </c>
      <c r="B185" s="240" t="str">
        <f ca="1">[1]DataRT!$D83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[1]DataRT!$G83</f>
        <v>556.04</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2.2444521480915932E-4</v>
      </c>
      <c r="AW185" s="277"/>
      <c r="AX185" s="88" t="str">
        <f t="shared" ca="1" si="12"/>
        <v>MA</v>
      </c>
      <c r="BA185" s="251">
        <v>9509</v>
      </c>
      <c r="CP185" s="275"/>
      <c r="EH185" s="110"/>
    </row>
    <row r="186" spans="1:138" hidden="1" x14ac:dyDescent="0.3">
      <c r="A186" s="239" t="str">
        <f t="shared" ca="1" si="11"/>
        <v>NVAX</v>
      </c>
      <c r="B186" s="248" t="str">
        <f ca="1">[1]DataRT!$D84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[1]DataRT!$G84</f>
        <v>6.92</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9.0168926976243643E-5</v>
      </c>
      <c r="AW186" s="277"/>
      <c r="AX186" s="88" t="str">
        <f t="shared" ca="1" si="12"/>
        <v>NVAX</v>
      </c>
      <c r="BA186" s="251">
        <v>9608</v>
      </c>
      <c r="CP186" s="275"/>
      <c r="EH186" s="110"/>
    </row>
    <row r="187" spans="1:138" hidden="1" x14ac:dyDescent="0.3">
      <c r="A187" s="239" t="str">
        <f t="shared" ca="1" si="11"/>
        <v>NVS</v>
      </c>
      <c r="B187" s="240" t="str">
        <f ca="1">[1]DataRT!$D85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[1]DataRT!$G85</f>
        <v>132.46</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1.0841290013074536E-3</v>
      </c>
      <c r="AW187" s="277"/>
      <c r="AX187" s="88" t="str">
        <f t="shared" ca="1" si="12"/>
        <v>NVS</v>
      </c>
      <c r="BA187" s="251">
        <v>1691</v>
      </c>
      <c r="CP187" s="275"/>
      <c r="EH187" s="110"/>
    </row>
    <row r="188" spans="1:138" hidden="1" x14ac:dyDescent="0.3">
      <c r="A188" s="239" t="str">
        <f t="shared" ca="1" si="11"/>
        <v>ORA</v>
      </c>
      <c r="B188" s="248" t="str">
        <f ca="1">[1]DataRT!$D86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[1]DataRT!$G86</f>
        <v>14.025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0.10826173304693219</v>
      </c>
      <c r="AW188" s="277"/>
      <c r="AX188" s="88" t="str">
        <f t="shared" ca="1" si="12"/>
        <v>ORA</v>
      </c>
      <c r="CP188" s="275"/>
      <c r="EH188" s="110"/>
    </row>
    <row r="189" spans="1:138" hidden="1" x14ac:dyDescent="0.3">
      <c r="A189" s="239" t="str">
        <f t="shared" ca="1" si="11"/>
        <v>OXY</v>
      </c>
      <c r="B189" s="240" t="str">
        <f ca="1">[1]DataRT!$D87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[1]DataRT!$G87</f>
        <v>42.024999999999999</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1.2908707883083764E-3</v>
      </c>
      <c r="AW189" s="277"/>
      <c r="AX189" s="88" t="str">
        <f t="shared" ca="1" si="12"/>
        <v>OXY</v>
      </c>
      <c r="CP189" s="275"/>
      <c r="EH189" s="110"/>
    </row>
    <row r="190" spans="1:138" hidden="1" x14ac:dyDescent="0.3">
      <c r="A190" s="239" t="str">
        <f t="shared" ca="1" si="11"/>
        <v>PFE</v>
      </c>
      <c r="B190" s="248" t="str">
        <f ca="1">[1]DataRT!$D88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[1]DataRT!$G88</f>
        <v>25.67</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2.3622780176557525E-4</v>
      </c>
      <c r="AW190" s="277"/>
      <c r="AX190" s="88" t="str">
        <f t="shared" ca="1" si="12"/>
        <v>PFE</v>
      </c>
      <c r="CP190" s="275"/>
      <c r="EH190" s="110"/>
    </row>
    <row r="191" spans="1:138" hidden="1" x14ac:dyDescent="0.3">
      <c r="A191" s="239" t="str">
        <f t="shared" ca="1" si="11"/>
        <v>RIG</v>
      </c>
      <c r="B191" s="240" t="str">
        <f ca="1">[1]DataRT!$D89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[1]DataRT!$G89</f>
        <v>4.01</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1.0834344622670705E-4</v>
      </c>
      <c r="AW191" s="277"/>
      <c r="AX191" s="88" t="str">
        <f t="shared" ca="1" si="12"/>
        <v>RIG</v>
      </c>
      <c r="BS191" s="275"/>
      <c r="CP191" s="275"/>
      <c r="EH191" s="110"/>
    </row>
    <row r="192" spans="1:138" x14ac:dyDescent="0.3">
      <c r="A192" s="239" t="str">
        <f t="shared" ca="1" si="11"/>
        <v>RRC</v>
      </c>
      <c r="B192" s="248" t="str">
        <f ca="1">[1]DataRT!$D90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[1]DataRT!$G90</f>
        <v>37.479999999999997</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0.65011551878952545</v>
      </c>
      <c r="AW192" s="277"/>
      <c r="AX192" s="88" t="str">
        <f t="shared" ca="1" si="12"/>
        <v>RRC</v>
      </c>
      <c r="BS192" s="275"/>
      <c r="CP192" s="275"/>
      <c r="EH192" s="110"/>
    </row>
    <row r="193" spans="1:159" x14ac:dyDescent="0.3">
      <c r="A193" s="239" t="str">
        <f t="shared" ca="1" si="11"/>
        <v>XYZ</v>
      </c>
      <c r="B193" s="240" t="str">
        <f ca="1">[1]DataRT!$D91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[1]DataRT!$G91</f>
        <v>61.03</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2.7026738112069636E-3</v>
      </c>
      <c r="AW193" s="277"/>
      <c r="AX193" s="88" t="str">
        <f t="shared" ca="1" si="12"/>
        <v>XYZ</v>
      </c>
      <c r="BS193" s="275"/>
      <c r="CP193" s="275"/>
      <c r="EH193" s="110"/>
    </row>
    <row r="194" spans="1:159" x14ac:dyDescent="0.3">
      <c r="A194" s="239" t="str">
        <f t="shared" ca="1" si="11"/>
        <v>THC</v>
      </c>
      <c r="B194" s="248" t="str">
        <f ca="1">[1]DataRT!$D92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[1]DataRT!$G92</f>
        <v>196.18</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1.8178756496513504E-5</v>
      </c>
      <c r="AW194" s="277"/>
      <c r="AX194" s="88" t="str">
        <f t="shared" ca="1" si="12"/>
        <v>THC</v>
      </c>
      <c r="BS194" s="275"/>
      <c r="CP194" s="275"/>
      <c r="EH194" s="110"/>
    </row>
    <row r="195" spans="1:159" x14ac:dyDescent="0.3">
      <c r="A195" s="239" t="str">
        <f t="shared" ca="1" si="11"/>
        <v>X</v>
      </c>
      <c r="B195" s="240" t="str">
        <f ca="1">[1]DataRT!$D93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[1]DataRT!$G93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[1]DataRT!$D94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[1]DataRT!$G94</f>
        <v>10.206</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[1]DataRT!$G95</f>
        <v>879.3</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0.1427007365316057</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[1]DataRT!$G96</f>
        <v>15.195</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7.1240551570914536E-4</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237.8</v>
      </c>
      <c r="O201"/>
      <c r="P201"/>
      <c r="AA201" s="275"/>
      <c r="AW201" s="277"/>
      <c r="AX201" s="88"/>
      <c r="BS201" s="275"/>
      <c r="CP201" s="275"/>
      <c r="EH201" s="110"/>
    </row>
    <row r="202" spans="1:159" x14ac:dyDescent="0.3">
      <c r="F202" s="93" cm="1">
        <f t="array" aca="1" ref="F202" ca="1">_xlfn.XLOOKUP(DataShiftChartTicker,ListTickers,Tab1Price[Price0])</f>
        <v>237.8</v>
      </c>
      <c r="G202" s="93" cm="1">
        <f t="array" aca="1" ref="G202" ca="1">_xlfn.XLOOKUP(DataShiftChartTicker,ListTickers,Tab1Price[Price1])</f>
        <v>238</v>
      </c>
      <c r="H202" s="93" cm="1">
        <f t="array" aca="1" ref="H202" ca="1">_xlfn.XLOOKUP(DataShiftChartTicker,ListTickers,Tab1Price[Price2])</f>
        <v>231.4</v>
      </c>
      <c r="I202" s="93" cm="1">
        <f t="array" aca="1" ref="I202" ca="1">_xlfn.XLOOKUP(DataShiftChartTicker,ListTickers,Tab1Price[Price3])</f>
        <v>232.7</v>
      </c>
      <c r="J202" s="93" cm="1">
        <f t="array" aca="1" ref="J202" ca="1">_xlfn.XLOOKUP(DataShiftChartTicker,ListTickers,Tab1Price[Price4])</f>
        <v>234.2</v>
      </c>
      <c r="K202" s="93" cm="1">
        <f t="array" aca="1" ref="K202" ca="1">_xlfn.XLOOKUP(DataShiftChartTicker,ListTickers,Tab1Price[Price5])</f>
        <v>233.2</v>
      </c>
      <c r="L202" s="93" cm="1">
        <f t="array" aca="1" ref="L202" ca="1">_xlfn.XLOOKUP(DataShiftChartTicker,ListTickers,Tab1Price[Price6])</f>
        <v>230.95</v>
      </c>
      <c r="M202" s="93" cm="1">
        <f t="array" aca="1" ref="M202" ca="1">_xlfn.XLOOKUP(DataShiftChartTicker,ListTickers,Tab1Price[Price7])</f>
        <v>238.6</v>
      </c>
      <c r="N202" s="93" cm="1">
        <f t="array" aca="1" ref="N202" ca="1">_xlfn.XLOOKUP(DataShiftChartTicker,ListTickers,Tab1Price[Price8])</f>
        <v>240.4</v>
      </c>
      <c r="O202" s="93" cm="1">
        <f t="array" aca="1" ref="O202" ca="1">_xlfn.XLOOKUP(DataShiftChartTicker,ListTickers,Tab1Price[Price9])</f>
        <v>236.85</v>
      </c>
      <c r="P202" s="93" cm="1">
        <f t="array" aca="1" ref="P202" ca="1">_xlfn.XLOOKUP(DataShiftChartTicker,ListTickers,Tab1Price[Price10])</f>
        <v>236.85</v>
      </c>
      <c r="Q202" s="93" cm="1">
        <f t="array" aca="1" ref="Q202" ca="1">_xlfn.XLOOKUP(DataShiftChartTicker,ListTickers,Tab1Price[Price11])</f>
        <v>242</v>
      </c>
      <c r="R202" s="93" cm="1">
        <f t="array" aca="1" ref="R202" ca="1">_xlfn.XLOOKUP(DataShiftChartTicker,ListTickers,Tab1Price[Price12])</f>
        <v>233.35</v>
      </c>
      <c r="S202" s="93" cm="1">
        <f t="array" aca="1" ref="S202" ca="1">_xlfn.XLOOKUP(DataShiftChartTicker,ListTickers,Tab1Price[Price13])</f>
        <v>235.55</v>
      </c>
      <c r="T202" s="93" cm="1">
        <f t="array" aca="1" ref="T202" ca="1">_xlfn.XLOOKUP(DataShiftChartTicker,ListTickers,Tab1Price[Price14])</f>
        <v>234.1</v>
      </c>
      <c r="U202" s="93" cm="1">
        <f t="array" aca="1" ref="U202" ca="1">_xlfn.XLOOKUP(DataShiftChartTicker,ListTickers,Tab1Price[Price15])</f>
        <v>225.85</v>
      </c>
      <c r="V202" s="93" cm="1">
        <f t="array" aca="1" ref="V202" ca="1">_xlfn.XLOOKUP(DataShiftChartTicker,ListTickers,Tab1Price[Price16])</f>
        <v>226.05</v>
      </c>
      <c r="W202" s="93" cm="1">
        <f t="array" aca="1" ref="W202" ca="1">_xlfn.XLOOKUP(DataShiftChartTicker,ListTickers,Tab1Price[Price17])</f>
        <v>227.95</v>
      </c>
      <c r="X202" s="93" cm="1">
        <f t="array" aca="1" ref="X202" ca="1">_xlfn.XLOOKUP(DataShiftChartTicker,ListTickers,Tab1Price[Price18])</f>
        <v>217.95</v>
      </c>
      <c r="Y202" s="93" cm="1">
        <f t="array" aca="1" ref="Y202" ca="1">_xlfn.XLOOKUP(DataShiftChartTicker,ListTickers,Tab1Price[Price19])</f>
        <v>215.65</v>
      </c>
      <c r="Z202" s="93" cm="1">
        <f t="array" aca="1" ref="Z202" ca="1">_xlfn.XLOOKUP(DataShiftChartTicker,ListTickers,Tab1Price[Price20])</f>
        <v>210.2</v>
      </c>
      <c r="AA202" s="275"/>
      <c r="AW202" s="277"/>
      <c r="AX202" s="88"/>
      <c r="BS202" s="275"/>
      <c r="CP202" s="275"/>
      <c r="EH202" s="110"/>
    </row>
    <row r="203" spans="1:159" x14ac:dyDescent="0.3">
      <c r="E203" s="1160"/>
      <c r="F203" s="117">
        <f t="shared" ref="F203:Z203" ca="1" si="13">F103</f>
        <v>45950</v>
      </c>
      <c r="G203" s="117">
        <f t="shared" ca="1" si="13"/>
        <v>45951</v>
      </c>
      <c r="H203" s="117">
        <f t="shared" ca="1" si="13"/>
        <v>45952</v>
      </c>
      <c r="I203" s="117">
        <f t="shared" ca="1" si="13"/>
        <v>45953</v>
      </c>
      <c r="J203" s="117">
        <f t="shared" ca="1" si="13"/>
        <v>45954</v>
      </c>
      <c r="K203" s="117">
        <f t="shared" ca="1" si="13"/>
        <v>45957</v>
      </c>
      <c r="L203" s="117">
        <f t="shared" ca="1" si="13"/>
        <v>45958</v>
      </c>
      <c r="M203" s="117">
        <f t="shared" ca="1" si="13"/>
        <v>45959</v>
      </c>
      <c r="N203" s="117">
        <f t="shared" ca="1" si="13"/>
        <v>45960</v>
      </c>
      <c r="O203" s="117">
        <f t="shared" ca="1" si="13"/>
        <v>45961</v>
      </c>
      <c r="P203" s="117">
        <f t="shared" ca="1" si="13"/>
        <v>45964</v>
      </c>
      <c r="Q203" s="117">
        <f t="shared" ca="1" si="13"/>
        <v>45965</v>
      </c>
      <c r="R203" s="117">
        <f t="shared" ca="1" si="13"/>
        <v>45966</v>
      </c>
      <c r="S203" s="117">
        <f t="shared" ca="1" si="13"/>
        <v>45967</v>
      </c>
      <c r="T203" s="117">
        <f t="shared" ca="1" si="13"/>
        <v>45968</v>
      </c>
      <c r="U203" s="117">
        <f t="shared" ca="1" si="13"/>
        <v>45971</v>
      </c>
      <c r="V203" s="117">
        <f t="shared" ca="1" si="13"/>
        <v>45972</v>
      </c>
      <c r="W203" s="117">
        <f t="shared" ca="1" si="13"/>
        <v>45973</v>
      </c>
      <c r="X203" s="117">
        <f t="shared" ca="1" si="13"/>
        <v>45974</v>
      </c>
      <c r="Y203" s="117">
        <f t="shared" ca="1" si="13"/>
        <v>45975</v>
      </c>
      <c r="Z203" s="117">
        <f t="shared" ca="1" si="13"/>
        <v>45978</v>
      </c>
      <c r="AA203" s="275"/>
      <c r="AB203" s="117">
        <f t="shared" ref="AB203:AV203" ca="1" si="14">F203</f>
        <v>45950</v>
      </c>
      <c r="AC203" s="117">
        <f t="shared" ca="1" si="14"/>
        <v>45951</v>
      </c>
      <c r="AD203" s="117">
        <f t="shared" ca="1" si="14"/>
        <v>45952</v>
      </c>
      <c r="AE203" s="117">
        <f t="shared" ca="1" si="14"/>
        <v>45953</v>
      </c>
      <c r="AF203" s="117">
        <f t="shared" ca="1" si="14"/>
        <v>45954</v>
      </c>
      <c r="AG203" s="117">
        <f t="shared" ca="1" si="14"/>
        <v>45957</v>
      </c>
      <c r="AH203" s="117">
        <f t="shared" ca="1" si="14"/>
        <v>45958</v>
      </c>
      <c r="AI203" s="117">
        <f t="shared" ca="1" si="14"/>
        <v>45959</v>
      </c>
      <c r="AJ203" s="117">
        <f t="shared" ca="1" si="14"/>
        <v>45960</v>
      </c>
      <c r="AK203" s="117">
        <f t="shared" ca="1" si="14"/>
        <v>45961</v>
      </c>
      <c r="AL203" s="117">
        <f t="shared" ca="1" si="14"/>
        <v>45964</v>
      </c>
      <c r="AM203" s="117">
        <f t="shared" ca="1" si="14"/>
        <v>45965</v>
      </c>
      <c r="AN203" s="117">
        <f t="shared" ca="1" si="14"/>
        <v>45966</v>
      </c>
      <c r="AO203" s="117">
        <f t="shared" ca="1" si="14"/>
        <v>45967</v>
      </c>
      <c r="AP203" s="117">
        <f t="shared" ca="1" si="14"/>
        <v>45968</v>
      </c>
      <c r="AQ203" s="117">
        <f t="shared" ca="1" si="14"/>
        <v>45971</v>
      </c>
      <c r="AR203" s="117">
        <f t="shared" ca="1" si="14"/>
        <v>45972</v>
      </c>
      <c r="AS203" s="117">
        <f t="shared" ca="1" si="14"/>
        <v>45973</v>
      </c>
      <c r="AT203" s="117">
        <f t="shared" ca="1" si="14"/>
        <v>45974</v>
      </c>
      <c r="AU203" s="117">
        <f t="shared" ca="1" si="14"/>
        <v>45975</v>
      </c>
      <c r="AV203" s="117">
        <f t="shared" ca="1" si="14"/>
        <v>45978</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[1]DataRT!$H3</f>
        <v>272.41000000000003</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9.6159345238095231E-4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[1]DataRT!$H4</f>
        <v>12.86</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-4.7901845238095212E-3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[1]DataRT!$H5</f>
        <v>46</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-9.8753511904761913E-3</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[1]DataRT!$H6</f>
        <v>234.69</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-6.3597797619047627E-3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[1]DataRT!$H7</f>
        <v>0.68799999999999994</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3.4727142857142864E-3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[1]DataRT!$H8</f>
        <v>871.4</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-5.2083964285714298E-3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[1]DataRT!$H9</f>
        <v>342.46</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3.3437059523809521E-3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[1]DataRT!$H10</f>
        <v>89.1</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-8.5500892857142859E-3</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[1]DataRT!$H11</f>
        <v>3.03</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-1.1899547619047617E-2</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[1]DataRT!$H12</f>
        <v>2.41</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1.392446428571428E-3</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[1]DataRT!$H13</f>
        <v>100.3</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-2.6359523809523768E-4</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[1]DataRT!$H14</f>
        <v>78</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-6.6262357142857142E-3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[1]DataRT!$H15</f>
        <v>77.87</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-1.7577154761904763E-2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[1]DataRT!$H16</f>
        <v>2.17</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-1.4928107142857135E-3</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[1]DataRT!$H17</f>
        <v>105.8</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-2.2473398809523806E-3</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[1]DataRT!$H18</f>
        <v>23.81</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-3.8512720238095236E-3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[1]DataRT!$H19</f>
        <v>121.55</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-8.9015000000000014E-3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[1]DataRT!$H20</f>
        <v>12.904999999999999</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2.068882142857143E-3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[1]DataRT!$H21</f>
        <v>15.19</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[1]DataRT!$H22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-1.0069178571428571E-2</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[1]DataRT!$H23</f>
        <v>70.56</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-3.3423214285714284E-4</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[1]DataRT!$H24</f>
        <v>22.83</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-5.9696249999999992E-3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[1]DataRT!$H25</f>
        <v>24.513000000000002</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-1.328668214285714E-2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[1]DataRT!$H26</f>
        <v>381.1</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3.3981309523809528E-3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[1]DataRT!$H27</f>
        <v>66.709999999999994</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-1.0567434523809526E-2</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[1]DataRT!$H28</f>
        <v>10.11</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-2.9674642857142851E-3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[1]DataRT!$H29</f>
        <v>7.99</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6.7344583333333327E-3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[1]DataRT!$H30</f>
        <v>24.77</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-2.3488450000000004E-3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[1]DataRT!$H31</f>
        <v>510.18</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1.3286249999999995E-3</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[1]DataRT!$H32</f>
        <v>83.85</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2.4894940476190485E-3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[1]DataRT!$H33</f>
        <v>87.8</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4.523639285714285E-3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[1]DataRT!$H34</f>
        <v>1112.17</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-1.2792559523809532E-2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[1]DataRT!$H35</f>
        <v>2.54</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2.3193339285714305E-3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[1]DataRT!$H36</f>
        <v>38.51</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2.4554714285714284E-2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[1]DataRT!$H37</f>
        <v>6.85</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-3.4379440476190473E-2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[1]DataRT!$H38</f>
        <v>4.4000000000000004</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3.3476874999999989E-2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[1]DataRT!$H39</f>
        <v>0.71</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2.1655499999999998E-2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[1]DataRT!$H40</f>
        <v>41.94</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2.88618630952381E-3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[1]DataRT!$H41</f>
        <v>45.38</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-4.1609107142857151E-3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[1]DataRT!$H42</f>
        <v>210.2</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-6.2882142857142867E-4</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[1]DataRT!$H43</f>
        <v>14.99</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-1.8918589285714285E-2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[1]DataRT!$H44</f>
        <v>8.9499999999999993</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-5.5906071428571446E-3</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[1]DataRT!$H45</f>
        <v>404.35</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-2.9245434523809529E-3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[1]DataRT!$H46</f>
        <v>284.87</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2.4828452380952389E-3</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[1]DataRT!$H47</f>
        <v>29.8</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1.0727994047619049E-2</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[1]DataRT!$H48</f>
        <v>6.28</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[1]DataRT!$H49</f>
        <v>28.04</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1.7037678571428581E-3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[1]DataRT!$H50</f>
        <v>59.6</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-4.6558452380952376E-3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[1]DataRT!$H51</f>
        <v>10.72</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-6.5896464285714277E-3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[1]DataRT!$H52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[1]DataRT!$H53</f>
        <v>119.29</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3.4581190476190441E-4</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[1]DataRT!$H54</f>
        <v>6.19</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-3.4385238095238089E-3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[1]DataRT!$H55</f>
        <v>0.68799999999999994</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3.4727142857142864E-3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[1]DataRT!$H56</f>
        <v>2.17</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-1.7577154761904763E-2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[1]DataRT!$H57</f>
        <v>23.81</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-2.2473398809523806E-3</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[1]DataRT!$H58</f>
        <v>15.19</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2.068882142857143E-3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[1]DataRT!$H59</f>
        <v>16.489999999999998</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-3.2134726190476194E-3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[1]DataRT!$H60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[1]DataRT!$H61</f>
        <v>58.26</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-1.2469107142857143E-3</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[1]DataRT!$H62</f>
        <v>13.91</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7.1559523809524087E-5</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[1]DataRT!$H63</f>
        <v>45.38</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2.88618630952381E-3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[1]DataRT!$H64</f>
        <v>210.2</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-4.1609107142857151E-3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[1]DataRT!$H65</f>
        <v>29.8</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2.4828452380952389E-3</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[1]DataRT!$H66</f>
        <v>272.41000000000003</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9.6159345238095231E-4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[1]DataRT!$H67</f>
        <v>234.69</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-6.3597797619047627E-3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[1]DataRT!$H68</f>
        <v>871.4</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-5.2083964285714298E-3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[1]DataRT!$H69</f>
        <v>2.17</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-1.7577154761904763E-2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[1]DataRT!$H70</f>
        <v>105.8</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-1.4928107142857135E-3</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[1]DataRT!$H71</f>
        <v>70.56</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-1.0069178571428571E-2</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[1]DataRT!$H72</f>
        <v>381.1</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-1.328668214285714E-2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[1]DataRT!$H73</f>
        <v>24.77</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6.7344583333333327E-3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[1]DataRT!$H74</f>
        <v>1.41</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-8.6111488095238151E-3</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[1]DataRT!$H75</f>
        <v>16.489999999999998</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-3.2134726190476194E-3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[1]DataRT!$H76</f>
        <v>461.4</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-8.2039053571428579E-3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[1]DataRT!$H77</f>
        <v>13.19</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-1.0396345238095238E-2</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[1]DataRT!$H78</f>
        <v>58.26</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-1.2469107142857143E-3</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[1]DataRT!$H79</f>
        <v>151.11000000000001</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-1.7607101190476187E-2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[1]DataRT!$H80</f>
        <v>790.48</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-6.107023809523817E-4</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[1]DataRT!$H81</f>
        <v>1.01</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-1.1786535714285718E-2</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[1]DataRT!$H82</f>
        <v>32.835000000000001</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1.94452380952381E-3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[1]DataRT!$H83</f>
        <v>545.73</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-1.205658333333333E-3</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[1]DataRT!$H84</f>
        <v>6.97</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-1.9983214285714283E-3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[1]DataRT!$H85</f>
        <v>131.26</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-1.7962232142857142E-3</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[1]DataRT!$H86</f>
        <v>13.91</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7.1559523809524087E-5</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[1]DataRT!$H87</f>
        <v>42.77</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-1.3462916666666682E-3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[1]DataRT!$H88</f>
        <v>25.06</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-2.4988452380952323E-4</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[1]DataRT!$H89</f>
        <v>4.01</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-1.1487095238095237E-2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[1]DataRT!$H90</f>
        <v>38.229999999999997</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7.2526785714285727E-4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[1]DataRT!$H91</f>
        <v>60.48</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-1.4822492261904761E-2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[1]DataRT!$H92</f>
        <v>192.87</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-4.2230047619047622E-3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[1]DataRT!$H93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[1]DataRT!$H94</f>
        <v>10.128</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-3.2036214285714282E-3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[1]DataRT!$H95</f>
        <v>871.4</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-5.2083964285714298E-3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[1]DataRT!$H96</f>
        <v>15.19</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2.068882142857143E-3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45950</v>
      </c>
      <c r="G303" s="117">
        <f t="shared" ca="1" si="24"/>
        <v>45951</v>
      </c>
      <c r="H303" s="117">
        <f t="shared" ca="1" si="24"/>
        <v>45952</v>
      </c>
      <c r="I303" s="117">
        <f t="shared" ca="1" si="24"/>
        <v>45953</v>
      </c>
      <c r="J303" s="117">
        <f t="shared" ca="1" si="24"/>
        <v>45954</v>
      </c>
      <c r="K303" s="117">
        <f t="shared" ca="1" si="24"/>
        <v>45957</v>
      </c>
      <c r="L303" s="117">
        <f t="shared" ca="1" si="24"/>
        <v>45958</v>
      </c>
      <c r="M303" s="117">
        <f t="shared" ca="1" si="24"/>
        <v>45959</v>
      </c>
      <c r="N303" s="117">
        <f t="shared" ca="1" si="24"/>
        <v>45960</v>
      </c>
      <c r="O303" s="117">
        <f t="shared" ca="1" si="24"/>
        <v>45961</v>
      </c>
      <c r="P303" s="117">
        <f t="shared" ca="1" si="24"/>
        <v>45964</v>
      </c>
      <c r="Q303" s="117">
        <f t="shared" ca="1" si="24"/>
        <v>45965</v>
      </c>
      <c r="R303" s="117">
        <f t="shared" ca="1" si="24"/>
        <v>45966</v>
      </c>
      <c r="S303" s="117">
        <f t="shared" ca="1" si="24"/>
        <v>45967</v>
      </c>
      <c r="T303" s="117">
        <f t="shared" ca="1" si="24"/>
        <v>45968</v>
      </c>
      <c r="U303" s="117">
        <f t="shared" ca="1" si="24"/>
        <v>45971</v>
      </c>
      <c r="V303" s="117">
        <f t="shared" ca="1" si="24"/>
        <v>45972</v>
      </c>
      <c r="W303" s="117">
        <f t="shared" ca="1" si="24"/>
        <v>45973</v>
      </c>
      <c r="X303" s="117">
        <f t="shared" ca="1" si="24"/>
        <v>45974</v>
      </c>
      <c r="Y303" s="117">
        <f t="shared" ca="1" si="24"/>
        <v>45975</v>
      </c>
      <c r="Z303" s="117">
        <f t="shared" ca="1" si="24"/>
        <v>45978</v>
      </c>
      <c r="AB303" s="117">
        <f t="shared" ref="AB303:AV303" ca="1" si="25">F303</f>
        <v>45950</v>
      </c>
      <c r="AC303" s="117">
        <f t="shared" ca="1" si="25"/>
        <v>45951</v>
      </c>
      <c r="AD303" s="117">
        <f t="shared" ca="1" si="25"/>
        <v>45952</v>
      </c>
      <c r="AE303" s="117">
        <f t="shared" ca="1" si="25"/>
        <v>45953</v>
      </c>
      <c r="AF303" s="117">
        <f t="shared" ca="1" si="25"/>
        <v>45954</v>
      </c>
      <c r="AG303" s="117">
        <f t="shared" ca="1" si="25"/>
        <v>45957</v>
      </c>
      <c r="AH303" s="117">
        <f t="shared" ca="1" si="25"/>
        <v>45958</v>
      </c>
      <c r="AI303" s="117">
        <f t="shared" ca="1" si="25"/>
        <v>45959</v>
      </c>
      <c r="AJ303" s="117">
        <f t="shared" ca="1" si="25"/>
        <v>45960</v>
      </c>
      <c r="AK303" s="117">
        <f t="shared" ca="1" si="25"/>
        <v>45961</v>
      </c>
      <c r="AL303" s="117">
        <f t="shared" ca="1" si="25"/>
        <v>45964</v>
      </c>
      <c r="AM303" s="117">
        <f t="shared" ca="1" si="25"/>
        <v>45965</v>
      </c>
      <c r="AN303" s="117">
        <f t="shared" ca="1" si="25"/>
        <v>45966</v>
      </c>
      <c r="AO303" s="117">
        <f t="shared" ca="1" si="25"/>
        <v>45967</v>
      </c>
      <c r="AP303" s="117">
        <f t="shared" ca="1" si="25"/>
        <v>45968</v>
      </c>
      <c r="AQ303" s="117">
        <f t="shared" ca="1" si="25"/>
        <v>45971</v>
      </c>
      <c r="AR303" s="117">
        <f t="shared" ca="1" si="25"/>
        <v>45972</v>
      </c>
      <c r="AS303" s="117">
        <f t="shared" ca="1" si="25"/>
        <v>45973</v>
      </c>
      <c r="AT303" s="117">
        <f t="shared" ca="1" si="25"/>
        <v>45974</v>
      </c>
      <c r="AU303" s="117">
        <f t="shared" ca="1" si="25"/>
        <v>45975</v>
      </c>
      <c r="AV303" s="117">
        <f t="shared" ca="1" si="25"/>
        <v>45978</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[1]DataRT!$I3</f>
        <v>269.60000000000002</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12920.000000000466</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[1]DataRT!$I4</f>
        <v>12.82</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-500.00000000000728</v>
      </c>
      <c r="AX306" s="88" t="str">
        <f t="shared" ca="1" si="27"/>
        <v>ADEA</v>
      </c>
    </row>
    <row r="307" spans="1:50" x14ac:dyDescent="0.3">
      <c r="A307" s="88" t="str">
        <f t="shared" ca="1" si="26"/>
        <v>AET</v>
      </c>
      <c r="F307" s="243">
        <v>45.1</v>
      </c>
      <c r="G307" s="243" t="e" vm="433">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[1]DataRT!$I5</f>
        <v>47</v>
      </c>
      <c r="AB307" s="261">
        <v>-4000</v>
      </c>
      <c r="AC307" s="261" t="e" vm="433">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-8200</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[1]DataRT!$I6</f>
        <v>232.89</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-4440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[1]DataRT!$I7</f>
        <v>0.68</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20239.999999999534</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[1]DataRT!$I8</f>
        <v>871</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-24490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[1]DataRT!$I9</f>
        <v>329.06</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4396</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[1]DataRT!$I10</f>
        <v>88.28</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292.5</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[1]DataRT!$I11</f>
        <v>2.9340000000000002</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1799.9999999999927</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[1]DataRT!$I12</f>
        <v>2.41</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-755.00000000000364</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[1]DataRT!$I13</f>
        <v>98.147199999999998</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49.350000000000364</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[1]DataRT!$I14</f>
        <v>75.840100000000007</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1420</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[1]DataRT!$I15</f>
        <v>77.75</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-1.519999999999996</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[1]DataRT!$I16</f>
        <v>2.0699999999999998</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7225</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[1]DataRT!$I17</f>
        <v>105.3</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-1720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[1]DataRT!$I18</f>
        <v>23.78</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-760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[1]DataRT!$I19</f>
        <v>121.51</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-5550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[1]DataRT!$I20</f>
        <v>12.76</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-2070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[1]DataRT!$I21</f>
        <v>15.19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-75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[1]DataRT!$I22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[1]DataRT!$I23</f>
        <v>70.44</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-8</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[1]DataRT!$I24</f>
        <v>22.35</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3219.9999999999709</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[1]DataRT!$I25</f>
        <v>24.47</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-934.99999999998545</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[1]DataRT!$I26</f>
        <v>380.4</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-8140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[1]DataRT!$I27</f>
        <v>65.5</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4619.9999999999418</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[1]DataRT!$I28</f>
        <v>10.1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[1]DataRT!$I29</f>
        <v>7.6</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2.4000000000000057</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[1]DataRT!$I30</f>
        <v>24.18</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4020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[1]DataRT!$I31</f>
        <v>497.44</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117110</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[1]DataRT!$I32</f>
        <v>82.530100000000004</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0.3399999999999892</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[1]DataRT!$I33</f>
        <v>85.917500000000004</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32200</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[1]DataRT!$I34</f>
        <v>1107.21</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-91680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[1]DataRT!$I35</f>
        <v>2.42</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533.34000000001106</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[1]DataRT!$I36</f>
        <v>36.65</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6800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[1]DataRT!$I37</f>
        <v>5.99</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3440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[1]DataRT!$I38</f>
        <v>4.1803999999999997</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9000.0000000000291</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[1]DataRT!$I39</f>
        <v>0.59409999999999996</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1100</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[1]DataRT!$I40</f>
        <v>39.369999999999997</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2410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[1]DataRT!$I41</f>
        <v>45.38</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-16</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[1]DataRT!$I42</f>
        <v>209.9</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-5320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[1]DataRT!$I43</f>
        <v>14.88</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1250</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[1]DataRT!$I44</f>
        <v>8.8247</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640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[1]DataRT!$I45</f>
        <v>382.78</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18.050000000000011</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[1]DataRT!$I46</f>
        <v>273.23</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40320</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[1]DataRT!$I47</f>
        <v>29.65</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450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[1]DataRT!$I48</f>
        <v>5.87</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2749.3000000000029</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[1]DataRT!$I49</f>
        <v>27.82</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660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[1]DataRT!$I50</f>
        <v>59.5</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-8000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[1]DataRT!$I51</f>
        <v>10.66</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-550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[1]DataRT!$I52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[1]DataRT!$I53</f>
        <v>116.6564</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420</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[1]DataRT!$I54</f>
        <v>6.1</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-199.99999999999272</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[1]DataRT!$I55</f>
        <v>0.68</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4040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[1]DataRT!$I56</f>
        <v>2.0699999999999998</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850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[1]DataRT!$I57</f>
        <v>23.78</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-2280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[1]DataRT!$I58</f>
        <v>15.19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-4.9999999999982947E-2</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[1]DataRT!$I59</f>
        <v>16.437999999999999</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720</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[1]DataRT!$I60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[1]DataRT!$I61</f>
        <v>58.18</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-1960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[1]DataRT!$I62</f>
        <v>13.875</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-2277</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[1]DataRT!$I63</f>
        <v>45.38</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-0.32000000000000028</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[1]DataRT!$I64</f>
        <v>209.9</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-561.39999999999418</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[1]DataRT!$I65</f>
        <v>29.65</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84</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[1]DataRT!$I66</f>
        <v>269.60000000000002</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476.00000000001455</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[1]DataRT!$I67</f>
        <v>232.89</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-555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[1]DataRT!$I68</f>
        <v>871</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-1975</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[1]DataRT!$I69</f>
        <v>2.0699999999999998</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9350</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[1]DataRT!$I70</f>
        <v>105.3</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-2064</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[1]DataRT!$I71</f>
        <v>70.44</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[1]DataRT!$I72</f>
        <v>380.4</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[1]DataRT!$I73</f>
        <v>24.18</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1675</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[1]DataRT!$I74</f>
        <v>1.4</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1200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[1]DataRT!$I75</f>
        <v>16.437999999999999</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340</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[1]DataRT!$I76</f>
        <v>459.5</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-1980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[1]DataRT!$I77</f>
        <v>13.1</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[1]DataRT!$I78</f>
        <v>58.18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[1]DataRT!$I79</f>
        <v>149.76</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180</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[1]DataRT!$I80</f>
        <v>778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[1]DataRT!$I81</f>
        <v>1.01</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-2172.5199999999968</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[1]DataRT!$I82</f>
        <v>32.42</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342</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[1]DataRT!$I83</f>
        <v>544.04999999999995</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-2062</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[1]DataRT!$I84</f>
        <v>6.9008000000000003</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325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[1]DataRT!$I85</f>
        <v>130.30000000000001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[1]DataRT!$I86</f>
        <v>13.875</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-138</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[1]DataRT!$I87</f>
        <v>41.92</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2980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[1]DataRT!$I88</f>
        <v>24.97</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-976</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[1]DataRT!$I89</f>
        <v>3.96</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0</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[1]DataRT!$I90</f>
        <v>36.94</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[1]DataRT!$I91</f>
        <v>60.17</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-330</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[1]DataRT!$I92</f>
        <v>191.88</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-4965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[1]DataRT!$I93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[1]DataRT!$I94</f>
        <v>10.128</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-6013.7999999999302</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[1]DataRT!$I95</f>
        <v>871</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-1580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[1]DataRT!$I96</f>
        <v>15.19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-90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45950</v>
      </c>
      <c r="G402" s="117">
        <f t="shared" ca="1" si="32"/>
        <v>45951</v>
      </c>
      <c r="H402" s="117">
        <f t="shared" ca="1" si="32"/>
        <v>45952</v>
      </c>
      <c r="I402" s="117">
        <f t="shared" ca="1" si="32"/>
        <v>45953</v>
      </c>
      <c r="J402" s="117">
        <f t="shared" ca="1" si="32"/>
        <v>45954</v>
      </c>
      <c r="K402" s="117">
        <f t="shared" ca="1" si="32"/>
        <v>45957</v>
      </c>
      <c r="L402" s="117">
        <f t="shared" ca="1" si="32"/>
        <v>45958</v>
      </c>
      <c r="M402" s="117">
        <f t="shared" ca="1" si="32"/>
        <v>45959</v>
      </c>
      <c r="N402" s="117">
        <f t="shared" ca="1" si="32"/>
        <v>45960</v>
      </c>
      <c r="O402" s="117">
        <f t="shared" ca="1" si="32"/>
        <v>45961</v>
      </c>
      <c r="P402" s="117">
        <f t="shared" ca="1" si="32"/>
        <v>45964</v>
      </c>
      <c r="Q402" s="117">
        <f t="shared" ca="1" si="32"/>
        <v>45965</v>
      </c>
      <c r="R402" s="117">
        <f t="shared" ca="1" si="32"/>
        <v>45966</v>
      </c>
      <c r="S402" s="117">
        <f t="shared" ca="1" si="32"/>
        <v>45967</v>
      </c>
      <c r="T402" s="117">
        <f t="shared" ca="1" si="32"/>
        <v>45968</v>
      </c>
      <c r="U402" s="117">
        <f t="shared" ca="1" si="32"/>
        <v>45971</v>
      </c>
      <c r="V402" s="117">
        <f t="shared" ca="1" si="32"/>
        <v>45972</v>
      </c>
      <c r="W402" s="117">
        <f t="shared" ca="1" si="32"/>
        <v>45973</v>
      </c>
      <c r="X402" s="117">
        <f t="shared" ca="1" si="32"/>
        <v>45974</v>
      </c>
      <c r="Y402" s="117">
        <f t="shared" ca="1" si="32"/>
        <v>45975</v>
      </c>
      <c r="Z402" s="117">
        <f t="shared" ca="1" si="32"/>
        <v>45978</v>
      </c>
      <c r="AB402" s="117">
        <f t="shared" ref="AB402:AV402" ca="1" si="33">AB303</f>
        <v>45950</v>
      </c>
      <c r="AC402" s="117">
        <f t="shared" ca="1" si="33"/>
        <v>45951</v>
      </c>
      <c r="AD402" s="117">
        <f t="shared" ca="1" si="33"/>
        <v>45952</v>
      </c>
      <c r="AE402" s="117">
        <f t="shared" ca="1" si="33"/>
        <v>45953</v>
      </c>
      <c r="AF402" s="117">
        <f t="shared" ca="1" si="33"/>
        <v>45954</v>
      </c>
      <c r="AG402" s="117">
        <f t="shared" ca="1" si="33"/>
        <v>45957</v>
      </c>
      <c r="AH402" s="117">
        <f t="shared" ca="1" si="33"/>
        <v>45958</v>
      </c>
      <c r="AI402" s="117">
        <f t="shared" ca="1" si="33"/>
        <v>45959</v>
      </c>
      <c r="AJ402" s="117">
        <f t="shared" ca="1" si="33"/>
        <v>45960</v>
      </c>
      <c r="AK402" s="117">
        <f t="shared" ca="1" si="33"/>
        <v>45961</v>
      </c>
      <c r="AL402" s="117">
        <f t="shared" ca="1" si="33"/>
        <v>45964</v>
      </c>
      <c r="AM402" s="117">
        <f t="shared" ca="1" si="33"/>
        <v>45965</v>
      </c>
      <c r="AN402" s="117">
        <f t="shared" ca="1" si="33"/>
        <v>45966</v>
      </c>
      <c r="AO402" s="117">
        <f t="shared" ca="1" si="33"/>
        <v>45967</v>
      </c>
      <c r="AP402" s="117">
        <f t="shared" ca="1" si="33"/>
        <v>45968</v>
      </c>
      <c r="AQ402" s="117">
        <f t="shared" ca="1" si="33"/>
        <v>45971</v>
      </c>
      <c r="AR402" s="117">
        <f t="shared" ca="1" si="33"/>
        <v>45972</v>
      </c>
      <c r="AS402" s="117">
        <f t="shared" ca="1" si="33"/>
        <v>45973</v>
      </c>
      <c r="AT402" s="117">
        <f t="shared" ca="1" si="33"/>
        <v>45974</v>
      </c>
      <c r="AU402" s="117">
        <f t="shared" ca="1" si="33"/>
        <v>45975</v>
      </c>
      <c r="AV402" s="117">
        <f t="shared" ca="1" si="33"/>
        <v>45978</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[1]DataRT!$J3</f>
        <v>275.95999999999998</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12770.000000000466</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[1]DataRT!$J4</f>
        <v>13.18</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-1050.0000000000073</v>
      </c>
      <c r="AX406" s="88" t="str">
        <f t="shared" ref="AX406:AX469" ca="1" si="36">A6</f>
        <v>ADEA</v>
      </c>
      <c r="BR406" t="s">
        <v>2213</v>
      </c>
    </row>
    <row r="407" spans="1:70" x14ac:dyDescent="0.3">
      <c r="A407" s="88" t="str">
        <f t="shared" ca="1" si="34"/>
        <v>AET</v>
      </c>
      <c r="F407" s="243">
        <v>46.4</v>
      </c>
      <c r="G407" s="243" t="e" vm="433">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[1]DataRT!$J5</f>
        <v>47</v>
      </c>
      <c r="AB407" s="262">
        <v>11600</v>
      </c>
      <c r="AC407" s="262" t="e" vm="433">
        <v>#VALUE!</v>
      </c>
      <c r="AD407" s="262">
        <v>4020</v>
      </c>
      <c r="AE407" s="262">
        <v>5060</v>
      </c>
      <c r="AF407" s="262">
        <v>9000</v>
      </c>
      <c r="AG407" s="262">
        <v>-5840</v>
      </c>
      <c r="AH407" s="262" t="e" vm="433">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-4920</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[1]DataRT!$J6</f>
        <v>238.73</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-16860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[1]DataRT!$J7</f>
        <v>0.68799999999999994</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15179.999999999534</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[1]DataRT!$J8</f>
        <v>882.5</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-36370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[1]DataRT!$J9</f>
        <v>344.74</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256</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[1]DataRT!$J10</f>
        <v>89.365399999999994</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1007.5</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[1]DataRT!$J11</f>
        <v>3.19</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1699.9999999999927</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[1]DataRT!$J12</f>
        <v>2.4704000000000002</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-380.00000000000364</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[1]DataRT!$J13</f>
        <v>101.545</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47.400000000000375</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[1]DataRT!$J14</f>
        <v>78.665000000000006</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0</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[1]DataRT!$J15</f>
        <v>79.739999999999995</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3.0000000000001137E-2</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[1]DataRT!$J16</f>
        <v>2.23</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11050</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[1]DataRT!$J17</f>
        <v>108.73</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-1475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[1]DataRT!$J18</f>
        <v>24</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600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[1]DataRT!$J19</f>
        <v>123.4</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-5634</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[1]DataRT!$J20</f>
        <v>13.25</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-2370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[1]DataRT!$J21</f>
        <v>15.2</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-193.25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[1]DataRT!$J22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[1]DataRT!$J23</f>
        <v>71.765000000000001</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-12.100000000000136</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[1]DataRT!$J24</f>
        <v>23.419899999999998</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3035.9999999999709</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[1]DataRT!$J25</f>
        <v>25</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-2259.9999999999854</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[1]DataRT!$J26</f>
        <v>389.3</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-13650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[1]DataRT!$J27</f>
        <v>66.915000000000006</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4869.9999999999418</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[1]DataRT!$J28</f>
        <v>10.479900000000001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[1]DataRT!$J29</f>
        <v>8.2100000000000009</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-4.4499999999999744</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[1]DataRT!$J30</f>
        <v>24.88</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19860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[1]DataRT!$J31</f>
        <v>511.6</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194823.99999999907</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[1]DataRT!$J32</f>
        <v>84.49</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1588.34</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[1]DataRT!$J33</f>
        <v>89.47</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-14420</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[1]DataRT!$J34</f>
        <v>1142.73</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-117180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[1]DataRT!$J35</f>
        <v>2.63</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4533.3899999999994</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[1]DataRT!$J36</f>
        <v>38.795499999999997</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1680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[1]DataRT!$J37</f>
        <v>6.9898999999999996</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600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[1]DataRT!$J38</f>
        <v>4.84</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30600.000000000029</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[1]DataRT!$J39</f>
        <v>0.72709999999999997</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1623</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[1]DataRT!$J40</f>
        <v>42.47</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1690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[1]DataRT!$J41</f>
        <v>45.77</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-49</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[1]DataRT!$J42</f>
        <v>211.8</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-6080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[1]DataRT!$J43</f>
        <v>15.04</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13550.16320000001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[1]DataRT!$J44</f>
        <v>9.3000000000000007</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5120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[1]DataRT!$J45</f>
        <v>412.19</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12.274999999999977</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[1]DataRT!$J46</f>
        <v>286.86</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24936</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[1]DataRT!$J47</f>
        <v>29.8</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450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[1]DataRT!$J48</f>
        <v>6.3150000000000004</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3762.1999999999971</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[1]DataRT!$J49</f>
        <v>28.209900000000001</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615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[1]DataRT!$J50</f>
        <v>60.3</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1587.4000000000233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[1]DataRT!$J51</f>
        <v>10.9</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-99.999999999985448</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[1]DataRT!$J52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[1]DataRT!$J53</f>
        <v>119.48</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645</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[1]DataRT!$J54</f>
        <v>6.32</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-1499.9999999999927</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[1]DataRT!$J55</f>
        <v>0.68799999999999994</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3030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[1]DataRT!$J56</f>
        <v>2.23</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1300.0000000000036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[1]DataRT!$J57</f>
        <v>24</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1800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[1]DataRT!$J58</f>
        <v>15.2</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-2.1999999999999602</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[1]DataRT!$J59</f>
        <v>16.547999999999998</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-2376</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[1]DataRT!$J60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[1]DataRT!$J61</f>
        <v>58.82</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-7420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[1]DataRT!$J62</f>
        <v>14.065</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-2079</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[1]DataRT!$J63</f>
        <v>45.77</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-0.98000000000000398</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[1]DataRT!$J64</f>
        <v>211.8</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-641.59999999997672</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[1]DataRT!$J65</f>
        <v>29.8</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84</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[1]DataRT!$J66</f>
        <v>275.95999999999998</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470.75000000001455</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[1]DataRT!$J67</f>
        <v>238.73</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-2107.5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[1]DataRT!$J68</f>
        <v>882.5</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-2800</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[1]DataRT!$J69</f>
        <v>2.23</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14300</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[1]DataRT!$J70</f>
        <v>108.73</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-1770</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[1]DataRT!$J71</f>
        <v>71.765000000000001</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[1]DataRT!$J72</f>
        <v>389.3</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[1]DataRT!$J73</f>
        <v>24.88</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8275</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[1]DataRT!$J74</f>
        <v>1.4684999999999999</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13200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[1]DataRT!$J75</f>
        <v>16.547999999999998</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-1552</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[1]DataRT!$J76</f>
        <v>470</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-1230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[1]DataRT!$J77</f>
        <v>13.31</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[1]DataRT!$J78</f>
        <v>58.82</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[1]DataRT!$J79</f>
        <v>153.13999999999999</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1278</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[1]DataRT!$J80</f>
        <v>800.61</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[1]DataRT!$J81</f>
        <v>1.26</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1474.2099999999991</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[1]DataRT!$J82</f>
        <v>33.075000000000003</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1614</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[1]DataRT!$J83</f>
        <v>557</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-686</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[1]DataRT!$J84</f>
        <v>7.15</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1820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[1]DataRT!$J85</f>
        <v>132.76</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[1]DataRT!$J86</f>
        <v>14.065</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-126</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[1]DataRT!$J87</f>
        <v>43.085000000000001</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7580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[1]DataRT!$J88</f>
        <v>25.77</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-568</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[1]DataRT!$J89</f>
        <v>4.13</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1200</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[1]DataRT!$J90</f>
        <v>38.31</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[1]DataRT!$J91</f>
        <v>62.19</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-348</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[1]DataRT!$J92</f>
        <v>196.70500000000001</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3000</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[1]DataRT!$J93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[1]DataRT!$J94</f>
        <v>10.206</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-6013.7999999999302</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[1]DataRT!$J95</f>
        <v>882.5</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-2240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[1]DataRT!$J96</f>
        <v>15.2</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-3960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45950</v>
      </c>
      <c r="G502" s="117">
        <f t="shared" ca="1" si="41"/>
        <v>45951</v>
      </c>
      <c r="H502" s="117">
        <f t="shared" ca="1" si="41"/>
        <v>45952</v>
      </c>
      <c r="I502" s="117">
        <f t="shared" ca="1" si="41"/>
        <v>45953</v>
      </c>
      <c r="J502" s="117">
        <f t="shared" ca="1" si="41"/>
        <v>45954</v>
      </c>
      <c r="K502" s="117">
        <f t="shared" ca="1" si="41"/>
        <v>45957</v>
      </c>
      <c r="L502" s="117">
        <f t="shared" ca="1" si="41"/>
        <v>45958</v>
      </c>
      <c r="M502" s="117">
        <f t="shared" ca="1" si="41"/>
        <v>45959</v>
      </c>
      <c r="N502" s="117">
        <f t="shared" ca="1" si="41"/>
        <v>45960</v>
      </c>
      <c r="O502" s="117">
        <f t="shared" ca="1" si="41"/>
        <v>45961</v>
      </c>
      <c r="P502" s="117">
        <f t="shared" ca="1" si="41"/>
        <v>45964</v>
      </c>
      <c r="Q502" s="117">
        <f t="shared" ca="1" si="41"/>
        <v>45965</v>
      </c>
      <c r="R502" s="117">
        <f t="shared" ca="1" si="41"/>
        <v>45966</v>
      </c>
      <c r="S502" s="117">
        <f t="shared" ca="1" si="41"/>
        <v>45967</v>
      </c>
      <c r="T502" s="117">
        <f t="shared" ca="1" si="41"/>
        <v>45968</v>
      </c>
      <c r="U502" s="117">
        <f t="shared" ca="1" si="41"/>
        <v>45971</v>
      </c>
      <c r="V502" s="117">
        <f t="shared" ca="1" si="41"/>
        <v>45972</v>
      </c>
      <c r="W502" s="117">
        <f t="shared" ca="1" si="41"/>
        <v>45973</v>
      </c>
      <c r="X502" s="117">
        <f t="shared" ca="1" si="41"/>
        <v>45974</v>
      </c>
      <c r="Y502" s="117">
        <f t="shared" ca="1" si="41"/>
        <v>45975</v>
      </c>
      <c r="Z502" s="117">
        <f t="shared" ca="1" si="41"/>
        <v>45978</v>
      </c>
      <c r="AB502" s="117">
        <f t="shared" ref="AB502:AV502" ca="1" si="42">F402</f>
        <v>45950</v>
      </c>
      <c r="AC502" s="117">
        <f t="shared" ca="1" si="42"/>
        <v>45951</v>
      </c>
      <c r="AD502" s="117">
        <f t="shared" ca="1" si="42"/>
        <v>45952</v>
      </c>
      <c r="AE502" s="117">
        <f t="shared" ca="1" si="42"/>
        <v>45953</v>
      </c>
      <c r="AF502" s="117">
        <f t="shared" ca="1" si="42"/>
        <v>45954</v>
      </c>
      <c r="AG502" s="117">
        <f t="shared" ca="1" si="42"/>
        <v>45957</v>
      </c>
      <c r="AH502" s="117">
        <f t="shared" ca="1" si="42"/>
        <v>45958</v>
      </c>
      <c r="AI502" s="117">
        <f t="shared" ca="1" si="42"/>
        <v>45959</v>
      </c>
      <c r="AJ502" s="117">
        <f t="shared" ca="1" si="42"/>
        <v>45960</v>
      </c>
      <c r="AK502" s="117">
        <f t="shared" ca="1" si="42"/>
        <v>45961</v>
      </c>
      <c r="AL502" s="117">
        <f t="shared" ca="1" si="42"/>
        <v>45964</v>
      </c>
      <c r="AM502" s="117">
        <f t="shared" ca="1" si="42"/>
        <v>45965</v>
      </c>
      <c r="AN502" s="117">
        <f t="shared" ca="1" si="42"/>
        <v>45966</v>
      </c>
      <c r="AO502" s="117">
        <f t="shared" ca="1" si="42"/>
        <v>45967</v>
      </c>
      <c r="AP502" s="117">
        <f t="shared" ca="1" si="42"/>
        <v>45968</v>
      </c>
      <c r="AQ502" s="117">
        <f t="shared" ca="1" si="42"/>
        <v>45971</v>
      </c>
      <c r="AR502" s="117">
        <f t="shared" ca="1" si="42"/>
        <v>45972</v>
      </c>
      <c r="AS502" s="117">
        <f t="shared" ca="1" si="42"/>
        <v>45973</v>
      </c>
      <c r="AT502" s="117">
        <f t="shared" ca="1" si="42"/>
        <v>45974</v>
      </c>
      <c r="AU502" s="117">
        <f t="shared" ca="1" si="42"/>
        <v>45975</v>
      </c>
      <c r="AV502" s="117">
        <f t="shared" ca="1" si="42"/>
        <v>45978</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[1]DataRT!$K3</f>
        <v>36.680500000000002</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2587895.0000000005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[1]DataRT!$K4</f>
        <v>19.815100000000001</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64300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[1]DataRT!$K5</f>
        <v>3.9931000000000001</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377200</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[1]DataRT!$K6</f>
        <v>33.153199999999998</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2816280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[1]DataRT!$K7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1740639.9999999998</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[1]DataRT!$K8</f>
        <v>33.458599999999997</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2701340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[1]DataRT!$K9</f>
        <v>87.788200000000003</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136984</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[1]DataRT!$K9</f>
        <v>87.788200000000003</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44550</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[1]DataRT!$K10</f>
        <v>29.600899999999999</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60599.999999999993</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[1]DataRT!$K11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30125</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[1]DataRT!$K12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10531.5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[1]DataRT!$K13</f>
        <v>14.0997</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78000</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[1]DataRT!$K14</f>
        <v>30.166699999999999</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77.87</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[1]DataRT!$K15</f>
        <v>203.86189999999999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184450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[1]DataRT!$K16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105800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[1]DataRT!$K17</f>
        <v>15.4414</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95240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[1]DataRT!$K18</f>
        <v>26.603400000000001</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364650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[1]DataRT!$K19</f>
        <v>12.514699999999999</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77430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[1]DataRT!$K20</f>
        <v>6.3037000000000001</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227850</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[1]DataRT!$K21</f>
        <v>13.2087</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[1]DataRT!$K22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705.6</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[1]DataRT!$K23</f>
        <v>13.563700000000001</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210035.99999999997</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[1]DataRT!$K24</f>
        <v>27.383600000000001</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122565.00000000001</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[1]DataRT!$K25</f>
        <v>8.9360999999999997</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419210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[1]DataRT!$K26</f>
        <v>6.8654000000000002</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400259.99999999994</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[1]DataRT!$K27</f>
        <v>16.900500000000001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[1]DataRT!$K28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79.900000000000006</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[1]DataRT!$K29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297240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[1]DataRT!$K30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4999764</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[1]DataRT!$K31</f>
        <v>36.297800000000002</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83.85</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[1]DataRT!$K32</f>
        <v>26.6401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1756000</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[1]DataRT!$K33</f>
        <v>13.644</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3336510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[1]DataRT!$K34</f>
        <v>46.460799999999999</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67734.180000000008</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[1]DataRT!$K35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154040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[1]DataRT!$K36</f>
        <v>22.2713</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27400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[1]DataRT!$K37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198000.00000000003</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[1]DataRT!$K38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7100</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[1]DataRT!$K39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41940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[1]DataRT!$K40</f>
        <v>6.8</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2269</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[1]DataRT!$K41</f>
        <v>14.6387</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798760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[1]DataRT!$K42</f>
        <v>34.6248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374750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[1]DataRT!$K43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143200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[1]DataRT!$K44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404.35</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[1]DataRT!$K45</f>
        <v>280.34690000000001</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1281915</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[1]DataRT!$K46</f>
        <v>28.3415</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89400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[1]DataRT!$K48</f>
        <v>1.2367999999999999</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45435.8</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[1]DataRT!$K49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84120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[1]DataRT!$K50</f>
        <v>13.4537</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1192000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[1]DataRT!$K51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53600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[1]DataRT!$K52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[1]DataRT!$K53</f>
        <v>17.340299999999999</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59645</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[1]DataRT!$K54</f>
        <v>36.4955</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61900.000000000007</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[1]DataRT!$K55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347440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[1]DataRT!$K56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21700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[1]DataRT!$K57</f>
        <v>26.603400000000001</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285720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[1]DataRT!$K58</f>
        <v>13.2087</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151.9</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[1]DataRT!$K59</f>
        <v>18.210899999999999</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593640</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[1]DataRT!$K60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[1]DataRT!$K61</f>
        <v>9.3294999999999995</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407820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[1]DataRT!$K62</f>
        <v>43.935600000000001</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275418</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[1]DataRT!$K63</f>
        <v>14.6387</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45.38</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[1]DataRT!$K64</f>
        <v>34.6248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84290.2</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[1]DataRT!$K65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16688</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[1]DataRT!$K66</f>
        <v>36.680500000000002</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95343.500000000015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[1]DataRT!$K67</f>
        <v>33.153199999999998</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352035</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[1]DataRT!$K68</f>
        <v>33.458599999999997</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217850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[1]DataRT!$K69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238700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[1]DataRT!$K70</f>
        <v>15.4414</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126960</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[1]DataRT!$K71</f>
        <v>13.563700000000001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[1]DataRT!$K72</f>
        <v>6.8654000000000002</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[1]DataRT!$K73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123850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[1]DataRT!$K74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169200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[1]DataRT!$K75</f>
        <v>18.210899999999999</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280330</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[1]DataRT!$K76</f>
        <v>8.3451000000000004</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138420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[1]DataRT!$K77</f>
        <v>11.326499999999999</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[1]DataRT!$K78</f>
        <v>9.3294999999999995</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[1]DataRT!$K79</f>
        <v>28.772500000000001</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135999</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[1]DataRT!$K80</f>
        <v>16.066500000000001</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[1]DataRT!$K81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15673.18</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[1]DataRT!$K82</f>
        <v>49.051000000000002</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39402</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[1]DataRT!$K83</f>
        <v>34.893500000000003</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109146</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[1]DataRT!$K84</f>
        <v>3.8753000000000002</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45305</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[1]DataRT!$K85</f>
        <v>17.9513</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[1]DataRT!$K86</f>
        <v>43.935600000000001</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16692</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[1]DataRT!$K87</f>
        <v>31.217400000000001</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171080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[1]DataRT!$K88</f>
        <v>14.607200000000001</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40096</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[1]DataRT!$K89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172430</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[1]DataRT!$K90</f>
        <v>16.054400000000001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[1]DataRT!$K91</f>
        <v>30.411100000000001</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36288</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[1]DataRT!$K92</f>
        <v>12.8216</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289305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[1]DataRT!$K93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[1]DataRT!$K94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780868.8</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[1]DataRT!$K95</f>
        <v>33.458599999999997</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174280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[1]DataRT!$K96</f>
        <v>13.2087</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273420</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45950</v>
      </c>
      <c r="G603" s="117">
        <f t="shared" ca="1" si="48"/>
        <v>45951</v>
      </c>
      <c r="H603" s="117">
        <f t="shared" ca="1" si="48"/>
        <v>45952</v>
      </c>
      <c r="I603" s="117">
        <f t="shared" ca="1" si="48"/>
        <v>45953</v>
      </c>
      <c r="J603" s="117">
        <f t="shared" ca="1" si="48"/>
        <v>45954</v>
      </c>
      <c r="K603" s="117">
        <f t="shared" ca="1" si="48"/>
        <v>45957</v>
      </c>
      <c r="L603" s="117">
        <f t="shared" ca="1" si="48"/>
        <v>45958</v>
      </c>
      <c r="M603" s="117">
        <f t="shared" ca="1" si="48"/>
        <v>45959</v>
      </c>
      <c r="N603" s="117">
        <f t="shared" ca="1" si="48"/>
        <v>45960</v>
      </c>
      <c r="O603" s="117">
        <f t="shared" ca="1" si="48"/>
        <v>45961</v>
      </c>
      <c r="P603" s="117">
        <f t="shared" ca="1" si="48"/>
        <v>45964</v>
      </c>
      <c r="Q603" s="117">
        <f t="shared" ca="1" si="48"/>
        <v>45965</v>
      </c>
      <c r="R603" s="117">
        <f t="shared" ca="1" si="48"/>
        <v>45966</v>
      </c>
      <c r="S603" s="117">
        <f t="shared" ca="1" si="48"/>
        <v>45967</v>
      </c>
      <c r="T603" s="117">
        <f t="shared" ca="1" si="48"/>
        <v>45968</v>
      </c>
      <c r="U603" s="117">
        <f t="shared" ca="1" si="48"/>
        <v>45971</v>
      </c>
      <c r="V603" s="117">
        <f t="shared" ca="1" si="48"/>
        <v>45972</v>
      </c>
      <c r="W603" s="117">
        <f t="shared" ca="1" si="48"/>
        <v>45973</v>
      </c>
      <c r="X603" s="117">
        <f t="shared" ca="1" si="48"/>
        <v>45974</v>
      </c>
      <c r="Y603" s="117">
        <f t="shared" ca="1" si="48"/>
        <v>45975</v>
      </c>
      <c r="Z603" s="117">
        <f t="shared" ca="1" si="48"/>
        <v>45978</v>
      </c>
      <c r="AB603" s="117">
        <f t="shared" ref="AB603:AV603" ca="1" si="49">F502</f>
        <v>45950</v>
      </c>
      <c r="AC603" s="117">
        <f t="shared" ca="1" si="49"/>
        <v>45951</v>
      </c>
      <c r="AD603" s="117">
        <f t="shared" ca="1" si="49"/>
        <v>45952</v>
      </c>
      <c r="AE603" s="117">
        <f t="shared" ca="1" si="49"/>
        <v>45953</v>
      </c>
      <c r="AF603" s="117">
        <f t="shared" ca="1" si="49"/>
        <v>45954</v>
      </c>
      <c r="AG603" s="117">
        <f t="shared" ca="1" si="49"/>
        <v>45957</v>
      </c>
      <c r="AH603" s="117">
        <f t="shared" ca="1" si="49"/>
        <v>45958</v>
      </c>
      <c r="AI603" s="117">
        <f t="shared" ca="1" si="49"/>
        <v>45959</v>
      </c>
      <c r="AJ603" s="117">
        <f t="shared" ca="1" si="49"/>
        <v>45960</v>
      </c>
      <c r="AK603" s="117">
        <f t="shared" ca="1" si="49"/>
        <v>45961</v>
      </c>
      <c r="AL603" s="117">
        <f t="shared" ca="1" si="49"/>
        <v>45964</v>
      </c>
      <c r="AM603" s="117">
        <f t="shared" ca="1" si="49"/>
        <v>45965</v>
      </c>
      <c r="AN603" s="117">
        <f t="shared" ca="1" si="49"/>
        <v>45966</v>
      </c>
      <c r="AO603" s="117">
        <f t="shared" ca="1" si="49"/>
        <v>45967</v>
      </c>
      <c r="AP603" s="117">
        <f t="shared" ca="1" si="49"/>
        <v>45968</v>
      </c>
      <c r="AQ603" s="117">
        <f t="shared" ca="1" si="49"/>
        <v>45971</v>
      </c>
      <c r="AR603" s="117">
        <f t="shared" ca="1" si="49"/>
        <v>45972</v>
      </c>
      <c r="AS603" s="117">
        <f t="shared" ca="1" si="49"/>
        <v>45973</v>
      </c>
      <c r="AT603" s="117">
        <f t="shared" ca="1" si="49"/>
        <v>45974</v>
      </c>
      <c r="AU603" s="117">
        <f t="shared" ca="1" si="49"/>
        <v>45975</v>
      </c>
      <c r="AV603" s="117">
        <f t="shared" ca="1" si="49"/>
        <v>45978</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[1]DataRT!$L3</f>
        <v>-0.54</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1.0147607283139384</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[1]DataRT!$L4</f>
        <v>-0.28000000000000003</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1.6070505443234837</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[1]DataRT!$L5</f>
        <v>0.8</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2.1013043478260869</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[1]DataRT!$L6</f>
        <v>-2.89</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1.2289577740849631</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[1]DataRT!$L7</f>
        <v>2.1999999999999999E-2</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2.2286773255813959</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[1]DataRT!$L8</f>
        <v>-2.7</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1.0809080330502641</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[1]DataRT!$L9</f>
        <v>2.48</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1.1457736669976055</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[1]DataRT!$L10</f>
        <v>0.49</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1.0466075196408531</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[1]DataRT!$L11</f>
        <v>-0.16</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0.90759075907590769</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[1]DataRT!$L12</f>
        <v>-0.09</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[1]DataRT!$L13</f>
        <v>-0.37</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1.1342163509471586</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[1]DataRT!$L14</f>
        <v>0.62</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0.97808910256410253</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[1]DataRT!$L15</f>
        <v>-1.37</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1.1619365609348915</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[1]DataRT!$L16</f>
        <v>0.01</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1.4976958525345623</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[1]DataRT!$L17</f>
        <v>-1.81</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1.2672249527410206</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[1]DataRT!$L18</f>
        <v>-0.18</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1.3388399832003361</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[1]DataRT!$L19</f>
        <v>-1.5</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1.2104072398190044</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[1]DataRT!$L20</f>
        <v>-0.41499999999999998</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1.1235955056179776</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[1]DataRT!$L21</f>
        <v>-5.5E-2</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1.1138637261356155</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[1]DataRT!$L22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[1]DataRT!$L23</f>
        <v>-1.33</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1.0367609126984128</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[1]DataRT!$L24</f>
        <v>-0.1</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1.1612838370565046</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[1]DataRT!$L25</f>
        <v>-0.46700000000000003</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1.1537755476685838</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[1]DataRT!$L26</f>
        <v>-6.4</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1.217775387037523</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[1]DataRT!$L27</f>
        <v>1.0900000000000001</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1.1399407884874833</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[1]DataRT!$L28</f>
        <v>-0.14000000000000001</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1.4836795252225521</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[1]DataRT!$L29</f>
        <v>-0.13</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0.74568210262828538</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[1]DataRT!$L30</f>
        <v>-0.19</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1.6269681065805408</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[1]DataRT!$L31</f>
        <v>6.89</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1.2274619938061075</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[1]DataRT!$L32</f>
        <v>-0.14000000000000001</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1.0852713178294575</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[1]DataRT!$L33</f>
        <v>-1.92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1.1701025056947609</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[1]DataRT!$L34</f>
        <v>-42.06</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1.2114362912144725</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[1]DataRT!$L35</f>
        <v>0.01</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12.402000000000001</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[1]DataRT!$L36</f>
        <v>-0.54</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1.2172163074526097</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[1]DataRT!$L37</f>
        <v>0.5</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1.7664233576642336</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[1]DataRT!$L38</f>
        <v>-0.3</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1.5075749999999999</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[1]DataRT!$L39</f>
        <v>9.01E-2</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[1]DataRT!$L40</f>
        <v>2.06</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0.91400405340963276</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[1]DataRT!$L41</f>
        <v>0.05</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0.98605244601145869</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[1]DataRT!$L42</f>
        <v>-0.9</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1.3732959086584207</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[1]DataRT!$L43</f>
        <v>0.19</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[1]DataRT!$L44</f>
        <v>-0.38</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1.4897575418994415</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[1]DataRT!$L45</f>
        <v>2.36</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0.9677706195127983</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[1]DataRT!$L46</f>
        <v>2.67</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1.1773682030399832</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[1]DataRT!$L47</f>
        <v>1.2</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[1]DataRT!$L48</f>
        <v>0.245</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1.1818821656050955</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[1]DataRT!$L49</f>
        <v>-0.33</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1.2125534950071326</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[1]DataRT!$L50</f>
        <v>-0.4</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1.0318791946308725</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[1]DataRT!$L51</f>
        <v>-0.19</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1.1194029850746268</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[1]DataRT!$L52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[1]DataRT!$L53</f>
        <v>1.53</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1.0636264565344957</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[1]DataRT!$L54</f>
        <v>-0.11</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1.8416801292407108</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[1]DataRT!$L55</f>
        <v>2.1999999999999999E-2</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2.2286773255813959</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[1]DataRT!$L56</f>
        <v>0.01</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1.4976958525345623</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[1]DataRT!$L57</f>
        <v>-0.18</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1.3388399832003361</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[1]DataRT!$L58</f>
        <v>-5.5E-2</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1.1138637261356155</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[1]DataRT!$L59</f>
        <v>1.6E-2</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0.97772771376591883</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[1]DataRT!$L60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[1]DataRT!$L61</f>
        <v>0.28000000000000003</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1.1103005492619293</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[1]DataRT!$L62</f>
        <v>-0.11</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1.1015255212077641</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[1]DataRT!$L63</f>
        <v>0.05</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0.98605244601145869</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[1]DataRT!$L64</f>
        <v>-0.9</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1.3732959086584207</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[1]DataRT!$L65</f>
        <v>1.2</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[1]DataRT!$L66</f>
        <v>-0.54</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1.0147607283139384</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[1]DataRT!$L67</f>
        <v>-2.89</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1.2289577740849631</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[1]DataRT!$L68</f>
        <v>-2.7</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1.0809080330502641</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[1]DataRT!$L69</f>
        <v>0.01</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1.4976958525345623</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[1]DataRT!$L70</f>
        <v>-1.81</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1.2672249527410206</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[1]DataRT!$L71</f>
        <v>-1.33</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1.0367609126984128</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[1]DataRT!$L72</f>
        <v>-6.4</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1.217775387037523</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[1]DataRT!$L73</f>
        <v>-0.19</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1.6269681065805408</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[1]DataRT!$L74</f>
        <v>-0.05</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1.7021276595744681</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[1]DataRT!$L75</f>
        <v>1.6E-2</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0.97772771376591883</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[1]DataRT!$L76</f>
        <v>-7.8</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1.3572821846553966</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[1]DataRT!$L77</f>
        <v>-0.09</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0.92987111448066728</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[1]DataRT!$L78</f>
        <v>0.28000000000000003</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1.1103005492619293</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[1]DataRT!$L79</f>
        <v>-3.52</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1.3729773013036859</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[1]DataRT!$L80</f>
        <v>-15.02</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1.0143736716931484</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[1]DataRT!$L81</f>
        <v>-0.05</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2.4752475247524752</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[1]DataRT!$L82</f>
        <v>-0.20499999999999999</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1.0377243794731232</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[1]DataRT!$L83</f>
        <v>-9.84</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1.2006041449068219</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[1]DataRT!$L84</f>
        <v>-0.09</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1.8095408895265426</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[1]DataRT!$L85</f>
        <v>-0.65</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0.97100411397226882</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[1]DataRT!$L86</f>
        <v>-0.11</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1.1015255212077641</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[1]DataRT!$L87</f>
        <v>0.75</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1.1670105213935</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[1]DataRT!$L88</f>
        <v>-0.73</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1.1473224261771748</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[1]DataRT!$L89</f>
        <v>0</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0.98599750623441407</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[1]DataRT!$L90</f>
        <v>0.21</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1.0833225215799112</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[1]DataRT!$L91</f>
        <v>-1.82</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1.4633806216931218</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[1]DataRT!$L92</f>
        <v>-3.79</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1.190537927101156</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[1]DataRT!$L93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[1]DataRT!$L94</f>
        <v>4.2000000000000003E-2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[1]DataRT!$L95</f>
        <v>-2.7</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1.0809080330502641</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[1]DataRT!$L96</f>
        <v>-5.5E-2</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1.1138637261356155</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2.5300000000000001E-3</v>
      </c>
      <c r="G701" s="1275">
        <f t="shared" ca="1" si="54"/>
        <v>8.4099999999999995E-4</v>
      </c>
      <c r="H701" s="1275">
        <f t="shared" ca="1" si="54"/>
        <v>3.6870000000000002E-3</v>
      </c>
      <c r="I701" s="1275">
        <f t="shared" ca="1" si="54"/>
        <v>5.6179999999999997E-3</v>
      </c>
      <c r="J701" s="1275">
        <f t="shared" ca="1" si="54"/>
        <v>6.4459999999999995E-3</v>
      </c>
      <c r="K701" s="1275">
        <f t="shared" ca="1" si="54"/>
        <v>-4.2699999999999995E-3</v>
      </c>
      <c r="L701" s="1275">
        <f t="shared" ca="1" si="54"/>
        <v>-9.6480000000000003E-3</v>
      </c>
      <c r="M701" s="1275">
        <f t="shared" ca="1" si="54"/>
        <v>3.3124000000000001E-2</v>
      </c>
      <c r="N701" s="1275">
        <f t="shared" ca="1" si="54"/>
        <v>7.5439999999999995E-3</v>
      </c>
      <c r="O701" s="1275">
        <f t="shared" ca="1" si="54"/>
        <v>-1.4766999999999999E-2</v>
      </c>
      <c r="P701" s="1275">
        <f t="shared" ca="1" si="54"/>
        <v>-1.4766999999999999E-2</v>
      </c>
      <c r="Q701" s="1275">
        <f t="shared" ca="1" si="54"/>
        <v>2.1743999999999999E-2</v>
      </c>
      <c r="R701" s="1275">
        <f t="shared" ca="1" si="54"/>
        <v>-3.5743999999999998E-2</v>
      </c>
      <c r="S701" s="1275">
        <f t="shared" ca="1" si="54"/>
        <v>9.4279999999999989E-3</v>
      </c>
      <c r="T701" s="1275">
        <f t="shared" ca="1" si="54"/>
        <v>-6.156E-3</v>
      </c>
      <c r="U701" s="1275">
        <f t="shared" ca="1" si="54"/>
        <v>6.9099999999999995E-3</v>
      </c>
      <c r="V701" s="1275">
        <f t="shared" ca="1" si="54"/>
        <v>-1.2235000000000001E-2</v>
      </c>
      <c r="W701" s="1275">
        <f t="shared" ca="1" si="54"/>
        <v>8.405000000000001E-3</v>
      </c>
      <c r="X701" s="1275">
        <f t="shared" ca="1" si="54"/>
        <v>-4.3868999999999998E-2</v>
      </c>
      <c r="Y701" s="1275">
        <f t="shared" ca="1" si="54"/>
        <v>-1.0553E-2</v>
      </c>
      <c r="Z701" s="1275">
        <f t="shared" ca="1" si="54"/>
        <v>-4.2630000000000003E-3</v>
      </c>
      <c r="AX701" s="88"/>
    </row>
    <row r="702" spans="1:50" x14ac:dyDescent="0.3">
      <c r="A702" s="88"/>
      <c r="C702" s="677"/>
      <c r="D702" s="677"/>
      <c r="F702" s="117">
        <f t="shared" ref="F702:Z702" ca="1" si="55">F603</f>
        <v>45950</v>
      </c>
      <c r="G702" s="117">
        <f t="shared" ca="1" si="55"/>
        <v>45951</v>
      </c>
      <c r="H702" s="117">
        <f t="shared" ca="1" si="55"/>
        <v>45952</v>
      </c>
      <c r="I702" s="117">
        <f t="shared" ca="1" si="55"/>
        <v>45953</v>
      </c>
      <c r="J702" s="117">
        <f t="shared" ca="1" si="55"/>
        <v>45954</v>
      </c>
      <c r="K702" s="117">
        <f t="shared" ca="1" si="55"/>
        <v>45957</v>
      </c>
      <c r="L702" s="117">
        <f t="shared" ca="1" si="55"/>
        <v>45958</v>
      </c>
      <c r="M702" s="117">
        <f t="shared" ca="1" si="55"/>
        <v>45959</v>
      </c>
      <c r="N702" s="117">
        <f t="shared" ca="1" si="55"/>
        <v>45960</v>
      </c>
      <c r="O702" s="117">
        <f t="shared" ca="1" si="55"/>
        <v>45961</v>
      </c>
      <c r="P702" s="117">
        <f t="shared" ca="1" si="55"/>
        <v>45964</v>
      </c>
      <c r="Q702" s="117">
        <f t="shared" ca="1" si="55"/>
        <v>45965</v>
      </c>
      <c r="R702" s="117">
        <f t="shared" ca="1" si="55"/>
        <v>45966</v>
      </c>
      <c r="S702" s="117">
        <f t="shared" ca="1" si="55"/>
        <v>45967</v>
      </c>
      <c r="T702" s="117">
        <f t="shared" ca="1" si="55"/>
        <v>45968</v>
      </c>
      <c r="U702" s="117">
        <f t="shared" ca="1" si="55"/>
        <v>45971</v>
      </c>
      <c r="V702" s="117">
        <f t="shared" ca="1" si="55"/>
        <v>45972</v>
      </c>
      <c r="W702" s="117">
        <f t="shared" ca="1" si="55"/>
        <v>45973</v>
      </c>
      <c r="X702" s="117">
        <f t="shared" ca="1" si="55"/>
        <v>45974</v>
      </c>
      <c r="Y702" s="117">
        <f t="shared" ca="1" si="55"/>
        <v>45975</v>
      </c>
      <c r="Z702" s="117">
        <f t="shared" ca="1" si="55"/>
        <v>45978</v>
      </c>
      <c r="AB702" s="117">
        <f t="shared" ref="AB702:AV702" ca="1" si="56">F603</f>
        <v>45950</v>
      </c>
      <c r="AC702" s="117">
        <f t="shared" ca="1" si="56"/>
        <v>45951</v>
      </c>
      <c r="AD702" s="117">
        <f t="shared" ca="1" si="56"/>
        <v>45952</v>
      </c>
      <c r="AE702" s="117">
        <f t="shared" ca="1" si="56"/>
        <v>45953</v>
      </c>
      <c r="AF702" s="117">
        <f t="shared" ca="1" si="56"/>
        <v>45954</v>
      </c>
      <c r="AG702" s="117">
        <f t="shared" ca="1" si="56"/>
        <v>45957</v>
      </c>
      <c r="AH702" s="117">
        <f t="shared" ca="1" si="56"/>
        <v>45958</v>
      </c>
      <c r="AI702" s="117">
        <f t="shared" ca="1" si="56"/>
        <v>45959</v>
      </c>
      <c r="AJ702" s="117">
        <f t="shared" ca="1" si="56"/>
        <v>45960</v>
      </c>
      <c r="AK702" s="117">
        <f t="shared" ca="1" si="56"/>
        <v>45961</v>
      </c>
      <c r="AL702" s="117">
        <f t="shared" ca="1" si="56"/>
        <v>45964</v>
      </c>
      <c r="AM702" s="117">
        <f t="shared" ca="1" si="56"/>
        <v>45965</v>
      </c>
      <c r="AN702" s="117">
        <f t="shared" ca="1" si="56"/>
        <v>45966</v>
      </c>
      <c r="AO702" s="117">
        <f t="shared" ca="1" si="56"/>
        <v>45967</v>
      </c>
      <c r="AP702" s="117">
        <f t="shared" ca="1" si="56"/>
        <v>45968</v>
      </c>
      <c r="AQ702" s="117">
        <f t="shared" ca="1" si="56"/>
        <v>45971</v>
      </c>
      <c r="AR702" s="117">
        <f t="shared" ca="1" si="56"/>
        <v>45972</v>
      </c>
      <c r="AS702" s="117">
        <f t="shared" ca="1" si="56"/>
        <v>45973</v>
      </c>
      <c r="AT702" s="117">
        <f t="shared" ca="1" si="56"/>
        <v>45974</v>
      </c>
      <c r="AU702" s="117">
        <f t="shared" ca="1" si="56"/>
        <v>45975</v>
      </c>
      <c r="AV702" s="117">
        <f t="shared" ca="1" si="56"/>
        <v>45978</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[1]DataRT!$M3</f>
        <v>-1.9780000000000002E-3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[1]DataRT!$M4</f>
        <v>-2.1309000000000002E-2</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[1]DataRT!$M5</f>
        <v>1.7698999999999999E-2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[1]DataRT!$M6</f>
        <v>-1.2163999999999999E-2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[1]DataRT!$M7</f>
        <v>3.3033E-2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[1]DataRT!$M8</f>
        <v>-3.0890000000000002E-3</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[1]DataRT!$M9</f>
        <v>7.2950000000000003E-3</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[1]DataRT!$M10</f>
        <v>5.5300000000000002E-3</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[1]DataRT!$M11</f>
        <v>-5.0157E-2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[1]DataRT!$M12</f>
        <v>-3.6000000000000004E-2</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[1]DataRT!$M13</f>
        <v>-3.6749999999999999E-3</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[1]DataRT!$M14</f>
        <v>8.012E-3</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[1]DataRT!$M15</f>
        <v>-1.7289000000000002E-2</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[1]DataRT!$M16</f>
        <v>4.6300000000000004E-3</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[1]DataRT!$M17</f>
        <v>-1.6819999999999998E-2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[1]DataRT!$M18</f>
        <v>-7.5029999999999993E-3</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[1]DataRT!$M19</f>
        <v>-1.2190000000000001E-2</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[1]DataRT!$M20</f>
        <v>-3.1156000000000003E-2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[1]DataRT!$M21</f>
        <v>-3.6080000000000001E-3</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[1]DataRT!$M22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[1]DataRT!$M23</f>
        <v>-1.8500000000000003E-2</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[1]DataRT!$M24</f>
        <v>-4.3610000000000003E-3</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[1]DataRT!$M25</f>
        <v>-1.8695E-2</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[1]DataRT!$M26</f>
        <v>-1.6515999999999999E-2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[1]DataRT!$M27</f>
        <v>1.6611000000000001E-2</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[1]DataRT!$M28</f>
        <v>-1.3658999999999999E-2</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[1]DataRT!$M29</f>
        <v>-1.601E-2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[1]DataRT!$M30</f>
        <v>-7.6119999999999998E-3</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[1]DataRT!$M31</f>
        <v>1.3690000000000001E-2</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[1]DataRT!$M32</f>
        <v>-1.6669999999999999E-3</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[1]DataRT!$M33</f>
        <v>-2.1400000000000002E-2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[1]DataRT!$M34</f>
        <v>-3.644E-2</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[1]DataRT!$M35</f>
        <v>3.9529999999999999E-3</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[1]DataRT!$M36</f>
        <v>-1.3828E-2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[1]DataRT!$M37</f>
        <v>7.8739999999999991E-2</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[1]DataRT!$M38</f>
        <v>-6.3829999999999998E-2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[1]DataRT!$M39</f>
        <v>0.145346</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[1]DataRT!$M40</f>
        <v>5.1655E-2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[1]DataRT!$M41</f>
        <v>1.103E-3</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[1]DataRT!$M42</f>
        <v>-4.2630000000000003E-3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[1]DataRT!$M43</f>
        <v>1.2838E-2</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[1]DataRT!$M44</f>
        <v>-4.0728999999999994E-2</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[1]DataRT!$M45</f>
        <v>5.8709999999999995E-3</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[1]DataRT!$M46</f>
        <v>9.4610000000000007E-3</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[1]DataRT!$M47</f>
        <v>4.1958000000000002E-2</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[1]DataRT!$M48</f>
        <v>4.0597000000000001E-2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[1]DataRT!$M49</f>
        <v>-1.1632E-2</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[1]DataRT!$M50</f>
        <v>-6.6669999999999993E-3</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[1]DataRT!$M51</f>
        <v>-1.7415E-2</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[1]DataRT!$M52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[1]DataRT!$M53</f>
        <v>1.2992999999999999E-2</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[1]DataRT!$M54</f>
        <v>-1.746E-2</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[1]DataRT!$M55</f>
        <v>3.3033E-2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[1]DataRT!$M56</f>
        <v>4.6300000000000004E-3</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[1]DataRT!$M57</f>
        <v>-7.5029999999999993E-3</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[1]DataRT!$M58</f>
        <v>-3.6080000000000001E-3</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[1]DataRT!$M59</f>
        <v>9.7119999999999997E-4</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[1]DataRT!$M60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[1]DataRT!$M61</f>
        <v>4.829E-3</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[1]DataRT!$M62</f>
        <v>-7.8459999999999988E-3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[1]DataRT!$M63</f>
        <v>1.103E-3</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[1]DataRT!$M64</f>
        <v>-4.2630000000000003E-3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[1]DataRT!$M65</f>
        <v>4.1958000000000002E-2</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[1]DataRT!$M66</f>
        <v>-1.9780000000000002E-3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[1]DataRT!$M67</f>
        <v>-1.2163999999999999E-2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[1]DataRT!$M68</f>
        <v>-3.0890000000000002E-3</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[1]DataRT!$M69</f>
        <v>4.6300000000000004E-3</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[1]DataRT!$M70</f>
        <v>-1.6819999999999998E-2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[1]DataRT!$M71</f>
        <v>-1.8500000000000003E-2</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[1]DataRT!$M72</f>
        <v>-1.6515999999999999E-2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[1]DataRT!$M73</f>
        <v>-7.6119999999999998E-3</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[1]DataRT!$M74</f>
        <v>-3.4247E-2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[1]DataRT!$M75</f>
        <v>9.7119999999999997E-4</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[1]DataRT!$M76</f>
        <v>-1.6624E-2</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[1]DataRT!$M77</f>
        <v>-6.777E-3</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[1]DataRT!$M78</f>
        <v>4.829E-3</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[1]DataRT!$M79</f>
        <v>-2.2764000000000003E-2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[1]DataRT!$M80</f>
        <v>-1.8647E-2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[1]DataRT!$M81</f>
        <v>-4.7169999999999997E-2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[1]DataRT!$M82</f>
        <v>-6.2050000000000004E-3</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[1]DataRT!$M83</f>
        <v>-1.7712000000000002E-2</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[1]DataRT!$M84</f>
        <v>-1.2747999999999999E-2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[1]DataRT!$M85</f>
        <v>-4.9280000000000001E-3</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[1]DataRT!$M86</f>
        <v>-7.8459999999999988E-3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[1]DataRT!$M87</f>
        <v>1.7849E-2</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[1]DataRT!$M88</f>
        <v>-2.8306000000000001E-2</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[1]DataRT!$M89</f>
        <v>0</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[1]DataRT!$M90</f>
        <v>5.5230000000000001E-3</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[1]DataRT!$M91</f>
        <v>-2.9212999999999999E-2</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[1]DataRT!$M92</f>
        <v>-1.9272000000000001E-2</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[1]DataRT!$M93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[1]DataRT!$M94</f>
        <v>4.1640000000000002E-3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[1]DataRT!$M95</f>
        <v>-3.0890000000000002E-3</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[1]DataRT!$M96</f>
        <v>-3.6080000000000001E-3</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45950</v>
      </c>
      <c r="G802" s="117">
        <f t="shared" ca="1" si="65"/>
        <v>45951</v>
      </c>
      <c r="H802" s="117">
        <f t="shared" ca="1" si="65"/>
        <v>45952</v>
      </c>
      <c r="I802" s="117">
        <f t="shared" ca="1" si="65"/>
        <v>45953</v>
      </c>
      <c r="J802" s="117">
        <f t="shared" ca="1" si="65"/>
        <v>45954</v>
      </c>
      <c r="K802" s="117">
        <f t="shared" ca="1" si="65"/>
        <v>45957</v>
      </c>
      <c r="L802" s="117">
        <f t="shared" ca="1" si="65"/>
        <v>45958</v>
      </c>
      <c r="M802" s="117">
        <f t="shared" ca="1" si="65"/>
        <v>45959</v>
      </c>
      <c r="N802" s="117">
        <f t="shared" ca="1" si="65"/>
        <v>45960</v>
      </c>
      <c r="O802" s="117">
        <f t="shared" ca="1" si="65"/>
        <v>45961</v>
      </c>
      <c r="P802" s="117">
        <f t="shared" ca="1" si="65"/>
        <v>45964</v>
      </c>
      <c r="Q802" s="117">
        <f t="shared" ca="1" si="65"/>
        <v>45965</v>
      </c>
      <c r="R802" s="117">
        <f t="shared" ca="1" si="65"/>
        <v>45966</v>
      </c>
      <c r="S802" s="117">
        <f t="shared" ca="1" si="65"/>
        <v>45967</v>
      </c>
      <c r="T802" s="117">
        <f t="shared" ca="1" si="65"/>
        <v>45968</v>
      </c>
      <c r="U802" s="117">
        <f t="shared" ca="1" si="65"/>
        <v>45971</v>
      </c>
      <c r="V802" s="117">
        <f t="shared" ca="1" si="65"/>
        <v>45972</v>
      </c>
      <c r="W802" s="117">
        <f t="shared" ca="1" si="65"/>
        <v>45973</v>
      </c>
      <c r="X802" s="117">
        <f t="shared" ca="1" si="65"/>
        <v>45974</v>
      </c>
      <c r="Y802" s="117">
        <f t="shared" ca="1" si="65"/>
        <v>45975</v>
      </c>
      <c r="Z802" s="117">
        <f t="shared" ca="1" si="65"/>
        <v>45978</v>
      </c>
      <c r="AB802" s="117">
        <f t="shared" ref="AB802:AV802" ca="1" si="66">F702</f>
        <v>45950</v>
      </c>
      <c r="AC802" s="117">
        <f t="shared" ca="1" si="66"/>
        <v>45951</v>
      </c>
      <c r="AD802" s="117">
        <f t="shared" ca="1" si="66"/>
        <v>45952</v>
      </c>
      <c r="AE802" s="117">
        <f t="shared" ca="1" si="66"/>
        <v>45953</v>
      </c>
      <c r="AF802" s="117">
        <f t="shared" ca="1" si="66"/>
        <v>45954</v>
      </c>
      <c r="AG802" s="117">
        <f t="shared" ca="1" si="66"/>
        <v>45957</v>
      </c>
      <c r="AH802" s="117">
        <f t="shared" ca="1" si="66"/>
        <v>45958</v>
      </c>
      <c r="AI802" s="117">
        <f t="shared" ca="1" si="66"/>
        <v>45959</v>
      </c>
      <c r="AJ802" s="117">
        <f t="shared" ca="1" si="66"/>
        <v>45960</v>
      </c>
      <c r="AK802" s="117">
        <f t="shared" ca="1" si="66"/>
        <v>45961</v>
      </c>
      <c r="AL802" s="117">
        <f t="shared" ca="1" si="66"/>
        <v>45964</v>
      </c>
      <c r="AM802" s="117">
        <f t="shared" ca="1" si="66"/>
        <v>45965</v>
      </c>
      <c r="AN802" s="117">
        <f t="shared" ca="1" si="66"/>
        <v>45966</v>
      </c>
      <c r="AO802" s="117">
        <f t="shared" ca="1" si="66"/>
        <v>45967</v>
      </c>
      <c r="AP802" s="117">
        <f t="shared" ca="1" si="66"/>
        <v>45968</v>
      </c>
      <c r="AQ802" s="117">
        <f t="shared" ca="1" si="66"/>
        <v>45971</v>
      </c>
      <c r="AR802" s="117">
        <f t="shared" ca="1" si="66"/>
        <v>45972</v>
      </c>
      <c r="AS802" s="117">
        <f t="shared" ca="1" si="66"/>
        <v>45973</v>
      </c>
      <c r="AT802" s="117">
        <f t="shared" ca="1" si="66"/>
        <v>45974</v>
      </c>
      <c r="AU802" s="117">
        <f t="shared" ca="1" si="66"/>
        <v>45975</v>
      </c>
      <c r="AV802" s="117">
        <f t="shared" ca="1" si="66"/>
        <v>45978</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[1]DataRT!$N3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[1]DataRT!$N4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[1]DataRT!$N5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[1]DataRT!$N6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[1]DataRT!$N7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[1]DataRT!$N8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[1]DataRT!$N10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[1]DataRT!$N11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[1]DataRT!$N12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[1]DataRT!$N13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[1]DataRT!$N14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[1]DataRT!$N15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[1]DataRT!$N16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[1]DataRT!$N17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[1]DataRT!$N18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[1]DataRT!$N19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[1]DataRT!$N20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[1]DataRT!$N21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[1]DataRT!$N22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[1]DataRT!$N23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[1]DataRT!$N24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[1]DataRT!$N25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[1]DataRT!$N26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[1]DataRT!$N27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[1]DataRT!$N28</f>
        <v>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[1]DataRT!$N29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[1]DataRT!$N30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[1]DataRT!$N31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[1]DataRT!$N32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[1]DataRT!$N33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[1]DataRT!$N34</f>
        <v>80.933000000000007</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[1]DataRT!$N35</f>
        <v>2.42</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[1]DataRT!$N36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[1]DataRT!$N37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[1]DataRT!$N38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[1]DataRT!$N39</f>
        <v>0.59409999999999996</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[1]DataRT!$N40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[1]DataRT!$N41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[1]DataRT!$N42</f>
        <v>207.55</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[1]DataRT!$N43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[1]DataRT!$N44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[1]DataRT!$N45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[1]DataRT!$N46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[1]DataRT!$N47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[1]DataRT!$N48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[1]DataRT!$N49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[1]DataRT!$N50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[1]DataRT!$N51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[1]DataRT!$N52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[1]DataRT!$N53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[1]DataRT!$N54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[1]DataRT!$N55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[1]DataRT!$N56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[1]DataRT!$N57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[1]DataRT!$N58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[1]DataRT!$N59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[1]DataRT!$N60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[1]DataRT!$N61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[1]DataRT!$N62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[1]DataRT!$N63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[1]DataRT!$N64</f>
        <v>207.55</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[1]DataRT!$N65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[1]DataRT!$N66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[1]DataRT!$N67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[1]DataRT!$N68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[1]DataRT!$N69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[1]DataRT!$N70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[1]DataRT!$N71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[1]DataRT!$N72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[1]DataRT!$N73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[1]DataRT!$N74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[1]DataRT!$N75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[1]DataRT!$N76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[1]DataRT!$N77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[1]DataRT!$N78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[1]DataRT!$N79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[1]DataRT!$N80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[1]DataRT!$N81</f>
        <v>1.01</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[1]DataRT!$N82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[1]DataRT!$N83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[1]DataRT!$N84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[1]DataRT!$N85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[1]DataRT!$N86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[1]DataRT!$N87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[1]DataRT!$N88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[1]DataRT!$N89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[1]DataRT!$N90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[1]DataRT!$N91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[1]DataRT!$N92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[1]DataRT!$N93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[1]DataRT!$N94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[1]DataRT!$N95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[1]DataRT!$N96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45950</v>
      </c>
      <c r="G901" s="117">
        <f t="shared" ca="1" si="73"/>
        <v>45951</v>
      </c>
      <c r="H901" s="117">
        <f t="shared" ca="1" si="73"/>
        <v>45952</v>
      </c>
      <c r="I901" s="117">
        <f t="shared" ca="1" si="73"/>
        <v>45953</v>
      </c>
      <c r="J901" s="117">
        <f t="shared" ca="1" si="73"/>
        <v>45954</v>
      </c>
      <c r="K901" s="117">
        <f t="shared" ca="1" si="73"/>
        <v>45957</v>
      </c>
      <c r="L901" s="117">
        <f t="shared" ca="1" si="73"/>
        <v>45958</v>
      </c>
      <c r="M901" s="117">
        <f t="shared" ca="1" si="73"/>
        <v>45959</v>
      </c>
      <c r="N901" s="117">
        <f t="shared" ca="1" si="73"/>
        <v>45960</v>
      </c>
      <c r="O901" s="117">
        <f t="shared" ca="1" si="73"/>
        <v>45961</v>
      </c>
      <c r="P901" s="117">
        <f t="shared" ca="1" si="73"/>
        <v>45964</v>
      </c>
      <c r="Q901" s="117">
        <f t="shared" ca="1" si="73"/>
        <v>45965</v>
      </c>
      <c r="R901" s="117">
        <f t="shared" ca="1" si="73"/>
        <v>45966</v>
      </c>
      <c r="S901" s="117">
        <f t="shared" ca="1" si="73"/>
        <v>45967</v>
      </c>
      <c r="T901" s="117">
        <f t="shared" ca="1" si="73"/>
        <v>45968</v>
      </c>
      <c r="U901" s="117">
        <f t="shared" ca="1" si="73"/>
        <v>45971</v>
      </c>
      <c r="V901" s="117">
        <f t="shared" ca="1" si="73"/>
        <v>45972</v>
      </c>
      <c r="W901" s="117">
        <f t="shared" ca="1" si="73"/>
        <v>45973</v>
      </c>
      <c r="X901" s="117">
        <f t="shared" ca="1" si="73"/>
        <v>45974</v>
      </c>
      <c r="Y901" s="117">
        <f t="shared" ca="1" si="73"/>
        <v>45975</v>
      </c>
      <c r="Z901" s="117">
        <f t="shared" ca="1" si="73"/>
        <v>45978</v>
      </c>
      <c r="AB901" s="117">
        <f t="shared" ref="AB901:AV901" ca="1" si="74">F802</f>
        <v>45950</v>
      </c>
      <c r="AC901" s="117">
        <f t="shared" ca="1" si="74"/>
        <v>45951</v>
      </c>
      <c r="AD901" s="117">
        <f t="shared" ca="1" si="74"/>
        <v>45952</v>
      </c>
      <c r="AE901" s="117">
        <f t="shared" ca="1" si="74"/>
        <v>45953</v>
      </c>
      <c r="AF901" s="117">
        <f t="shared" ca="1" si="74"/>
        <v>45954</v>
      </c>
      <c r="AG901" s="117">
        <f t="shared" ca="1" si="74"/>
        <v>45957</v>
      </c>
      <c r="AH901" s="117">
        <f t="shared" ca="1" si="74"/>
        <v>45958</v>
      </c>
      <c r="AI901" s="117">
        <f t="shared" ca="1" si="74"/>
        <v>45959</v>
      </c>
      <c r="AJ901" s="117">
        <f t="shared" ca="1" si="74"/>
        <v>45960</v>
      </c>
      <c r="AK901" s="117">
        <f t="shared" ca="1" si="74"/>
        <v>45961</v>
      </c>
      <c r="AL901" s="117">
        <f t="shared" ca="1" si="74"/>
        <v>45964</v>
      </c>
      <c r="AM901" s="117">
        <f t="shared" ca="1" si="74"/>
        <v>45965</v>
      </c>
      <c r="AN901" s="117">
        <f t="shared" ca="1" si="74"/>
        <v>45966</v>
      </c>
      <c r="AO901" s="117">
        <f t="shared" ca="1" si="74"/>
        <v>45967</v>
      </c>
      <c r="AP901" s="117">
        <f t="shared" ca="1" si="74"/>
        <v>45968</v>
      </c>
      <c r="AQ901" s="117">
        <f t="shared" ca="1" si="74"/>
        <v>45971</v>
      </c>
      <c r="AR901" s="117">
        <f t="shared" ca="1" si="74"/>
        <v>45972</v>
      </c>
      <c r="AS901" s="117">
        <f t="shared" ca="1" si="74"/>
        <v>45973</v>
      </c>
      <c r="AT901" s="117">
        <f t="shared" ca="1" si="74"/>
        <v>45974</v>
      </c>
      <c r="AU901" s="117">
        <f t="shared" ca="1" si="74"/>
        <v>45975</v>
      </c>
      <c r="AV901" s="117">
        <f t="shared" ca="1" si="74"/>
        <v>45978</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[1]DataRT!$O3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[1]DataRT!$O4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[1]DataRT!$O5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[1]DataRT!$O6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[1]DataRT!$O7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[1]DataRT!$O8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[1]DataRT!$O9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[1]DataRT!$O10</f>
        <v>89.43</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[1]DataRT!$O11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[1]DataRT!$O12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[1]DataRT!$O13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[1]DataRT!$O14</f>
        <v>79.5</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[1]DataRT!$O15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[1]DataRT!$O16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[1]DataRT!$O17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[1]DataRT!$O18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[1]DataRT!$O19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[1]DataRT!$O20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[1]DataRT!$O21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[1]DataRT!$O22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[1]DataRT!$O23</f>
        <v>72.87</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[1]DataRT!$O24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[1]DataRT!$O25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[1]DataRT!$O26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[1]DataRT!$O27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[1]DataRT!$O28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[1]DataRT!$O29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[1]DataRT!$O30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[1]DataRT!$O31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[1]DataRT!$O32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[1]DataRT!$O33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[1]DataRT!$O34</f>
        <v>1142.73</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[1]DataRT!$O35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[1]DataRT!$O36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[1]DataRT!$O37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[1]DataRT!$O38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[1]DataRT!$O39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[1]DataRT!$O40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[1]DataRT!$O41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[1]DataRT!$O42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[1]DataRT!$O43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[1]DataRT!$O44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[1]DataRT!$O45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[1]DataRT!$O46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[1]DataRT!$O47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[1]DataRT!$O48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[1]DataRT!$O49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[1]DataRT!$O50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[1]DataRT!$O51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[1]DataRT!$O52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[1]DataRT!$O53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[1]DataRT!$O54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[1]DataRT!$O55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[1]DataRT!$O56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[1]DataRT!$O57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[1]DataRT!$O58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[1]DataRT!$O59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[1]DataRT!$O60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[1]DataRT!$O61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[1]DataRT!$O62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[1]DataRT!$O63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[1]DataRT!$O64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[1]DataRT!$O65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[1]DataRT!$O66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[1]DataRT!$O67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[1]DataRT!$O68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[1]DataRT!$O69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[1]DataRT!$O70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[1]DataRT!$O71</f>
        <v>72.87</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[1]DataRT!$O72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[1]DataRT!$O73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[1]DataRT!$O74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[1]DataRT!$O75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[1]DataRT!$O76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[1]DataRT!$O77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[1]DataRT!$O78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[1]DataRT!$O79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[1]DataRT!$O80</f>
        <v>841.28</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[1]DataRT!$O81</f>
        <v>13.3378</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[1]DataRT!$O82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[1]DataRT!$O83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[1]DataRT!$O84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[1]DataRT!$O85</f>
        <v>134</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[1]DataRT!$O86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[1]DataRT!$O87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[1]DataRT!$O88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[1]DataRT!$O89</f>
        <v>4.5149999999999997</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[1]DataRT!$O90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[1]DataRT!$O91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[1]DataRT!$O92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[1]DataRT!$O93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[1]DataRT!$O94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[1]DataRT!$O95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[1]DataRT!$O96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45950</v>
      </c>
      <c r="G1000" s="117">
        <f t="shared" ca="1" si="82"/>
        <v>45951</v>
      </c>
      <c r="H1000" s="117">
        <f t="shared" ca="1" si="82"/>
        <v>45952</v>
      </c>
      <c r="I1000" s="117">
        <f t="shared" ca="1" si="82"/>
        <v>45953</v>
      </c>
      <c r="J1000" s="117">
        <f t="shared" ca="1" si="82"/>
        <v>45954</v>
      </c>
      <c r="K1000" s="117">
        <f t="shared" ca="1" si="82"/>
        <v>45957</v>
      </c>
      <c r="L1000" s="117">
        <f t="shared" ca="1" si="82"/>
        <v>45958</v>
      </c>
      <c r="M1000" s="117">
        <f t="shared" ca="1" si="82"/>
        <v>45959</v>
      </c>
      <c r="N1000" s="117">
        <f t="shared" ca="1" si="82"/>
        <v>45960</v>
      </c>
      <c r="O1000" s="117">
        <f t="shared" ca="1" si="82"/>
        <v>45961</v>
      </c>
      <c r="P1000" s="117">
        <f t="shared" ca="1" si="82"/>
        <v>45964</v>
      </c>
      <c r="Q1000" s="117">
        <f t="shared" ca="1" si="82"/>
        <v>45965</v>
      </c>
      <c r="R1000" s="117">
        <f t="shared" ca="1" si="82"/>
        <v>45966</v>
      </c>
      <c r="S1000" s="117">
        <f t="shared" ca="1" si="82"/>
        <v>45967</v>
      </c>
      <c r="T1000" s="117">
        <f t="shared" ca="1" si="82"/>
        <v>45968</v>
      </c>
      <c r="U1000" s="117">
        <f t="shared" ca="1" si="82"/>
        <v>45971</v>
      </c>
      <c r="V1000" s="117">
        <f t="shared" ca="1" si="82"/>
        <v>45972</v>
      </c>
      <c r="W1000" s="117">
        <f t="shared" ca="1" si="82"/>
        <v>45973</v>
      </c>
      <c r="X1000" s="117">
        <f t="shared" ca="1" si="82"/>
        <v>45974</v>
      </c>
      <c r="Y1000" s="117">
        <f t="shared" ca="1" si="82"/>
        <v>45975</v>
      </c>
      <c r="Z1000" s="117">
        <f t="shared" ca="1" si="82"/>
        <v>45978</v>
      </c>
      <c r="AB1000" s="117">
        <f t="shared" ref="AB1000:AV1000" ca="1" si="83">F901</f>
        <v>45950</v>
      </c>
      <c r="AC1000" s="117">
        <f t="shared" ca="1" si="83"/>
        <v>45951</v>
      </c>
      <c r="AD1000" s="117">
        <f t="shared" ca="1" si="83"/>
        <v>45952</v>
      </c>
      <c r="AE1000" s="117">
        <f t="shared" ca="1" si="83"/>
        <v>45953</v>
      </c>
      <c r="AF1000" s="117">
        <f t="shared" ca="1" si="83"/>
        <v>45954</v>
      </c>
      <c r="AG1000" s="117">
        <f t="shared" ca="1" si="83"/>
        <v>45957</v>
      </c>
      <c r="AH1000" s="117">
        <f t="shared" ca="1" si="83"/>
        <v>45958</v>
      </c>
      <c r="AI1000" s="117">
        <f t="shared" ca="1" si="83"/>
        <v>45959</v>
      </c>
      <c r="AJ1000" s="117">
        <f t="shared" ca="1" si="83"/>
        <v>45960</v>
      </c>
      <c r="AK1000" s="117">
        <f t="shared" ca="1" si="83"/>
        <v>45961</v>
      </c>
      <c r="AL1000" s="117">
        <f t="shared" ca="1" si="83"/>
        <v>45964</v>
      </c>
      <c r="AM1000" s="117">
        <f t="shared" ca="1" si="83"/>
        <v>45965</v>
      </c>
      <c r="AN1000" s="117">
        <f t="shared" ca="1" si="83"/>
        <v>45966</v>
      </c>
      <c r="AO1000" s="117">
        <f t="shared" ca="1" si="83"/>
        <v>45967</v>
      </c>
      <c r="AP1000" s="117">
        <f t="shared" ca="1" si="83"/>
        <v>45968</v>
      </c>
      <c r="AQ1000" s="117">
        <f t="shared" ca="1" si="83"/>
        <v>45971</v>
      </c>
      <c r="AR1000" s="117">
        <f t="shared" ca="1" si="83"/>
        <v>45972</v>
      </c>
      <c r="AS1000" s="117">
        <f t="shared" ca="1" si="83"/>
        <v>45973</v>
      </c>
      <c r="AT1000" s="117">
        <f t="shared" ca="1" si="83"/>
        <v>45974</v>
      </c>
      <c r="AU1000" s="117">
        <f t="shared" ca="1" si="83"/>
        <v>45975</v>
      </c>
      <c r="AV1000" s="117">
        <f t="shared" ca="1" si="83"/>
        <v>45978</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[1]DataRT!$P3</f>
        <v>82057</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[1]DataRT!$P4</f>
        <v>1</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[1]DataRT!$P5</f>
        <v>62164</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[1]DataRT!$P6</f>
        <v>142460</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[1]DataRT!$P7</f>
        <v>1048</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[1]DataRT!$P8</f>
        <v>78855</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[1]DataRT!$P9</f>
        <v>41070</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[1]DataRT!$P10</f>
        <v>7170</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[1]DataRT!$P11</f>
        <v>10984</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[1]DataRT!$P12</f>
        <v>42</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[1]DataRT!$P13</f>
        <v>1638</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[1]DataRT!$P14</f>
        <v>9075</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[1]DataRT!$P15</f>
        <v>395</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[1]DataRT!$P16</f>
        <v>1847</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[1]DataRT!$P17</f>
        <v>5711</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[1]DataRT!$P18</f>
        <v>200355</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[1]DataRT!$P19</f>
        <v>684479</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[1]DataRT!$P20</f>
        <v>154</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[1]DataRT!$P21</f>
        <v>3245</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[1]DataRT!$P22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[1]DataRT!$P23</f>
        <v>896</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[1]DataRT!$P24</f>
        <v>49146</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[1]DataRT!$P25</f>
        <v>52809</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[1]DataRT!$P26</f>
        <v>2015256</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[1]DataRT!$P27</f>
        <v>51</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[1]DataRT!$P28</f>
        <v>46035</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[1]DataRT!$P29</f>
        <v>6983</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[1]DataRT!$P30</f>
        <v>12804</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[1]DataRT!$P31</f>
        <v>30946</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[1]DataRT!$P32</f>
        <v>1199</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[1]DataRT!$P33</f>
        <v>5630</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[1]DataRT!$P34</f>
        <v>157760</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[1]DataRT!$P35</f>
        <v>29</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[1]DataRT!$P36</f>
        <v>3272</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[1]DataRT!$P37</f>
        <v>350345</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[1]DataRT!$P38</f>
        <v>40852</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[1]DataRT!$P39</f>
        <v>805</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[1]DataRT!$P40</f>
        <v>56</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[1]DataRT!$P41</f>
        <v>1707</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[1]DataRT!$P42</f>
        <v>192775</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[1]DataRT!$P43</f>
        <v>797890</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[1]DataRT!$P44</f>
        <v>697</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[1]DataRT!$P45</f>
        <v>336900</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[1]DataRT!$P46</f>
        <v>52036</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[1]DataRT!$P47</f>
        <v>105</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[1]DataRT!$P48</f>
        <v>86</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[1]DataRT!$P49</f>
        <v>76921</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[1]DataRT!$P50</f>
        <v>15724</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[1]DataRT!$P51</f>
        <v>5</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[1]DataRT!$P52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[1]DataRT!$P53</f>
        <v>4526</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[1]DataRT!$P54</f>
        <v>533655</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[1]DataRT!$P55</f>
        <v>1048</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[1]DataRT!$P56</f>
        <v>1847</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[1]DataRT!$P57</f>
        <v>200355</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[1]DataRT!$P58</f>
        <v>3245</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[1]DataRT!$P59</f>
        <v>1812286</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[1]DataRT!$P60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[1]DataRT!$P61</f>
        <v>257092</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[1]DataRT!$P62</f>
        <v>360871</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[1]DataRT!$P63</f>
        <v>1707</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[1]DataRT!$P64</f>
        <v>192775</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[1]DataRT!$P65</f>
        <v>105</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[1]DataRT!$P66</f>
        <v>82057</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[1]DataRT!$P67</f>
        <v>142460</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[1]DataRT!$P68</f>
        <v>78855</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[1]DataRT!$P69</f>
        <v>1847</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[1]DataRT!$P70</f>
        <v>5711</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[1]DataRT!$P71</f>
        <v>896</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[1]DataRT!$P72</f>
        <v>2015256</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[1]DataRT!$P73</f>
        <v>12804</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[1]DataRT!$P74</f>
        <v>248</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[1]DataRT!$P75</f>
        <v>1812286</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[1]DataRT!$P76</f>
        <v>604103</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[1]DataRT!$P77</f>
        <v>9145</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[1]DataRT!$P78</f>
        <v>257092</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[1]DataRT!$P79</f>
        <v>22</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[1]DataRT!$P80</f>
        <v>633</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[1]DataRT!$P81</f>
        <v>25360</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[1]DataRT!$P82</f>
        <v>33</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[1]DataRT!$P83</f>
        <v>595</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[1]DataRT!$P84</f>
        <v>400</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[1]DataRT!$P85</f>
        <v>1835</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[1]DataRT!$P86</f>
        <v>360871</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[1]DataRT!$P87</f>
        <v>13156</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[1]DataRT!$P88</f>
        <v>19620</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[1]DataRT!$P89</f>
        <v>6246</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[1]DataRT!$P90</f>
        <v>1953406</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[1]DataRT!$P91</f>
        <v>17445</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[1]DataRT!$P92</f>
        <v>19</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[1]DataRT!$P93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[1]DataRT!$P94</f>
        <v>2062</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[1]DataRT!$P95</f>
        <v>78855</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[1]DataRT!$P96</f>
        <v>3245</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45950</v>
      </c>
      <c r="G1099" s="117">
        <f t="shared" ca="1" si="92"/>
        <v>45951</v>
      </c>
      <c r="H1099" s="117">
        <f t="shared" ca="1" si="92"/>
        <v>45952</v>
      </c>
      <c r="I1099" s="117">
        <f t="shared" ca="1" si="92"/>
        <v>45953</v>
      </c>
      <c r="J1099" s="117">
        <f t="shared" ca="1" si="92"/>
        <v>45954</v>
      </c>
      <c r="K1099" s="117">
        <f t="shared" ca="1" si="92"/>
        <v>45957</v>
      </c>
      <c r="L1099" s="117">
        <f t="shared" ca="1" si="92"/>
        <v>45958</v>
      </c>
      <c r="M1099" s="117">
        <f t="shared" ca="1" si="92"/>
        <v>45959</v>
      </c>
      <c r="N1099" s="117">
        <f t="shared" ca="1" si="92"/>
        <v>45960</v>
      </c>
      <c r="O1099" s="117">
        <f t="shared" ca="1" si="92"/>
        <v>45961</v>
      </c>
      <c r="P1099" s="117">
        <f t="shared" ca="1" si="92"/>
        <v>45964</v>
      </c>
      <c r="Q1099" s="117">
        <f t="shared" ca="1" si="92"/>
        <v>45965</v>
      </c>
      <c r="R1099" s="117">
        <f t="shared" ca="1" si="92"/>
        <v>45966</v>
      </c>
      <c r="S1099" s="117">
        <f t="shared" ca="1" si="92"/>
        <v>45967</v>
      </c>
      <c r="T1099" s="117">
        <f t="shared" ca="1" si="92"/>
        <v>45968</v>
      </c>
      <c r="U1099" s="117">
        <f t="shared" ca="1" si="92"/>
        <v>45971</v>
      </c>
      <c r="V1099" s="117">
        <f t="shared" ca="1" si="92"/>
        <v>45972</v>
      </c>
      <c r="W1099" s="117">
        <f t="shared" ca="1" si="92"/>
        <v>45973</v>
      </c>
      <c r="X1099" s="117">
        <f t="shared" ca="1" si="92"/>
        <v>45974</v>
      </c>
      <c r="Y1099" s="117">
        <f t="shared" ca="1" si="92"/>
        <v>45975</v>
      </c>
      <c r="Z1099" s="117">
        <f t="shared" ca="1" si="92"/>
        <v>45978</v>
      </c>
      <c r="AB1099" s="117">
        <f t="shared" ref="AB1099:AV1099" ca="1" si="93">F1000</f>
        <v>45950</v>
      </c>
      <c r="AC1099" s="117">
        <f t="shared" ca="1" si="93"/>
        <v>45951</v>
      </c>
      <c r="AD1099" s="117">
        <f t="shared" ca="1" si="93"/>
        <v>45952</v>
      </c>
      <c r="AE1099" s="117">
        <f t="shared" ca="1" si="93"/>
        <v>45953</v>
      </c>
      <c r="AF1099" s="117">
        <f t="shared" ca="1" si="93"/>
        <v>45954</v>
      </c>
      <c r="AG1099" s="117">
        <f t="shared" ca="1" si="93"/>
        <v>45957</v>
      </c>
      <c r="AH1099" s="117">
        <f t="shared" ca="1" si="93"/>
        <v>45958</v>
      </c>
      <c r="AI1099" s="117">
        <f t="shared" ca="1" si="93"/>
        <v>45959</v>
      </c>
      <c r="AJ1099" s="117">
        <f t="shared" ca="1" si="93"/>
        <v>45960</v>
      </c>
      <c r="AK1099" s="117">
        <f t="shared" ca="1" si="93"/>
        <v>45961</v>
      </c>
      <c r="AL1099" s="117">
        <f t="shared" ca="1" si="93"/>
        <v>45964</v>
      </c>
      <c r="AM1099" s="117">
        <f t="shared" ca="1" si="93"/>
        <v>45965</v>
      </c>
      <c r="AN1099" s="117">
        <f t="shared" ca="1" si="93"/>
        <v>45966</v>
      </c>
      <c r="AO1099" s="117">
        <f t="shared" ca="1" si="93"/>
        <v>45967</v>
      </c>
      <c r="AP1099" s="117">
        <f t="shared" ca="1" si="93"/>
        <v>45968</v>
      </c>
      <c r="AQ1099" s="117">
        <f t="shared" ca="1" si="93"/>
        <v>45971</v>
      </c>
      <c r="AR1099" s="117">
        <f t="shared" ca="1" si="93"/>
        <v>45972</v>
      </c>
      <c r="AS1099" s="117">
        <f t="shared" ca="1" si="93"/>
        <v>45973</v>
      </c>
      <c r="AT1099" s="117">
        <f t="shared" ca="1" si="93"/>
        <v>45974</v>
      </c>
      <c r="AU1099" s="117">
        <f t="shared" ca="1" si="93"/>
        <v>45975</v>
      </c>
      <c r="AV1099" s="117">
        <f t="shared" ca="1" si="93"/>
        <v>45978</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[1]DataRT!$Q3</f>
        <v>49332368</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[1]DataRT!$Q4</f>
        <v>836940</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[1]DataRT!$Q5</f>
        <v>362000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[1]DataRT!$Q6</f>
        <v>52529093</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[1]DataRT!$Q7</f>
        <v>6940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[1]DataRT!$Q8</f>
        <v>552590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[1]DataRT!$Q9</f>
        <v>20878767</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[1]DataRT!$Q10</f>
        <v>4906172</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[1]DataRT!$Q11</f>
        <v>7460161</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[1]DataRT!$Q12</f>
        <v>198775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[1]DataRT!$Q13</f>
        <v>13435274</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[1]DataRT!$Q14</f>
        <v>20641088</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[1]DataRT!$Q15</f>
        <v>8043744</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[1]DataRT!$Q16</f>
        <v>4033910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[1]DataRT!$Q17</f>
        <v>9720774</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[1]DataRT!$Q18</f>
        <v>1909500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[1]DataRT!$Q19</f>
        <v>880480</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[1]DataRT!$Q20</f>
        <v>1999441</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[1]DataRT!$Q21</f>
        <v>4554990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[1]DataRT!$Q22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[1]DataRT!$Q23</f>
        <v>10411022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[1]DataRT!$Q24</f>
        <v>40139437</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[1]DataRT!$Q25</f>
        <v>12233776</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[1]DataRT!$Q26</f>
        <v>19170400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[1]DataRT!$Q27</f>
        <v>6004714</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[1]DataRT!$Q28</f>
        <v>68392</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[1]DataRT!$Q29</f>
        <v>24277563</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[1]DataRT!$Q30</f>
        <v>11556520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[1]DataRT!$Q31</f>
        <v>22219286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[1]DataRT!$Q32</f>
        <v>9198639</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[1]DataRT!$Q33</f>
        <v>12075417</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[1]DataRT!$Q34</f>
        <v>4559840</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[1]DataRT!$Q35</f>
        <v>243597</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[1]DataRT!$Q36</f>
        <v>6238119</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[1]DataRT!$Q37</f>
        <v>57673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[1]DataRT!$Q38</f>
        <v>14505830</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[1]DataRT!$Q39</f>
        <v>86138</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[1]DataRT!$Q40</f>
        <v>597328</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[1]DataRT!$Q41</f>
        <v>2310700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[1]DataRT!$Q42</f>
        <v>1226460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[1]DataRT!$Q43</f>
        <v>6235920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[1]DataRT!$Q44</f>
        <v>991203</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[1]DataRT!$Q45</f>
        <v>84846097</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[1]DataRT!$Q46</f>
        <v>14537657</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[1]DataRT!$Q47</f>
        <v>4140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[1]DataRT!$Q48</f>
        <v>2760223</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[1]DataRT!$Q49</f>
        <v>2485470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[1]DataRT!$Q50</f>
        <v>36710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[1]DataRT!$Q51</f>
        <v>8898749</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[1]DataRT!$Q52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[1]DataRT!$Q53</f>
        <v>13276551</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[1]DataRT!$Q54</f>
        <v>482471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[1]DataRT!$Q55</f>
        <v>6940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[1]DataRT!$Q56</f>
        <v>4033910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[1]DataRT!$Q57</f>
        <v>1909500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[1]DataRT!$Q58</f>
        <v>4554990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[1]DataRT!$Q59</f>
        <v>8743270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[1]DataRT!$Q60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[1]DataRT!$Q61</f>
        <v>1825620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[1]DataRT!$Q62</f>
        <v>3333320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[1]DataRT!$Q63</f>
        <v>2310700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[1]DataRT!$Q64</f>
        <v>1226460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[1]DataRT!$Q65</f>
        <v>4140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[1]DataRT!$Q66</f>
        <v>49332368</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[1]DataRT!$Q67</f>
        <v>52529093</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[1]DataRT!$Q68</f>
        <v>552590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[1]DataRT!$Q69</f>
        <v>4033910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[1]DataRT!$Q70</f>
        <v>9720774</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[1]DataRT!$Q71</f>
        <v>10411022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[1]DataRT!$Q72</f>
        <v>19170400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[1]DataRT!$Q73</f>
        <v>11556520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[1]DataRT!$Q74</f>
        <v>3690386</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[1]DataRT!$Q75</f>
        <v>8743270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[1]DataRT!$Q76</f>
        <v>3993430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[1]DataRT!$Q77</f>
        <v>132132797</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[1]DataRT!$Q78</f>
        <v>1825620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[1]DataRT!$Q79</f>
        <v>1390791</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[1]DataRT!$Q80</f>
        <v>2212590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[1]DataRT!$Q81</f>
        <v>10858265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[1]DataRT!$Q82</f>
        <v>9908000</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[1]DataRT!$Q83</f>
        <v>2650981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[1]DataRT!$Q84</f>
        <v>4436118</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[1]DataRT!$Q85</f>
        <v>1692603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[1]DataRT!$Q86</f>
        <v>3333320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[1]DataRT!$Q87</f>
        <v>10191570</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[1]DataRT!$Q88</f>
        <v>83055423</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[1]DataRT!$Q89</f>
        <v>57650003</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[1]DataRT!$Q90</f>
        <v>3004706</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[1]DataRT!$Q91</f>
        <v>6454719</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[1]DataRT!$Q92</f>
        <v>1045176</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[1]DataRT!$Q93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33">
        <v>#VALUE!</v>
      </c>
      <c r="G1192" s="247" t="e" vm="433">
        <v>#VALUE!</v>
      </c>
      <c r="H1192" s="247" t="e" vm="433">
        <v>#VALUE!</v>
      </c>
      <c r="I1192" s="247" t="e" vm="433">
        <v>#VALUE!</v>
      </c>
      <c r="J1192" s="247" t="e" vm="433">
        <v>#VALUE!</v>
      </c>
      <c r="K1192" s="247" t="e" vm="433">
        <v>#VALUE!</v>
      </c>
      <c r="L1192" s="247" t="e" vm="433">
        <v>#VALUE!</v>
      </c>
      <c r="M1192" s="247" t="e" vm="433">
        <v>#VALUE!</v>
      </c>
      <c r="N1192" s="247" t="e" vm="433">
        <v>#VALUE!</v>
      </c>
      <c r="O1192" s="247" t="e" vm="433">
        <v>#VALUE!</v>
      </c>
      <c r="P1192" s="247" t="e" vm="433">
        <v>#VALUE!</v>
      </c>
      <c r="Q1192" s="247" t="e" vm="433">
        <v>#VALUE!</v>
      </c>
      <c r="R1192" s="247" t="e" vm="433">
        <v>#VALUE!</v>
      </c>
      <c r="S1192" s="247" t="e" vm="433">
        <v>#VALUE!</v>
      </c>
      <c r="T1192" s="247" t="e" vm="433">
        <v>#VALUE!</v>
      </c>
      <c r="U1192" s="247" t="e" vm="433">
        <v>#VALUE!</v>
      </c>
      <c r="V1192" s="247" t="e" vm="433">
        <v>#VALUE!</v>
      </c>
      <c r="W1192" s="247" t="e" vm="433">
        <v>#VALUE!</v>
      </c>
      <c r="X1192" s="247" t="e" vm="433">
        <v>#VALUE!</v>
      </c>
      <c r="Y1192" s="247" t="e" vm="433">
        <v>#VALUE!</v>
      </c>
      <c r="Z1192" s="247" t="e" vm="434">
        <f>[1]DataRT!$Q94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[1]DataRT!$Q95</f>
        <v>552590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[1]DataRT!$Q96</f>
        <v>4554990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2725.0000000000086</v>
      </c>
      <c r="AC1197" s="93" cm="1">
        <f t="array" aca="1" ref="AC1197" ca="1">_xlfn.XLOOKUP(DataShiftChartTicker,ListTickers,Tab2RevSale[RevSale1])</f>
        <v>2825.0000000000027</v>
      </c>
      <c r="AD1197" s="93" cm="1">
        <f t="array" aca="1" ref="AD1197" ca="1">_xlfn.XLOOKUP(DataShiftChartTicker,ListTickers,Tab2RevSale[RevSale2])</f>
        <v>-474.99999999999432</v>
      </c>
      <c r="AE1197" s="93" t="e" cm="1">
        <f t="array" aca="1" ref="AE1197" ca="1">_xlfn.XLOOKUP(DataShiftChartTicker,AF1197,Tab2RevSale[RevSale3])</f>
        <v>#N/A</v>
      </c>
      <c r="AF1197" s="93" cm="1">
        <f t="array" aca="1" ref="AF1197" ca="1">_xlfn.XLOOKUP(DataShiftChartTicker,ListTickers,Tab2RevSale[RevSale4])</f>
        <v>924.99999999999716</v>
      </c>
      <c r="AG1197" s="93" cm="1">
        <f t="array" aca="1" ref="AG1197" ca="1">_xlfn.XLOOKUP(DataShiftChartTicker,ListTickers,Tab2RevSale[RevSale5])</f>
        <v>424.99999999999716</v>
      </c>
      <c r="AH1197" s="93" cm="1">
        <f t="array" aca="1" ref="AH1197" ca="1">_xlfn.XLOOKUP(DataShiftChartTicker,ListTickers,Tab2RevSale[RevSale6])</f>
        <v>-700.00000000000284</v>
      </c>
      <c r="AI1197" s="93" cm="1">
        <f t="array" aca="1" ref="AI1197" ca="1">_xlfn.XLOOKUP(DataShiftChartTicker,ListTickers,Tab2RevSale[RevSale7])</f>
        <v>3125</v>
      </c>
      <c r="AJ1197" s="93" cm="1">
        <f t="array" aca="1" ref="AJ1197" ca="1">_xlfn.XLOOKUP(DataShiftChartTicker,ListTickers,Tab2RevSale[RevSale8])</f>
        <v>4025.0000000000055</v>
      </c>
      <c r="AK1197" s="93" cm="1">
        <f t="array" aca="1" ref="AK1197" ca="1">_xlfn.XLOOKUP(DataShiftChartTicker,ListTickers,Tab2RevSale[RevSale9])</f>
        <v>2250</v>
      </c>
      <c r="AL1197" s="93" cm="1">
        <f t="array" aca="1" ref="AL1197" ca="1">_xlfn.XLOOKUP(DataShiftChartTicker,ListTickers,Tab2RevSale[RevSale10])</f>
        <v>2250</v>
      </c>
      <c r="AM1197" s="93" cm="1">
        <f t="array" aca="1" ref="AM1197" ca="1">_xlfn.XLOOKUP(DataShiftChartTicker,ListTickers,Tab2RevSale[RevSale11])</f>
        <v>4825.0000000000027</v>
      </c>
      <c r="AN1197" s="93" cm="1">
        <f t="array" aca="1" ref="AN1197" ca="1">_xlfn.XLOOKUP(DataShiftChartTicker,ListTickers,Tab2RevSale[RevSale12])</f>
        <v>500</v>
      </c>
      <c r="AO1197" s="93" cm="1">
        <f t="array" aca="1" ref="AO1197" ca="1">_xlfn.XLOOKUP(DataShiftChartTicker,ListTickers,Tab2RevSale[RevSale13])</f>
        <v>1600.0000000000086</v>
      </c>
      <c r="AP1197" s="93" cm="1">
        <f t="array" aca="1" ref="AP1197" ca="1">_xlfn.XLOOKUP(DataShiftChartTicker,ListTickers,Tab2RevSale[RevSale14])</f>
        <v>875</v>
      </c>
      <c r="AQ1197" s="93" cm="1">
        <f t="array" aca="1" ref="AQ1197" ca="1">_xlfn.XLOOKUP(DataShiftChartTicker,ListTickers,Tab2RevSale[RevSale15])</f>
        <v>-3250</v>
      </c>
      <c r="AR1197" s="93" cm="1">
        <f t="array" aca="1" ref="AR1197" ca="1">_xlfn.XLOOKUP(DataShiftChartTicker,ListTickers,Tab2RevSale[RevSale16])</f>
        <v>-3149.9999999999914</v>
      </c>
      <c r="AS1197" s="93" cm="1">
        <f t="array" aca="1" ref="AS1197" ca="1">_xlfn.XLOOKUP(DataShiftChartTicker,ListTickers,Tab2RevSale[RevSale17])</f>
        <v>-2200.0000000000027</v>
      </c>
      <c r="AT1197" s="93" cm="1">
        <f t="array" aca="1" ref="AT1197" ca="1">_xlfn.XLOOKUP(DataShiftChartTicker,ListTickers,Tab2RevSale[RevSale18])</f>
        <v>-7200.0000000000027</v>
      </c>
      <c r="AU1197" s="93" cm="1">
        <f t="array" aca="1" ref="AU1197" ca="1">_xlfn.XLOOKUP(DataShiftChartTicker,ListTickers,Tab2RevSale[RevSale19])</f>
        <v>-8349.9999999999945</v>
      </c>
      <c r="AV1197" s="93" cm="1">
        <f t="array" aca="1" ref="AV1197" ca="1">_xlfn.XLOOKUP(DataShiftChartTicker,ListTickers,Tab2RevSale[RevSale20])</f>
        <v>-11075.000000000004</v>
      </c>
      <c r="AX1197" s="88"/>
    </row>
    <row r="1198" spans="1:50" x14ac:dyDescent="0.3">
      <c r="A1198" s="88"/>
      <c r="F1198" s="117">
        <f t="shared" ref="F1198:Z1198" ca="1" si="99">F1099</f>
        <v>45950</v>
      </c>
      <c r="G1198" s="117">
        <f t="shared" ca="1" si="99"/>
        <v>45951</v>
      </c>
      <c r="H1198" s="117">
        <f t="shared" ca="1" si="99"/>
        <v>45952</v>
      </c>
      <c r="I1198" s="117">
        <f t="shared" ca="1" si="99"/>
        <v>45953</v>
      </c>
      <c r="J1198" s="117">
        <f t="shared" ca="1" si="99"/>
        <v>45954</v>
      </c>
      <c r="K1198" s="117">
        <f t="shared" ca="1" si="99"/>
        <v>45957</v>
      </c>
      <c r="L1198" s="117">
        <f t="shared" ca="1" si="99"/>
        <v>45958</v>
      </c>
      <c r="M1198" s="117">
        <f t="shared" ca="1" si="99"/>
        <v>45959</v>
      </c>
      <c r="N1198" s="117">
        <f t="shared" ca="1" si="99"/>
        <v>45960</v>
      </c>
      <c r="O1198" s="117">
        <f t="shared" ca="1" si="99"/>
        <v>45961</v>
      </c>
      <c r="P1198" s="117">
        <f t="shared" ca="1" si="99"/>
        <v>45964</v>
      </c>
      <c r="Q1198" s="117">
        <f t="shared" ca="1" si="99"/>
        <v>45965</v>
      </c>
      <c r="R1198" s="117">
        <f t="shared" ca="1" si="99"/>
        <v>45966</v>
      </c>
      <c r="S1198" s="117">
        <f t="shared" ca="1" si="99"/>
        <v>45967</v>
      </c>
      <c r="T1198" s="117">
        <f t="shared" ca="1" si="99"/>
        <v>45968</v>
      </c>
      <c r="U1198" s="117">
        <f t="shared" ca="1" si="99"/>
        <v>45971</v>
      </c>
      <c r="V1198" s="117">
        <f t="shared" ca="1" si="99"/>
        <v>45972</v>
      </c>
      <c r="W1198" s="117">
        <f t="shared" ca="1" si="99"/>
        <v>45973</v>
      </c>
      <c r="X1198" s="117">
        <f t="shared" ca="1" si="99"/>
        <v>45974</v>
      </c>
      <c r="Y1198" s="117">
        <f t="shared" ca="1" si="99"/>
        <v>45975</v>
      </c>
      <c r="Z1198" s="117">
        <f t="shared" ca="1" si="99"/>
        <v>45978</v>
      </c>
      <c r="AB1198" s="117">
        <f t="shared" ref="AB1198:AV1198" ca="1" si="100">F1099</f>
        <v>45950</v>
      </c>
      <c r="AC1198" s="117">
        <f t="shared" ca="1" si="100"/>
        <v>45951</v>
      </c>
      <c r="AD1198" s="117">
        <f t="shared" ca="1" si="100"/>
        <v>45952</v>
      </c>
      <c r="AE1198" s="117">
        <f t="shared" ca="1" si="100"/>
        <v>45953</v>
      </c>
      <c r="AF1198" s="117">
        <f t="shared" ca="1" si="100"/>
        <v>45954</v>
      </c>
      <c r="AG1198" s="117">
        <f t="shared" ca="1" si="100"/>
        <v>45957</v>
      </c>
      <c r="AH1198" s="117">
        <f t="shared" ca="1" si="100"/>
        <v>45958</v>
      </c>
      <c r="AI1198" s="117">
        <f t="shared" ca="1" si="100"/>
        <v>45959</v>
      </c>
      <c r="AJ1198" s="117">
        <f t="shared" ca="1" si="100"/>
        <v>45960</v>
      </c>
      <c r="AK1198" s="117">
        <f t="shared" ca="1" si="100"/>
        <v>45961</v>
      </c>
      <c r="AL1198" s="117">
        <f t="shared" ca="1" si="100"/>
        <v>45964</v>
      </c>
      <c r="AM1198" s="117">
        <f t="shared" ca="1" si="100"/>
        <v>45965</v>
      </c>
      <c r="AN1198" s="117">
        <f t="shared" ca="1" si="100"/>
        <v>45966</v>
      </c>
      <c r="AO1198" s="117">
        <f t="shared" ca="1" si="100"/>
        <v>45967</v>
      </c>
      <c r="AP1198" s="117">
        <f t="shared" ca="1" si="100"/>
        <v>45968</v>
      </c>
      <c r="AQ1198" s="117">
        <f t="shared" ca="1" si="100"/>
        <v>45971</v>
      </c>
      <c r="AR1198" s="117">
        <f t="shared" ca="1" si="100"/>
        <v>45972</v>
      </c>
      <c r="AS1198" s="117">
        <f t="shared" ca="1" si="100"/>
        <v>45973</v>
      </c>
      <c r="AT1198" s="117">
        <f t="shared" ca="1" si="100"/>
        <v>45974</v>
      </c>
      <c r="AU1198" s="117">
        <f t="shared" ca="1" si="100"/>
        <v>45975</v>
      </c>
      <c r="AV1198" s="117">
        <f t="shared" ca="1" si="100"/>
        <v>45978</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[1]DataRT!$R3</f>
        <v>1.1039000000000001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4778.0000000000027</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[1]DataRT!$R4</f>
        <v>2.4137</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-264.10000000000014</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[1]DataRT!$R5</f>
        <v>1.6380999999999999</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39.999999999999858</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[1]DataRT!$R6</f>
        <v>1.3703000000000001</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39339.999999999978</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[1]DataRT!$R7</f>
        <v>0.95499999999999996</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-3630.0000000000014</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[1]DataRT!$R8</f>
        <v>2.1217000000000001</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11500</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[1]DataRT!$R9</f>
        <v>1.2295</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2274.2999999999965</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[1]DataRT!$R10</f>
        <v>0.31769999999999998</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9629.9999999999964</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[1]DataRT!$R11</f>
        <v>1.7289000000000001</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1079.9999999999982</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[1]DataRT!$R12</f>
        <v>7.1499999999999994E-2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-128870</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[1]DataRT!$R13</f>
        <v>1.1956</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-63.000000000000966</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[1]DataRT!$R14</f>
        <v>0.84960000000000002</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10799.999999999996</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[1]DataRT!$R15</f>
        <v>0.48180000000000001</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21.813810000000004</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[1]DataRT!$R16</f>
        <v>1.9165000000000001</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5200</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[1]DataRT!$R17</f>
        <v>1.4954000000000001</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-8077.9999999999973</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[1]DataRT!$R18</f>
        <v>0.78580000000000005</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-5660.0000000000036</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[1]DataRT!$R19</f>
        <v>0.98419999999999996</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2255.9999999999945</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[1]DataRT!$R20</f>
        <v>1.1008</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-6300.0000000000045</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[1]DataRT!$R21</f>
        <v>0.85699999999999998</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-12282.499999999995</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[1]DataRT!$R22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[1]DataRT!$R23</f>
        <v>1.3005</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238.84</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[1]DataRT!$R24</f>
        <v>1.3492</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359.99999999999875</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[1]DataRT!$R25</f>
        <v>1.2413000000000001</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-3016.9999999999995</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[1]DataRT!$R26</f>
        <v>2.3138000000000001</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26417.600000000006</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[1]DataRT!$R27</f>
        <v>0.56940000000000002</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6039.9999999999918</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[1]DataRT!$R28</f>
        <v>0.68899999999999995</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[1]DataRT!$R29</f>
        <v>1.4663999999999999</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29.217000000000006</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[1]DataRT!$R30</f>
        <v>1.1214999999999999</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-49740.000000000007</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[1]DataRT!$R31</f>
        <v>1.0657000000000001</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-547.50000000000512</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[1]DataRT!$R32</f>
        <v>0.72699999999999998</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12.84955699999999</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[1]DataRT!$R33</f>
        <v>0.42070000000000002</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17840.000000000004</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[1]DataRT!$R34</f>
        <v>1.6979</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7644.9999999999818</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[1]DataRT!$R35</f>
        <v>0.62</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-7150.0000000000009</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[1]DataRT!$R36</f>
        <v>1.1413</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4184.9999999999991</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[1]DataRT!$R37</f>
        <v>0.1739</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6639.9999999999973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[1]DataRT!$R38</f>
        <v>0.53239999999999998</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-1799.9999999999993</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[1]DataRT!$R39</f>
        <v>1.5348999999999999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-2915.9130000000005</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[1]DataRT!$R40</f>
        <v>1.0828</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13610</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[1]DataRT!$R41</f>
        <v>0.47510000000000002</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850.50000000000011</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[1]DataRT!$R42</f>
        <v>1.0510999999999999</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-11075.000000000004</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[1]DataRT!$R43</f>
        <v>1.2906</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-552.71999999999753</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[1]DataRT!$R44</f>
        <v>1.4923</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-900.00000000000216</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[1]DataRT!$R45</f>
        <v>1.8934</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67.840000000000032</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[1]DataRT!$R46</f>
        <v>1.3174999999999999</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-1225.9999999999764</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[1]DataRT!$R47</f>
        <v>1.0952999999999999</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-2604.2449999999985</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[1]DataRT!$R48</f>
        <v>1.4772000000000001</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-21849.700000000004</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[1]DataRT!$R49</f>
        <v>0.89710000000000001</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59.999999999998721</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[1]DataRT!$R50</f>
        <v>0.81979999999999997</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2299.9999999999973</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[1]DataRT!$R51</f>
        <v>0.82199999999999995</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6299.9999999999991</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[1]DataRT!$R52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[1]DataRT!$R53</f>
        <v>0.37119999999999997</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540.00000000000341</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[1]DataRT!$R54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-2349.9999999999986</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[1]DataRT!$R55</f>
        <v>0.95499999999999996</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-5405.7300000000023</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[1]DataRT!$R56</f>
        <v>1.9165000000000001</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-2800.0000000000023</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[1]DataRT!$R57</f>
        <v>0.78580000000000005</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-9615</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[1]DataRT!$R58</f>
        <v>0.85699999999999998</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41.29999999999999</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[1]DataRT!$R59</f>
        <v>0.8306</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28239.999999999982</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[1]DataRT!$R60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[1]DataRT!$R61</f>
        <v>1.3888</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4239.9999999999945</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[1]DataRT!$R62</f>
        <v>0.2392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-1319.9999999999984</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[1]DataRT!$R63</f>
        <v>0.47510000000000002</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12.285000000000004</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[1]DataRT!$R64</f>
        <v>1.0510999999999999</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-8140.0000000000036</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[1]DataRT!$R65</f>
        <v>1.0952999999999999</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-297.37499999999989</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[1]DataRT!$R66</f>
        <v>1.1039000000000001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21346.900000000005</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[1]DataRT!$R67</f>
        <v>1.3703000000000001</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10719.999999999998</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[1]DataRT!$R68</f>
        <v>2.1217000000000001</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19340.299999999996</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[1]DataRT!$R69</f>
        <v>1.9165000000000001</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5060.9999999999973</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[1]DataRT!$R70</f>
        <v>1.4954000000000001</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-3805.4000000000037</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[1]DataRT!$R71</f>
        <v>1.3005</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[1]DataRT!$R72</f>
        <v>2.3138000000000001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[1]DataRT!$R73</f>
        <v>1.1214999999999999</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-42127.80000000001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[1]DataRT!$R74</f>
        <v>1.8971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15919.999999999996</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[1]DataRT!$R75</f>
        <v>0.8306</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16216.199999999992</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[1]DataRT!$R76</f>
        <v>2.2410999999999999</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2077.9999999999973</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[1]DataRT!$R77</f>
        <v>1.5939000000000001</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[1]DataRT!$R78</f>
        <v>1.3888</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[1]DataRT!$R79</f>
        <v>1.8244</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-9614.9999999999945</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[1]DataRT!$R80</f>
        <v>1.3468</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[1]DataRT!$R81</f>
        <v>1.4676</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-52383.210000000006</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[1]DataRT!$R82</f>
        <v>1.1537999999999999</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2565.1200000000031</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[1]DataRT!$R83</f>
        <v>0.86680000000000001</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-2015.9999999999968</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[1]DataRT!$R84</f>
        <v>2.3212000000000002</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-12504.599999999999</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[1]DataRT!$R85</f>
        <v>0.50149999999999995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[1]DataRT!$R86</f>
        <v>0.2392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198.00000000000111</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[1]DataRT!$R87</f>
        <v>0.38590000000000002</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-4469.9999999999991</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[1]DataRT!$R88</f>
        <v>0.4168</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191.99999999999591</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[1]DataRT!$R89</f>
        <v>1.3972</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8189.9999999999982</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[1]DataRT!$R90</f>
        <v>0.46489999999999998</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[1]DataRT!$R91</f>
        <v>2.6798999999999999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-9876</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[1]DataRT!$R92</f>
        <v>1.4623999999999999</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-2511.0000000000014</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[1]DataRT!$R93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[1]DataRT!$R94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369154.80000000005</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[1]DataRT!$R95</f>
        <v>2.1217000000000001</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29531.999999999993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[1]DataRT!$R96</f>
        <v>0.85699999999999998</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1849.9999999999961</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13625</v>
      </c>
      <c r="AC1296" s="93" cm="1">
        <f t="array" aca="1" ref="AC1296" ca="1">_xlfn.XLOOKUP(DataShiftChartTicker,ListTickers,Tab2ReBuy[RevBuy1])</f>
        <v>-39.999999999997726</v>
      </c>
      <c r="AD1296" s="93" cm="1">
        <f t="array" aca="1" ref="AD1296" ca="1">_xlfn.XLOOKUP(DataShiftChartTicker,ListTickers,Tab2ReBuy[RevBuy2])</f>
        <v>1280.0000000000011</v>
      </c>
      <c r="AE1296" s="93" cm="1">
        <f t="array" aca="1" ref="AE1296" ca="1">_xlfn.XLOOKUP(DataShiftChartTicker,ListTickers,Tab2ReBuy[RevBuy3])</f>
        <v>1020.0000000000045</v>
      </c>
      <c r="AF1296" s="93" cm="1">
        <f t="array" aca="1" ref="AF1296" ca="1">_xlfn.XLOOKUP(DataShiftChartTicker,ListTickers,Tab2ReBuy[RevBuy4])</f>
        <v>720.00000000000455</v>
      </c>
      <c r="AG1296" s="93" cm="1">
        <f t="array" aca="1" ref="AG1296" ca="1">_xlfn.XLOOKUP(DataShiftChartTicker,ListTickers,Tab2ReBuy[RevBuy5])</f>
        <v>920.00000000000455</v>
      </c>
      <c r="AH1296" s="93" cm="1">
        <f t="array" aca="1" ref="AH1296" ca="1">_xlfn.XLOOKUP(DataShiftChartTicker,ListTickers,Tab2ReBuy[RevBuy6])</f>
        <v>1370.0000000000045</v>
      </c>
      <c r="AI1296" s="93" cm="1">
        <f t="array" aca="1" ref="AI1296" ca="1">_xlfn.XLOOKUP(DataShiftChartTicker,ListTickers,Tab2ReBuy[RevBuy7])</f>
        <v>-159.99999999999659</v>
      </c>
      <c r="AJ1296" s="93" cm="1">
        <f t="array" aca="1" ref="AJ1296" ca="1">_xlfn.XLOOKUP(DataShiftChartTicker,ListTickers,Tab2ReBuy[RevBuy8])</f>
        <v>-519.99999999999886</v>
      </c>
      <c r="AK1296" s="93" cm="1">
        <f t="array" aca="1" ref="AK1296" ca="1">_xlfn.XLOOKUP(DataShiftChartTicker,ListTickers,Tab2ReBuy[RevBuy9])</f>
        <v>190.00000000000341</v>
      </c>
      <c r="AL1296" s="93" cm="1">
        <f t="array" aca="1" ref="AL1296" ca="1">_xlfn.XLOOKUP(DataShiftChartTicker,ListTickers,Tab2ReBuy[RevBuy10])</f>
        <v>190.00000000000341</v>
      </c>
      <c r="AM1296" s="93" cm="1">
        <f t="array" aca="1" ref="AM1296" ca="1">_xlfn.XLOOKUP(DataShiftChartTicker,ListTickers,Tab2ReBuy[RevBuy11])</f>
        <v>-839.99999999999773</v>
      </c>
      <c r="AN1296" s="93" cm="1">
        <f t="array" aca="1" ref="AN1296" ca="1">_xlfn.XLOOKUP(DataShiftChartTicker,ListTickers,Tab2ReBuy[RevBuy12])</f>
        <v>890.00000000000341</v>
      </c>
      <c r="AO1296" s="93" cm="1">
        <f t="array" aca="1" ref="AO1296" ca="1">_xlfn.XLOOKUP(DataShiftChartTicker,ListTickers,Tab2ReBuy[RevBuy13])</f>
        <v>450</v>
      </c>
      <c r="AP1296" s="93" cm="1">
        <f t="array" aca="1" ref="AP1296" ca="1">_xlfn.XLOOKUP(DataShiftChartTicker,ListTickers,Tab2ReBuy[RevBuy14])</f>
        <v>740.00000000000341</v>
      </c>
      <c r="AQ1296" s="93" cm="1">
        <f t="array" aca="1" ref="AQ1296" ca="1">_xlfn.XLOOKUP(DataShiftChartTicker,ListTickers,Tab2ReBuy[RevBuy15])</f>
        <v>2390.0000000000036</v>
      </c>
      <c r="AR1296" s="93" cm="1">
        <f t="array" aca="1" ref="AR1296" ca="1">_xlfn.XLOOKUP(DataShiftChartTicker,ListTickers,Tab2ReBuy[RevBuy16])</f>
        <v>2350</v>
      </c>
      <c r="AS1296" s="93" cm="1">
        <f t="array" aca="1" ref="AS1296" ca="1">_xlfn.XLOOKUP(DataShiftChartTicker,ListTickers,Tab2ReBuy[RevBuy17])</f>
        <v>1970.0000000000045</v>
      </c>
      <c r="AT1296" s="93" cm="1">
        <f t="array" aca="1" ref="AT1296" ca="1">_xlfn.XLOOKUP(DataShiftChartTicker,ListTickers,Tab2ReBuy[RevBuy18])</f>
        <v>3970.0000000000045</v>
      </c>
      <c r="AU1296" s="93" cm="1">
        <f t="array" aca="1" ref="AU1296" ca="1">_xlfn.XLOOKUP(DataShiftChartTicker,ListTickers,Tab2ReBuy[RevBuy19])</f>
        <v>4430.0000000000009</v>
      </c>
      <c r="AV1296" s="93" cm="1">
        <f t="array" aca="1" ref="AV1296" ca="1">_xlfn.XLOOKUP(DataShiftChartTicker,ListTickers,Tab2ReBuy[RevBuy20])</f>
        <v>5520.0000000000045</v>
      </c>
      <c r="AX1296" s="88"/>
    </row>
    <row r="1297" spans="1:50" ht="23" customHeight="1" x14ac:dyDescent="0.3">
      <c r="A1297" s="88"/>
      <c r="F1297" s="117">
        <f t="shared" ref="F1297:Z1297" ca="1" si="104">F1198</f>
        <v>45950</v>
      </c>
      <c r="G1297" s="117">
        <f t="shared" ca="1" si="104"/>
        <v>45951</v>
      </c>
      <c r="H1297" s="117">
        <f t="shared" ca="1" si="104"/>
        <v>45952</v>
      </c>
      <c r="I1297" s="117">
        <f t="shared" ca="1" si="104"/>
        <v>45953</v>
      </c>
      <c r="J1297" s="117">
        <f t="shared" ca="1" si="104"/>
        <v>45954</v>
      </c>
      <c r="K1297" s="117">
        <f t="shared" ca="1" si="104"/>
        <v>45957</v>
      </c>
      <c r="L1297" s="117">
        <f t="shared" ca="1" si="104"/>
        <v>45958</v>
      </c>
      <c r="M1297" s="117">
        <f t="shared" ca="1" si="104"/>
        <v>45959</v>
      </c>
      <c r="N1297" s="117">
        <f t="shared" ca="1" si="104"/>
        <v>45960</v>
      </c>
      <c r="O1297" s="117">
        <f t="shared" ca="1" si="104"/>
        <v>45961</v>
      </c>
      <c r="P1297" s="117">
        <f t="shared" ca="1" si="104"/>
        <v>45964</v>
      </c>
      <c r="Q1297" s="117">
        <f t="shared" ca="1" si="104"/>
        <v>45965</v>
      </c>
      <c r="R1297" s="117">
        <f t="shared" ca="1" si="104"/>
        <v>45966</v>
      </c>
      <c r="S1297" s="117">
        <f t="shared" ca="1" si="104"/>
        <v>45967</v>
      </c>
      <c r="T1297" s="117">
        <f t="shared" ca="1" si="104"/>
        <v>45968</v>
      </c>
      <c r="U1297" s="117">
        <f t="shared" ca="1" si="104"/>
        <v>45971</v>
      </c>
      <c r="V1297" s="117">
        <f t="shared" ca="1" si="104"/>
        <v>45972</v>
      </c>
      <c r="W1297" s="117">
        <f t="shared" ca="1" si="104"/>
        <v>45973</v>
      </c>
      <c r="X1297" s="117">
        <f t="shared" ca="1" si="104"/>
        <v>45974</v>
      </c>
      <c r="Y1297" s="117">
        <f t="shared" ca="1" si="104"/>
        <v>45975</v>
      </c>
      <c r="Z1297" s="117">
        <f t="shared" ca="1" si="104"/>
        <v>45978</v>
      </c>
      <c r="AB1297" s="117">
        <f t="shared" ref="AB1297:AV1297" ca="1" si="105">F1198</f>
        <v>45950</v>
      </c>
      <c r="AC1297" s="117">
        <f t="shared" ca="1" si="105"/>
        <v>45951</v>
      </c>
      <c r="AD1297" s="117">
        <f t="shared" ca="1" si="105"/>
        <v>45952</v>
      </c>
      <c r="AE1297" s="117">
        <f t="shared" ca="1" si="105"/>
        <v>45953</v>
      </c>
      <c r="AF1297" s="117">
        <f t="shared" ca="1" si="105"/>
        <v>45954</v>
      </c>
      <c r="AG1297" s="117">
        <f t="shared" ca="1" si="105"/>
        <v>45957</v>
      </c>
      <c r="AH1297" s="117">
        <f t="shared" ca="1" si="105"/>
        <v>45958</v>
      </c>
      <c r="AI1297" s="117">
        <f t="shared" ca="1" si="105"/>
        <v>45959</v>
      </c>
      <c r="AJ1297" s="117">
        <f t="shared" ca="1" si="105"/>
        <v>45960</v>
      </c>
      <c r="AK1297" s="117">
        <f t="shared" ca="1" si="105"/>
        <v>45961</v>
      </c>
      <c r="AL1297" s="117">
        <f t="shared" ca="1" si="105"/>
        <v>45964</v>
      </c>
      <c r="AM1297" s="117">
        <f t="shared" ca="1" si="105"/>
        <v>45965</v>
      </c>
      <c r="AN1297" s="117">
        <f t="shared" ca="1" si="105"/>
        <v>45966</v>
      </c>
      <c r="AO1297" s="117">
        <f t="shared" ca="1" si="105"/>
        <v>45967</v>
      </c>
      <c r="AP1297" s="117">
        <f t="shared" ca="1" si="105"/>
        <v>45968</v>
      </c>
      <c r="AQ1297" s="117">
        <f t="shared" ca="1" si="105"/>
        <v>45971</v>
      </c>
      <c r="AR1297" s="117">
        <f t="shared" ca="1" si="105"/>
        <v>45972</v>
      </c>
      <c r="AS1297" s="117">
        <f t="shared" ca="1" si="105"/>
        <v>45973</v>
      </c>
      <c r="AT1297" s="117">
        <f t="shared" ca="1" si="105"/>
        <v>45974</v>
      </c>
      <c r="AU1297" s="117">
        <f t="shared" ca="1" si="105"/>
        <v>45975</v>
      </c>
      <c r="AV1297" s="117">
        <f t="shared" ca="1" si="105"/>
        <v>45978</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-1185.0000000000023</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4000</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1201.9999999999995</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-2635.0000000000023</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3885.0000000000023</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580.79999999999927</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-1439.9999999999977</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1920.6000000000004</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-277.87499999999972</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-8659.9999999999964</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-793.06500000000051</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9800</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10863.999999999998</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10660.000000000004</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3024.0000000000009</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29660.000000000004</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2976.0000000000045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-22697.73</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2322.000000000005</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4427</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110000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-218.00000000000637</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-1809.9999999999882</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-4949.9999999999955</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-1178.1000000000004</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95205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2060.9999999999927</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-790.01999999999589</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-12659.999999999996</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12138.999999999987</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395.2500000000008</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-2479.9999999999986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11675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2494.98</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-9459.9999999999945</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-38464.000000000007</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5520.0000000000045</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979.59999999999934</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11452.599900000003</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208.70999999999998</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1194.0000000000055</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5074.5694999999987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1019.9999999999995</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33.60000000000003</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-3250.0000000000018</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-21456.000000000004</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31392.000000000004</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6750</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16200</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-7863.6999999999971</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-5479.9999999999973</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-10790</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-198.00000000000111</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-48067.98000000001</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28640.000000000015</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7871.44</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-1861.5000000000036</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-6519.9999999999964</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-11404.799999999996</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10890.000000000002</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5666.1</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-43853.200000000004</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-79180.000000000015</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19866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6000</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-3149.999999999995</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3420.0000000000045</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-3510</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-54319.999999999993</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8179.9999999999955</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-15858.000000000004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973.82999999999527</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4694.9999999999927</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31934.999999999996</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-11299.8</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-3760.0000000000014</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9089.9999999999964</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9732.8220000000038</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-274.99999999999858</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-11854.999999999976</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1560.0000000000023</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11669.999999999987</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-12959.99999999998</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18000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2790.0000000000045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45950</v>
      </c>
      <c r="G1396" s="117">
        <f t="shared" ca="1" si="110"/>
        <v>45951</v>
      </c>
      <c r="H1396" s="117">
        <f t="shared" ca="1" si="110"/>
        <v>45952</v>
      </c>
      <c r="I1396" s="117">
        <f t="shared" ca="1" si="110"/>
        <v>45953</v>
      </c>
      <c r="J1396" s="117">
        <f t="shared" ca="1" si="110"/>
        <v>45954</v>
      </c>
      <c r="K1396" s="117">
        <f t="shared" ca="1" si="110"/>
        <v>45957</v>
      </c>
      <c r="L1396" s="117">
        <f t="shared" ca="1" si="110"/>
        <v>45958</v>
      </c>
      <c r="M1396" s="117">
        <f t="shared" ca="1" si="110"/>
        <v>45959</v>
      </c>
      <c r="N1396" s="117">
        <f t="shared" ca="1" si="110"/>
        <v>45960</v>
      </c>
      <c r="O1396" s="117">
        <f t="shared" ca="1" si="110"/>
        <v>45961</v>
      </c>
      <c r="P1396" s="117">
        <f t="shared" ca="1" si="110"/>
        <v>45964</v>
      </c>
      <c r="Q1396" s="117">
        <f t="shared" ca="1" si="110"/>
        <v>45965</v>
      </c>
      <c r="R1396" s="117">
        <f t="shared" ca="1" si="110"/>
        <v>45966</v>
      </c>
      <c r="S1396" s="117">
        <f t="shared" ca="1" si="110"/>
        <v>45967</v>
      </c>
      <c r="T1396" s="117">
        <f t="shared" ca="1" si="110"/>
        <v>45968</v>
      </c>
      <c r="U1396" s="117">
        <f t="shared" ca="1" si="110"/>
        <v>45971</v>
      </c>
      <c r="V1396" s="117">
        <f t="shared" ca="1" si="110"/>
        <v>45972</v>
      </c>
      <c r="W1396" s="117">
        <f t="shared" ca="1" si="110"/>
        <v>45973</v>
      </c>
      <c r="X1396" s="117">
        <f t="shared" ca="1" si="110"/>
        <v>45974</v>
      </c>
      <c r="Y1396" s="117">
        <f t="shared" ca="1" si="110"/>
        <v>45975</v>
      </c>
      <c r="Z1396" s="117">
        <f t="shared" ca="1" si="110"/>
        <v>45978</v>
      </c>
      <c r="AB1396" s="117">
        <f t="shared" ref="AB1396:AV1396" ca="1" si="111">F1297</f>
        <v>45950</v>
      </c>
      <c r="AC1396" s="117">
        <f t="shared" ca="1" si="111"/>
        <v>45951</v>
      </c>
      <c r="AD1396" s="117">
        <f t="shared" ca="1" si="111"/>
        <v>45952</v>
      </c>
      <c r="AE1396" s="117">
        <f t="shared" ca="1" si="111"/>
        <v>45953</v>
      </c>
      <c r="AF1396" s="117">
        <f t="shared" ca="1" si="111"/>
        <v>45954</v>
      </c>
      <c r="AG1396" s="117">
        <f t="shared" ca="1" si="111"/>
        <v>45957</v>
      </c>
      <c r="AH1396" s="117">
        <f t="shared" ca="1" si="111"/>
        <v>45958</v>
      </c>
      <c r="AI1396" s="117">
        <f t="shared" ca="1" si="111"/>
        <v>45959</v>
      </c>
      <c r="AJ1396" s="117">
        <f t="shared" ca="1" si="111"/>
        <v>45960</v>
      </c>
      <c r="AK1396" s="117">
        <f t="shared" ca="1" si="111"/>
        <v>45961</v>
      </c>
      <c r="AL1396" s="117">
        <f t="shared" ca="1" si="111"/>
        <v>45964</v>
      </c>
      <c r="AM1396" s="117">
        <f t="shared" ca="1" si="111"/>
        <v>45965</v>
      </c>
      <c r="AN1396" s="117">
        <f t="shared" ca="1" si="111"/>
        <v>45966</v>
      </c>
      <c r="AO1396" s="117">
        <f t="shared" ca="1" si="111"/>
        <v>45967</v>
      </c>
      <c r="AP1396" s="117">
        <f t="shared" ca="1" si="111"/>
        <v>45968</v>
      </c>
      <c r="AQ1396" s="117">
        <f t="shared" ca="1" si="111"/>
        <v>45971</v>
      </c>
      <c r="AR1396" s="117">
        <f t="shared" ca="1" si="111"/>
        <v>45972</v>
      </c>
      <c r="AS1396" s="117">
        <f t="shared" ca="1" si="111"/>
        <v>45973</v>
      </c>
      <c r="AT1396" s="117">
        <f t="shared" ca="1" si="111"/>
        <v>45974</v>
      </c>
      <c r="AU1396" s="117">
        <f t="shared" ca="1" si="111"/>
        <v>45975</v>
      </c>
      <c r="AV1396" s="117">
        <f t="shared" ca="1" si="111"/>
        <v>45978</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[1]DataRT!$R3</f>
        <v>1.1039000000000001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1225845</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[1]DataRT!$R4</f>
        <v>2.4137</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[1]DataRT!$R5</f>
        <v>1.6380999999999999</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193200</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[1]DataRT!$R6</f>
        <v>1.3703000000000001</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938760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[1]DataRT!$R7</f>
        <v>0.95499999999999996</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56381.599999999999</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[1]DataRT!$R8</f>
        <v>2.1217000000000001</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2265640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[1]DataRT!$R9</f>
        <v>1.2295</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71916.599999999991</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[1]DataRT!$R10</f>
        <v>0.31769999999999998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[1]DataRT!$R11</f>
        <v>1.7289000000000001</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30299.999999999996</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[1]DataRT!$R12</f>
        <v>7.1499999999999994E-2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[1]DataRT!$R13</f>
        <v>1.1956</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501.5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[1]DataRT!$R14</f>
        <v>0.84960000000000002</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[1]DataRT!$R15</f>
        <v>0.48180000000000001</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[1]DataRT!$R16</f>
        <v>1.9165000000000001</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97650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[1]DataRT!$R17</f>
        <v>1.4954000000000001</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68770</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[1]DataRT!$R18</f>
        <v>0.78580000000000005</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89287.5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[1]DataRT!$R19</f>
        <v>0.98419999999999996</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243100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[1]DataRT!$R20</f>
        <v>1.1008</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53052.454999999994</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[1]DataRT!$R21</f>
        <v>0.85699999999999998</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[1]DataRT!$R22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[1]DataRT!$R23</f>
        <v>1.3005</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[1]DataRT!$R24</f>
        <v>1.3492</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[1]DataRT!$R25</f>
        <v>1.2413000000000001</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98052</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[1]DataRT!$R26</f>
        <v>2.3138000000000001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[1]DataRT!$R27</f>
        <v>0.56940000000000002</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66710</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[1]DataRT!$R28</f>
        <v>0.68899999999999995</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[1]DataRT!$R29</f>
        <v>1.4663999999999999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[1]DataRT!$R30</f>
        <v>1.1214999999999999</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292286</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[1]DataRT!$R31</f>
        <v>1.0657000000000001</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[1]DataRT!$R32</f>
        <v>0.72699999999999998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[1]DataRT!$R33</f>
        <v>0.42070000000000002</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439000</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[1]DataRT!$R34</f>
        <v>1.6979</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[1]DataRT!$R35</f>
        <v>0.62</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[1]DataRT!$R36</f>
        <v>1.1413</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38510</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[1]DataRT!$R37</f>
        <v>0.1739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[1]DataRT!$R38</f>
        <v>0.53239999999999998</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[1]DataRT!$R39</f>
        <v>1.5348999999999999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4970</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[1]DataRT!$R40</f>
        <v>1.0828</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[1]DataRT!$R41</f>
        <v>0.47510000000000002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[1]DataRT!$R42</f>
        <v>1.0510999999999999</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483460</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[1]DataRT!$R43</f>
        <v>1.2906</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187375</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[1]DataRT!$R44</f>
        <v>1.4923</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[1]DataRT!$R45</f>
        <v>1.8934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[1]DataRT!$R46</f>
        <v>1.3174999999999999</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712175</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[1]DataRT!$R47</f>
        <v>1.0952999999999999</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68540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[1]DataRT!$R48</f>
        <v>1.4772000000000001</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32875.800000000003</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[1]DataRT!$R49</f>
        <v>0.89710000000000001</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[1]DataRT!$R50</f>
        <v>0.81979999999999997</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[1]DataRT!$R51</f>
        <v>0.82199999999999995</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[1]DataRT!$R52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[1]DataRT!$R53</f>
        <v>0.37119999999999997</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35787</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[1]DataRT!$R54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56948</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[1]DataRT!$R55</f>
        <v>0.95499999999999996</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75658.671999999991</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[1]DataRT!$R56</f>
        <v>1.9165000000000001</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[1]DataRT!$R57</f>
        <v>0.78580000000000005</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238100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[1]DataRT!$R58</f>
        <v>0.85699999999999998</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[1]DataRT!$R59</f>
        <v>0.8306</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428739.99999999994</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[1]DataRT!$R60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[1]DataRT!$R61</f>
        <v>1.3888</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[1]DataRT!$R62</f>
        <v>0.2392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173875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[1]DataRT!$R63</f>
        <v>0.47510000000000002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[1]DataRT!$R64</f>
        <v>1.0510999999999999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[1]DataRT!$R65</f>
        <v>1.0952999999999999</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15347</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[1]DataRT!$R66</f>
        <v>1.1039000000000001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[1]DataRT!$R67</f>
        <v>1.3703000000000001</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[1]DataRT!$R68</f>
        <v>2.1217000000000001</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78426</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[1]DataRT!$R69</f>
        <v>1.9165000000000001</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236855.5</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[1]DataRT!$R70</f>
        <v>1.4954000000000001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[1]DataRT!$R71</f>
        <v>1.3005</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[1]DataRT!$R72</f>
        <v>2.3138000000000001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[1]DataRT!$R73</f>
        <v>1.1214999999999999</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111465</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[1]DataRT!$R74</f>
        <v>1.8971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126900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[1]DataRT!$R75</f>
        <v>0.8306</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159952.99999999997</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[1]DataRT!$R76</f>
        <v>2.2410999999999999</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48723.840000000004</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[1]DataRT!$R77</f>
        <v>1.5939000000000001</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[1]DataRT!$R78</f>
        <v>1.3888</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[1]DataRT!$R79</f>
        <v>1.8244</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52888.500000000007</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[1]DataRT!$R80</f>
        <v>1.3468</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[1]DataRT!$R81</f>
        <v>1.4676</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10266.65</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[1]DataRT!$R82</f>
        <v>1.1537999999999999</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[1]DataRT!$R83</f>
        <v>0.86680000000000001</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[1]DataRT!$R84</f>
        <v>2.3212000000000002</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26486</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[1]DataRT!$R85</f>
        <v>0.50149999999999995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[1]DataRT!$R86</f>
        <v>0.2392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[1]DataRT!$R87</f>
        <v>0.38590000000000002</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124033.00000000001</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[1]DataRT!$R88</f>
        <v>0.4168</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7518</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[1]DataRT!$R89</f>
        <v>1.3972</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144360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[1]DataRT!$R90</f>
        <v>0.46489999999999998</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[1]DataRT!$R91</f>
        <v>2.6798999999999999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9072</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[1]DataRT!$R92</f>
        <v>1.4623999999999999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[1]DataRT!$R93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[1]DataRT!$R94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[1]DataRT!$R95</f>
        <v>2.1217000000000001</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[1]DataRT!$R96</f>
        <v>0.85699999999999998</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45950</v>
      </c>
      <c r="G1495" s="117">
        <f t="shared" ref="G1495:Z1495" ca="1" si="116">G1396</f>
        <v>45951</v>
      </c>
      <c r="H1495" s="117">
        <f t="shared" ca="1" si="116"/>
        <v>45952</v>
      </c>
      <c r="I1495" s="117">
        <f t="shared" ca="1" si="116"/>
        <v>45953</v>
      </c>
      <c r="J1495" s="117">
        <f t="shared" ca="1" si="116"/>
        <v>45954</v>
      </c>
      <c r="K1495" s="117">
        <f t="shared" ca="1" si="116"/>
        <v>45957</v>
      </c>
      <c r="L1495" s="117">
        <f t="shared" ca="1" si="116"/>
        <v>45958</v>
      </c>
      <c r="M1495" s="117">
        <f t="shared" ca="1" si="116"/>
        <v>45959</v>
      </c>
      <c r="N1495" s="117">
        <f t="shared" ca="1" si="116"/>
        <v>45960</v>
      </c>
      <c r="O1495" s="117">
        <f t="shared" ca="1" si="116"/>
        <v>45961</v>
      </c>
      <c r="P1495" s="117">
        <f t="shared" ca="1" si="116"/>
        <v>45964</v>
      </c>
      <c r="Q1495" s="117">
        <f t="shared" ca="1" si="116"/>
        <v>45965</v>
      </c>
      <c r="R1495" s="117">
        <f t="shared" ca="1" si="116"/>
        <v>45966</v>
      </c>
      <c r="S1495" s="117">
        <f t="shared" ca="1" si="116"/>
        <v>45967</v>
      </c>
      <c r="T1495" s="117">
        <f t="shared" ca="1" si="116"/>
        <v>45968</v>
      </c>
      <c r="U1495" s="117">
        <f t="shared" ca="1" si="116"/>
        <v>45971</v>
      </c>
      <c r="V1495" s="117">
        <f t="shared" ca="1" si="116"/>
        <v>45972</v>
      </c>
      <c r="W1495" s="117">
        <f t="shared" ca="1" si="116"/>
        <v>45973</v>
      </c>
      <c r="X1495" s="117">
        <f t="shared" ca="1" si="116"/>
        <v>45974</v>
      </c>
      <c r="Y1495" s="117">
        <f t="shared" ca="1" si="116"/>
        <v>45975</v>
      </c>
      <c r="Z1495" s="117">
        <f t="shared" ca="1" si="116"/>
        <v>45978</v>
      </c>
      <c r="AB1495" s="117">
        <f t="shared" ref="AB1495:AV1495" ca="1" si="117">F1396</f>
        <v>45950</v>
      </c>
      <c r="AC1495" s="117">
        <f t="shared" ca="1" si="117"/>
        <v>45951</v>
      </c>
      <c r="AD1495" s="117">
        <f t="shared" ca="1" si="117"/>
        <v>45952</v>
      </c>
      <c r="AE1495" s="117">
        <f t="shared" ca="1" si="117"/>
        <v>45953</v>
      </c>
      <c r="AF1495" s="117">
        <f t="shared" ca="1" si="117"/>
        <v>45954</v>
      </c>
      <c r="AG1495" s="117">
        <f t="shared" ca="1" si="117"/>
        <v>45957</v>
      </c>
      <c r="AH1495" s="117">
        <f t="shared" ca="1" si="117"/>
        <v>45958</v>
      </c>
      <c r="AI1495" s="117">
        <f t="shared" ca="1" si="117"/>
        <v>45959</v>
      </c>
      <c r="AJ1495" s="117">
        <f t="shared" ca="1" si="117"/>
        <v>45960</v>
      </c>
      <c r="AK1495" s="117">
        <f t="shared" ca="1" si="117"/>
        <v>45961</v>
      </c>
      <c r="AL1495" s="117">
        <f t="shared" ca="1" si="117"/>
        <v>45964</v>
      </c>
      <c r="AM1495" s="117">
        <f t="shared" ca="1" si="117"/>
        <v>45965</v>
      </c>
      <c r="AN1495" s="117">
        <f t="shared" ca="1" si="117"/>
        <v>45966</v>
      </c>
      <c r="AO1495" s="117">
        <f t="shared" ca="1" si="117"/>
        <v>45967</v>
      </c>
      <c r="AP1495" s="117">
        <f t="shared" ca="1" si="117"/>
        <v>45968</v>
      </c>
      <c r="AQ1495" s="117">
        <f t="shared" ca="1" si="117"/>
        <v>45971</v>
      </c>
      <c r="AR1495" s="117">
        <f t="shared" ca="1" si="117"/>
        <v>45972</v>
      </c>
      <c r="AS1495" s="117">
        <f t="shared" ca="1" si="117"/>
        <v>45973</v>
      </c>
      <c r="AT1495" s="117">
        <f t="shared" ca="1" si="117"/>
        <v>45974</v>
      </c>
      <c r="AU1495" s="117">
        <f t="shared" ca="1" si="117"/>
        <v>45975</v>
      </c>
      <c r="AV1495" s="117">
        <f t="shared" ca="1" si="117"/>
        <v>45978</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-0.38461538461538458</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-0.66666666666666674</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-0.33333333333333343</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-0.4285714285714286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-0.52941176470588225</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-0.77777777777777768</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45950</v>
      </c>
      <c r="AC1594" s="62">
        <f t="shared" ca="1" si="121"/>
        <v>45951</v>
      </c>
      <c r="AD1594" s="62">
        <f t="shared" ca="1" si="121"/>
        <v>45952</v>
      </c>
      <c r="AE1594" s="62">
        <f t="shared" ca="1" si="121"/>
        <v>45953</v>
      </c>
      <c r="AF1594" s="62">
        <f t="shared" ca="1" si="121"/>
        <v>45954</v>
      </c>
      <c r="AG1594" s="62">
        <f t="shared" ca="1" si="121"/>
        <v>45957</v>
      </c>
      <c r="AH1594" s="62">
        <f t="shared" ca="1" si="121"/>
        <v>45958</v>
      </c>
      <c r="AI1594" s="62">
        <f t="shared" ca="1" si="121"/>
        <v>45959</v>
      </c>
      <c r="AJ1594" s="62">
        <f t="shared" ca="1" si="121"/>
        <v>45960</v>
      </c>
      <c r="AK1594" s="62">
        <f t="shared" ca="1" si="121"/>
        <v>45961</v>
      </c>
      <c r="AL1594" s="62">
        <f t="shared" ca="1" si="121"/>
        <v>45964</v>
      </c>
      <c r="AM1594" s="62">
        <f t="shared" ca="1" si="121"/>
        <v>45965</v>
      </c>
      <c r="AN1594" s="62">
        <f t="shared" ca="1" si="121"/>
        <v>45966</v>
      </c>
      <c r="AO1594" s="62">
        <f t="shared" ca="1" si="121"/>
        <v>45967</v>
      </c>
      <c r="AP1594" s="62">
        <f t="shared" ca="1" si="121"/>
        <v>45968</v>
      </c>
      <c r="AQ1594" s="62">
        <f t="shared" ca="1" si="121"/>
        <v>45971</v>
      </c>
      <c r="AR1594" s="62">
        <f t="shared" ca="1" si="121"/>
        <v>45972</v>
      </c>
      <c r="AS1594" s="62">
        <f t="shared" ca="1" si="121"/>
        <v>45973</v>
      </c>
      <c r="AT1594" s="62">
        <f t="shared" ca="1" si="121"/>
        <v>45974</v>
      </c>
      <c r="AU1594" s="62">
        <f t="shared" ca="1" si="121"/>
        <v>45975</v>
      </c>
      <c r="AV1594" s="62">
        <f t="shared" ca="1" si="121"/>
        <v>45978</v>
      </c>
      <c r="AX1594" s="88"/>
    </row>
    <row r="1595" spans="1:50" x14ac:dyDescent="0.3">
      <c r="A1595" s="88"/>
      <c r="F1595" s="62">
        <f t="shared" ref="F1595:Z1595" ca="1" si="122">F1495</f>
        <v>45950</v>
      </c>
      <c r="G1595" s="62">
        <f t="shared" ca="1" si="122"/>
        <v>45951</v>
      </c>
      <c r="H1595" s="62">
        <f t="shared" ca="1" si="122"/>
        <v>45952</v>
      </c>
      <c r="I1595" s="62">
        <f t="shared" ca="1" si="122"/>
        <v>45953</v>
      </c>
      <c r="J1595" s="62">
        <f t="shared" ca="1" si="122"/>
        <v>45954</v>
      </c>
      <c r="K1595" s="62">
        <f t="shared" ca="1" si="122"/>
        <v>45957</v>
      </c>
      <c r="L1595" s="62">
        <f t="shared" ca="1" si="122"/>
        <v>45958</v>
      </c>
      <c r="M1595" s="62">
        <f t="shared" ca="1" si="122"/>
        <v>45959</v>
      </c>
      <c r="N1595" s="62">
        <f t="shared" ca="1" si="122"/>
        <v>45960</v>
      </c>
      <c r="O1595" s="62">
        <f t="shared" ca="1" si="122"/>
        <v>45961</v>
      </c>
      <c r="P1595" s="62">
        <f t="shared" ca="1" si="122"/>
        <v>45964</v>
      </c>
      <c r="Q1595" s="62">
        <f t="shared" ca="1" si="122"/>
        <v>45965</v>
      </c>
      <c r="R1595" s="62">
        <f t="shared" ca="1" si="122"/>
        <v>45966</v>
      </c>
      <c r="S1595" s="62">
        <f t="shared" ca="1" si="122"/>
        <v>45967</v>
      </c>
      <c r="T1595" s="62">
        <f t="shared" ca="1" si="122"/>
        <v>45968</v>
      </c>
      <c r="U1595" s="62">
        <f t="shared" ca="1" si="122"/>
        <v>45971</v>
      </c>
      <c r="V1595" s="62">
        <f t="shared" ca="1" si="122"/>
        <v>45972</v>
      </c>
      <c r="W1595" s="62">
        <f t="shared" ca="1" si="122"/>
        <v>45973</v>
      </c>
      <c r="X1595" s="62">
        <f t="shared" ca="1" si="122"/>
        <v>45974</v>
      </c>
      <c r="Y1595" s="62">
        <f t="shared" ca="1" si="122"/>
        <v>45975</v>
      </c>
      <c r="Z1595" s="62">
        <f t="shared" ca="1" si="122"/>
        <v>45978</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3.7819806708122368</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4.8913050119054704</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11.275371466140697</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5.287320499296241</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7.8600252271559041</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10.885418085057461</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-0.1978</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-1.9780000000000002E-3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45950</v>
      </c>
      <c r="G1710" s="62">
        <f t="shared" ca="1" si="137"/>
        <v>45951</v>
      </c>
      <c r="H1710" s="62">
        <f t="shared" ca="1" si="137"/>
        <v>45952</v>
      </c>
      <c r="I1710" s="62">
        <f t="shared" ca="1" si="137"/>
        <v>45953</v>
      </c>
      <c r="J1710" s="62">
        <f t="shared" ca="1" si="137"/>
        <v>45954</v>
      </c>
      <c r="K1710" s="62">
        <f t="shared" ca="1" si="137"/>
        <v>45957</v>
      </c>
      <c r="L1710" s="62">
        <f t="shared" ca="1" si="137"/>
        <v>45958</v>
      </c>
      <c r="M1710" s="62">
        <f t="shared" ca="1" si="137"/>
        <v>45959</v>
      </c>
      <c r="N1710" s="62">
        <f t="shared" ca="1" si="137"/>
        <v>45960</v>
      </c>
      <c r="O1710" s="62">
        <f t="shared" ca="1" si="137"/>
        <v>45961</v>
      </c>
      <c r="P1710" s="62">
        <f t="shared" ca="1" si="137"/>
        <v>45964</v>
      </c>
      <c r="Q1710" s="62">
        <f t="shared" ca="1" si="137"/>
        <v>45965</v>
      </c>
      <c r="R1710" s="62">
        <f t="shared" ca="1" si="137"/>
        <v>45966</v>
      </c>
      <c r="S1710" s="62">
        <f t="shared" ca="1" si="137"/>
        <v>45967</v>
      </c>
      <c r="T1710" s="62">
        <f t="shared" ca="1" si="137"/>
        <v>45968</v>
      </c>
      <c r="U1710" s="62">
        <f t="shared" ca="1" si="137"/>
        <v>45971</v>
      </c>
      <c r="V1710" s="62">
        <f t="shared" ca="1" si="137"/>
        <v>45972</v>
      </c>
      <c r="W1710" s="62">
        <f t="shared" ca="1" si="137"/>
        <v>45973</v>
      </c>
      <c r="X1710" s="62">
        <f t="shared" ca="1" si="137"/>
        <v>45974</v>
      </c>
      <c r="Y1710" s="62">
        <f t="shared" ca="1" si="137"/>
        <v>45975</v>
      </c>
      <c r="Z1710" s="62">
        <f t="shared" ca="1" si="137"/>
        <v>45978</v>
      </c>
      <c r="AU1710" s="931"/>
      <c r="AV1710" s="1" t="s">
        <v>2320</v>
      </c>
    </row>
    <row r="1711" spans="1:51" ht="23" thickBot="1" x14ac:dyDescent="0.35">
      <c r="B1711" s="1399"/>
      <c r="C1711" s="1166"/>
      <c r="D1711" s="1166" t="s">
        <v>2220</v>
      </c>
      <c r="E1711" s="1400"/>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7">
        <f ca="1">Calc!BB103</f>
        <v>-18101764.431799993</v>
      </c>
      <c r="D1712" s="1398"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28586371.379999999</v>
      </c>
      <c r="AB1712" s="93">
        <f ca="1">Tab1SDataShiftSummary[[#This Row],[Summary0]]-Tab1SDataShiftSummary[[#This Row],[Summary20]]</f>
        <v>-1402313.6099999994</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408170.13000000268</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-59830251.016639546</v>
      </c>
      <c r="AB1713" s="93">
        <f ca="1">Tab1SDataShiftSummary[[#This Row],[Summary0]]-Tab1SDataShiftSummary[[#This Row],[Summary20]]</f>
        <v>2718608.211816892</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-192723.78239999712</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-5537531.908598721</v>
      </c>
      <c r="AB1714" s="93">
        <f ca="1">Tab1SDataShiftSummary[[#This Row],[Summary0]]-Tab1SDataShiftSummary[[#This Row],[Summary20]]</f>
        <v>-1026116.6745741777</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-192224.00000000093</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10484606.948200006</v>
      </c>
      <c r="AA1715" s="308"/>
      <c r="AB1715" s="93">
        <f ca="1">Tab1SDataShiftSummary[[#This Row],[Summary0]]-Tab1SDataShiftSummary[[#This Row],[Summary20]]</f>
        <v>-1621276.5914999992</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408170.13000000268</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-77932015.448439553</v>
      </c>
      <c r="AB1716" s="93">
        <f ca="1">Tab1SDataShiftSummary[[#This Row],[Summary0]]-Tab1SDataShiftSummary[[#This Row],[Summary20]]</f>
        <v>2499645.2303168774</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-192723.78239999712</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-11517552.202917</v>
      </c>
      <c r="AB1717" s="93">
        <f ca="1">Tab1SDataShiftSummary[[#This Row],[Summary0]]-Tab1SDataShiftSummary[[#This Row],[Summary20]]</f>
        <v>1440397.9515000004</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-192224</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66040213.309405029</v>
      </c>
      <c r="AB1718" s="93">
        <f ca="1">Tab1SDataShiftSummary[[#This Row],[Summary0]]-Tab1SDataShiftSummary[[#This Row],[Summary20]]</f>
        <v>-1050027.8658570349</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0</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17068819.177083004</v>
      </c>
      <c r="AB1719" s="93">
        <f ca="1">Tab1SDataShiftSummary[[#This Row],[Summary0]]-Tab1SDataShiftSummary[[#This Row],[Summary20]]</f>
        <v>38084.341499999166</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215946.13000000268</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11312337.62589</v>
      </c>
      <c r="AB1720" s="93">
        <f ca="1">Tab1SDataShiftSummary[[#This Row],[Summary0]]-Tab1SDataShiftSummary[[#This Row],[Summary20]]</f>
        <v>1381744.1341000013</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142412.04499999806</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-374327.79477039585</v>
      </c>
      <c r="AB1721" s="93">
        <f ca="1">Tab1SDataShiftSummary[[#This Row],[Summary0]]-Tab1SDataShiftSummary[[#This Row],[Summary20]]</f>
        <v>9229.1500500520924</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-501.08183423994342</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6209962.2927654833</v>
      </c>
      <c r="AB1722" s="93">
        <f ca="1">Tab1SDataShiftSummary[[#This Row],[Summary0]]-Tab1SDataShiftSummary[[#This Row],[Summary20]]</f>
        <v>1668580.3459598571</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-192723.78239999712</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1.8933718344664399</v>
      </c>
      <c r="AB1723" s="308">
        <f ca="1">Tab1SDataShiftSummary[[#This Row],[Summary0]]-Tab1SDataShiftSummary[[#This Row],[Summary20]]</f>
        <v>-0.54300545753657814</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8.2724182119409129E-3</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5255396.4800000004</v>
      </c>
      <c r="AB1724" s="93">
        <f ca="1">Tab1SDataShiftSummary[[#This Row],[Summary0]]-Tab1SDataShiftSummary[[#This Row],[Summary20]]</f>
        <v>1342114.5399999991</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19425.370000000112</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21204144.900000002</v>
      </c>
      <c r="AB1725" s="93">
        <f ca="1">Tab1SDataShiftSummary[[#This Row],[Summary0]]-Tab1SDataShiftSummary[[#This Row],[Summary20]]</f>
        <v>-3021318.1500000022</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338694.76000000536</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934830</v>
      </c>
      <c r="AB1726" s="93">
        <f ca="1">Tab1SDataShiftSummary[[#This Row],[Summary0]]-Tab1SDataShiftSummary[[#This Row],[Summary20]]</f>
        <v>609290</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24050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3.0823875074342082</v>
      </c>
      <c r="AB1728" s="308">
        <f ca="1">Tab1SDataShiftSummary[[#This Row],[Summary0]]-Tab1SDataShiftSummary[[#This Row],[Summary20]]</f>
        <v>-0.47607741910320778</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-7.0447340484030008E-2</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1.4819832266755479</v>
      </c>
      <c r="AB1729" s="308">
        <f ca="1">Tab1SDataShiftSummary[[#This Row],[Summary0]]-Tab1SDataShiftSummary[[#This Row],[Summary20]]</f>
        <v>0.21560947576596834</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-6.0860588346325351E-3</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2722190.2297</v>
      </c>
      <c r="AB1731" s="93">
        <f ca="1">Tab1SDataShiftSummary[[#This Row],[Summary0]]-Tab1SDataShiftSummary[[#This Row],[Summary20]]</f>
        <v>254138.03320800047</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0</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1.6130205062286989</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5464165.4299999997</v>
      </c>
      <c r="AB1733" s="93">
        <f ca="1">Tab1SDataShiftSummary[[#This Row],[Summary0]]-Tab1SDataShiftSummary[[#This Row],[Summary20]]</f>
        <v>247987.31000000052</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-388013.79500000086</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-12994876.010560457</v>
      </c>
      <c r="AB1734" s="93">
        <f ca="1">Tab1SDataShiftSummary[[#This Row],[Summary0]]-Tab1SDataShiftSummary[[#This Row],[Summary20]]</f>
        <v>2765831.7717902977</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-3931156.0053853146</v>
      </c>
      <c r="AB1735" s="93">
        <f ca="1">Tab1SDataShiftSummary[[#This Row],[Summary0]]-Tab1SDataShiftSummary[[#This Row],[Summary20]]</f>
        <v>503779.4904441</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0</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-2028891.6949637174</v>
      </c>
      <c r="AB1736" s="93">
        <f ca="1">Tab1SDataShiftSummary[[#This Row],[Summary0]]-Tab1SDataShiftSummary[[#This Row],[Summary20]]</f>
        <v>666948.29150000028</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-388013.79500000039</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-20487933.135524176</v>
      </c>
      <c r="AB1737" s="93">
        <f ca="1">Tab1SDataShiftSummary[[#This Row],[Summary0]]-Tab1SDataShiftSummary[[#This Row],[Summary20]]</f>
        <v>3184792.7532903031</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-10854653.515837716</v>
      </c>
      <c r="AB1738" s="93">
        <f ca="1">Tab1SDataShiftSummary[[#This Row],[Summary0]]-Tab1SDataShiftSummary[[#This Row],[Summary20]]</f>
        <v>801487.85049999878</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-5390488.085837719</v>
      </c>
      <c r="AB1740" s="93">
        <f ca="1">Tab1SDataShiftSummary[[#This Row],[Summary0]]-Tab1SDataShiftSummary[[#This Row],[Summary20]]</f>
        <v>1049475.160500003</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-388013.79500000179</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-78112.252089505128</v>
      </c>
      <c r="AB1742" s="93">
        <f ca="1">Tab1SDataShiftSummary[[#This Row],[Summary0]]-Tab1SDataShiftSummary[[#This Row],[Summary20]]</f>
        <v>14439.525227169383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-3439635.2655057386</v>
      </c>
      <c r="AB1743" s="93">
        <f ca="1">Tab1SDataShiftSummary[[#This Row],[Summary0]]-Tab1SDataShiftSummary[[#This Row],[Summary20]]</f>
        <v>396960.97616929933</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0</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-0.51610561681712108</v>
      </c>
      <c r="AB1744" s="308">
        <f ca="1">Tab1SDataShiftSummary[[#This Row],[Summary0]]-Tab1SDataShiftSummary[[#This Row],[Summary20]]</f>
        <v>0.11873363345710886</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-9.8702212394638666E-2</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3373888</v>
      </c>
      <c r="AB1745" s="93">
        <f ca="1">Tab1SDataShiftSummary[[#This Row],[Summary0]]-Tab1SDataShiftSummary[[#This Row],[Summary20]]</f>
        <v>-432958</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-287782</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2090277.43</v>
      </c>
      <c r="AB1746" s="93">
        <f ca="1">Tab1SDataShiftSummary[[#This Row],[Summary0]]-Tab1SDataShiftSummary[[#This Row],[Summary20]]</f>
        <v>680945.30999999982</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-100231.79499999969</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-1.371222123582289</v>
      </c>
      <c r="AB1749" s="308">
        <f ca="1">Tab1SDataShiftSummary[[#This Row],[Summary0]]-Tab1SDataShiftSummary[[#This Row],[Summary20]]</f>
        <v>0.10465193311339283</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-9.8702212394639055E-2</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0.49660618627509467</v>
      </c>
      <c r="AB1750" s="308">
        <f ca="1">Tab1SDataShiftSummary[[#This Row],[Summary0]]-Tab1SDataShiftSummary[[#This Row],[Summary20]]</f>
        <v>-6.4800616781190534E-2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3.574630866235029E-2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-0.79255823939257641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34050536.810000002</v>
      </c>
      <c r="AB1754" s="93">
        <f ca="1">Tab1SDataShiftSummary[[#This Row],[Summary0]]-Tab1SDataShiftSummary[[#This Row],[Summary20]]</f>
        <v>-1154326.3000000045</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20156.335000008345</v>
      </c>
      <c r="AW1754" s="93">
        <f ca="1">C1754+Tab1SDataShiftSummary[[#This Row],[Summary20]]</f>
        <v>8455715.2532362901</v>
      </c>
      <c r="AX1754" t="s">
        <v>2764</v>
      </c>
      <c r="AY1754" s="720" t="s">
        <v>1835</v>
      </c>
      <c r="AZ1754" s="93">
        <f ca="1">Tab1SDataShiftSummary[[#This Row],[Summary20]]+C1754</f>
        <v>8455715.2532362901</v>
      </c>
      <c r="BA1754" s="93">
        <f ca="1">Z1764</f>
        <v>2770327.0272597522</v>
      </c>
      <c r="BB1754" s="93">
        <f ca="1">Z1773</f>
        <v>3046155.4128</v>
      </c>
      <c r="BC1754" s="93">
        <f ca="1">AZ1754+Z1773</f>
        <v>11501870.666036289</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-72825127.027199998</v>
      </c>
      <c r="AB1755" s="93">
        <f ca="1">Tab1SDataShiftSummary[[#This Row],[Summary0]]-Tab1SDataShiftSummary[[#This Row],[Summary20]]</f>
        <v>5484439.9836071879</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-192723.78239999712</v>
      </c>
      <c r="AY1755" s="720" t="s">
        <v>1910</v>
      </c>
    </row>
    <row r="1756" spans="1:55" x14ac:dyDescent="0.3">
      <c r="B1756" s="720" t="s">
        <v>2297</v>
      </c>
      <c r="C1756" s="93">
        <f ca="1">Tab1SDataShiftSummary[[#This Row],[Summary20]]</f>
        <v>-9468687.9139840361</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-9468687.9139840361</v>
      </c>
      <c r="AB1756" s="93">
        <f ca="1">Tab1SDataShiftSummary[[#This Row],[Summary0]]-Tab1SDataShiftSummary[[#This Row],[Summary20]]</f>
        <v>-522337.18413007818</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-192224.00000000186</v>
      </c>
      <c r="AY1756" s="720" t="s">
        <v>2297</v>
      </c>
    </row>
    <row r="1757" spans="1:55" x14ac:dyDescent="0.3">
      <c r="B1757" s="720" t="s">
        <v>2130</v>
      </c>
      <c r="C1757" s="93">
        <f ca="1">Tab1SDataShiftSummary[[#This Row],[Summary20]]</f>
        <v>8455715.2532362882</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8455715.2532362882</v>
      </c>
      <c r="AB1757" s="93">
        <f ca="1">Tab1SDataShiftSummary[[#This Row],[Summary0]]-Tab1SDataShiftSummary[[#This Row],[Summary20]]</f>
        <v>-954328.29999999888</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20156.335000002757</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-98419948.583963722</v>
      </c>
      <c r="AA1758" s="362"/>
      <c r="AB1758" s="93">
        <f ca="1">Tab1SDataShiftSummary[[#This Row],[Summary0]]-Tab1SDataShiftSummary[[#This Row],[Summary20]]</f>
        <v>5684437.983607173</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-192723.78239998221</v>
      </c>
      <c r="AY1758" s="720" t="s">
        <v>1912</v>
      </c>
    </row>
    <row r="1759" spans="1:55" x14ac:dyDescent="0.3">
      <c r="B1759" s="721" t="s">
        <v>2292</v>
      </c>
      <c r="C1759" s="93">
        <f ca="1">Tab1SDataShiftSummary[[#This Row],[Summary20]]</f>
        <v>-22372205.718754716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-22372205.718754716</v>
      </c>
      <c r="AA1759" s="362"/>
      <c r="AB1759" s="93">
        <f ca="1">Tab1SDataShiftSummary[[#This Row],[Summary0]]-Tab1SDataShiftSummary[[#This Row],[Summary20]]</f>
        <v>2241885.8020000011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-192224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75595454.054459751</v>
      </c>
      <c r="AA1760" s="362"/>
      <c r="AB1760" s="93">
        <f ca="1">Tab1SDataShiftSummary[[#This Row],[Summary0]]-Tab1SDataShiftSummary[[#This Row],[Summary20]]</f>
        <v>-3418898.6614780426</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0</v>
      </c>
      <c r="AY1760" s="720" t="s">
        <v>1911</v>
      </c>
    </row>
    <row r="1761" spans="2:58" x14ac:dyDescent="0.3">
      <c r="B1761" s="721" t="s">
        <v>975</v>
      </c>
      <c r="C1761" s="93">
        <f ca="1">Tab1SDataShiftSummary[[#This Row],[Summary20]]</f>
        <v>11678331.091245286</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11678331.091245286</v>
      </c>
      <c r="AA1761" s="362"/>
      <c r="AB1761" s="93">
        <f ca="1">Tab1SDataShiftSummary[[#This Row],[Summary0]]-Tab1SDataShiftSummary[[#This Row],[Summary20]]</f>
        <v>1087559.5020000003</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-172067.66499999911</v>
      </c>
      <c r="AY1761" s="721" t="s">
        <v>975</v>
      </c>
    </row>
    <row r="1762" spans="2:58" x14ac:dyDescent="0.3">
      <c r="B1762" s="720" t="s">
        <v>2294</v>
      </c>
      <c r="C1762" s="93">
        <f ca="1">Tab1SDataShiftSummary[[#This Row],[Summary20]]</f>
        <v>11283688.64109</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11283688.64109</v>
      </c>
      <c r="AB1762" s="93">
        <f ca="1">Tab1SDataShiftSummary[[#This Row],[Summary0]]-Tab1SDataShiftSummary[[#This Row],[Summary20]]</f>
        <v>1410393.118900001</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142412.04499999806</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-452440.04685990099</v>
      </c>
      <c r="AB1763" s="93">
        <f ca="1">Tab1SDataShiftSummary[[#This Row],[Summary0]]-Tab1SDataShiftSummary[[#This Row],[Summary20]]</f>
        <v>23668.675277221482</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-501.08183423994342</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2770327.0272597522</v>
      </c>
      <c r="AB1764" s="93">
        <f ca="1">Tab1SDataShiftSummary[[#This Row],[Summary0]]-Tab1SDataShiftSummary[[#This Row],[Summary20]]</f>
        <v>2065541.3221291453</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-192723.78239999712</v>
      </c>
      <c r="AY1764" s="720" t="s">
        <v>1905</v>
      </c>
      <c r="BA1764" s="950">
        <f ca="1">V3</f>
        <v>45972</v>
      </c>
      <c r="BB1764" s="950">
        <f ca="1">W3</f>
        <v>45973</v>
      </c>
      <c r="BC1764" s="950">
        <f ca="1">X3</f>
        <v>45974</v>
      </c>
      <c r="BD1764" s="950">
        <f ca="1">Y3</f>
        <v>45975</v>
      </c>
      <c r="BE1764" s="951">
        <f ca="1">Z3</f>
        <v>45978</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0.89301868749399615</v>
      </c>
      <c r="AB1765" s="308">
        <f ca="1">Tab1SDataShiftSummary[[#This Row],[Summary0]]-Tab1SDataShiftSummary[[#This Row],[Summary20]]</f>
        <v>-0.1422061452802611</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-1.6332008682366284E-2</v>
      </c>
      <c r="AX1765" s="603" t="s">
        <v>2483</v>
      </c>
      <c r="AY1765" s="720" t="s">
        <v>2286</v>
      </c>
      <c r="BA1765" s="1052" t="s">
        <v>2304</v>
      </c>
      <c r="BB1765" s="1052" t="s">
        <v>2304</v>
      </c>
      <c r="BC1765" s="1052" t="s">
        <v>2304</v>
      </c>
      <c r="BD1765" s="1052" t="s">
        <v>2304</v>
      </c>
      <c r="BE1765" s="1052" t="s">
        <v>2304</v>
      </c>
      <c r="BF1765" s="1050">
        <f ca="1">SUM(BF1766:BF1769)</f>
        <v>0</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8629284.4800000004</v>
      </c>
      <c r="AB1766" s="93">
        <f ca="1">Tab1SDataShiftSummary[[#This Row],[Summary0]]-Tab1SDataShiftSummary[[#This Row],[Summary20]]</f>
        <v>909156.53999999911</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-268356.62999999896</v>
      </c>
      <c r="AW1766" s="1" t="s">
        <v>2279</v>
      </c>
      <c r="AX1766" s="1060">
        <f ca="1">AV1766+BE1766</f>
        <v>-268356.62999999896</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23294422.330000002</v>
      </c>
      <c r="AB1767" s="93">
        <f ca="1">Tab1SDataShiftSummary[[#This Row],[Summary0]]-Tab1SDataShiftSummary[[#This Row],[Summary20]]</f>
        <v>-2340372.8400000036</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238462.9650000073</v>
      </c>
      <c r="AW1767" s="1" t="s">
        <v>2279</v>
      </c>
      <c r="AX1767" s="1061">
        <f ca="1">AV1767+BE1767</f>
        <v>238462.9650000073</v>
      </c>
      <c r="AY1767" s="1017" t="s">
        <v>1131</v>
      </c>
      <c r="BA1767" s="588" cm="1">
        <f t="array" aca="1" ref="BA1767" ca="1">SUMPRODUCT(
  (Entries!$A$554:$A$799 = BA$1764) *
  (Entries!$J$554:$J$799= Entries!$K34) *
  --(Entries!$E$554:$E$799)
)</f>
        <v>0</v>
      </c>
      <c r="BB1767" s="588" cm="1">
        <f t="array" aca="1" ref="BB1767" ca="1">SUMPRODUCT(
  (Entries!$A$554:$A$799 = BB$1764) *
  (Entries!$J$554:$J$799= Entries!$K34) *
  --(Entries!$E$554:$E$799)
)</f>
        <v>0</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0</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934830</v>
      </c>
      <c r="AB1768" s="93">
        <f ca="1">Tab1SDataShiftSummary[[#This Row],[Summary0]]-Tab1SDataShiftSummary[[#This Row],[Summary20]]</f>
        <v>609290</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24050</v>
      </c>
      <c r="AW1768" s="1" t="s">
        <v>2279</v>
      </c>
      <c r="AX1768" s="1061">
        <f ca="1">AV1768+BE1768</f>
        <v>24050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1.233363185832526</v>
      </c>
      <c r="AB1770" s="308">
        <f ca="1">Tab1SDataShiftSummary[[#This Row],[Summary0]]-Tab1SDataShiftSummary[[#This Row],[Summary20]]</f>
        <v>4.4372628849287832E-2</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-4.410621049435548E-2</v>
      </c>
      <c r="AX1770" s="1048">
        <f ca="1">SUM(AX1766:AX1769)</f>
        <v>-5843.6649999916553</v>
      </c>
      <c r="AY1770" s="720" t="s">
        <v>2126</v>
      </c>
      <c r="BA1770" s="93">
        <f ca="1">SUM(BA1766:BA1769)</f>
        <v>0</v>
      </c>
      <c r="BB1770" s="93">
        <f t="shared" ref="BB1770:BE1770" ca="1" si="140">SUM(BB1766:BB1769)</f>
        <v>0</v>
      </c>
      <c r="BC1770" s="93">
        <f t="shared" ca="1" si="140"/>
        <v>0</v>
      </c>
      <c r="BD1770" s="93">
        <f t="shared" ca="1" si="140"/>
        <v>0</v>
      </c>
      <c r="BE1770" s="93">
        <f t="shared" ca="1" si="140"/>
        <v>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0.52200177479394849</v>
      </c>
      <c r="AB1771" s="308">
        <f ca="1">Tab1SDataShiftSummary[[#This Row],[Summary0]]-Tab1SDataShiftSummary[[#This Row],[Summary20]]</f>
        <v>0.11216055576196449</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-1.2281747460938797E-2</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-25094395.948454715</v>
      </c>
      <c r="AB1772" s="869">
        <f ca="1">Tab1SDataShiftSummary[[#This Row],[Summary0]]-Tab1SDataShiftSummary[[#This Row],[Summary20]]</f>
        <v>1987747.7687920034</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-192224</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3046155.4128</v>
      </c>
      <c r="AB1773" s="869">
        <f ca="1">Tab1SDataShiftSummary[[#This Row],[Summary0]]-Tab1SDataShiftSummary[[#This Row],[Summary20]]</f>
        <v>-69827.14989199955</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0</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0.49805767575986132</v>
      </c>
      <c r="AB1774" s="308">
        <f ca="1">Tab1SDataShiftSummary[[#This Row],[Summary20]]-Tab1SDataShiftSummary[[#This Row],[Summary0]]</f>
        <v>-0.11390093027977549</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-9.0312708709711642E-3</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37096692.222800002</v>
      </c>
      <c r="AB1775" s="869">
        <f ca="1">Tab1SDataShiftSummary[[#This Row],[Summary0]]-Tab1SDataShiftSummary[[#This Row],[Summary20]]</f>
        <v>-1224153.4498919994</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20156.335000008345</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38" priority="22" operator="lessThan">
      <formula>0</formula>
    </cfRule>
    <cfRule type="cellIs" dxfId="2337" priority="23" operator="greaterThan">
      <formula>0</formula>
    </cfRule>
  </conditionalFormatting>
  <conditionalFormatting sqref="AC704:AC797">
    <cfRule type="top10" dxfId="2336" priority="2147" rank="20"/>
    <cfRule type="top10" dxfId="2335" priority="2148" rank="10"/>
    <cfRule type="top10" dxfId="2334" priority="2149" bottom="1" rank="30"/>
    <cfRule type="top10" dxfId="2333" priority="2150" bottom="1" rank="10"/>
  </conditionalFormatting>
  <conditionalFormatting sqref="AD704:AD797">
    <cfRule type="top10" dxfId="2332" priority="2159" rank="20"/>
    <cfRule type="top10" dxfId="2331" priority="2160" rank="10"/>
    <cfRule type="top10" dxfId="2330" priority="2161" bottom="1" rank="30"/>
    <cfRule type="top10" dxfId="2329" priority="2162" bottom="1" rank="10"/>
  </conditionalFormatting>
  <conditionalFormatting sqref="AE704:AE797">
    <cfRule type="top10" dxfId="2328" priority="2171" rank="20"/>
    <cfRule type="top10" dxfId="2327" priority="2172" rank="10"/>
    <cfRule type="top10" dxfId="2326" priority="2173" bottom="1" rank="30"/>
    <cfRule type="top10" dxfId="2325" priority="2174" bottom="1" rank="10"/>
  </conditionalFormatting>
  <conditionalFormatting sqref="AF704:AF797">
    <cfRule type="top10" dxfId="2324" priority="2183" rank="20"/>
    <cfRule type="top10" dxfId="2323" priority="2184" rank="10"/>
    <cfRule type="top10" dxfId="2322" priority="2185" bottom="1" rank="30"/>
    <cfRule type="top10" dxfId="2321" priority="2186" bottom="1" rank="10"/>
  </conditionalFormatting>
  <conditionalFormatting sqref="AG704:AG797">
    <cfRule type="top10" dxfId="2320" priority="2195" rank="20"/>
    <cfRule type="top10" dxfId="2319" priority="2196" rank="10"/>
    <cfRule type="top10" dxfId="2318" priority="2197" bottom="1" rank="30"/>
    <cfRule type="top10" dxfId="2317" priority="2198" bottom="1" rank="10"/>
  </conditionalFormatting>
  <conditionalFormatting sqref="AH704:AH797">
    <cfRule type="top10" dxfId="2316" priority="2207" rank="20"/>
    <cfRule type="top10" dxfId="2315" priority="2208" rank="10"/>
    <cfRule type="top10" dxfId="2314" priority="2209" bottom="1" rank="30"/>
    <cfRule type="top10" dxfId="2313" priority="2210" bottom="1" rank="10"/>
  </conditionalFormatting>
  <conditionalFormatting sqref="AI704:AI797">
    <cfRule type="top10" dxfId="2312" priority="2219" rank="20"/>
    <cfRule type="top10" dxfId="2311" priority="2220" rank="10"/>
    <cfRule type="top10" dxfId="2310" priority="2221" bottom="1" rank="30"/>
    <cfRule type="top10" dxfId="2309" priority="2222" bottom="1" rank="10"/>
  </conditionalFormatting>
  <conditionalFormatting sqref="AJ704:AJ797">
    <cfRule type="top10" dxfId="2308" priority="2231" rank="20"/>
    <cfRule type="top10" dxfId="2307" priority="2232" rank="10"/>
    <cfRule type="top10" dxfId="2306" priority="2233" bottom="1" rank="30"/>
    <cfRule type="top10" dxfId="2305" priority="2234" bottom="1" rank="10"/>
  </conditionalFormatting>
  <conditionalFormatting sqref="AK704:AK797">
    <cfRule type="top10" dxfId="2304" priority="2327" rank="20"/>
    <cfRule type="top10" dxfId="2303" priority="2328" rank="10"/>
    <cfRule type="top10" dxfId="2302" priority="2329" bottom="1" rank="30"/>
    <cfRule type="top10" dxfId="2301" priority="2330" bottom="1" rank="10"/>
  </conditionalFormatting>
  <conditionalFormatting sqref="AL704:AL797">
    <cfRule type="top10" dxfId="2300" priority="2351" rank="20"/>
    <cfRule type="top10" dxfId="2299" priority="2352" rank="10"/>
    <cfRule type="top10" dxfId="2298" priority="2353" bottom="1" rank="30"/>
    <cfRule type="top10" dxfId="22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abSelected="1" topLeftCell="A46" zoomScale="146" zoomScaleNormal="146" workbookViewId="0">
      <selection activeCell="B37" sqref="B37"/>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5" t="s">
        <v>660</v>
      </c>
      <c r="F2" s="927" t="s">
        <v>131</v>
      </c>
      <c r="H2" s="446" t="s">
        <v>1868</v>
      </c>
      <c r="I2" s="448" t="s">
        <v>1664</v>
      </c>
      <c r="S2" s="446">
        <v>300</v>
      </c>
      <c r="T2" s="446">
        <v>287.89</v>
      </c>
    </row>
    <row r="3" spans="1:20" ht="24" thickTop="1" thickBot="1" x14ac:dyDescent="0.35">
      <c r="A3" s="1346"/>
      <c r="B3" s="1347"/>
      <c r="C3" s="1348"/>
      <c r="D3" s="1349"/>
      <c r="E3" s="1350" t="s">
        <v>1868</v>
      </c>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51"/>
      <c r="B4" s="1033"/>
      <c r="C4" s="451"/>
      <c r="D4" s="1464"/>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51"/>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51"/>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51"/>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51"/>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51"/>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51"/>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51"/>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51"/>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51"/>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51"/>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51"/>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52"/>
      <c r="B16" s="1353"/>
      <c r="C16" s="1354"/>
      <c r="D16" s="1355"/>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-5028766.5045729969</v>
      </c>
      <c r="I40" s="811">
        <f ca="1">(H42-I42)*I38</f>
        <v>88220.854580489802</v>
      </c>
      <c r="J40" s="993" t="s">
        <v>1445</v>
      </c>
    </row>
    <row r="41" spans="1:14" x14ac:dyDescent="0.3">
      <c r="B41" s="454"/>
      <c r="C41" s="454"/>
      <c r="D41" s="814">
        <f>A43</f>
        <v>45684</v>
      </c>
      <c r="E41" s="810">
        <f>MAX(A43:A1003)</f>
        <v>45971</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-5028766.5045730006</v>
      </c>
      <c r="G42" s="906" t="s">
        <v>2321</v>
      </c>
      <c r="H42" s="1031" cm="1">
        <f t="array" aca="1" ref="H42" ca="1">SUM(_xlfn._xlws.FILTER(F43:F1000,F43:F1000&gt;0))</f>
        <v>14451165.705500001</v>
      </c>
      <c r="I42" s="1032" cm="1">
        <f t="array" aca="1" ref="I42" ca="1">SUM(_xlfn._xlws.FILTER(F43:F1000,F43:F1000&lt;0))</f>
        <v>-19479932.210072998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D654" s="464"/>
      <c r="E654" s="1034">
        <f ca="1">IFERROR(C654*D654*_xlfn.XLOOKUP(B654,TabCalc[Ticker],TabCalc[Scale]),0)</f>
        <v>0</v>
      </c>
      <c r="F654" s="1035" cm="1">
        <f t="array" aca="1" ref="F654" ca="1">IF(A654=A653,0,SUM(_xlfn._xlws.FILTER(E654:E663,A654:A663=A654)))</f>
        <v>0</v>
      </c>
      <c r="G654" s="1036">
        <f ca="1">IF(F654&lt;&gt;0,SUM($F$43:F654),0)</f>
        <v>0</v>
      </c>
      <c r="H654" s="1036" cm="1">
        <f t="array" aca="1" ref="H654" ca="1">IFERROR(IF(A654=A653,0,SUM(_xlfn._xlws.FILTER(E654:E663,(A654:A663=A654)*(E654:E663&gt;0)))),0)</f>
        <v>0</v>
      </c>
      <c r="I654" s="1036" cm="1">
        <f t="array" aca="1" ref="I654" ca="1">IFERROR(IF(A654=A653,0,SUM(_xlfn._xlws.FILTER(E654:E663,(A654:A663=A654)*(F654&lt;0)))),0)</f>
        <v>0</v>
      </c>
      <c r="J654" s="293" t="str">
        <f ca="1">IFERROR(_xlfn.XLOOKUP(B654,TabCalc[Ticker],TabCalc[Cur]),"")</f>
        <v/>
      </c>
      <c r="K654" s="1035" cm="1">
        <f t="array" aca="1" ref="K654" ca="1">IFERROR(IF($A654=$A653,0,SUM(_xlfn._xlws.FILTER($E654:$E664,($A654:$A664=$A654)*($J654:$J664=K$42)))),0)</f>
        <v>0</v>
      </c>
      <c r="L654" s="1035" cm="1">
        <f t="array" aca="1" ref="L654" ca="1">IFERROR(IF($A654=$A653,0,SUM(_xlfn._xlws.FILTER($E654:$E664,($A654:$A664=$A654)*($J654:$J664=L$42)))),0)</f>
        <v>0</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E655" s="1034">
        <f ca="1">IFERROR(C655*D655*_xlfn.XLOOKUP(B655,TabCalc[Ticker],TabCalc[Scale]),0)</f>
        <v>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5">
        <v>40544</v>
      </c>
      <c r="C4" s="1406">
        <v>5000</v>
      </c>
      <c r="D4" s="1407">
        <v>-107.46</v>
      </c>
      <c r="E4" s="1405">
        <v>40544</v>
      </c>
      <c r="F4" s="1406">
        <v>9000</v>
      </c>
      <c r="G4" s="1407">
        <v>-9.8365559999999999</v>
      </c>
      <c r="H4" s="1405">
        <v>40544</v>
      </c>
      <c r="I4" s="1406">
        <v>400000</v>
      </c>
      <c r="J4" s="1407">
        <v>-40.441576750000003</v>
      </c>
      <c r="K4" s="1405">
        <v>40544</v>
      </c>
      <c r="L4" s="1406">
        <v>8000</v>
      </c>
      <c r="M4" s="1407">
        <v>-132.55000000000001</v>
      </c>
      <c r="N4" s="1405">
        <v>40544</v>
      </c>
      <c r="O4" s="1406">
        <v>2448050</v>
      </c>
      <c r="P4" s="1407">
        <v>-1.1677472432195899</v>
      </c>
      <c r="Q4" s="1405">
        <v>40544</v>
      </c>
      <c r="R4" s="1406">
        <v>500</v>
      </c>
      <c r="S4" s="1407">
        <v>-896.1</v>
      </c>
      <c r="T4" s="1405">
        <v>40544</v>
      </c>
      <c r="U4" s="1406">
        <v>190</v>
      </c>
      <c r="V4" s="1407">
        <v>-109.65132</v>
      </c>
      <c r="W4" s="1405">
        <v>40544</v>
      </c>
      <c r="X4" s="1406">
        <v>5000</v>
      </c>
      <c r="Y4" s="1407">
        <v>-54.11</v>
      </c>
      <c r="Z4" s="1405">
        <v>40544</v>
      </c>
      <c r="AA4" s="1406">
        <v>10000</v>
      </c>
      <c r="AB4" s="1407">
        <v>-2.69</v>
      </c>
      <c r="AC4" s="1405">
        <v>40544</v>
      </c>
      <c r="AD4" s="1406">
        <v>12500</v>
      </c>
      <c r="AE4" s="1407">
        <v>-12.7196</v>
      </c>
      <c r="AF4" s="1405">
        <v>40544</v>
      </c>
      <c r="AG4" s="1406">
        <v>100</v>
      </c>
      <c r="AH4" s="1407">
        <v>-49.07</v>
      </c>
      <c r="AI4" s="1405">
        <v>40544</v>
      </c>
      <c r="AJ4" s="1406">
        <v>5000</v>
      </c>
      <c r="AK4" s="1407">
        <v>-39.770000000000003</v>
      </c>
      <c r="AL4" s="1405">
        <v>40544</v>
      </c>
      <c r="AM4" s="1406">
        <v>2000</v>
      </c>
      <c r="AN4" s="1407">
        <v>-108.31</v>
      </c>
      <c r="AO4" s="1405">
        <v>40544</v>
      </c>
      <c r="AP4" s="1406">
        <v>40000</v>
      </c>
      <c r="AQ4" s="1407">
        <v>-10.359875000000001</v>
      </c>
      <c r="AR4" s="1405">
        <v>40544</v>
      </c>
      <c r="AS4" s="1406">
        <v>350</v>
      </c>
      <c r="AT4" s="1407">
        <v>-170.71425714285715</v>
      </c>
      <c r="AU4" s="1405">
        <v>40544</v>
      </c>
      <c r="AV4" s="1406">
        <v>250</v>
      </c>
      <c r="AW4" s="1407">
        <v>-1</v>
      </c>
      <c r="AX4" s="1405">
        <v>40544</v>
      </c>
      <c r="AY4" s="1406">
        <v>1000</v>
      </c>
      <c r="AZ4" s="1407">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c r="JY21" s="122"/>
      <c r="JZ21" s="162"/>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c r="BT54" s="777"/>
      <c r="BU54" s="778"/>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50</v>
      </c>
      <c r="BT72" s="154">
        <f>COUNT(TabReg[IAG1])</f>
        <v>50</v>
      </c>
      <c r="BU72" s="154">
        <f>COUNT(TabReg[IAG2])</f>
        <v>50</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45971</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45968</v>
      </c>
      <c r="BT74" s="562">
        <f>SUMIF(INDEX(TabReg[], 0, COLUMN()+1),"&lt;0", INDEX(TabReg[], 0, COLUMN()))-SUMIF(INDEX(TabReg[], 0, COLUMN()+1),"&gt;0", INDEX(TabReg[], 0, COLUMN()))</f>
        <v>110000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45936</v>
      </c>
      <c r="JY74" s="562">
        <f>SUMIF(INDEX(TabReg[], 0, COLUMN()+1),"&lt;0", INDEX(TabReg[], 0, COLUMN()))-SUMIF(INDEX(TabReg[], 0, COLUMN()+1),"&gt;0", INDEX(TabReg[], 0, COLUMN()))</f>
        <v>18000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82" t="s">
        <v>2193</v>
      </c>
      <c r="Q1" s="1483"/>
      <c r="R1" s="1483"/>
      <c r="S1" s="1484"/>
      <c r="T1" s="784" t="s">
        <v>183</v>
      </c>
      <c r="U1" s="696" t="s">
        <v>2638</v>
      </c>
      <c r="V1" s="774" t="s">
        <v>2078</v>
      </c>
      <c r="W1" s="707" t="s">
        <v>2087</v>
      </c>
      <c r="X1" s="1332" t="s">
        <v>2083</v>
      </c>
      <c r="Y1" s="783" t="s">
        <v>682</v>
      </c>
      <c r="Z1" s="834" t="s">
        <v>2235</v>
      </c>
      <c r="AA1" s="1011" t="s">
        <v>2475</v>
      </c>
      <c r="AB1" s="826" t="s">
        <v>2281</v>
      </c>
      <c r="AC1" s="709" t="s">
        <v>1889</v>
      </c>
      <c r="AD1" s="1485" t="s">
        <v>2570</v>
      </c>
      <c r="AE1" s="1486"/>
      <c r="AF1" s="1486"/>
      <c r="AG1" s="1486"/>
      <c r="AH1" s="1169"/>
      <c r="AI1" s="1169"/>
      <c r="AJ1" s="1169"/>
      <c r="AK1" s="1487" t="s">
        <v>2532</v>
      </c>
      <c r="AL1" s="1487"/>
      <c r="AM1" s="947"/>
      <c r="AN1" s="947"/>
      <c r="AO1" s="1488" t="s">
        <v>2323</v>
      </c>
      <c r="AP1" s="1489"/>
      <c r="AQ1" s="1490" t="s">
        <v>2229</v>
      </c>
      <c r="AR1" s="1490"/>
      <c r="AS1" s="800" t="s">
        <v>2227</v>
      </c>
      <c r="AT1" s="1491" t="s">
        <v>2511</v>
      </c>
      <c r="AU1" s="1492"/>
      <c r="AV1" s="1492"/>
      <c r="AW1" s="1479" t="s">
        <v>2194</v>
      </c>
      <c r="AX1" s="1480"/>
      <c r="AY1" s="1480"/>
      <c r="AZ1" s="1481"/>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43"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+4,778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21,513$</v>
      </c>
      <c r="G3" s="225" t="str">
        <f ca="1">IFERROR(TRUNC(_xlfn.XLOOKUP(TabTRADER[[#This Row],[ClickTick]],TabCalc[Ticker],ListLastSalep),2)&amp;"x"&amp;_xlfn.XLOOKUP(TabTRADER[[#This Row],[ClickTick]],TabCalc[Ticker],ListLastSalen)&amp;"=   "&amp;TEXT(-_xlfn.XLOOKUP(TabTRADER[[#This Row],[ClickTick]],TabCalc[Ticker],ListReverseB),"#,#0")&amp;"$","")</f>
        <v>270.04x500=   1,185$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3" s="226" t="str">
        <f ca="1">IFERROR(TRUNC(TabCalc[[#This Row],[L_S1p]],2)&amp;"x"&amp;TabCalc[[#This Row],[L_S1n]]&amp;"=   "&amp;TEXT(TabCalc[[#This Row],[ReverseB1]],"#,#0"),"")</f>
        <v>263.58x500=   -4,415</v>
      </c>
      <c r="J3" s="295">
        <f ca="1">_xlfn.XLOOKUP(TabTRADER[[#This Row],[ClickTick]],TabCalc[Ticker],ListGravity)</f>
        <v>1.0147607283139384</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1225845</v>
      </c>
      <c r="M3" s="323">
        <f ca="1">_xlfn.XLOOKUP(TabTRADER[[#This Row],[ClickTick]],TabCalc[Ticker],TabCalc[Agiotage])</f>
        <v>1.663350115283337E-3</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9.6129084178335808E-2</v>
      </c>
      <c r="S3" s="683">
        <f ca="1">_xlfn.XLOOKUP(TabTRADER[[#This Row],[ClickTick]],TabCalc[Ticker],TabCalc[Rev(MinStock)])*(1-Commission)</f>
        <v>4765.5772000000024</v>
      </c>
      <c r="T3" s="782">
        <f ca="1">_xlfn.XLOOKUP(TabTRADER[[#This Row],[ClickTick]],TabCalc[Ticker],TabCalc[Agiotage])</f>
        <v>1.663350115283337E-3</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12,920/12,920=&gt;-0.7% / -0.2%</v>
      </c>
      <c r="V3" s="739" t="str">
        <f ca="1">_xlfn.XLOOKUP(TabTRADER[[#This Row],[ClickTick]],[1]!RTData[Ticker_Symbol],[1]!RTData[Currency])</f>
        <v>USD</v>
      </c>
      <c r="W3" s="749">
        <f ca="1">_xlfn.XLOOKUP(TabTRADER[[#This Row],[ClickTick]],TabCalc[Ticker],TabCalc[M])</f>
        <v>272.41000000000003</v>
      </c>
      <c r="X3" s="1343"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^1,175/2,588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1181.9190000000021</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572225.72478600033</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0.28483952316399763</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6.1001211409272942E-3</v>
      </c>
      <c r="AL3" s="825" cm="1">
        <f t="array" aca="1" ref="AL3" ca="1">_xlfn.IFS(   TabTRADER[[#This Row],[Traps]]=SellMorePercentGain,                     MIN(TabTRADER[[#This Row],[L_Sn]],TabTRADER[[#This Row],[N]])*(TabTRADER[[#This Row],[M]]-TabTRADER[[#This Row],[L_Sp]])*(1-Commission)*TabTRADER[[#This Row],[Scale]],                    TRUE,"")</f>
        <v>1181.9190000000021</v>
      </c>
      <c r="AM3" s="1175">
        <f ca="1">_xlfn.XLOOKUP(TabTRADER[[#This Row],[ClickTick]],TabCalc[Ticker],TabCalc[Ann%RevLB])</f>
        <v>0.98875629440573976</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0.28223952316399764</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735218.2273762176</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200x60.39</v>
      </c>
      <c r="AU3" s="765" cm="1">
        <f t="array" aca="1" ref="AU3" ca="1">_xlfn.IFS(TabTRADER[[#This Row],[Traps]]=ReSaleGain,"",         TabTRADER[[#This Row],[Traps]]=MDown, (TabTRADER[[#This Row],[M]]-TabTRADER[[#This Row],[A]])/TabTRADER[[#This Row],[A]]*ComFactor,             TRUE, IFERROR((TabTRADER[[#This Row],[M]]-TabTRADER[[#This Row],[A]])/TabTRADER[[#This Row],[A]]*ComFactor,""))</f>
        <v>0.28409894040377121</v>
      </c>
      <c r="AV3" s="762" cm="1">
        <f t="array" aca="1" ref="AV3" ca="1">_xlfn.IFS(               TabTRADER[[#This Row],[Traps]]=NoStock,(TabTRADER[[#This Row],[L_Sp]]-TabTRADER[[#This Row],[M]])/TabTRADER[[#This Row],[M]]-Commission,             TabTRADER[[#This Row],[A]]&lt;&gt;0,(TabTRADER[[#This Row],[A]]-TabTRADER[[#This Row],[M]])/TabTRADER[[#This Row],[M]]-Commission)</f>
        <v>-0.22429268459500881</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-8.7764775588801813E-3</v>
      </c>
      <c r="AZ3" s="729">
        <f ca="1">TabTRADER[[#This Row],[L_Sn]]*(TabTRADER[[#This Row],[M]]-TabTRADER[[#This Row],[L_Sp]])*(1-Commission)*TabTRADER[[#This Row],[Scale]]</f>
        <v>1181.9190000000021</v>
      </c>
      <c r="BA3" s="692">
        <f ca="1">TabTRADER[[#This Row],[L_Sn]]*(TabTRADER[[#This Row],[Agiotage]]-TabTRADER[[#This Row],[M]])/(TabTRADER[[#This Row],[L_Bn]]*TabTRADER[[#This Row],[M]])</f>
        <v>-2.4999847348655035</v>
      </c>
      <c r="BB3" s="635">
        <f ca="1">IFERROR((TabTRADER[[#This Row],[M]]-TabTRADER[[#This Row],[A]])/TabTRADER[[#This Row],[A]],0)</f>
        <v>0.28483952316399763</v>
      </c>
      <c r="BC3" s="638" t="str">
        <f ca="1">TEXT(_xlfn.XLOOKUP(TabTRADER[[#This Row],[ClickTick]],TabCalc[Ticker],TabCalc[NAfter]),"#,#0")&amp;" : "&amp;TEXT(_xlfn.XLOOKUP(TabTRADER[[#This Row],[ClickTick]],TabCalc[Ticker],TabCalc[NAfter])*(TabTRADER[[#This Row],[M]]-TabTRADER[[#This Row],[A]])*(1-Commission)*TabTRADER[[#This Row],[Scale]],"#,#0$")</f>
        <v>9,500 : 572,226$</v>
      </c>
      <c r="BD3" s="684">
        <f ca="1">_xlfn.XLOOKUP(TabTRADER[[#This Row],[ClickTick]],TabCalc[[#This Row],[Ticker]],TabCalc[[#This Row],[GL]])*(1-Commission)</f>
        <v>1171952.8545250006</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8.700121140927294E-3</v>
      </c>
      <c r="BJ3" s="679">
        <f ca="1">TabTRADER[[#This Row],[L_Sn]]*TabTRADER[[#This Row],[L_Sp]]+TabTRADER[[#This Row],[SellMore]]*TabTRADER[[#This Row],[M]]</f>
        <v>189502</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270.71714285714285</v>
      </c>
      <c r="BN3" s="687">
        <f ca="1">((_xlfn.XLOOKUP(TabTRADER[[#This Row],[ClickTick]],TabCalc[Ticker],TabCalc[NAfter])+TabTRADER[[#This Row],[L_Sn]])*(TabTRADER[[#This Row],[Agiotage]]-TabTRADER[[#This Row],[M]]))/(TabTRADER[[#This Row],[L_Sn]]*_xlfn.XLOOKUP(TabTRADER[[#This Row],[ClickTick]],TabCalc[Ticker],TabCalc[NAfter]))</f>
        <v>-0.57349123505238897</v>
      </c>
      <c r="BO3" s="687">
        <f ca="1">(TabTRADER[[#This Row],[M]]-TabTRADER[[#This Row],[Agiotage]])/(TabTRADER[[#This Row],[M]]-TabTRADER[[#This Row],[A]])-1</f>
        <v>3.5107212074814456</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-264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-10.8%</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-448$</v>
      </c>
      <c r="G4" s="225" t="str">
        <f ca="1">IFERROR(TRUNC(_xlfn.XLOOKUP(TabTRADER[[#This Row],[ClickTick]],TabCalc[Ticker],ListLastSalep),2)&amp;"x"&amp;_xlfn.XLOOKUP(TabTRADER[[#This Row],[ClickTick]],TabCalc[Ticker],ListLastSalen)&amp;"=   "&amp;TEXT(-_xlfn.XLOOKUP(TabTRADER[[#This Row],[ClickTick]],TabCalc[Ticker],ListReverseB),"#,#0")&amp;"$","")</f>
        <v>16.86x1000=   -4,000$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31.1% = 1,250</v>
      </c>
      <c r="I4" s="226" t="str">
        <f ca="1">IFERROR(TRUNC(TabCalc[[#This Row],[L_S1p]],2)&amp;"x"&amp;TabCalc[[#This Row],[L_S1n]]&amp;"=   "&amp;TEXT(TabCalc[[#This Row],[ReverseB1]],"#,#0"),"")</f>
        <v>16.67x2990=   11,392</v>
      </c>
      <c r="J4" s="295">
        <f ca="1">_xlfn.XLOOKUP(TabTRADER[[#This Row],[ClickTick]],TabCalc[Ticker],ListGravity)</f>
        <v>1.6070505443234837</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1.1948287810356775E-6</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-9.7543859649122849E-2</v>
      </c>
      <c r="S4" s="683">
        <f ca="1">_xlfn.XLOOKUP(TabTRADER[[#This Row],[ClickTick]],TabCalc[Ticker],TabCalc[Rev(MinStock)])*(1-Commission)</f>
        <v>-263.41334000000012</v>
      </c>
      <c r="T4" s="782">
        <f ca="1">_xlfn.XLOOKUP(TabTRADER[[#This Row],[ClickTick]],TabCalc[Ticker],TabCalc[Agiotage])</f>
        <v>1.1948287810356775E-6</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-500/-500=&gt;0.3% / -2.1%</v>
      </c>
      <c r="V4" s="739" t="str">
        <f ca="1">_xlfn.XLOOKUP(TabTRADER[[#This Row],[ClickTick]],[1]!RTData[Ticker_Symbol],[1]!RTData[Currency])</f>
        <v>USD</v>
      </c>
      <c r="W4" s="749">
        <f ca="1">_xlfn.XLOOKUP(TabTRADER[[#This Row],[ClickTick]],TabCalc[Ticker],TabCalc[M])</f>
        <v>12.86</v>
      </c>
      <c r="X4" s="1343"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^35/64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0.23724792408066431</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-0.28549422336328639</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-1071.1078599999964</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-1.6384334726855774E-2</v>
      </c>
      <c r="AV4" s="762" cm="1">
        <f t="array" aca="1" ref="AV4" ca="1">_xlfn.IFS(               TabTRADER[[#This Row],[Traps]]=NoStock,(TabTRADER[[#This Row],[L_Sp]]-TabTRADER[[#This Row],[M]])/TabTRADER[[#This Row],[M]]-Commission,             TabTRADER[[#This Row],[A]]&lt;&gt;0,(TabTRADER[[#This Row],[A]]-TabTRADER[[#This Row],[M]])/TabTRADER[[#This Row],[M]]-Commission)</f>
        <v>1.4101399688957955E-2</v>
      </c>
      <c r="AW4" s="324">
        <f ca="1">_xlfn.XLOOKUP(TabTRADER[[#This Row],[ClickTick]],TabCalc[Ticker],TabCalc[L_Sn])</f>
        <v>1000</v>
      </c>
      <c r="AX4" s="728">
        <f ca="1">_xlfn.XLOOKUP(TabTRADER[[#This Row],[ClickTick]],TabCalc[Ticker],TabCalc[L_Sp])</f>
        <v>16.86</v>
      </c>
      <c r="AY4" s="764">
        <f ca="1">-IFERROR((TabTRADER[[#This Row],[M]]-TabTRADER[[#This Row],[L_Sp]])/TabTRADER[[#This Row],[L_Sp]],0)</f>
        <v>0.23724792408066431</v>
      </c>
      <c r="AZ4" s="729">
        <f ca="1">TabTRADER[[#This Row],[L_Sn]]*(TabTRADER[[#This Row],[M]]-TabTRADER[[#This Row],[L_Sp]])*(1-Commission)*TabTRADER[[#This Row],[Scale]]</f>
        <v>-3989.6</v>
      </c>
      <c r="BA4" s="692">
        <f ca="1">TabTRADER[[#This Row],[L_Sn]]*(TabTRADER[[#This Row],[Agiotage]]-TabTRADER[[#This Row],[M]])/(TabTRADER[[#This Row],[L_Bn]]*TabTRADER[[#This Row],[M]])</f>
        <v>-5.2631574057343116</v>
      </c>
      <c r="BB4" s="635">
        <f ca="1">IFERROR((TabTRADER[[#This Row],[M]]-TabTRADER[[#This Row],[A]])/TabTRADER[[#This Row],[A]],0)</f>
        <v>-1.6427045043970096E-2</v>
      </c>
      <c r="BC4" s="638" t="str">
        <f ca="1">TEXT(_xlfn.XLOOKUP(TabTRADER[[#This Row],[ClickTick]],TabCalc[Ticker],TabCalc[NAfter]),"#,#0")&amp;" : "&amp;TEXT(_xlfn.XLOOKUP(TabTRADER[[#This Row],[ClickTick]],TabCalc[Ticker],TabCalc[NAfter])*(TabTRADER[[#This Row],[M]]-TabTRADER[[#This Row],[A]])*(1-Commission)*TabTRADER[[#This Row],[Scale]],"#,#0$")</f>
        <v>5,000 : -1,071$</v>
      </c>
      <c r="BD4" s="684">
        <f ca="1">_xlfn.XLOOKUP(TabTRADER[[#This Row],[ClickTick]],TabCalc[[#This Row],[Ticker]],TabCalc[[#This Row],[GL]])*(1-Commission)</f>
        <v>34625.833135046807</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AMY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t="e">
        <f ca="1">TabTRADER[[#This Row],[L_Sn]]*TabTRADER[[#This Row],[L_Sp]]+TabTRADER[[#This Row],[SellMore]]*TabTRADER[[#This Row],[M]]</f>
        <v>#N/A</v>
      </c>
      <c r="BK4" s="679" t="e">
        <f ca="1">INDEX(
  INDEX(TabConsolid[], , _xlfn.XMATCH(TabTRADER[[#This Row],[ClickTick]]&amp;1, TabConsolid[#Headers])),
  MATCH(
    -TabTRADER[[#This Row],[M]],
    INDEX(TabConsolid[], , _xlfn.XMATCH(TabTRADER[[#This Row],[ClickTick]]&amp;2, TabConsolid[#Headers])),
    -1
  )
)</f>
        <v>#N/A</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156" t="e">
        <f ca="1">TabTRADER[[#This Row],[ReBuy]]/(TabTRADER[[#This Row],[L_Sn]]+TabTRADER[[#This Row],[SellMore]])</f>
        <v>#N/A</v>
      </c>
      <c r="BN4" s="687">
        <f ca="1">((_xlfn.XLOOKUP(TabTRADER[[#This Row],[ClickTick]],TabCalc[Ticker],TabCalc[NAfter])+TabTRADER[[#This Row],[L_Sn]])*(TabTRADER[[#This Row],[Agiotage]]-TabTRADER[[#This Row],[M]]))/(TabTRADER[[#This Row],[L_Sn]]*_xlfn.XLOOKUP(TabTRADER[[#This Row],[ClickTick]],TabCalc[Ticker],TabCalc[NAfter]))</f>
        <v>-1.5431998566205462E-2</v>
      </c>
      <c r="BO4" s="687">
        <f ca="1">(TabTRADER[[#This Row],[M]]-TabTRADER[[#This Row],[Agiotage]])/(TabTRADER[[#This Row],[M]]-TabTRADER[[#This Row],[A]])-1</f>
        <v>-60.875215593496875</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20$</v>
      </c>
      <c r="G5" s="225" t="str">
        <f ca="1">IFERROR(TRUNC(_xlfn.XLOOKUP(TabTRADER[[#This Row],[ClickTick]],TabCalc[Ticker],ListLastSalep),2)&amp;"x"&amp;_xlfn.XLOOKUP(TabTRADER[[#This Row],[ClickTick]],TabCalc[Ticker],ListLastSalen)&amp;"=   "&amp;TEXT(-_xlfn.XLOOKUP(TabTRADER[[#This Row],[ClickTick]],TabCalc[Ticker],ListReverseB),"#,#0")&amp;"$","")</f>
        <v>52.01x20000=   -1,202$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13.1% = 832</v>
      </c>
      <c r="I5" s="226" t="str">
        <f ca="1">IFERROR(TRUNC(TabCalc[[#This Row],[L_S1p]],2)&amp;"x"&amp;TabCalc[[#This Row],[L_S1n]]&amp;"=   "&amp;TEXT(TabCalc[[#This Row],[ReverseB1]],"#,#0"),"")</f>
        <v>53.62x90000=   6,858</v>
      </c>
      <c r="J5" s="295">
        <f ca="1">_xlfn.XLOOKUP(TabTRADER[[#This Row],[ClickTick]],TabCalc[Ticker],ListGravity)</f>
        <v>2.1013043478260869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193200</v>
      </c>
      <c r="M5" s="323">
        <f ca="1">_xlfn.XLOOKUP(TabTRADER[[#This Row],[ClickTick]],TabCalc[Ticker],TabCalc[Agiotage])</f>
        <v>0.17172375690607736</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8.7719298245613718E-3</v>
      </c>
      <c r="S5" s="683">
        <f ca="1">_xlfn.XLOOKUP(TabTRADER[[#This Row],[ClickTick]],TabCalc[Ticker],TabCalc[Rev(MinStock)])*(1-Commission)</f>
        <v>39.895999999999859</v>
      </c>
      <c r="T5" s="782">
        <f ca="1">_xlfn.XLOOKUP(TabTRADER[[#This Row],[ClickTick]],TabCalc[Ticker],TabCalc[Agiotage])</f>
        <v>0.17172375690607736</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-8,200/-8,200=&gt;0.7% / 1.8%</v>
      </c>
      <c r="V5" s="739" t="str">
        <f ca="1">_xlfn.XLOOKUP(TabTRADER[[#This Row],[ClickTick]],[1]!RTData[Ticker_Symbol],[1]!RTData[Currency])</f>
        <v>GBp</v>
      </c>
      <c r="W5" s="1068">
        <f ca="1">_xlfn.XLOOKUP(TabTRADER[[#This Row],[ClickTick]],TabCalc[Ticker],TabCalc[M])</f>
        <v>46</v>
      </c>
      <c r="X5" s="1343"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^34/377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39.895999999999859</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39.895999999999859</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8.7719298245613718E-3</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8.5348506401137669E-2</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-24734.07431310942</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6.7770171810710531E-2</v>
      </c>
      <c r="AW5" s="324">
        <f ca="1">_xlfn.XLOOKUP(TabTRADER[[#This Row],[ClickTick]],TabCalc[Ticker],TabCalc[L_Sn])</f>
        <v>20000</v>
      </c>
      <c r="AX5" s="728">
        <f ca="1">_xlfn.XLOOKUP(TabTRADER[[#This Row],[ClickTick]],TabCalc[Ticker],TabCalc[L_Sp])</f>
        <v>52.01</v>
      </c>
      <c r="AY5" s="764">
        <f ca="1">-IFERROR((TabTRADER[[#This Row],[M]]-TabTRADER[[#This Row],[L_Sp]])/TabTRADER[[#This Row],[L_Sp]],0)</f>
        <v>0.11555470101903477</v>
      </c>
      <c r="AZ5" s="729">
        <f ca="1">TabTRADER[[#This Row],[L_Sn]]*(TabTRADER[[#This Row],[M]]-TabTRADER[[#This Row],[L_Sp]])*(1-Commission)*TabTRADER[[#This Row],[Scale]]</f>
        <v>-1198.8747999999996</v>
      </c>
      <c r="BA5" s="692">
        <f ca="1">TabTRADER[[#This Row],[L_Sn]]*(TabTRADER[[#This Row],[Agiotage]]-TabTRADER[[#This Row],[M]])/(TabTRADER[[#This Row],[L_Bn]]*TabTRADER[[#This Row],[M]])</f>
        <v>-1.9925337496997357</v>
      </c>
      <c r="BB5" s="635">
        <f ca="1">IFERROR((TabTRADER[[#This Row],[M]]-TabTRADER[[#This Row],[A]])/TabTRADER[[#This Row],[A]],0)</f>
        <v>-6.5743771326949058E-2</v>
      </c>
      <c r="BC5" s="638" t="str">
        <f ca="1">TEXT(_xlfn.XLOOKUP(TabTRADER[[#This Row],[ClickTick]],TabCalc[Ticker],TabCalc[NAfter]),"#,#0")&amp;" : "&amp;TEXT(_xlfn.XLOOKUP(TabTRADER[[#This Row],[ClickTick]],TabCalc[Ticker],TabCalc[NAfter])*(TabTRADER[[#This Row],[M]]-TabTRADER[[#This Row],[A]])*(1-Commission)*TabTRADER[[#This Row],[Scale]],"#,#0$")</f>
        <v>820,000 : -26,475$</v>
      </c>
      <c r="BD5" s="684">
        <f ca="1">_xlfn.XLOOKUP(TabTRADER[[#This Row],[ClickTick]],TabCalc[[#This Row],[Ticker]],TabCalc[[#This Row],[GL]])*(1-Commission)</f>
        <v>34349.422886098189</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-2.3473019539145667E-3</v>
      </c>
      <c r="BO5" s="687">
        <f ca="1">(TabTRADER[[#This Row],[M]]-TabTRADER[[#This Row],[Agiotage]])/(TabTRADER[[#This Row],[M]]-TabTRADER[[#This Row],[A]])-1</f>
        <v>-15.157516589979867</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+39,340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254/12,000=59,657</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10,855$</v>
      </c>
      <c r="G6" s="225" t="str">
        <f ca="1">IFERROR(TRUNC(_xlfn.XLOOKUP(TabTRADER[[#This Row],[ClickTick]],TabCalc[Ticker],ListLastSalep),2)&amp;"x"&amp;_xlfn.XLOOKUP(TabTRADER[[#This Row],[ClickTick]],TabCalc[Ticker],ListLastSalen)&amp;"=   "&amp;TEXT(-_xlfn.XLOOKUP(TabTRADER[[#This Row],[ClickTick]],TabCalc[Ticker],ListReverseB),"#,#0")&amp;"$","")</f>
        <v>221.51x200=   2,635$</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6" s="226" t="str">
        <f ca="1">IFERROR(TRUNC(TabCalc[[#This Row],[L_S1p]],2)&amp;"x"&amp;TabCalc[[#This Row],[L_S1n]]&amp;"=   "&amp;TEXT(TabCalc[[#This Row],[ReverseB1]],"#,#0"),"")</f>
        <v>234.24x500=   -225</v>
      </c>
      <c r="J6" s="295">
        <f ca="1">_xlfn.XLOOKUP(TabTRADER[[#This Row],[ClickTick]],TabCalc[Ticker],ListGravity)</f>
        <v>1.2289577740849631</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938760</v>
      </c>
      <c r="M6" s="323">
        <f ca="1">_xlfn.XLOOKUP(TabTRADER[[#This Row],[ClickTick]],TabCalc[Ticker],TabCalc[Agiotage])</f>
        <v>2.7120209366645639E-3</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9.1479862338387063E-2</v>
      </c>
      <c r="S6" s="683">
        <f ca="1">_xlfn.XLOOKUP(TabTRADER[[#This Row],[ClickTick]],TabCalc[Ticker],TabCalc[Rev(MinStock)])*(1-Commission)</f>
        <v>39237.715999999979</v>
      </c>
      <c r="T6" s="782">
        <f ca="1">_xlfn.XLOOKUP(TabTRADER[[#This Row],[ClickTick]],TabCalc[Ticker],TabCalc[Agiotage])</f>
        <v>2.7120209366645639E-3</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-4,440/-4,440=&gt;0.6% / -1.2%</v>
      </c>
      <c r="V6" s="739" t="str">
        <f ca="1">_xlfn.XLOOKUP(TabTRADER[[#This Row],[ClickTick]],[1]!RTData[Ticker_Symbol],[1]!RTData[Currency])</f>
        <v>USD</v>
      </c>
      <c r="W6" s="708">
        <f ca="1">_xlfn.XLOOKUP(TabTRADER[[#This Row],[ClickTick]],TabCalc[Ticker],TabCalc[M])</f>
        <v>234.69</v>
      </c>
      <c r="X6" s="1343"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^854/2,816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2628.1490000000022</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377393.43922799983</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0.15520603327750412</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5.3537884017214252E-2</v>
      </c>
      <c r="AL6" s="825" cm="1">
        <f t="array" aca="1" ref="AL6" ca="1">_xlfn.IFS(   TabTRADER[[#This Row],[Traps]]=SellMorePercentGain,                     MIN(TabTRADER[[#This Row],[L_Sn]],TabTRADER[[#This Row],[N]])*(TabTRADER[[#This Row],[M]]-TabTRADER[[#This Row],[L_Sp]])*(1-Commission)*TabTRADER[[#This Row],[Scale]],                    TRUE,"")</f>
        <v>2628.1490000000022</v>
      </c>
      <c r="AM6" s="1175">
        <f ca="1">_xlfn.XLOOKUP(TabTRADER[[#This Row],[ClickTick]],TabCalc[Ticker],TabCalc[Ann%RevLB])</f>
        <v>0.30493287446129019</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0.15260603327750413</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435967.17791553249</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2,000x31.53</v>
      </c>
      <c r="AU6" s="765" cm="1">
        <f t="array" aca="1" ref="AU6" ca="1">_xlfn.IFS(TabTRADER[[#This Row],[Traps]]=ReSaleGain,"",         TabTRADER[[#This Row],[Traps]]=MDown, (TabTRADER[[#This Row],[M]]-TabTRADER[[#This Row],[A]])/TabTRADER[[#This Row],[A]]*ComFactor,             TRUE, IFERROR((TabTRADER[[#This Row],[M]]-TabTRADER[[#This Row],[A]])/TabTRADER[[#This Row],[A]]*ComFactor,""))</f>
        <v>0.15480249759098261</v>
      </c>
      <c r="AV6" s="762" cm="1">
        <f t="array" aca="1" ref="AV6" ca="1">_xlfn.IFS(               TabTRADER[[#This Row],[Traps]]=NoStock,(TabTRADER[[#This Row],[L_Sp]]-TabTRADER[[#This Row],[M]])/TabTRADER[[#This Row],[M]]-Commission,             TabTRADER[[#This Row],[A]]&lt;&gt;0,(TabTRADER[[#This Row],[A]]-TabTRADER[[#This Row],[M]])/TabTRADER[[#This Row],[M]]-Commission)</f>
        <v>-0.13695355149345939</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-5.9476784867841963E-2</v>
      </c>
      <c r="AZ6" s="729">
        <f ca="1">TabTRADER[[#This Row],[L_Sn]]*(TabTRADER[[#This Row],[M]]-TabTRADER[[#This Row],[L_Sp]])*(1-Commission)*TabTRADER[[#This Row],[Scale]]</f>
        <v>2628.1490000000022</v>
      </c>
      <c r="BA6" s="692">
        <f ca="1">TabTRADER[[#This Row],[L_Sn]]*(TabTRADER[[#This Row],[Agiotage]]-TabTRADER[[#This Row],[M]])/(TabTRADER[[#This Row],[L_Bn]]*TabTRADER[[#This Row],[M]])</f>
        <v>-9.9998844424160946E-2</v>
      </c>
      <c r="BB6" s="635">
        <f ca="1">IFERROR((TabTRADER[[#This Row],[M]]-TabTRADER[[#This Row],[A]])/TabTRADER[[#This Row],[A]],0)</f>
        <v>0.15520603327750412</v>
      </c>
      <c r="BC6" s="638" t="str">
        <f ca="1">TEXT(_xlfn.XLOOKUP(TabTRADER[[#This Row],[ClickTick]],TabCalc[Ticker],TabCalc[NAfter]),"#,#0")&amp;" : "&amp;TEXT(_xlfn.XLOOKUP(TabTRADER[[#This Row],[ClickTick]],TabCalc[Ticker],TabCalc[NAfter])*(TabTRADER[[#This Row],[M]]-TabTRADER[[#This Row],[A]])*(1-Commission)*TabTRADER[[#This Row],[Scale]],"#,#0$")</f>
        <v>12,000 : 377,393$</v>
      </c>
      <c r="BD6" s="684">
        <f ca="1">_xlfn.XLOOKUP(TabTRADER[[#This Row],[ClickTick]],TabCalc[[#This Row],[Ticker]],TabCalc[[#This Row],[GL]])*(1-Commission)</f>
        <v>851695.59897199995</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5.613788401721425E-2</v>
      </c>
      <c r="BJ6" s="679">
        <f ca="1">TabTRADER[[#This Row],[L_Sn]]*TabTRADER[[#This Row],[L_Sp]]+TabTRADER[[#This Row],[SellMore]]*TabTRADER[[#This Row],[M]]</f>
        <v>102975.5</v>
      </c>
      <c r="BK6" s="679">
        <f ca="1">INDEX(
  INDEX(TabConsolid[], , _xlfn.XMATCH(TabTRADER[[#This Row],[ClickTick]]&amp;1, TabConsolid[#Headers])),
  MATCH(
    -TabTRADER[[#This Row],[M]],
    INDEX(TabConsolid[], , _xlfn.XMATCH(TabTRADER[[#This Row],[ClickTick]]&amp;2, TabConsolid[#Headers])),
    -1
  )
)</f>
        <v>250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 s="1156">
        <f ca="1">TabTRADER[[#This Row],[ReBuy]]/(TabTRADER[[#This Row],[L_Sn]]+TabTRADER[[#This Row],[SellMore]])</f>
        <v>228.83444444444444</v>
      </c>
      <c r="BN6" s="687">
        <f ca="1">((_xlfn.XLOOKUP(TabTRADER[[#This Row],[ClickTick]],TabCalc[Ticker],TabCalc[NAfter])+TabTRADER[[#This Row],[L_Sn]])*(TabTRADER[[#This Row],[Agiotage]]-TabTRADER[[#This Row],[M]]))/(TabTRADER[[#This Row],[L_Sn]]*_xlfn.XLOOKUP(TabTRADER[[#This Row],[ClickTick]],TabCalc[Ticker],TabCalc[NAfter]))</f>
        <v>-1.192993713893572</v>
      </c>
      <c r="BO6" s="687">
        <f ca="1">(TabTRADER[[#This Row],[M]]-TabTRADER[[#This Row],[Agiotage]])/(TabTRADER[[#This Row],[M]]-TabTRADER[[#This Row],[A]])-1</f>
        <v>6.4429624905768934</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-3,630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-7,680$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2.2286773255813959</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56381.599999999999</v>
      </c>
      <c r="M7" s="323">
        <f ca="1">_xlfn.XLOOKUP(TabTRADER[[#This Row],[ClickTick]],TabCalc[Ticker],TabCalc[Agiotage])</f>
        <v>0.15100864553314122</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-0.26021505376344095</v>
      </c>
      <c r="S7" s="683">
        <f ca="1">_xlfn.XLOOKUP(TabTRADER[[#This Row],[ClickTick]],TabCalc[Ticker],TabCalc[Rev(MinStock)])*(1-Commission)</f>
        <v>-3620.5620000000013</v>
      </c>
      <c r="T7" s="782">
        <f ca="1">_xlfn.XLOOKUP(TabTRADER[[#This Row],[ClickTick]],TabCalc[Ticker],TabCalc[Agiotage])</f>
        <v>0.15100864553314122</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20,240/20,240=&gt;-0.3% / 3.3%</v>
      </c>
      <c r="V7" s="739" t="str">
        <f ca="1">_xlfn.XLOOKUP(TabTRADER[[#This Row],[ClickTick]],[1]!RTData[Ticker_Symbol],[1]!RTData[Currency])</f>
        <v>EUR</v>
      </c>
      <c r="W7" s="749">
        <f ca="1">_xlfn.XLOOKUP(TabTRADER[[#This Row],[ClickTick]],TabCalc[Ticker],TabCalc[M])</f>
        <v>0.68799999999999994</v>
      </c>
      <c r="X7" s="1343"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-1,212/1,741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3620.5620000000013</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1740639.9999999998</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0.41043639248182623</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0.34914418604651182</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-0.3839238498149129</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0.35174418604651181</v>
      </c>
      <c r="AP7" s="825" cm="1">
        <f t="array" aca="1" ref="AP7" ca="1">_xlfn.IFS(         TabTRADER[[#This Row],[Traps]]=MDown,TabTRADER[[#This Row],[L_Bn]]*TabTRADER[[#This Row],[M]]*(-(TabTRADER[[#This Row],[L_Bp]]+TabTRADER[[#This Row],[M]])/TabTRADER[[#This Row],[M]])*(1-Commission)*TabTRADER[[#This Row],[Scale]],                               TRUE,"")</f>
        <v>3620.5620000000017</v>
      </c>
      <c r="AQ7" s="1186" cm="1">
        <f t="array" aca="1" ref="AQ7" ca="1">_xlfn.IFS(   TabTRADER[[#This Row],[Traps]]=MUp,TabTRADER[[#This Row],[TakeGain_A]]-Commission,        TabTRADER[[#This Row],[Traps]]=MDown,(TabTRADER[[#This Row],[A]]-TabTRADER[[#This Row],[M]])/TabTRADER[[#This Row],[M]]-Commission,                              TRUE,"")</f>
        <v>0.6935698233199955</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1208630.4105564312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-0.24</v>
      </c>
      <c r="AU7" s="765" cm="1">
        <f t="array" aca="1" ref="AU7" ca="1">_xlfn.IFS(TabTRADER[[#This Row],[Traps]]=ReSaleGain,"",         TabTRADER[[#This Row],[Traps]]=MDown, (TabTRADER[[#This Row],[M]]-TabTRADER[[#This Row],[A]])/TabTRADER[[#This Row],[A]]*ComFactor,             TRUE, IFERROR((TabTRADER[[#This Row],[M]]-TabTRADER[[#This Row],[A]])/TabTRADER[[#This Row],[A]]*ComFactor,""))</f>
        <v>-0.40936925786137346</v>
      </c>
      <c r="AV7" s="762" cm="1">
        <f t="array" aca="1" ref="AV7" ca="1">_xlfn.IFS(               TabTRADER[[#This Row],[Traps]]=NoStock,(TabTRADER[[#This Row],[L_Sp]]-TabTRADER[[#This Row],[M]])/TabTRADER[[#This Row],[M]]-Commission,             TabTRADER[[#This Row],[A]]&lt;&gt;0,(TabTRADER[[#This Row],[A]]-TabTRADER[[#This Row],[M]])/TabTRADER[[#This Row],[M]]-Commission)</f>
        <v>0.6935698233199955</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-0.41043639248182623</v>
      </c>
      <c r="BC7" s="638" t="str">
        <f ca="1">TEXT(_xlfn.XLOOKUP(TabTRADER[[#This Row],[ClickTick]],TabCalc[Ticker],TabCalc[NAfter]),"#,#0")&amp;" : "&amp;TEXT(_xlfn.XLOOKUP(TabTRADER[[#This Row],[ClickTick]],TabCalc[Ticker],TabCalc[NAfter])*(TabTRADER[[#This Row],[M]]-TabTRADER[[#This Row],[A]])*(1-Commission)*TabTRADER[[#This Row],[Scale]],"#,#0$")</f>
        <v>2,530,000 : -1,208,630$</v>
      </c>
      <c r="BD7" s="684">
        <f ca="1">_xlfn.XLOOKUP(TabTRADER[[#This Row],[ClickTick]],TabCalc[[#This Row],[Ticker]],TabCalc[[#This Row],[GL]])*(1-Commission)</f>
        <v>-1208630.4105564312</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AMY</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0.35174418604651181</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-2.1211498451769275</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+11,500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87/3,100=75,774</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129</v>
      </c>
      <c r="F8" s="226" t="str">
        <f ca="1">TRUNC(TabCalc[[#This Row],[L_B1p]],2)&amp;"x"&amp;TabCalc[[#This Row],[L_B1n]]&amp;"=   "&amp;TEXT(TabCalc[[#This Row],[ReverseS1]],"#,#0")&amp;"$"</f>
        <v>-804.9x200=   13,300$</v>
      </c>
      <c r="G8" s="225" t="str">
        <f ca="1">IFERROR(TRUNC(_xlfn.XLOOKUP(TabTRADER[[#This Row],[ClickTick]],TabCalc[Ticker],ListLastSalep),2)&amp;"x"&amp;_xlfn.XLOOKUP(TabTRADER[[#This Row],[ClickTick]],TabCalc[Ticker],ListLastSalen)&amp;"=   "&amp;TEXT(-_xlfn.XLOOKUP(TabTRADER[[#This Row],[ClickTick]],TabCalc[Ticker],ListReverseB),"#,#0")&amp;"$","")</f>
        <v>910.25x100=   -3,885$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129</v>
      </c>
      <c r="I8" s="226" t="str">
        <f ca="1">IFERROR(TRUNC(TabCalc[[#This Row],[L_S1p]],2)&amp;"x"&amp;TabCalc[[#This Row],[L_S1n]]&amp;"=   "&amp;TEXT(TabCalc[[#This Row],[ReverseB1]],"#,#0"),"")</f>
        <v>894.75x100=   2,335</v>
      </c>
      <c r="J8" s="295">
        <f ca="1">_xlfn.XLOOKUP(TabTRADER[[#This Row],[ClickTick]],TabCalc[Ticker],ListGravity)</f>
        <v>1.0809080330502641</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2265640</v>
      </c>
      <c r="M8" s="323">
        <f ca="1">_xlfn.XLOOKUP(TabTRADER[[#This Row],[ClickTick]],TabCalc[Ticker],TabCalc[Agiotage])</f>
        <v>0.1427007365316057</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7.0647499692836957E-2</v>
      </c>
      <c r="S8" s="683">
        <f ca="1">_xlfn.XLOOKUP(TabTRADER[[#This Row],[ClickTick]],TabCalc[Ticker],TabCalc[Rev(MinStock)])*(1-Commission)</f>
        <v>11470.1</v>
      </c>
      <c r="T8" s="782">
        <f ca="1">_xlfn.XLOOKUP(TabTRADER[[#This Row],[ClickTick]],TabCalc[Ticker],TabCalc[Agiotage])</f>
        <v>0.1427007365316057</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-24,490/-24,490=&gt;-2.7% / -0.3%</v>
      </c>
      <c r="V8" s="739" t="str">
        <f ca="1">_xlfn.XLOOKUP(TabTRADER[[#This Row],[ClickTick]],[1]!RTData[Ticker_Symbol],[1]!RTData[Currency])</f>
        <v>EUR</v>
      </c>
      <c r="W8" s="749">
        <f ca="1">_xlfn.XLOOKUP(TabTRADER[[#This Row],[ClickTick]],TabCalc[Ticker],TabCalc[M])</f>
        <v>871.4</v>
      </c>
      <c r="X8" s="1343"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^784/2,701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3874.8990000000022</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3874.8990000000022</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4.2680582257621558E-2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0.66929210235319225</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655676.79639999988</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0.3207884308550974</v>
      </c>
      <c r="AV8" s="762" cm="1">
        <f t="array" aca="1" ref="AV8" ca="1">_xlfn.IFS(               TabTRADER[[#This Row],[Traps]]=NoStock,(TabTRADER[[#This Row],[L_Sp]]-TabTRADER[[#This Row],[M]])/TabTRADER[[#This Row],[M]]-Commission,             TabTRADER[[#This Row],[A]]&lt;&gt;0,(TabTRADER[[#This Row],[A]]-TabTRADER[[#This Row],[M]])/TabTRADER[[#This Row],[M]]-Commission)</f>
        <v>-0.24595551985310987</v>
      </c>
      <c r="AW8" s="324">
        <f ca="1">_xlfn.XLOOKUP(TabTRADER[[#This Row],[ClickTick]],TabCalc[Ticker],TabCalc[L_Sn])</f>
        <v>100</v>
      </c>
      <c r="AX8" s="728">
        <f ca="1">_xlfn.XLOOKUP(TabTRADER[[#This Row],[ClickTick]],TabCalc[Ticker],TabCalc[L_Sp])</f>
        <v>910.25</v>
      </c>
      <c r="AY8" s="764">
        <f ca="1">-IFERROR((TabTRADER[[#This Row],[M]]-TabTRADER[[#This Row],[L_Sp]])/TabTRADER[[#This Row],[L_Sp]],0)</f>
        <v>4.2680582257621558E-2</v>
      </c>
      <c r="AZ8" s="729">
        <f ca="1">TabTRADER[[#This Row],[L_Sn]]*(TabTRADER[[#This Row],[M]]-TabTRADER[[#This Row],[L_Sp]])*(1-Commission)*TabTRADER[[#This Row],[Scale]]</f>
        <v>-3874.8990000000022</v>
      </c>
      <c r="BA8" s="692">
        <f ca="1">TabTRADER[[#This Row],[L_Sn]]*(TabTRADER[[#This Row],[Agiotage]]-TabTRADER[[#This Row],[M]])/(TabTRADER[[#This Row],[L_Bn]]*TabTRADER[[#This Row],[M]])</f>
        <v>-0.49991811984362422</v>
      </c>
      <c r="BB8" s="635">
        <f ca="1">IFERROR((TabTRADER[[#This Row],[M]]-TabTRADER[[#This Row],[A]])/TabTRADER[[#This Row],[A]],0)</f>
        <v>0.3216246549579882</v>
      </c>
      <c r="BC8" s="638" t="str">
        <f ca="1">TEXT(_xlfn.XLOOKUP(TabTRADER[[#This Row],[ClickTick]],TabCalc[Ticker],TabCalc[NAfter]),"#,#0")&amp;" : "&amp;TEXT(_xlfn.XLOOKUP(TabTRADER[[#This Row],[ClickTick]],TabCalc[Ticker],TabCalc[NAfter])*(TabTRADER[[#This Row],[M]]-TabTRADER[[#This Row],[A]])*(1-Commission)*TabTRADER[[#This Row],[Scale]],"#,#0$")</f>
        <v>3,100 : 655,677$</v>
      </c>
      <c r="BD8" s="684">
        <f ca="1">_xlfn.XLOOKUP(TabTRADER[[#This Row],[ClickTick]],TabCalc[[#This Row],[Ticker]],TabCalc[[#This Row],[GL]])*(1-Commission)</f>
        <v>781982.35589400004</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265305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884.35</v>
      </c>
      <c r="BN8" s="687">
        <f ca="1">((_xlfn.XLOOKUP(TabTRADER[[#This Row],[ClickTick]],TabCalc[Ticker],TabCalc[NAfter])+TabTRADER[[#This Row],[L_Sn]])*(TabTRADER[[#This Row],[Agiotage]]-TabTRADER[[#This Row],[M]]))/(TabTRADER[[#This Row],[L_Sn]]*_xlfn.XLOOKUP(TabTRADER[[#This Row],[ClickTick]],TabCalc[Ticker],TabCalc[NAfter]))</f>
        <v>-8.9936237343325764</v>
      </c>
      <c r="BO8" s="687">
        <f ca="1">(TabTRADER[[#This Row],[M]]-TabTRADER[[#This Row],[Agiotage]])/(TabTRADER[[#This Row],[M]]-TabTRADER[[#This Row],[A]])-1</f>
        <v>3.108541447059646</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+2,274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1,377</v>
      </c>
      <c r="F9" s="226" t="str">
        <f ca="1">TRUNC(TabCalc[[#This Row],[L_B1p]],2)&amp;"x"&amp;TabCalc[[#This Row],[L_B1n]]&amp;"=   "&amp;TEXT(TabCalc[[#This Row],[ReverseS1]],"#,#0")&amp;"$"</f>
        <v>-203.42x240=   33,368$</v>
      </c>
      <c r="G9" s="225" t="str">
        <f ca="1">IFERROR(TRUNC(_xlfn.XLOOKUP(TabTRADER[[#This Row],[ClickTick]],TabCalc[Ticker],ListLastSalep),2)&amp;"x"&amp;_xlfn.XLOOKUP(TabTRADER[[#This Row],[ClickTick]],TabCalc[Ticker],ListLastSalen)&amp;"=   "&amp;TEXT(-_xlfn.XLOOKUP(TabTRADER[[#This Row],[ClickTick]],TabCalc[Ticker],ListReverseB),"#,#0")&amp;"$","")</f>
        <v>346.09x160=   -581$</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1,377</v>
      </c>
      <c r="I9" s="226" t="str">
        <f ca="1">IFERROR(TRUNC(TabCalc[[#This Row],[L_S1p]],2)&amp;"x"&amp;TabCalc[[#This Row],[L_S1n]]&amp;"=   "&amp;TEXT(TabCalc[[#This Row],[ReverseB1]],"#,#0"),"")</f>
        <v>256.2x200=   -17,252</v>
      </c>
      <c r="J9" s="295">
        <f ca="1">_xlfn.XLOOKUP(TabTRADER[[#This Row],[ClickTick]],TabCalc[Ticker],ListGravity)</f>
        <v>1.1457736669976055</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71916.599999999991</v>
      </c>
      <c r="M9" s="323">
        <f ca="1">_xlfn.XLOOKUP(TabTRADER[[#This Row],[ClickTick]],TabCalc[Ticker],TabCalc[Agiotage])</f>
        <v>1.9670701818742457E-3</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3.2656876639628456E-2</v>
      </c>
      <c r="S9" s="683">
        <f ca="1">_xlfn.XLOOKUP(TabTRADER[[#This Row],[ClickTick]],TabCalc[Ticker],TabCalc[Rev(MinStock)])*(1-Commission)</f>
        <v>2268.3868199999965</v>
      </c>
      <c r="T9" s="782">
        <f ca="1">_xlfn.XLOOKUP(TabTRADER[[#This Row],[ClickTick]],TabCalc[Ticker],TabCalc[Agiotage])</f>
        <v>1.9670701818742457E-3</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4,396/4,396=&gt;-2.3% / 0.7%</v>
      </c>
      <c r="V9" s="739" t="str">
        <f ca="1">_xlfn.XLOOKUP(TabTRADER[[#This Row],[ClickTick]],[1]!RTData[Ticker_Symbol],[1]!RTData[Currency])</f>
        <v>USD</v>
      </c>
      <c r="W9" s="749">
        <f ca="1">_xlfn.XLOOKUP(TabTRADER[[#This Row],[ClickTick]],TabCalc[Ticker],TabCalc[M])</f>
        <v>342.46</v>
      </c>
      <c r="X9" s="1343"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^70/137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579.28991999999926</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579.28991999999926</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1.0488601230893686E-2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0.30938093658595378</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28616.195614650187</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0.26424737115776731</v>
      </c>
      <c r="AV9" s="762" cm="1">
        <f t="array" aca="1" ref="AV9" ca="1">_xlfn.IFS(               TabTRADER[[#This Row],[Traps]]=NoStock,(TabTRADER[[#This Row],[L_Sp]]-TabTRADER[[#This Row],[M]])/TabTRADER[[#This Row],[M]]-Commission,             TabTRADER[[#This Row],[A]]&lt;&gt;0,(TabTRADER[[#This Row],[A]]-TabTRADER[[#This Row],[M]])/TabTRADER[[#This Row],[M]]-Commission)</f>
        <v>-0.21204629791070484</v>
      </c>
      <c r="AW9" s="324">
        <f ca="1">_xlfn.XLOOKUP(TabTRADER[[#This Row],[ClickTick]],TabCalc[Ticker],TabCalc[L_Sn])</f>
        <v>160</v>
      </c>
      <c r="AX9" s="728">
        <f ca="1">_xlfn.XLOOKUP(TabTRADER[[#This Row],[ClickTick]],TabCalc[Ticker],TabCalc[L_Sp])</f>
        <v>346.09</v>
      </c>
      <c r="AY9" s="764">
        <f ca="1">-IFERROR((TabTRADER[[#This Row],[M]]-TabTRADER[[#This Row],[L_Sp]])/TabTRADER[[#This Row],[L_Sp]],0)</f>
        <v>1.0488601230893686E-2</v>
      </c>
      <c r="AZ9" s="729">
        <f ca="1">TabTRADER[[#This Row],[L_Sn]]*(TabTRADER[[#This Row],[M]]-TabTRADER[[#This Row],[L_Sp]])*(1-Commission)*TabTRADER[[#This Row],[Scale]]</f>
        <v>-579.28991999999926</v>
      </c>
      <c r="BA9" s="692">
        <f ca="1">TabTRADER[[#This Row],[L_Sn]]*(TabTRADER[[#This Row],[Agiotage]]-TabTRADER[[#This Row],[M]])/(TabTRADER[[#This Row],[L_Bn]]*TabTRADER[[#This Row],[M]])</f>
        <v>-0.76190038556843487</v>
      </c>
      <c r="BB9" s="635">
        <f ca="1">IFERROR((TabTRADER[[#This Row],[M]]-TabTRADER[[#This Row],[A]])/TabTRADER[[#This Row],[A]],0)</f>
        <v>0.26493620529152528</v>
      </c>
      <c r="BC9" s="638" t="str">
        <f ca="1">TEXT(_xlfn.XLOOKUP(TabTRADER[[#This Row],[ClickTick]],TabCalc[Ticker],TabCalc[NAfter]),"#,#0")&amp;" : "&amp;TEXT(_xlfn.XLOOKUP(TabTRADER[[#This Row],[ClickTick]],TabCalc[Ticker],TabCalc[NAfter])*(TabTRADER[[#This Row],[M]]-TabTRADER[[#This Row],[A]])*(1-Commission)*TabTRADER[[#This Row],[Scale]],"#,#0$")</f>
        <v>400 : 28,616$</v>
      </c>
      <c r="BD9" s="684">
        <f ca="1">_xlfn.XLOOKUP(TabTRADER[[#This Row],[ClickTick]],TabCalc[[#This Row],[Ticker]],TabCalc[[#This Row],[GL]])*(1-Commission)</f>
        <v>69362.562432459163</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127290.99999999999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344.0297297297297</v>
      </c>
      <c r="BN9" s="687">
        <f ca="1">((_xlfn.XLOOKUP(TabTRADER[[#This Row],[ClickTick]],TabCalc[Ticker],TabCalc[NAfter])+TabTRADER[[#This Row],[L_Sn]])*(TabTRADER[[#This Row],[Agiotage]]-TabTRADER[[#This Row],[M]]))/(TabTRADER[[#This Row],[L_Sn]]*_xlfn.XLOOKUP(TabTRADER[[#This Row],[ClickTick]],TabCalc[Ticker],TabCalc[NAfter]))</f>
        <v>-2.9965077881359083</v>
      </c>
      <c r="BO9" s="687">
        <f ca="1">(TabTRADER[[#This Row],[M]]-TabTRADER[[#This Row],[Agiotage]])/(TabTRADER[[#This Row],[M]]-TabTRADER[[#This Row],[A]])-1</f>
        <v>3.7744661330080298</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+9,630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260/500=23,131</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5,715$</v>
      </c>
      <c r="G10" s="225" t="str">
        <f ca="1">IFERROR(TRUNC(_xlfn.XLOOKUP(TabTRADER[[#This Row],[ClickTick]],TabCalc[Ticker],ListLastSalep),2)&amp;"x"&amp;_xlfn.XLOOKUP(TabTRADER[[#This Row],[ClickTick]],TabCalc[Ticker],ListLastSalen)&amp;"=   "&amp;TEXT(-_xlfn.XLOOKUP(TabTRADER[[#This Row],[ClickTick]],TabCalc[Ticker],ListReverseB),"#,#0")&amp;"$","")</f>
        <v>86.22x500=   1,440$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10" s="226" t="str">
        <f ca="1">IFERROR(TRUNC(TabCalc[[#This Row],[L_S1p]],2)&amp;"x"&amp;TabCalc[[#This Row],[L_S1n]]&amp;"=   "&amp;TEXT(TabCalc[[#This Row],[ReverseB1]],"#,#0"),"")</f>
        <v>79.51x2000=   -19,180</v>
      </c>
      <c r="J10" s="295">
        <f ca="1">_xlfn.XLOOKUP(TabTRADER[[#This Row],[ClickTick]],TabCalc[Ticker],ListGravity)</f>
        <v>1.0466075196408531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1.4614245077424926E-3</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0.27577319587628851</v>
      </c>
      <c r="S10" s="683">
        <f ca="1">_xlfn.XLOOKUP(TabTRADER[[#This Row],[ClickTick]],TabCalc[Ticker],TabCalc[Rev(MinStock)])*(1-Commission)</f>
        <v>9604.9619999999959</v>
      </c>
      <c r="T10" s="782">
        <f ca="1">_xlfn.XLOOKUP(TabTRADER[[#This Row],[ClickTick]],TabCalc[Ticker],TabCalc[Agiotage])</f>
        <v>1.4614245077424926E-3</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293/293=&gt;0.9% / 0.6%</v>
      </c>
      <c r="V10" s="739" t="str">
        <f ca="1">_xlfn.XLOOKUP(TabTRADER[[#This Row],[ClickTick]],[1]!RTData[Ticker_Symbol],[1]!RTData[Currency])</f>
        <v>USD</v>
      </c>
      <c r="W10" s="749">
        <f ca="1">_xlfn.XLOOKUP(TabTRADER[[#This Row],[ClickTick]],TabCalc[Ticker],TabCalc[M])</f>
        <v>89.1</v>
      </c>
      <c r="X10" s="1343"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1436.2559999999976</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9604.9619999999959</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0.27577319587628851</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2.9723232323232276E-2</v>
      </c>
      <c r="AL10" s="825" cm="1">
        <f t="array" aca="1" ref="AL10" ca="1">_xlfn.IFS(   TabTRADER[[#This Row],[Traps]]=SellMorePercentGain,                     MIN(TabTRADER[[#This Row],[L_Sn]],TabTRADER[[#This Row],[N]])*(TabTRADER[[#This Row],[M]]-TabTRADER[[#This Row],[L_Sp]])*(1-Commission)*TabTRADER[[#This Row],[Scale]],                    TRUE,"")</f>
        <v>1436.2559999999976</v>
      </c>
      <c r="AM10" s="1175">
        <f ca="1">_xlfn.XLOOKUP(TabTRADER[[#This Row],[ClickTick]],TabCalc[Ticker],TabCalc[Ann%RevLB])</f>
        <v>0.66185567010309243</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0.27317319587628852</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12253.753067010302</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500x19.26</v>
      </c>
      <c r="AU10" s="765" cm="1">
        <f t="array" aca="1" ref="AU10" ca="1">_xlfn.IFS(TabTRADER[[#This Row],[Traps]]=ReSaleGain,"",         TabTRADER[[#This Row],[Traps]]=MDown, (TabTRADER[[#This Row],[M]]-TabTRADER[[#This Row],[A]])/TabTRADER[[#This Row],[A]]*ComFactor,             TRUE, IFERROR((TabTRADER[[#This Row],[M]]-TabTRADER[[#This Row],[A]])/TabTRADER[[#This Row],[A]]*ComFactor,""))</f>
        <v>0.27505618556701017</v>
      </c>
      <c r="AV10" s="762" cm="1">
        <f t="array" aca="1" ref="AV10" ca="1">_xlfn.IFS(               TabTRADER[[#This Row],[Traps]]=NoStock,(TabTRADER[[#This Row],[L_Sp]]-TabTRADER[[#This Row],[M]])/TabTRADER[[#This Row],[M]]-Commission,             TabTRADER[[#This Row],[A]]&lt;&gt;0,(TabTRADER[[#This Row],[A]]-TabTRADER[[#This Row],[M]])/TabTRADER[[#This Row],[M]]-Commission)</f>
        <v>-0.21876161616161607</v>
      </c>
      <c r="AW10" s="324">
        <f ca="1">_xlfn.XLOOKUP(TabTRADER[[#This Row],[ClickTick]],TabCalc[Ticker],TabCalc[L_Sn])</f>
        <v>500</v>
      </c>
      <c r="AX10" s="728">
        <f ca="1">_xlfn.XLOOKUP(TabTRADER[[#This Row],[ClickTick]],TabCalc[Ticker],TabCalc[L_Sp])</f>
        <v>86.22</v>
      </c>
      <c r="AY10" s="764">
        <f ca="1">-IFERROR((TabTRADER[[#This Row],[M]]-TabTRADER[[#This Row],[L_Sp]])/TabTRADER[[#This Row],[L_Sp]],0)</f>
        <v>-3.3402922755741075E-2</v>
      </c>
      <c r="AZ10" s="729">
        <f ca="1">TabTRADER[[#This Row],[L_Sn]]*(TabTRADER[[#This Row],[M]]-TabTRADER[[#This Row],[L_Sp]])*(1-Commission)*TabTRADER[[#This Row],[Scale]]</f>
        <v>1436.2559999999976</v>
      </c>
      <c r="BA10" s="692">
        <f ca="1">TabTRADER[[#This Row],[L_Sn]]*(TabTRADER[[#This Row],[Agiotage]]-TabTRADER[[#This Row],[M]])/(TabTRADER[[#This Row],[L_Bn]]*TabTRADER[[#This Row],[M]])</f>
        <v>-0.12499794974115076</v>
      </c>
      <c r="BB10" s="635">
        <f ca="1">IFERROR((TabTRADER[[#This Row],[M]]-TabTRADER[[#This Row],[A]])/TabTRADER[[#This Row],[A]],0)</f>
        <v>0.27577319587628851</v>
      </c>
      <c r="BC10" s="638" t="str">
        <f ca="1">TEXT(_xlfn.XLOOKUP(TabTRADER[[#This Row],[ClickTick]],TabCalc[Ticker],TabCalc[NAfter]),"#,#0")&amp;" : "&amp;TEXT(_xlfn.XLOOKUP(TabTRADER[[#This Row],[ClickTick]],TabCalc[Ticker],TabCalc[NAfter])*(TabTRADER[[#This Row],[M]]-TabTRADER[[#This Row],[A]])*(1-Commission)*TabTRADER[[#This Row],[Scale]],"#,#0$")</f>
        <v>500 : 9,605$</v>
      </c>
      <c r="BD10" s="684">
        <f ca="1">_xlfn.XLOOKUP(TabTRADER[[#This Row],[ClickTick]],TabCalc[[#This Row],[Ticker]],TabCalc[[#This Row],[GL]])*(1-Commission)</f>
        <v>152486.90055999995</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3.2323232323232275E-2</v>
      </c>
      <c r="BJ10" s="679">
        <f ca="1">TabTRADER[[#This Row],[L_Sn]]*TabTRADER[[#This Row],[L_Sp]]+TabTRADER[[#This Row],[SellMore]]*TabTRADER[[#This Row],[M]]</f>
        <v>87660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87.66</v>
      </c>
      <c r="BN10" s="687">
        <f ca="1">((_xlfn.XLOOKUP(TabTRADER[[#This Row],[ClickTick]],TabCalc[Ticker],TabCalc[NAfter])+TabTRADER[[#This Row],[L_Sn]])*(TabTRADER[[#This Row],[Agiotage]]-TabTRADER[[#This Row],[M]]))/(TabTRADER[[#This Row],[L_Sn]]*_xlfn.XLOOKUP(TabTRADER[[#This Row],[ClickTick]],TabCalc[Ticker],TabCalc[NAfter]))</f>
        <v>-0.35639415430196902</v>
      </c>
      <c r="BO10" s="687">
        <f ca="1">(TabTRADER[[#This Row],[M]]-TabTRADER[[#This Row],[Agiotage]])/(TabTRADER[[#This Row],[M]]-TabTRADER[[#This Row],[A]])-1</f>
        <v>3.6260923455603482</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+1,080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15,620</v>
      </c>
      <c r="F11" s="226" t="str">
        <f ca="1">TRUNC(TabCalc[[#This Row],[L_B1p]],2)&amp;"x"&amp;TabCalc[[#This Row],[L_B1n]]&amp;"=   "&amp;TEXT(TabCalc[[#This Row],[ReverseS1]],"#,#0")&amp;"$"</f>
        <v>-1.83x10000=   12,000$</v>
      </c>
      <c r="G11" s="225" t="str">
        <f ca="1">IFERROR(TRUNC(_xlfn.XLOOKUP(TabTRADER[[#This Row],[ClickTick]],TabCalc[Ticker],ListLastSalep),2)&amp;"x"&amp;_xlfn.XLOOKUP(TabTRADER[[#This Row],[ClickTick]],TabCalc[Ticker],ListLastSalen)&amp;"=   "&amp;TEXT(-_xlfn.XLOOKUP(TabTRADER[[#This Row],[ClickTick]],TabCalc[Ticker],ListReverseB),"#,#0")&amp;"$","")</f>
        <v>3.35x6000=   -1,921$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15,620</v>
      </c>
      <c r="I11" s="226" t="str">
        <f ca="1">IFERROR(TRUNC(TabCalc[[#This Row],[L_S1p]],2)&amp;"x"&amp;TabCalc[[#This Row],[L_S1n]]&amp;"=   "&amp;TEXT(TabCalc[[#This Row],[ReverseB1]],"#,#0"),"")</f>
        <v>1.96x10000=   -10,700</v>
      </c>
      <c r="J11" s="295">
        <f ca="1">_xlfn.XLOOKUP(TabTRADER[[#This Row],[ClickTick]],TabCalc[Ticker],ListGravity)</f>
        <v>0.90759075907590769</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30299.999999999996</v>
      </c>
      <c r="M11" s="323">
        <f ca="1">_xlfn.XLOOKUP(TabTRADER[[#This Row],[ClickTick]],TabCalc[Ticker],TabCalc[Agiotage])</f>
        <v>1.4723542829705686E-3</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6.315789473684201E-2</v>
      </c>
      <c r="S11" s="683">
        <f ca="1">_xlfn.XLOOKUP(TabTRADER[[#This Row],[ClickTick]],TabCalc[Ticker],TabCalc[Rev(MinStock)])*(1-Commission)</f>
        <v>1077.1919999999982</v>
      </c>
      <c r="T11" s="782">
        <f ca="1">_xlfn.XLOOKUP(TabTRADER[[#This Row],[ClickTick]],TabCalc[Ticker],TabCalc[Agiotage])</f>
        <v>1.4723542829705686E-3</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1,800/1,800=&gt;-1.8% / -5.0%</v>
      </c>
      <c r="V11" s="739" t="str">
        <f ca="1">_xlfn.XLOOKUP(TabTRADER[[#This Row],[ClickTick]],[1]!RTData[Ticker_Symbol],[1]!RTData[Currency])</f>
        <v>USD</v>
      </c>
      <c r="W11" s="749">
        <f ca="1">_xlfn.XLOOKUP(TabTRADER[[#This Row],[ClickTick]],TabCalc[Ticker],TabCalc[M])</f>
        <v>3.03</v>
      </c>
      <c r="X11" s="1343"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^29/61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1915.6064400000002</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1915.6064400000002</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9.5549386585475085E-2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7.2410325175997214E-2</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17673.927999999993</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0.41217182835820876</v>
      </c>
      <c r="AV11" s="762" cm="1">
        <f t="array" aca="1" ref="AV11" ca="1">_xlfn.IFS(               TabTRADER[[#This Row],[Traps]]=NoStock,(TabTRADER[[#This Row],[L_Sp]]-TabTRADER[[#This Row],[M]])/TabTRADER[[#This Row],[M]]-Commission,             TabTRADER[[#This Row],[A]]&lt;&gt;0,(TabTRADER[[#This Row],[A]]-TabTRADER[[#This Row],[M]])/TabTRADER[[#This Row],[M]]-Commission)</f>
        <v>-0.29500924092409231</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9.5549386585475085E-2</v>
      </c>
      <c r="AZ11" s="729">
        <f ca="1">TabTRADER[[#This Row],[L_Sn]]*(TabTRADER[[#This Row],[M]]-TabTRADER[[#This Row],[L_Sp]])*(1-Commission)*TabTRADER[[#This Row],[Scale]]</f>
        <v>-1915.6064400000002</v>
      </c>
      <c r="BA11" s="692">
        <f ca="1">TabTRADER[[#This Row],[L_Sn]]*(TabTRADER[[#This Row],[Agiotage]]-TabTRADER[[#This Row],[M]])/(TabTRADER[[#This Row],[L_Bn]]*TabTRADER[[#This Row],[M]])</f>
        <v>-0.99951407449406915</v>
      </c>
      <c r="BB11" s="635">
        <f ca="1">IFERROR((TabTRADER[[#This Row],[M]]-TabTRADER[[#This Row],[A]])/TabTRADER[[#This Row],[A]],0)</f>
        <v>0.41324626865671626</v>
      </c>
      <c r="BC11" s="638" t="str">
        <f ca="1">TEXT(_xlfn.XLOOKUP(TabTRADER[[#This Row],[ClickTick]],TabCalc[Ticker],TabCalc[NAfter]),"#,#0")&amp;" : "&amp;TEXT(_xlfn.XLOOKUP(TabTRADER[[#This Row],[ClickTick]],TabCalc[Ticker],TabCalc[NAfter])*(TabTRADER[[#This Row],[M]]-TabTRADER[[#This Row],[A]])*(1-Commission)*TabTRADER[[#This Row],[Scale]],"#,#0$")</f>
        <v>20,000 : 17,674$</v>
      </c>
      <c r="BD11" s="684">
        <f ca="1">_xlfn.XLOOKUP(TabTRADER[[#This Row],[ClickTick]],TabCalc[[#This Row],[Ticker]],TabCalc[[#This Row],[GL]])*(1-Commission)</f>
        <v>28841.00291899998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38280.6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3.1900499999999998</v>
      </c>
      <c r="BN11" s="687">
        <f ca="1">((_xlfn.XLOOKUP(TabTRADER[[#This Row],[ClickTick]],TabCalc[Ticker],TabCalc[NAfter])+TabTRADER[[#This Row],[L_Sn]])*(TabTRADER[[#This Row],[Agiotage]]-TabTRADER[[#This Row],[M]]))/(TabTRADER[[#This Row],[L_Sn]]*_xlfn.XLOOKUP(TabTRADER[[#This Row],[ClickTick]],TabCalc[Ticker],TabCalc[NAfter]))</f>
        <v>-6.5618098990535628E-4</v>
      </c>
      <c r="BO11" s="687">
        <f ca="1">(TabTRADER[[#This Row],[M]]-TabTRADER[[#This Row],[Agiotage]])/(TabTRADER[[#This Row],[M]]-TabTRADER[[#This Row],[A]])-1</f>
        <v>2.4182027604029686</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-128,870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-427.8%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2.1129417683310277E-4</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-0.81052863297587974</v>
      </c>
      <c r="S12" s="683">
        <f ca="1">_xlfn.XLOOKUP(TabTRADER[[#This Row],[ClickTick]],TabCalc[Ticker],TabCalc[Rev(MinStock)])*(1-Commission)</f>
        <v>-128534.93799999999</v>
      </c>
      <c r="T12" s="782">
        <f ca="1">_xlfn.XLOOKUP(TabTRADER[[#This Row],[ClickTick]],TabCalc[Ticker],TabCalc[Agiotage])</f>
        <v>2.1129417683310277E-4</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-755/-755=&gt;-2.1% / -3.6%</v>
      </c>
      <c r="V12" s="739" t="str">
        <f ca="1">_xlfn.XLOOKUP(TabTRADER[[#This Row],[ClickTick]],[1]!RTData[Ticker_Symbol],[1]!RTData[Currency])</f>
        <v>USD</v>
      </c>
      <c r="W12" s="749">
        <f ca="1">_xlfn.XLOOKUP(TabTRADER[[#This Row],[ClickTick]],TabCalc[Ticker],TabCalc[M])</f>
        <v>2.41</v>
      </c>
      <c r="X12" s="1343"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-129/30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128534.93799999999</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30125</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0.81052863297587974</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4.2752423236514518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-5.3697149037783713E-2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4.277842323651452</v>
      </c>
      <c r="AP12" s="825" cm="1">
        <f t="array" aca="1" ref="AP12" ca="1">_xlfn.IFS(         TabTRADER[[#This Row],[Traps]]=MDown,TabTRADER[[#This Row],[L_Bn]]*TabTRADER[[#This Row],[M]]*(-(TabTRADER[[#This Row],[L_Bp]]+TabTRADER[[#This Row],[M]])/TabTRADER[[#This Row],[M]])*(1-Commission)*TabTRADER[[#This Row],[Scale]],                               TRUE,"")</f>
        <v>128534.93799999998</v>
      </c>
      <c r="AQ12" s="1186" cm="1">
        <f t="array" aca="1" ref="AQ12" ca="1">_xlfn.IFS(   TabTRADER[[#This Row],[Traps]]=MUp,TabTRADER[[#This Row],[TakeGain_A]]-Commission,        TabTRADER[[#This Row],[Traps]]=MDown,(TabTRADER[[#This Row],[A]]-TabTRADER[[#This Row],[M]])/TabTRADER[[#This Row],[M]]-Commission,                              TRUE,"")</f>
        <v>4.2752423236514518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128534.93799999999</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U12" s="765" cm="1">
        <f t="array" aca="1" ref="AU12" ca="1">_xlfn.IFS(TabTRADER[[#This Row],[Traps]]=ReSaleGain,"",         TabTRADER[[#This Row],[Traps]]=MDown, (TabTRADER[[#This Row],[M]]-TabTRADER[[#This Row],[A]])/TabTRADER[[#This Row],[A]]*ComFactor,             TRUE, IFERROR((TabTRADER[[#This Row],[M]]-TabTRADER[[#This Row],[A]])/TabTRADER[[#This Row],[A]]*ComFactor,""))</f>
        <v>-0.80842125853014246</v>
      </c>
      <c r="AV12" s="762" cm="1">
        <f t="array" aca="1" ref="AV12" ca="1">_xlfn.IFS(               TabTRADER[[#This Row],[Traps]]=NoStock,(TabTRADER[[#This Row],[L_Sp]]-TabTRADER[[#This Row],[M]])/TabTRADER[[#This Row],[M]]-Commission,             TabTRADER[[#This Row],[A]]&lt;&gt;0,(TabTRADER[[#This Row],[A]]-TabTRADER[[#This Row],[M]])/TabTRADER[[#This Row],[M]]-Commission)</f>
        <v>4.2752423236514518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-0.81052863297587974</v>
      </c>
      <c r="BC12" s="638" t="str">
        <f ca="1">TEXT(_xlfn.XLOOKUP(TabTRADER[[#This Row],[ClickTick]],TabCalc[Ticker],TabCalc[NAfter]),"#,#0")&amp;" : "&amp;TEXT(_xlfn.XLOOKUP(TabTRADER[[#This Row],[ClickTick]],TabCalc[Ticker],TabCalc[NAfter])*(TabTRADER[[#This Row],[M]]-TabTRADER[[#This Row],[A]])*(1-Commission)*TabTRADER[[#This Row],[Scale]],"#,#0$")</f>
        <v>12,500 : -128,535$</v>
      </c>
      <c r="BD12" s="684">
        <f ca="1">_xlfn.XLOOKUP(TabTRADER[[#This Row],[ClickTick]],TabCalc[[#This Row],[Ticker]],TabCalc[[#This Row],[GL]])*(1-Commission)</f>
        <v>-128534.93799999999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4.277842323651452</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-1.2337422117078418</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-63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3,943$</v>
      </c>
      <c r="G13" s="225" t="str">
        <f ca="1">IFERROR(TRUNC(_xlfn.XLOOKUP(TabTRADER[[#This Row],[ClickTick]],TabCalc[Ticker],ListLastSalep),2)&amp;"x"&amp;_xlfn.XLOOKUP(TabTRADER[[#This Row],[ClickTick]],TabCalc[Ticker],ListLastSalen)&amp;"=   "&amp;TEXT(-_xlfn.XLOOKUP(TabTRADER[[#This Row],[ClickTick]],TabCalc[Ticker],ListReverseB),"#,#0")&amp;"$","")</f>
        <v>97.37x95=   278$</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 = 0</v>
      </c>
      <c r="I13" s="226" t="str">
        <f ca="1">IFERROR(TRUNC(TabCalc[[#This Row],[L_S1p]],2)&amp;"x"&amp;TabCalc[[#This Row],[L_S1n]]&amp;"=   "&amp;TEXT(TabCalc[[#This Row],[ReverseB1]],"#,#0"),"")</f>
        <v>82.67x500=   -8,815</v>
      </c>
      <c r="J13" s="295">
        <f ca="1">_xlfn.XLOOKUP(TabTRADER[[#This Row],[ClickTick]],TabCalc[Ticker],ListGravity)</f>
        <v>1.1342163509471586</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501.5</v>
      </c>
      <c r="M13" s="323">
        <f ca="1">_xlfn.XLOOKUP(TabTRADER[[#This Row],[ClickTick]],TabCalc[Ticker],TabCalc[Agiotage])</f>
        <v>1.2191787082273127E-4</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-6.2419498662440271E-3</v>
      </c>
      <c r="S13" s="683">
        <f ca="1">_xlfn.XLOOKUP(TabTRADER[[#This Row],[ClickTick]],TabCalc[Ticker],TabCalc[Rev(MinStock)])*(1-Commission)</f>
        <v>-62.836200000000964</v>
      </c>
      <c r="T13" s="782">
        <f ca="1">_xlfn.XLOOKUP(TabTRADER[[#This Row],[ClickTick]],TabCalc[Ticker],TabCalc[Agiotage])</f>
        <v>1.2191787082273127E-4</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49/49=&gt;-0.3% / -0.4%</v>
      </c>
      <c r="V13" s="739" t="str">
        <f ca="1">_xlfn.XLOOKUP(TabTRADER[[#This Row],[ClickTick]],[1]!RTData[Ticker_Symbol],[1]!RTData[Currency])</f>
        <v>USD</v>
      </c>
      <c r="W13" s="749">
        <f ca="1">_xlfn.XLOOKUP(TabTRADER[[#This Row],[ClickTick]],TabCalc[Ticker],TabCalc[M])</f>
        <v>100.3</v>
      </c>
      <c r="X13" s="1343"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62.836200000000964</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10531.5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-1.1987412016239372E-2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3.6811565304088701E-3</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-0.17285399629598844</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6.28115653040887E-3</v>
      </c>
      <c r="AP13" s="825" cm="1">
        <f t="array" aca="1" ref="AP13" ca="1">_xlfn.IFS(         TabTRADER[[#This Row],[Traps]]=MDown,TabTRADER[[#This Row],[L_Bn]]*TabTRADER[[#This Row],[M]]*(-(TabTRADER[[#This Row],[L_Bp]]+TabTRADER[[#This Row],[M]])/TabTRADER[[#This Row],[M]])*(1-Commission)*TabTRADER[[#This Row],[Scale]],                               TRUE,"")</f>
        <v>62.836200000000964</v>
      </c>
      <c r="AQ13" s="1186" cm="1">
        <f t="array" aca="1" ref="AQ13" ca="1">_xlfn.IFS(   TabTRADER[[#This Row],[Traps]]=MUp,TabTRADER[[#This Row],[TakeGain_A]]-Commission,        TabTRADER[[#This Row],[Traps]]=MDown,(TabTRADER[[#This Row],[A]]-TabTRADER[[#This Row],[M]])/TabTRADER[[#This Row],[M]]-Commission,                              TRUE,"")</f>
        <v>-1.4445416132554631E-2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-124.42564999999908</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U13" s="765" cm="1">
        <f t="array" aca="1" ref="AU13" ca="1">_xlfn.IFS(TabTRADER[[#This Row],[Traps]]=ReSaleGain,"",         TabTRADER[[#This Row],[Traps]]=MDown, (TabTRADER[[#This Row],[M]]-TabTRADER[[#This Row],[A]])/TabTRADER[[#This Row],[A]]*ComFactor,             TRUE, IFERROR((TabTRADER[[#This Row],[M]]-TabTRADER[[#This Row],[A]])/TabTRADER[[#This Row],[A]]*ComFactor,""))</f>
        <v>1.1956244744997149E-2</v>
      </c>
      <c r="AV13" s="762" cm="1">
        <f t="array" aca="1" ref="AV13" ca="1">_xlfn.IFS(               TabTRADER[[#This Row],[Traps]]=NoStock,(TabTRADER[[#This Row],[L_Sp]]-TabTRADER[[#This Row],[M]])/TabTRADER[[#This Row],[M]]-Commission,             TabTRADER[[#This Row],[A]]&lt;&gt;0,(TabTRADER[[#This Row],[A]]-TabTRADER[[#This Row],[M]])/TabTRADER[[#This Row],[M]]-Commission)</f>
        <v>-1.4445416132554631E-2</v>
      </c>
      <c r="AW13" s="324">
        <f ca="1">_xlfn.XLOOKUP(TabTRADER[[#This Row],[ClickTick]],TabCalc[Ticker],TabCalc[L_Sn])</f>
        <v>95</v>
      </c>
      <c r="AX13" s="728">
        <f ca="1">_xlfn.XLOOKUP(TabTRADER[[#This Row],[ClickTick]],TabCalc[Ticker],TabCalc[L_Sp])</f>
        <v>97.375</v>
      </c>
      <c r="AY13" s="764">
        <f ca="1">-IFERROR((TabTRADER[[#This Row],[M]]-TabTRADER[[#This Row],[L_Sp]])/TabTRADER[[#This Row],[L_Sp]],0)</f>
        <v>-3.0038510911424874E-2</v>
      </c>
      <c r="AZ13" s="729">
        <f ca="1">TabTRADER[[#This Row],[L_Sn]]*(TabTRADER[[#This Row],[M]]-TabTRADER[[#This Row],[L_Sp]])*(1-Commission)*TabTRADER[[#This Row],[Scale]]</f>
        <v>277.15252499999968</v>
      </c>
      <c r="BA13" s="692">
        <f ca="1">TabTRADER[[#This Row],[L_Sn]]*(TabTRADER[[#This Row],[Agiotage]]-TabTRADER[[#This Row],[M]])/(TabTRADER[[#This Row],[L_Bn]]*TabTRADER[[#This Row],[M]])</f>
        <v>-0.94999884524449363</v>
      </c>
      <c r="BB13" s="635">
        <f ca="1">IFERROR((TabTRADER[[#This Row],[M]]-TabTRADER[[#This Row],[A]])/TabTRADER[[#This Row],[A]],0)</f>
        <v>1.1987412016239372E-2</v>
      </c>
      <c r="BC13" s="638" t="str">
        <f ca="1">TEXT(_xlfn.XLOOKUP(TabTRADER[[#This Row],[ClickTick]],TabCalc[Ticker],TabCalc[NAfter]),"#,#0")&amp;" : "&amp;TEXT(_xlfn.XLOOKUP(TabTRADER[[#This Row],[ClickTick]],TabCalc[Ticker],TabCalc[NAfter])*(TabTRADER[[#This Row],[M]]-TabTRADER[[#This Row],[A]])*(1-Commission)*TabTRADER[[#This Row],[Scale]],"#,#0$")</f>
        <v>105 : 124$</v>
      </c>
      <c r="BD13" s="684">
        <f ca="1">_xlfn.XLOOKUP(TabTRADER[[#This Row],[ClickTick]],TabCalc[[#This Row],[Ticker]],TabCalc[[#This Row],[GL]])*(1-Commission)</f>
        <v>40332.726551</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6.28115653040887E-3</v>
      </c>
      <c r="BJ13" s="679">
        <f ca="1">TabTRADER[[#This Row],[L_Sn]]*TabTRADER[[#This Row],[L_Sp]]+TabTRADER[[#This Row],[SellMore]]*TabTRADER[[#This Row],[M]]</f>
        <v>9752.125</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97.521249999999995</v>
      </c>
      <c r="BN13" s="687">
        <f ca="1">((_xlfn.XLOOKUP(TabTRADER[[#This Row],[ClickTick]],TabCalc[Ticker],TabCalc[NAfter])+TabTRADER[[#This Row],[L_Sn]])*(TabTRADER[[#This Row],[Agiotage]]-TabTRADER[[#This Row],[M]]))/(TabTRADER[[#This Row],[L_Sn]]*_xlfn.XLOOKUP(TabTRADER[[#This Row],[ClickTick]],TabCalc[Ticker],TabCalc[NAfter]))</f>
        <v>-2.0110251244537176</v>
      </c>
      <c r="BO13" s="687">
        <f ca="1">(TabTRADER[[#This Row],[M]]-TabTRADER[[#This Row],[Agiotage]])/(TabTRADER[[#This Row],[M]]-TabTRADER[[#This Row],[A]])-1</f>
        <v>83.420739067123364</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+10,800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13.8%</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463/1,000=36,111</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19,065$</v>
      </c>
      <c r="G14" s="225" t="str">
        <f ca="1">IFERROR(TRUNC(_xlfn.XLOOKUP(TabTRADER[[#This Row],[ClickTick]],TabCalc[Ticker],ListLastSalep),2)&amp;"x"&amp;_xlfn.XLOOKUP(TabTRADER[[#This Row],[ClickTick]],TabCalc[Ticker],ListLastSalen)&amp;"=   "&amp;TEXT(-_xlfn.XLOOKUP(TabTRADER[[#This Row],[ClickTick]],TabCalc[Ticker],ListReverseB),"#,#0")&amp;"$","")</f>
        <v>69.34x1000=   8,660$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14" s="226" t="str">
        <f ca="1">IFERROR(TRUNC(TabCalc[[#This Row],[L_S1p]],2)&amp;"x"&amp;TabCalc[[#This Row],[L_S1n]]&amp;"=   "&amp;TEXT(TabCalc[[#This Row],[ReverseB1]],"#,#0"),"")</f>
        <v>68.32x1000=   -9,680</v>
      </c>
      <c r="J14" s="295">
        <f ca="1">_xlfn.XLOOKUP(TabTRADER[[#This Row],[ClickTick]],TabCalc[Ticker],ListGravity)</f>
        <v>0.97808910256410253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4.3965705683731403E-4</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0.16071428571428567</v>
      </c>
      <c r="S14" s="683">
        <f ca="1">_xlfn.XLOOKUP(TabTRADER[[#This Row],[ClickTick]],TabCalc[Ticker],TabCalc[Rev(MinStock)])*(1-Commission)</f>
        <v>10771.919999999996</v>
      </c>
      <c r="T14" s="782">
        <f ca="1">_xlfn.XLOOKUP(TabTRADER[[#This Row],[ClickTick]],TabCalc[Ticker],TabCalc[Agiotage])</f>
        <v>4.3965705683731403E-4</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1,420/1,420=&gt;-0.2% / 0.8%</v>
      </c>
      <c r="V14" s="739" t="str">
        <f ca="1">_xlfn.XLOOKUP(TabTRADER[[#This Row],[ClickTick]],[1]!RTData[Ticker_Symbol],[1]!RTData[Currency])</f>
        <v>USD</v>
      </c>
      <c r="W14" s="708">
        <f ca="1">_xlfn.XLOOKUP(TabTRADER[[#This Row],[ClickTick]],TabCalc[Ticker],TabCalc[M])</f>
        <v>78</v>
      </c>
      <c r="X14" s="1343"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^139/78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8637.4839999999967</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10771.919999999996</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0.16071428571428567</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0.10842564102564098</v>
      </c>
      <c r="AL14" s="825" cm="1">
        <f t="array" aca="1" ref="AL14" ca="1">_xlfn.IFS(   TabTRADER[[#This Row],[Traps]]=SellMorePercentGain,                     MIN(TabTRADER[[#This Row],[L_Sn]],TabTRADER[[#This Row],[N]])*(TabTRADER[[#This Row],[M]]-TabTRADER[[#This Row],[L_Sp]])*(1-Commission)*TabTRADER[[#This Row],[Scale]],                    TRUE,"")</f>
        <v>8637.4839999999967</v>
      </c>
      <c r="AM14" s="1175">
        <f ca="1">_xlfn.XLOOKUP(TabTRADER[[#This Row],[ClickTick]],TabCalc[Ticker],TabCalc[Ann%RevLB])</f>
        <v>1.1126373626373622</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0.15811428571428568</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12503.121428571425</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1,000x10.8</v>
      </c>
      <c r="AU14" s="765" cm="1">
        <f t="array" aca="1" ref="AU14" ca="1">_xlfn.IFS(TabTRADER[[#This Row],[Traps]]=ReSaleGain,"",         TabTRADER[[#This Row],[Traps]]=MDown, (TabTRADER[[#This Row],[M]]-TabTRADER[[#This Row],[A]])/TabTRADER[[#This Row],[A]]*ComFactor,             TRUE, IFERROR((TabTRADER[[#This Row],[M]]-TabTRADER[[#This Row],[A]])/TabTRADER[[#This Row],[A]]*ComFactor,""))</f>
        <v>0.16029642857142853</v>
      </c>
      <c r="AV14" s="762" cm="1">
        <f t="array" aca="1" ref="AV14" ca="1">_xlfn.IFS(               TabTRADER[[#This Row],[Traps]]=NoStock,(TabTRADER[[#This Row],[L_Sp]]-TabTRADER[[#This Row],[M]])/TabTRADER[[#This Row],[M]]-Commission,             TabTRADER[[#This Row],[A]]&lt;&gt;0,(TabTRADER[[#This Row],[A]]-TabTRADER[[#This Row],[M]])/TabTRADER[[#This Row],[M]]-Commission)</f>
        <v>-0.1410615384615384</v>
      </c>
      <c r="AW14" s="324">
        <f ca="1">_xlfn.XLOOKUP(TabTRADER[[#This Row],[ClickTick]],TabCalc[Ticker],TabCalc[L_Sn])</f>
        <v>1000</v>
      </c>
      <c r="AX14" s="728">
        <f ca="1">_xlfn.XLOOKUP(TabTRADER[[#This Row],[ClickTick]],TabCalc[Ticker],TabCalc[L_Sp])</f>
        <v>69.34</v>
      </c>
      <c r="AY14" s="764">
        <f ca="1">-IFERROR((TabTRADER[[#This Row],[M]]-TabTRADER[[#This Row],[L_Sp]])/TabTRADER[[#This Row],[L_Sp]],0)</f>
        <v>-0.12489183732333424</v>
      </c>
      <c r="AZ14" s="729">
        <f ca="1">TabTRADER[[#This Row],[L_Sn]]*(TabTRADER[[#This Row],[M]]-TabTRADER[[#This Row],[L_Sp]])*(1-Commission)*TabTRADER[[#This Row],[Scale]]</f>
        <v>8637.4839999999967</v>
      </c>
      <c r="BA14" s="692">
        <f ca="1">TabTRADER[[#This Row],[L_Sn]]*(TabTRADER[[#This Row],[Agiotage]]-TabTRADER[[#This Row],[M]])/(TabTRADER[[#This Row],[L_Bn]]*TabTRADER[[#This Row],[M]])</f>
        <v>-0.99999436337106618</v>
      </c>
      <c r="BB14" s="635">
        <f ca="1">IFERROR((TabTRADER[[#This Row],[M]]-TabTRADER[[#This Row],[A]])/TabTRADER[[#This Row],[A]],0)</f>
        <v>0.16071428571428567</v>
      </c>
      <c r="BC14" s="638" t="str">
        <f ca="1">TEXT(_xlfn.XLOOKUP(TabTRADER[[#This Row],[ClickTick]],TabCalc[Ticker],TabCalc[NAfter]),"#,#0")&amp;" : "&amp;TEXT(_xlfn.XLOOKUP(TabTRADER[[#This Row],[ClickTick]],TabCalc[Ticker],TabCalc[NAfter])*(TabTRADER[[#This Row],[M]]-TabTRADER[[#This Row],[A]])*(1-Commission)*TabTRADER[[#This Row],[Scale]],"#,#0$")</f>
        <v>1,000 : 10,772$</v>
      </c>
      <c r="BD14" s="684">
        <f ca="1">_xlfn.XLOOKUP(TabTRADER[[#This Row],[ClickTick]],TabCalc[[#This Row],[Ticker]],TabCalc[[#This Row],[GL]])*(1-Commission)</f>
        <v>138278.38898999998</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0.11102564102564098</v>
      </c>
      <c r="BJ14" s="679">
        <f ca="1">TabTRADER[[#This Row],[L_Sn]]*TabTRADER[[#This Row],[L_Sp]]+TabTRADER[[#This Row],[SellMore]]*TabTRADER[[#This Row],[M]]</f>
        <v>147340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73.67</v>
      </c>
      <c r="BN14" s="687">
        <f ca="1">((_xlfn.XLOOKUP(TabTRADER[[#This Row],[ClickTick]],TabCalc[Ticker],TabCalc[NAfter])+TabTRADER[[#This Row],[L_Sn]])*(TabTRADER[[#This Row],[Agiotage]]-TabTRADER[[#This Row],[M]]))/(TabTRADER[[#This Row],[L_Sn]]*_xlfn.XLOOKUP(TabTRADER[[#This Row],[ClickTick]],TabCalc[Ticker],TabCalc[NAfter]))</f>
        <v>-0.15599912068588634</v>
      </c>
      <c r="BO14" s="687">
        <f ca="1">(TabTRADER[[#This Row],[M]]-TabTRADER[[#This Row],[Agiotage]])/(TabTRADER[[#This Row],[M]]-TabTRADER[[#This Row],[A]])-1</f>
        <v>6.2221815132354807</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793$</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5" s="226" t="str">
        <f ca="1">IFERROR(TRUNC(TabCalc[[#This Row],[L_S1p]],2)&amp;"x"&amp;TabCalc[[#This Row],[L_S1n]]&amp;"=   "&amp;TEXT(TabCalc[[#This Row],[ReverseB1]],"#,#0"),"")</f>
        <v>62.73x750=   -11,351</v>
      </c>
      <c r="J15" s="295">
        <f ca="1">_xlfn.XLOOKUP(TabTRADER[[#This Row],[ClickTick]],TabCalc[Ticker],ListGravity)</f>
        <v>1.1619365609348915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4.9106485735995575E-5</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0.38914185926656814</v>
      </c>
      <c r="S15" s="683">
        <f ca="1">_xlfn.XLOOKUP(TabTRADER[[#This Row],[ClickTick]],TabCalc[Ticker],TabCalc[Rev(MinStock)])*(1-Commission)</f>
        <v>21.757094094000003</v>
      </c>
      <c r="T15" s="782">
        <f ca="1">_xlfn.XLOOKUP(TabTRADER[[#This Row],[ClickTick]],TabCalc[Ticker],TabCalc[Agiotage])</f>
        <v>4.9106485735995575E-5</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-2/-2=&gt;0.2% / -1.7%</v>
      </c>
      <c r="V15" s="739" t="str">
        <f ca="1">_xlfn.XLOOKUP(TabTRADER[[#This Row],[ClickTick]],[1]!RTData[Ticker_Symbol],[1]!RTData[Currency])</f>
        <v>USD</v>
      </c>
      <c r="W15" s="749">
        <f ca="1">_xlfn.XLOOKUP(TabTRADER[[#This Row],[ClickTick]],TabCalc[Ticker],TabCalc[M])</f>
        <v>77.87</v>
      </c>
      <c r="X15" s="1343"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3.1767190000000021</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21.757094094000003</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0.38914185926656814</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3.8301502504173648E-2</v>
      </c>
      <c r="AL15" s="825" cm="1">
        <f t="array" aca="1" ref="AL15" ca="1">_xlfn.IFS(   TabTRADER[[#This Row],[Traps]]=SellMorePercentGain,                     MIN(TabTRADER[[#This Row],[L_Sn]],TabTRADER[[#This Row],[N]])*(TabTRADER[[#This Row],[M]]-TabTRADER[[#This Row],[L_Sp]])*(1-Commission)*TabTRADER[[#This Row],[Scale]],                    TRUE,"")</f>
        <v>3.1767190000000021</v>
      </c>
      <c r="AM15" s="1175">
        <f ca="1">_xlfn.XLOOKUP(TabTRADER[[#This Row],[ClickTick]],TabCalc[Ticker],TabCalc[Ann%RevLB])</f>
        <v>0.47650023583661405</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0.38654185926656814</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30.223690141976835</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-1.8%</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1x21.81</v>
      </c>
      <c r="AU15" s="765" cm="1">
        <f t="array" aca="1" ref="AU15" ca="1">_xlfn.IFS(TabTRADER[[#This Row],[Traps]]=ReSaleGain,"",         TabTRADER[[#This Row],[Traps]]=MDown, (TabTRADER[[#This Row],[M]]-TabTRADER[[#This Row],[A]])/TabTRADER[[#This Row],[A]]*ComFactor,             TRUE, IFERROR((TabTRADER[[#This Row],[M]]-TabTRADER[[#This Row],[A]])/TabTRADER[[#This Row],[A]]*ComFactor,""))</f>
        <v>0.38813009043247504</v>
      </c>
      <c r="AV15" s="762" cm="1">
        <f t="array" aca="1" ref="AV15" ca="1">_xlfn.IFS(               TabTRADER[[#This Row],[Traps]]=NoStock,(TabTRADER[[#This Row],[L_Sp]]-TabTRADER[[#This Row],[M]])/TabTRADER[[#This Row],[M]]-Commission,             TabTRADER[[#This Row],[A]]&lt;&gt;0,(TabTRADER[[#This Row],[A]]-TabTRADER[[#This Row],[M]])/TabTRADER[[#This Row],[M]]-Commission)</f>
        <v>-0.28273111596250161</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-4.2645778938207167E-2</v>
      </c>
      <c r="AZ15" s="729">
        <f ca="1">TabTRADER[[#This Row],[L_Sn]]*(TabTRADER[[#This Row],[M]]-TabTRADER[[#This Row],[L_Sp]])*(1-Commission)*TabTRADER[[#This Row],[Scale]]</f>
        <v>791.00303100000042</v>
      </c>
      <c r="BA15" s="692">
        <f ca="1">TabTRADER[[#This Row],[L_Sn]]*(TabTRADER[[#This Row],[Agiotage]]-TabTRADER[[#This Row],[M]])/(TabTRADER[[#This Row],[L_Bn]]*TabTRADER[[#This Row],[M]])</f>
        <v>-0.12449992148764</v>
      </c>
      <c r="BB15" s="635">
        <f ca="1">IFERROR((TabTRADER[[#This Row],[M]]-TabTRADER[[#This Row],[A]])/TabTRADER[[#This Row],[A]],0)</f>
        <v>0.38914185926656814</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-44331.133592999999</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4.0901502504173647E-2</v>
      </c>
      <c r="BJ15" s="679">
        <f ca="1">TabTRADER[[#This Row],[L_Sn]]*TabTRADER[[#This Row],[L_Sp]]+TabTRADER[[#This Row],[SellMore]]*TabTRADER[[#This Row],[M]]</f>
        <v>18674.435000000001</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74.69774000000001</v>
      </c>
      <c r="BN15" s="687">
        <f ca="1">((_xlfn.XLOOKUP(TabTRADER[[#This Row],[ClickTick]],TabCalc[Ticker],TabCalc[NAfter])+TabTRADER[[#This Row],[L_Sn]])*(TabTRADER[[#This Row],[Agiotage]]-TabTRADER[[#This Row],[M]]))/(TabTRADER[[#This Row],[L_Sn]]*_xlfn.XLOOKUP(TabTRADER[[#This Row],[ClickTick]],TabCalc[Ticker],TabCalc[NAfter]))</f>
        <v>-78.182681619994241</v>
      </c>
      <c r="BO15" s="687">
        <f ca="1">(TabTRADER[[#This Row],[M]]-TabTRADER[[#This Row],[Agiotage]])/(TabTRADER[[#This Row],[M]]-TabTRADER[[#This Row],[A]])-1</f>
        <v>2.5697547055518619</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+5,200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12.0%</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-22,350$</v>
      </c>
      <c r="G16" s="225" t="str">
        <f ca="1">IFERROR(TRUNC(_xlfn.XLOOKUP(TabTRADER[[#This Row],[ClickTick]],TabCalc[Ticker],ListLastSalep),2)&amp;"x"&amp;_xlfn.XLOOKUP(TabTRADER[[#This Row],[ClickTick]],TabCalc[Ticker],ListLastSalen)&amp;"=   "&amp;TEXT(-_xlfn.XLOOKUP(TabTRADER[[#This Row],[ClickTick]],TabCalc[Ticker],ListReverseB),"#,#0")&amp;"$","")</f>
        <v>3.15x10000=   -9,800$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45.2% = 5,102</v>
      </c>
      <c r="I16" s="226" t="str">
        <f ca="1">IFERROR(TRUNC(TabCalc[[#This Row],[L_S1p]],2)&amp;"x"&amp;TabCalc[[#This Row],[L_S1n]]&amp;"=   "&amp;TEXT(TabCalc[[#This Row],[ReverseB1]],"#,#0"),"")</f>
        <v>3.08x5000=   4,550</v>
      </c>
      <c r="J16" s="295">
        <f ca="1">_xlfn.XLOOKUP(TabTRADER[[#This Row],[ClickTick]],TabCalc[Ticker],ListGravity)</f>
        <v>1.4976958525345623</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97650</v>
      </c>
      <c r="M16" s="323">
        <f ca="1">_xlfn.XLOOKUP(TabTRADER[[#This Row],[ClickTick]],TabCalc[Ticker],TabCalc[Agiotage])</f>
        <v>4.5786842046550367E-4</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0.13612565445026178</v>
      </c>
      <c r="S16" s="683">
        <f ca="1">_xlfn.XLOOKUP(TabTRADER[[#This Row],[ClickTick]],TabCalc[Ticker],TabCalc[Rev(MinStock)])*(1-Commission)</f>
        <v>5186.4799999999996</v>
      </c>
      <c r="T16" s="782">
        <f ca="1">_xlfn.XLOOKUP(TabTRADER[[#This Row],[ClickTick]],TabCalc[Ticker],TabCalc[Agiotage])</f>
        <v>4.5786842046550367E-4</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7,225/7,225=&gt;-1.1% / 0.5%</v>
      </c>
      <c r="V16" s="739" t="str">
        <f ca="1">_xlfn.XLOOKUP(TabTRADER[[#This Row],[ClickTick]],[1]!RTData[Ticker_Symbol],[1]!RTData[Currency])</f>
        <v>USD</v>
      </c>
      <c r="W16" s="749">
        <f ca="1">_xlfn.XLOOKUP(TabTRADER[[#This Row],[ClickTick]],TabCalc[Ticker],TabCalc[M])</f>
        <v>2.17</v>
      </c>
      <c r="X16" s="1343"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-328/184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9774.52</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9774.52</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0.31111111111111112</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0.26066614681965022</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-69269.429999999978</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-0.27282170145726659</v>
      </c>
      <c r="AV16" s="762" cm="1">
        <f t="array" aca="1" ref="AV16" ca="1">_xlfn.IFS(               TabTRADER[[#This Row],[Traps]]=NoStock,(TabTRADER[[#This Row],[L_Sp]]-TabTRADER[[#This Row],[M]])/TabTRADER[[#This Row],[M]]-Commission,             TabTRADER[[#This Row],[A]]&lt;&gt;0,(TabTRADER[[#This Row],[A]]-TabTRADER[[#This Row],[M]])/TabTRADER[[#This Row],[M]]-Commission)</f>
        <v>0.37392480346977497</v>
      </c>
      <c r="AW16" s="324">
        <f ca="1">_xlfn.XLOOKUP(TabTRADER[[#This Row],[ClickTick]],TabCalc[Ticker],TabCalc[L_Sn])</f>
        <v>10000</v>
      </c>
      <c r="AX16" s="728">
        <f ca="1">_xlfn.XLOOKUP(TabTRADER[[#This Row],[ClickTick]],TabCalc[Ticker],TabCalc[L_Sp])</f>
        <v>3.15</v>
      </c>
      <c r="AY16" s="764">
        <f ca="1">-IFERROR((TabTRADER[[#This Row],[M]]-TabTRADER[[#This Row],[L_Sp]])/TabTRADER[[#This Row],[L_Sp]],0)</f>
        <v>0.31111111111111112</v>
      </c>
      <c r="AZ16" s="729">
        <f ca="1">TabTRADER[[#This Row],[L_Sn]]*(TabTRADER[[#This Row],[M]]-TabTRADER[[#This Row],[L_Sp]])*(1-Commission)*TabTRADER[[#This Row],[Scale]]</f>
        <v>-9774.52</v>
      </c>
      <c r="BA16" s="692">
        <f ca="1">TabTRADER[[#This Row],[L_Sn]]*(TabTRADER[[#This Row],[Agiotage]]-TabTRADER[[#This Row],[M]])/(TabTRADER[[#This Row],[L_Bn]]*TabTRADER[[#This Row],[M]])</f>
        <v>-0.49989450036394795</v>
      </c>
      <c r="BB16" s="635">
        <f ca="1">IFERROR((TabTRADER[[#This Row],[M]]-TabTRADER[[#This Row],[A]])/TabTRADER[[#This Row],[A]],0)</f>
        <v>-0.27353288696337136</v>
      </c>
      <c r="BC16" s="638" t="str">
        <f ca="1">TEXT(_xlfn.XLOOKUP(TabTRADER[[#This Row],[ClickTick]],TabCalc[Ticker],TabCalc[NAfter]),"#,#0")&amp;" : "&amp;TEXT(_xlfn.XLOOKUP(TabTRADER[[#This Row],[ClickTick]],TabCalc[Ticker],TabCalc[NAfter])*(TabTRADER[[#This Row],[M]]-TabTRADER[[#This Row],[A]])*(1-Commission)*TabTRADER[[#This Row],[Scale]],"#,#0$")</f>
        <v>85,000 : -69,269$</v>
      </c>
      <c r="BD16" s="684">
        <f ca="1">_xlfn.XLOOKUP(TabTRADER[[#This Row],[ClickTick]],TabCalc[[#This Row],[Ticker]],TabCalc[[#This Row],[GL]])*(1-Commission)</f>
        <v>-327311.27230000001</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-2.4247823823535974E-4</v>
      </c>
      <c r="BO16" s="687">
        <f ca="1">(TabTRADER[[#This Row],[M]]-TabTRADER[[#This Row],[Agiotage]])/(TabTRADER[[#This Row],[M]]-TabTRADER[[#This Row],[A]])-1</f>
        <v>-3.6553071444817919</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-8,078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-2,784$</v>
      </c>
      <c r="G17" s="225" t="str">
        <f ca="1">IFERROR(TRUNC(_xlfn.XLOOKUP(TabTRADER[[#This Row],[ClickTick]],TabCalc[Ticker],ListLastSalep),2)&amp;"x"&amp;_xlfn.XLOOKUP(TabTRADER[[#This Row],[ClickTick]],TabCalc[Ticker],ListLastSalen)&amp;"=   "&amp;TEXT(-_xlfn.XLOOKUP(TabTRADER[[#This Row],[ClickTick]],TabCalc[Ticker],ListReverseB),"#,#0")&amp;"$","")</f>
        <v>119.38x800=   -10,864$</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368</v>
      </c>
      <c r="I17" s="226" t="str">
        <f ca="1">IFERROR(TRUNC(TabCalc[[#This Row],[L_S1p]],2)&amp;"x"&amp;TabCalc[[#This Row],[L_S1n]]&amp;"=   "&amp;TEXT(TabCalc[[#This Row],[ReverseB1]],"#,#0"),"")</f>
        <v>117.4x400=   4,640</v>
      </c>
      <c r="J17" s="295">
        <f ca="1">_xlfn.XLOOKUP(TabTRADER[[#This Row],[ClickTick]],TabCalc[Ticker],ListGravity)</f>
        <v>1.2672249527410206</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68770</v>
      </c>
      <c r="M17" s="323">
        <f ca="1">_xlfn.XLOOKUP(TabTRADER[[#This Row],[ClickTick]],TabCalc[Ticker],TabCalc[Agiotage])</f>
        <v>5.8750465755093165E-4</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-8.7124398714381213E-2</v>
      </c>
      <c r="S17" s="683">
        <f ca="1">_xlfn.XLOOKUP(TabTRADER[[#This Row],[ClickTick]],TabCalc[Ticker],TabCalc[Rev(MinStock)])*(1-Commission)</f>
        <v>-8056.9971999999971</v>
      </c>
      <c r="T17" s="782">
        <f ca="1">_xlfn.XLOOKUP(TabTRADER[[#This Row],[ClickTick]],TabCalc[Ticker],TabCalc[Agiotage])</f>
        <v>5.8750465755093165E-4</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-1,720/-1,720=&gt;0.2% / -1.7%</v>
      </c>
      <c r="V17" s="739" t="str">
        <f ca="1">_xlfn.XLOOKUP(TabTRADER[[#This Row],[ClickTick]],[1]!RTData[Ticker_Symbol],[1]!RTData[Currency])</f>
        <v>USD</v>
      </c>
      <c r="W17" s="749">
        <f ca="1">_xlfn.XLOOKUP(TabTRADER[[#This Row],[ClickTick]],TabCalc[Ticker],TabCalc[M])</f>
        <v>105.8</v>
      </c>
      <c r="X17" s="1343"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^14/106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8056.9971999999971</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105800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7.6579328643496786E-2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9.2839508506616222E-2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-0.46124681672319467</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9.5439508506616227E-2</v>
      </c>
      <c r="AP17" s="825" cm="1">
        <f t="array" aca="1" ref="AP17" ca="1">_xlfn.IFS(         TabTRADER[[#This Row],[Traps]]=MDown,TabTRADER[[#This Row],[L_Bn]]*TabTRADER[[#This Row],[M]]*(-(TabTRADER[[#This Row],[L_Bp]]+TabTRADER[[#This Row],[M]])/TabTRADER[[#This Row],[M]])*(1-Commission)*TabTRADER[[#This Row],[Scale]],                               TRUE,"")</f>
        <v>8056.9971999999971</v>
      </c>
      <c r="AQ17" s="1186" cm="1">
        <f t="array" aca="1" ref="AQ17" ca="1">_xlfn.IFS(   TabTRADER[[#This Row],[Traps]]=MUp,TabTRADER[[#This Row],[TakeGain_A]]-Commission,        TabTRADER[[#This Row],[Traps]]=MDown,(TabTRADER[[#This Row],[A]]-TabTRADER[[#This Row],[M]])/TabTRADER[[#This Row],[M]]-Commission,                              TRUE,"")</f>
        <v>8.0330056710775047E-2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8751.1875999999993</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-10.09</v>
      </c>
      <c r="AU17" s="765" cm="1">
        <f t="array" aca="1" ref="AU17" ca="1">_xlfn.IFS(TabTRADER[[#This Row],[Traps]]=ReSaleGain,"",         TabTRADER[[#This Row],[Traps]]=MDown, (TabTRADER[[#This Row],[M]]-TabTRADER[[#This Row],[A]])/TabTRADER[[#This Row],[A]]*ComFactor,             TRUE, IFERROR((TabTRADER[[#This Row],[M]]-TabTRADER[[#This Row],[A]])/TabTRADER[[#This Row],[A]]*ComFactor,""))</f>
        <v>-7.6380222389023686E-2</v>
      </c>
      <c r="AV17" s="762" cm="1">
        <f t="array" aca="1" ref="AV17" ca="1">_xlfn.IFS(               TabTRADER[[#This Row],[Traps]]=NoStock,(TabTRADER[[#This Row],[L_Sp]]-TabTRADER[[#This Row],[M]])/TabTRADER[[#This Row],[M]]-Commission,             TabTRADER[[#This Row],[A]]&lt;&gt;0,(TabTRADER[[#This Row],[A]]-TabTRADER[[#This Row],[M]])/TabTRADER[[#This Row],[M]]-Commission)</f>
        <v>8.0330056710775047E-2</v>
      </c>
      <c r="AW17" s="324">
        <f ca="1">_xlfn.XLOOKUP(TabTRADER[[#This Row],[ClickTick]],TabCalc[Ticker],TabCalc[L_Sn])</f>
        <v>800</v>
      </c>
      <c r="AX17" s="728">
        <f ca="1">_xlfn.XLOOKUP(TabTRADER[[#This Row],[ClickTick]],TabCalc[Ticker],TabCalc[L_Sp])</f>
        <v>119.38</v>
      </c>
      <c r="AY17" s="764">
        <f ca="1">-IFERROR((TabTRADER[[#This Row],[M]]-TabTRADER[[#This Row],[L_Sp]])/TabTRADER[[#This Row],[L_Sp]],0)</f>
        <v>0.11375439772156139</v>
      </c>
      <c r="AZ17" s="729">
        <f ca="1">TabTRADER[[#This Row],[L_Sn]]*(TabTRADER[[#This Row],[M]]-TabTRADER[[#This Row],[L_Sp]])*(1-Commission)*TabTRADER[[#This Row],[Scale]]</f>
        <v>-10835.753599999998</v>
      </c>
      <c r="BA17" s="692">
        <f ca="1">TabTRADER[[#This Row],[L_Sn]]*(TabTRADER[[#This Row],[Agiotage]]-TabTRADER[[#This Row],[M]])/(TabTRADER[[#This Row],[L_Bn]]*TabTRADER[[#This Row],[M]])</f>
        <v>-0.99999444702592111</v>
      </c>
      <c r="BB17" s="635">
        <f ca="1">IFERROR((TabTRADER[[#This Row],[M]]-TabTRADER[[#This Row],[A]])/TabTRADER[[#This Row],[A]],0)</f>
        <v>-7.6579328643496786E-2</v>
      </c>
      <c r="BC17" s="638" t="str">
        <f ca="1">TEXT(_xlfn.XLOOKUP(TabTRADER[[#This Row],[ClickTick]],TabCalc[Ticker],TabCalc[NAfter]),"#,#0")&amp;" : "&amp;TEXT(_xlfn.XLOOKUP(TabTRADER[[#This Row],[ClickTick]],TabCalc[Ticker],TabCalc[NAfter])*(TabTRADER[[#This Row],[M]]-TabTRADER[[#This Row],[A]])*(1-Commission)*TabTRADER[[#This Row],[Scale]],"#,#0$")</f>
        <v>1,000 : -8,751$</v>
      </c>
      <c r="BD17" s="684">
        <f ca="1">_xlfn.XLOOKUP(TabTRADER[[#This Row],[ClickTick]],TabCalc[[#This Row],[Ticker]],TabCalc[[#This Row],[GL]])*(1-Commission)</f>
        <v>14065.821531199954</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9.5439508506616227E-2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-0.23804867811452052</v>
      </c>
      <c r="BO17" s="687">
        <f ca="1">(TabTRADER[[#This Row],[M]]-TabTRADER[[#This Row],[Agiotage]])/(TabTRADER[[#This Row],[M]]-TabTRADER[[#This Row],[A]])-1</f>
        <v>-13.058287268673631</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-5,660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-11.9%</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-3,570$</v>
      </c>
      <c r="G18" s="225" t="str">
        <f ca="1">IFERROR(TRUNC(_xlfn.XLOOKUP(TabTRADER[[#This Row],[ClickTick]],TabCalc[Ticker],ListLastSalep),2)&amp;"x"&amp;_xlfn.XLOOKUP(TabTRADER[[#This Row],[ClickTick]],TabCalc[Ticker],ListLastSalen)&amp;"=   "&amp;TEXT(-_xlfn.XLOOKUP(TabTRADER[[#This Row],[ClickTick]],TabCalc[Ticker],ListReverseB),"#,#0")&amp;"$","")</f>
        <v>29.14x2000=   -10,660$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22.4% = 938</v>
      </c>
      <c r="I18" s="226" t="str">
        <f ca="1">IFERROR(TRUNC(TabCalc[[#This Row],[L_S1p]],2)&amp;"x"&amp;TabCalc[[#This Row],[L_S1n]]&amp;"=   "&amp;TEXT(TabCalc[[#This Row],[ReverseB1]],"#,#0"),"")</f>
        <v>38.69x500=   7,440</v>
      </c>
      <c r="J18" s="295">
        <f ca="1">_xlfn.XLOOKUP(TabTRADER[[#This Row],[ClickTick]],TabCalc[Ticker],ListGravity)</f>
        <v>1.3388399832003361</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89287.5</v>
      </c>
      <c r="M18" s="323">
        <f ca="1">_xlfn.XLOOKUP(TabTRADER[[#This Row],[ClickTick]],TabCalc[Ticker],TabCalc[Agiotage])</f>
        <v>0.10492537313432836</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-0.10623123123123129</v>
      </c>
      <c r="S18" s="683">
        <f ca="1">_xlfn.XLOOKUP(TabTRADER[[#This Row],[ClickTick]],TabCalc[Ticker],TabCalc[Rev(MinStock)])*(1-Commission)</f>
        <v>-5645.2840000000033</v>
      </c>
      <c r="T18" s="782">
        <f ca="1">_xlfn.XLOOKUP(TabTRADER[[#This Row],[ClickTick]],TabCalc[Ticker],TabCalc[Agiotage])</f>
        <v>0.10492537313432836</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-760/-760=&gt;0.3% / -0.8%</v>
      </c>
      <c r="V18" s="739" t="str">
        <f ca="1">_xlfn.XLOOKUP(TabTRADER[[#This Row],[ClickTick]],[1]!RTData[Ticker_Symbol],[1]!RTData[Currency])</f>
        <v>EUR</v>
      </c>
      <c r="W18" s="749">
        <f ca="1">_xlfn.XLOOKUP(TabTRADER[[#This Row],[ClickTick]],TabCalc[Ticker],TabCalc[M])</f>
        <v>23.81</v>
      </c>
      <c r="X18" s="1343"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-11/95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10632.284000000003</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10632.284000000003</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0.18291008922443383</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-0.40256045519203437</v>
      </c>
      <c r="AN18" s="1281">
        <f ca="1">_xlfn.XLOOKUP(TabTRADER[[#This Row],[ClickTick]],TabCalc[Ticker],TabCalc[Up20])</f>
        <v>0</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-24984.87000000001</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-0.20770529553578859</v>
      </c>
      <c r="AV18" s="762" cm="1">
        <f t="array" aca="1" ref="AV18" ca="1">_xlfn.IFS(               TabTRADER[[#This Row],[Traps]]=NoStock,(TabTRADER[[#This Row],[L_Sp]]-TabTRADER[[#This Row],[M]])/TabTRADER[[#This Row],[M]]-Commission,             TabTRADER[[#This Row],[A]]&lt;&gt;0,(TabTRADER[[#This Row],[A]]-TabTRADER[[#This Row],[M]])/TabTRADER[[#This Row],[M]]-Commission)</f>
        <v>0.26041973960520803</v>
      </c>
      <c r="AW18" s="324">
        <f ca="1">_xlfn.XLOOKUP(TabTRADER[[#This Row],[ClickTick]],TabCalc[Ticker],TabCalc[L_Sn])</f>
        <v>2000</v>
      </c>
      <c r="AX18" s="728">
        <f ca="1">_xlfn.XLOOKUP(TabTRADER[[#This Row],[ClickTick]],TabCalc[Ticker],TabCalc[L_Sp])</f>
        <v>29.14</v>
      </c>
      <c r="AY18" s="764">
        <f ca="1">-IFERROR((TabTRADER[[#This Row],[M]]-TabTRADER[[#This Row],[L_Sp]])/TabTRADER[[#This Row],[L_Sp]],0)</f>
        <v>0.18291008922443383</v>
      </c>
      <c r="AZ18" s="729">
        <f ca="1">TabTRADER[[#This Row],[L_Sn]]*(TabTRADER[[#This Row],[M]]-TabTRADER[[#This Row],[L_Sp]])*(1-Commission)*TabTRADER[[#This Row],[Scale]]</f>
        <v>-10632.284000000003</v>
      </c>
      <c r="BA18" s="692">
        <f ca="1">TabTRADER[[#This Row],[L_Sn]]*(TabTRADER[[#This Row],[Agiotage]]-TabTRADER[[#This Row],[M]])/(TabTRADER[[#This Row],[L_Bn]]*TabTRADER[[#This Row],[M]])</f>
        <v>-0.9955932224639088</v>
      </c>
      <c r="BB18" s="635">
        <f ca="1">IFERROR((TabTRADER[[#This Row],[M]]-TabTRADER[[#This Row],[A]])/TabTRADER[[#This Row],[A]],0)</f>
        <v>-0.20824673705212413</v>
      </c>
      <c r="BC18" s="638" t="str">
        <f ca="1">TEXT(_xlfn.XLOOKUP(TabTRADER[[#This Row],[ClickTick]],TabCalc[Ticker],TabCalc[NAfter]),"#,#0")&amp;" : "&amp;TEXT(_xlfn.XLOOKUP(TabTRADER[[#This Row],[ClickTick]],TabCalc[Ticker],TabCalc[NAfter])*(TabTRADER[[#This Row],[M]]-TabTRADER[[#This Row],[A]])*(1-Commission)*TabTRADER[[#This Row],[Scale]],"#,#0$")</f>
        <v>4,000 : -24,985$</v>
      </c>
      <c r="BD18" s="684">
        <f ca="1">_xlfn.XLOOKUP(TabTRADER[[#This Row],[ClickTick]],TabCalc[[#This Row],[Ticker]],TabCalc[[#This Row],[GL]])*(1-Commission)</f>
        <v>-10580.012260800062</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-1.7778805970149254E-2</v>
      </c>
      <c r="BO18" s="687">
        <f ca="1">(TabTRADER[[#This Row],[M]]-TabTRADER[[#This Row],[Agiotage]])/(TabTRADER[[#This Row],[M]]-TabTRADER[[#This Row],[A]])-1</f>
        <v>-4.7852414573837381</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+2,256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2,646</v>
      </c>
      <c r="F19" s="226" t="str">
        <f ca="1">TRUNC(TabCalc[[#This Row],[L_B1p]],2)&amp;"x"&amp;TabCalc[[#This Row],[L_B1n]]&amp;"=   "&amp;TEXT(TabCalc[[#This Row],[ReverseS1]],"#,#0")&amp;"$"</f>
        <v>-118.68x1600=   4,592$</v>
      </c>
      <c r="G19" s="225" t="str">
        <f ca="1">IFERROR(TRUNC(_xlfn.XLOOKUP(TabTRADER[[#This Row],[ClickTick]],TabCalc[Ticker],ListLastSalep),2)&amp;"x"&amp;_xlfn.XLOOKUP(TabTRADER[[#This Row],[ClickTick]],TabCalc[Ticker],ListLastSalen)&amp;"=   "&amp;TEXT(-_xlfn.XLOOKUP(TabTRADER[[#This Row],[ClickTick]],TabCalc[Ticker],ListReverseB),"#,#0")&amp;"$","")</f>
        <v>123.44x1600=   -3,024$</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2,646</v>
      </c>
      <c r="I19" s="226" t="str">
        <f ca="1">IFERROR(TRUNC(TabCalc[[#This Row],[L_S1p]],2)&amp;"x"&amp;TabCalc[[#This Row],[L_S1n]]&amp;"=   "&amp;TEXT(TabCalc[[#This Row],[ReverseB1]],"#,#0"),"")</f>
        <v>151.72x400=   12,068</v>
      </c>
      <c r="J19" s="295">
        <f ca="1">_xlfn.XLOOKUP(TabTRADER[[#This Row],[ClickTick]],TabCalc[Ticker],ListGravity)</f>
        <v>1.2104072398190044</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243100</v>
      </c>
      <c r="M19" s="323">
        <f ca="1">_xlfn.XLOOKUP(TabTRADER[[#This Row],[ClickTick]],TabCalc[Ticker],TabCalc[Agiotage])</f>
        <v>0.77739301290205343</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1.1736307641085372E-2</v>
      </c>
      <c r="S19" s="683">
        <f ca="1">_xlfn.XLOOKUP(TabTRADER[[#This Row],[ClickTick]],TabCalc[Ticker],TabCalc[Rev(MinStock)])*(1-Commission)</f>
        <v>2250.1343999999945</v>
      </c>
      <c r="T19" s="782">
        <f ca="1">_xlfn.XLOOKUP(TabTRADER[[#This Row],[ClickTick]],TabCalc[Ticker],TabCalc[Agiotage])</f>
        <v>0.77739301290205343</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-5,550/-5,550=&gt;1.5% / -1.2%</v>
      </c>
      <c r="V19" s="739" t="str">
        <f ca="1">_xlfn.XLOOKUP(TabTRADER[[#This Row],[ClickTick]],[1]!RTData[Ticker_Symbol],[1]!RTData[Currency])</f>
        <v>USD</v>
      </c>
      <c r="W19" s="749">
        <f ca="1">_xlfn.XLOOKUP(TabTRADER[[#This Row],[ClickTick]],TabCalc[Ticker],TabCalc[M])</f>
        <v>121.55</v>
      </c>
      <c r="X19" s="1343"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^36/365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2250.1343999999945</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2250.1343999999945</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1.1736307641085372E-2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0.60358153582724772</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6367.2393891889797</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-1.9805539558480661E-2</v>
      </c>
      <c r="AW19" s="324">
        <f ca="1">_xlfn.XLOOKUP(TabTRADER[[#This Row],[ClickTick]],TabCalc[Ticker],TabCalc[L_Sn])</f>
        <v>1600</v>
      </c>
      <c r="AX19" s="728">
        <f ca="1">_xlfn.XLOOKUP(TabTRADER[[#This Row],[ClickTick]],TabCalc[Ticker],TabCalc[L_Sp])</f>
        <v>123.44</v>
      </c>
      <c r="AY19" s="764">
        <f ca="1">-IFERROR((TabTRADER[[#This Row],[M]]-TabTRADER[[#This Row],[L_Sp]])/TabTRADER[[#This Row],[L_Sp]],0)</f>
        <v>1.5311082307193783E-2</v>
      </c>
      <c r="AZ19" s="729">
        <f ca="1">TabTRADER[[#This Row],[L_Sn]]*(TabTRADER[[#This Row],[M]]-TabTRADER[[#This Row],[L_Sp]])*(1-Commission)*TabTRADER[[#This Row],[Scale]]</f>
        <v>-3016.1376000000009</v>
      </c>
      <c r="BA19" s="692">
        <f ca="1">TabTRADER[[#This Row],[L_Sn]]*(TabTRADER[[#This Row],[Agiotage]]-TabTRADER[[#This Row],[M]])/(TabTRADER[[#This Row],[L_Bn]]*TabTRADER[[#This Row],[M]])</f>
        <v>-0.99360433555818961</v>
      </c>
      <c r="BB19" s="635">
        <f ca="1">IFERROR((TabTRADER[[#This Row],[M]]-TabTRADER[[#This Row],[A]])/TabTRADER[[#This Row],[A]],0)</f>
        <v>1.7506752684331463E-2</v>
      </c>
      <c r="BC19" s="638" t="str">
        <f ca="1">TEXT(_xlfn.XLOOKUP(TabTRADER[[#This Row],[ClickTick]],TabCalc[Ticker],TabCalc[NAfter]),"#,#0")&amp;" : "&amp;TEXT(_xlfn.XLOOKUP(TabTRADER[[#This Row],[ClickTick]],TabCalc[Ticker],TabCalc[NAfter])*(TabTRADER[[#This Row],[M]]-TabTRADER[[#This Row],[A]])*(1-Commission)*TabTRADER[[#This Row],[Scale]],"#,#0$")</f>
        <v>3,000 : 6,258$</v>
      </c>
      <c r="BD19" s="684">
        <f ca="1">_xlfn.XLOOKUP(TabTRADER[[#This Row],[ClickTick]],TabCalc[[#This Row],[Ticker]],TabCalc[[#This Row],[GL]])*(1-Commission)</f>
        <v>36232.739305999945</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391984</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122.495</v>
      </c>
      <c r="BN19" s="687">
        <f ca="1">((_xlfn.XLOOKUP(TabTRADER[[#This Row],[ClickTick]],TabCalc[Ticker],TabCalc[NAfter])+TabTRADER[[#This Row],[L_Sn]])*(TabTRADER[[#This Row],[Agiotage]]-TabTRADER[[#This Row],[M]]))/(TabTRADER[[#This Row],[L_Sn]]*_xlfn.XLOOKUP(TabTRADER[[#This Row],[ClickTick]],TabCalc[Ticker],TabCalc[NAfter]))</f>
        <v>-0.11574041502930218</v>
      </c>
      <c r="BO19" s="687">
        <f ca="1">(TabTRADER[[#This Row],[M]]-TabTRADER[[#This Row],[Agiotage]])/(TabTRADER[[#This Row],[M]]-TabTRADER[[#This Row],[A]])-1</f>
        <v>56.749094829661367</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-6,300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-12.2%</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-22,650$</v>
      </c>
      <c r="G20" s="225" t="str">
        <f ca="1">IFERROR(TRUNC(_xlfn.XLOOKUP(TabTRADER[[#This Row],[ClickTick]],TabCalc[Ticker],ListLastSalep),2)&amp;"x"&amp;_xlfn.XLOOKUP(TabTRADER[[#This Row],[ClickTick]],TabCalc[Ticker],ListLastSalen)&amp;"=   "&amp;TEXT(-_xlfn.XLOOKUP(TabTRADER[[#This Row],[ClickTick]],TabCalc[Ticker],ListReverseB),"#,#0")&amp;"$","")</f>
        <v>20.32x4000=   -29,660$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57.5% = 674</v>
      </c>
      <c r="I20" s="226" t="str">
        <f ca="1">IFERROR(TRUNC(TabCalc[[#This Row],[L_S1p]],2)&amp;"x"&amp;TabCalc[[#This Row],[L_S1n]]&amp;"=   "&amp;TEXT(TabCalc[[#This Row],[ReverseB1]],"#,#0"),"")</f>
        <v>19.33x4000=   25,704</v>
      </c>
      <c r="J20" s="295">
        <f ca="1">_xlfn.XLOOKUP(TabTRADER[[#This Row],[ClickTick]],TabCalc[Ticker],ListGravity)</f>
        <v>1.1235955056179776</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53052.454999999994</v>
      </c>
      <c r="M20" s="323">
        <f ca="1">_xlfn.XLOOKUP(TabTRADER[[#This Row],[ClickTick]],TabCalc[Ticker],TabCalc[Agiotage])</f>
        <v>7.7021527516940984E-5</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-0.10877071823204428</v>
      </c>
      <c r="S20" s="683">
        <f ca="1">_xlfn.XLOOKUP(TabTRADER[[#This Row],[ClickTick]],TabCalc[Ticker],TabCalc[Rev(MinStock)])*(1-Commission)</f>
        <v>-6283.6200000000044</v>
      </c>
      <c r="T20" s="782">
        <f ca="1">_xlfn.XLOOKUP(TabTRADER[[#This Row],[ClickTick]],TabCalc[Ticker],TabCalc[Agiotage])</f>
        <v>7.7021527516940984E-5</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-2,070/-2,070=&gt;-3.4% / -3.1%</v>
      </c>
      <c r="V20" s="739" t="str">
        <f ca="1">_xlfn.XLOOKUP(TabTRADER[[#This Row],[ClickTick]],[1]!RTData[Ticker_Symbol],[1]!RTData[Currency])</f>
        <v>USD</v>
      </c>
      <c r="W20" s="749">
        <f ca="1">_xlfn.XLOOKUP(TabTRADER[[#This Row],[ClickTick]],TabCalc[Ticker],TabCalc[M])</f>
        <v>12.904999999999999</v>
      </c>
      <c r="X20" s="1343"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-50/77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6283.6200000000044</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77430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0.18541896796591448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0.11944571871367696</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-0.32905427364315915</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0.12204571871367696</v>
      </c>
      <c r="AP20" s="825" cm="1">
        <f t="array" aca="1" ref="AP20" ca="1">_xlfn.IFS(         TabTRADER[[#This Row],[Traps]]=MDown,TabTRADER[[#This Row],[L_Bn]]*TabTRADER[[#This Row],[M]]*(-(TabTRADER[[#This Row],[L_Bp]]+TabTRADER[[#This Row],[M]])/TabTRADER[[#This Row],[M]])*(1-Commission)*TabTRADER[[#This Row],[Scale]],                               TRUE,"")</f>
        <v>6283.6200000000044</v>
      </c>
      <c r="AQ20" s="1186" cm="1">
        <f t="array" aca="1" ref="AQ20" ca="1">_xlfn.IFS(   TabTRADER[[#This Row],[Traps]]=MUp,TabTRADER[[#This Row],[TakeGain_A]]-Commission,        TabTRADER[[#This Row],[Traps]]=MDown,(TabTRADER[[#This Row],[A]]-TabTRADER[[#This Row],[M]])/TabTRADER[[#This Row],[M]]-Commission,                              TRUE,"")</f>
        <v>0.22502495156915925</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17579.174999999999</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-1.57</v>
      </c>
      <c r="AU20" s="765" cm="1">
        <f t="array" aca="1" ref="AU20" ca="1">_xlfn.IFS(TabTRADER[[#This Row],[Traps]]=ReSaleGain,"",         TabTRADER[[#This Row],[Traps]]=MDown, (TabTRADER[[#This Row],[M]]-TabTRADER[[#This Row],[A]])/TabTRADER[[#This Row],[A]]*ComFactor,             TRUE, IFERROR((TabTRADER[[#This Row],[M]]-TabTRADER[[#This Row],[A]])/TabTRADER[[#This Row],[A]]*ComFactor,""))</f>
        <v>-0.18493687864920308</v>
      </c>
      <c r="AV20" s="762" cm="1">
        <f t="array" aca="1" ref="AV20" ca="1">_xlfn.IFS(               TabTRADER[[#This Row],[Traps]]=NoStock,(TabTRADER[[#This Row],[L_Sp]]-TabTRADER[[#This Row],[M]])/TabTRADER[[#This Row],[M]]-Commission,             TabTRADER[[#This Row],[A]]&lt;&gt;0,(TabTRADER[[#This Row],[A]]-TabTRADER[[#This Row],[M]])/TabTRADER[[#This Row],[M]]-Commission)</f>
        <v>0.22502495156915925</v>
      </c>
      <c r="AW20" s="324">
        <f ca="1">_xlfn.XLOOKUP(TabTRADER[[#This Row],[ClickTick]],TabCalc[Ticker],TabCalc[L_Sn])</f>
        <v>4000</v>
      </c>
      <c r="AX20" s="728">
        <f ca="1">_xlfn.XLOOKUP(TabTRADER[[#This Row],[ClickTick]],TabCalc[Ticker],TabCalc[L_Sp])</f>
        <v>20.32</v>
      </c>
      <c r="AY20" s="764">
        <f ca="1">-IFERROR((TabTRADER[[#This Row],[M]]-TabTRADER[[#This Row],[L_Sp]])/TabTRADER[[#This Row],[L_Sp]],0)</f>
        <v>0.36491141732283466</v>
      </c>
      <c r="AZ20" s="729">
        <f ca="1">TabTRADER[[#This Row],[L_Sn]]*(TabTRADER[[#This Row],[M]]-TabTRADER[[#This Row],[L_Sp]])*(1-Commission)*TabTRADER[[#This Row],[Scale]]</f>
        <v>-29582.884000000002</v>
      </c>
      <c r="BA20" s="692">
        <f ca="1">TabTRADER[[#This Row],[L_Sn]]*(TabTRADER[[#This Row],[Agiotage]]-TabTRADER[[#This Row],[M]])/(TabTRADER[[#This Row],[L_Bn]]*TabTRADER[[#This Row],[M]])</f>
        <v>-0.99999403165226519</v>
      </c>
      <c r="BB20" s="635">
        <f ca="1">IFERROR((TabTRADER[[#This Row],[M]]-TabTRADER[[#This Row],[A]])/TabTRADER[[#This Row],[A]],0)</f>
        <v>-0.18541896796591448</v>
      </c>
      <c r="BC20" s="638" t="str">
        <f ca="1">TEXT(_xlfn.XLOOKUP(TabTRADER[[#This Row],[ClickTick]],TabCalc[Ticker],TabCalc[NAfter]),"#,#0")&amp;" : "&amp;TEXT(_xlfn.XLOOKUP(TabTRADER[[#This Row],[ClickTick]],TabCalc[Ticker],TabCalc[NAfter])*(TabTRADER[[#This Row],[M]]-TabTRADER[[#This Row],[A]])*(1-Commission)*TabTRADER[[#This Row],[Scale]],"#,#0$")</f>
        <v>6,000 : -17,579$</v>
      </c>
      <c r="BD20" s="684">
        <f ca="1">_xlfn.XLOOKUP(TabTRADER[[#This Row],[ClickTick]],TabCalc[[#This Row],[Ticker]],TabCalc[[#This Row],[GL]])*(1-Commission)</f>
        <v>-50024.244917799966</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0.12204571871367696</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-5.3770512410302009E-3</v>
      </c>
      <c r="BO20" s="687">
        <f ca="1">(TabTRADER[[#This Row],[M]]-TabTRADER[[#This Row],[Agiotage]])/(TabTRADER[[#This Row],[M]]-TabTRADER[[#This Row],[A]])-1</f>
        <v>-5.3931652692672278</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-12,283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2,050$</v>
      </c>
      <c r="G21" s="225" t="str">
        <f ca="1">IFERROR(TRUNC(_xlfn.XLOOKUP(TabTRADER[[#This Row],[ClickTick]],TabCalc[Ticker],ListLastSalep),2)&amp;"x"&amp;_xlfn.XLOOKUP(TabTRADER[[#This Row],[ClickTick]],TabCalc[Ticker],ListLastSalen)&amp;"=   "&amp;TEXT(-_xlfn.XLOOKUP(TabTRADER[[#This Row],[ClickTick]],TabCalc[Ticker],ListReverseB),"#,#0")&amp;"$","")</f>
        <v>16.12x3200=   -2,976$</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5,376</v>
      </c>
      <c r="I21" s="226" t="str">
        <f ca="1">IFERROR(TRUNC(TabCalc[[#This Row],[L_S1p]],2)&amp;"x"&amp;TabCalc[[#This Row],[L_S1n]]&amp;"=   "&amp;TEXT(TabCalc[[#This Row],[ReverseB1]],"#,#0"),"")</f>
        <v>15.8x2500=   1,525</v>
      </c>
      <c r="J21" s="295">
        <f ca="1">_xlfn.XLOOKUP(TabTRADER[[#This Row],[ClickTick]],TabCalc[Ticker],ListGravity)</f>
        <v>1.1138637261356155</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7.1240551570914536E-4</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-5.2992518703241877E-2</v>
      </c>
      <c r="S21" s="683">
        <f ca="1">_xlfn.XLOOKUP(TabTRADER[[#This Row],[ClickTick]],TabCalc[Ticker],TabCalc[Rev(MinStock)])*(1-Commission)</f>
        <v>-12250.565499999993</v>
      </c>
      <c r="T21" s="782">
        <f ca="1">_xlfn.XLOOKUP(TabTRADER[[#This Row],[ClickTick]],TabCalc[Ticker],TabCalc[Agiotage])</f>
        <v>7.1240551570914536E-4</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-75/-75=&gt;0.2% / -0.4%</v>
      </c>
      <c r="V21" s="739" t="str">
        <f ca="1">_xlfn.XLOOKUP(TabTRADER[[#This Row],[ClickTick]],[1]!RTData[Ticker_Symbol],[1]!RTData[Currency])</f>
        <v>EUR</v>
      </c>
      <c r="W21" s="749">
        <f ca="1">_xlfn.XLOOKUP(TabTRADER[[#This Row],[ClickTick]],TabCalc[Ticker],TabCalc[M])</f>
        <v>15.19</v>
      </c>
      <c r="X21" s="1343"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^1,154/228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12250.565499999993</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227850</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5.0256974577648883E-2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5.3357867017774833E-2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-1.5897755610972564</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5.5957867017774832E-2</v>
      </c>
      <c r="AP21" s="825" cm="1">
        <f t="array" aca="1" ref="AP21" ca="1">_xlfn.IFS(         TabTRADER[[#This Row],[Traps]]=MDown,TabTRADER[[#This Row],[L_Bn]]*TabTRADER[[#This Row],[M]]*(-(TabTRADER[[#This Row],[L_Bp]]+TabTRADER[[#This Row],[M]])/TabTRADER[[#This Row],[M]])*(1-Commission)*TabTRADER[[#This Row],[Scale]],                               TRUE,"")</f>
        <v>12250.565499999995</v>
      </c>
      <c r="AQ21" s="1186" cm="1">
        <f t="array" aca="1" ref="AQ21" ca="1">_xlfn.IFS(   TabTRADER[[#This Row],[Traps]]=MUp,TabTRADER[[#This Row],[TakeGain_A]]-Commission,        TabTRADER[[#This Row],[Traps]]=MDown,(TabTRADER[[#This Row],[A]]-TabTRADER[[#This Row],[M]])/TabTRADER[[#This Row],[M]]-Commission,                              TRUE,"")</f>
        <v>5.0316392363397022E-2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12025.651800000011</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-0.85</v>
      </c>
      <c r="AU21" s="765" cm="1">
        <f t="array" aca="1" ref="AU21" ca="1">_xlfn.IFS(TabTRADER[[#This Row],[Traps]]=ReSaleGain,"",         TabTRADER[[#This Row],[Traps]]=MDown, (TabTRADER[[#This Row],[M]]-TabTRADER[[#This Row],[A]])/TabTRADER[[#This Row],[A]]*ComFactor,             TRUE, IFERROR((TabTRADER[[#This Row],[M]]-TabTRADER[[#This Row],[A]])/TabTRADER[[#This Row],[A]]*ComFactor,""))</f>
        <v>-5.0126306443746993E-2</v>
      </c>
      <c r="AV21" s="762" cm="1">
        <f t="array" aca="1" ref="AV21" ca="1">_xlfn.IFS(               TabTRADER[[#This Row],[Traps]]=NoStock,(TabTRADER[[#This Row],[L_Sp]]-TabTRADER[[#This Row],[M]])/TabTRADER[[#This Row],[M]]-Commission,             TabTRADER[[#This Row],[A]]&lt;&gt;0,(TabTRADER[[#This Row],[A]]-TabTRADER[[#This Row],[M]])/TabTRADER[[#This Row],[M]]-Commission)</f>
        <v>5.0316392363397022E-2</v>
      </c>
      <c r="AW21" s="324">
        <f ca="1">_xlfn.XLOOKUP(TabTRADER[[#This Row],[ClickTick]],TabCalc[Ticker],TabCalc[L_Sn])</f>
        <v>3200</v>
      </c>
      <c r="AX21" s="728">
        <f ca="1">_xlfn.XLOOKUP(TabTRADER[[#This Row],[ClickTick]],TabCalc[Ticker],TabCalc[L_Sp])</f>
        <v>16.12</v>
      </c>
      <c r="AY21" s="764">
        <f ca="1">-IFERROR((TabTRADER[[#This Row],[M]]-TabTRADER[[#This Row],[L_Sp]])/TabTRADER[[#This Row],[L_Sp]],0)</f>
        <v>5.7692307692307779E-2</v>
      </c>
      <c r="AZ21" s="729">
        <f ca="1">TabTRADER[[#This Row],[L_Sn]]*(TabTRADER[[#This Row],[M]]-TabTRADER[[#This Row],[L_Sp]])*(1-Commission)*TabTRADER[[#This Row],[Scale]]</f>
        <v>-2968.2624000000046</v>
      </c>
      <c r="BA21" s="692">
        <f ca="1">TabTRADER[[#This Row],[L_Sn]]*(TabTRADER[[#This Row],[Agiotage]]-TabTRADER[[#This Row],[M]])/(TabTRADER[[#This Row],[L_Bn]]*TabTRADER[[#This Row],[M]])</f>
        <v>-0.22144290111801712</v>
      </c>
      <c r="BB21" s="635">
        <f ca="1">IFERROR((TabTRADER[[#This Row],[M]]-TabTRADER[[#This Row],[A]])/TabTRADER[[#This Row],[A]],0)</f>
        <v>-5.0256974577648883E-2</v>
      </c>
      <c r="BC21" s="638" t="str">
        <f ca="1">TEXT(_xlfn.XLOOKUP(TabTRADER[[#This Row],[ClickTick]],TabCalc[Ticker],TabCalc[NAfter]),"#,#0")&amp;" : "&amp;TEXT(_xlfn.XLOOKUP(TabTRADER[[#This Row],[ClickTick]],TabCalc[Ticker],TabCalc[NAfter])*(TabTRADER[[#This Row],[M]]-TabTRADER[[#This Row],[A]])*(1-Commission)*TabTRADER[[#This Row],[Scale]],"#,#0$")</f>
        <v>15,000 : -12,026$</v>
      </c>
      <c r="BD21" s="684">
        <f ca="1">_xlfn.XLOOKUP(TabTRADER[[#This Row],[ClickTick]],TabCalc[[#This Row],[Ticker]],TabCalc[[#This Row],[GL]])*(1-Commission)</f>
        <v>1150858.4679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5.5957867017774832E-2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-5.7592715462419595E-3</v>
      </c>
      <c r="BO21" s="687">
        <f ca="1">(TabTRADER[[#This Row],[M]]-TabTRADER[[#This Row],[Agiotage]])/(TabTRADER[[#This Row],[M]]-TabTRADER[[#This Row],[A]])-1</f>
        <v>-19.896849458178995</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43"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-1.0886588085377509</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+239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33.8%</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270$</v>
      </c>
      <c r="G23" s="225" t="str">
        <f ca="1">IFERROR(TRUNC(_xlfn.XLOOKUP(TabTRADER[[#This Row],[ClickTick]],TabCalc[Ticker],ListLastSalep),2)&amp;"x"&amp;_xlfn.XLOOKUP(TabTRADER[[#This Row],[ClickTick]],TabCalc[Ticker],ListLastSalen)&amp;"=   "&amp;TEXT(-_xlfn.XLOOKUP(TabTRADER[[#This Row],[ClickTick]],TabCalc[Ticker],ListReverseB),"#,#0")&amp;"$","")</f>
        <v>47.63x990=   22,698$</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-32.5% = 0</v>
      </c>
      <c r="I23" s="226" t="str">
        <f ca="1">IFERROR(TRUNC(TabCalc[[#This Row],[L_S1p]],2)&amp;"x"&amp;TabCalc[[#This Row],[L_S1n]]&amp;"=   "&amp;TEXT(TabCalc[[#This Row],[ReverseB1]],"#,#0"),"")</f>
        <v>46.95x990=   -23,374</v>
      </c>
      <c r="J23" s="295">
        <f ca="1">_xlfn.XLOOKUP(TabTRADER[[#This Row],[ClickTick]],TabCalc[Ticker],ListGravity)</f>
        <v>1.0367609126984128</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8.6062636309864679E-5</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0.51169766046790643</v>
      </c>
      <c r="S23" s="683">
        <f ca="1">_xlfn.XLOOKUP(TabTRADER[[#This Row],[ClickTick]],TabCalc[Ticker],TabCalc[Rev(MinStock)])*(1-Commission)</f>
        <v>238.21901599999998</v>
      </c>
      <c r="T23" s="782">
        <f ca="1">_xlfn.XLOOKUP(TabTRADER[[#This Row],[ClickTick]],TabCalc[Ticker],TabCalc[Agiotage])</f>
        <v>8.6062636309864679E-5</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-8/-8=&gt;2.6% / -1.9%</v>
      </c>
      <c r="V23" s="739" t="str">
        <f ca="1">_xlfn.XLOOKUP(TabTRADER[[#This Row],[ClickTick]],[1]!RTData[Ticker_Symbol],[1]!RTData[Currency])</f>
        <v>USD</v>
      </c>
      <c r="W23" s="749">
        <f ca="1">_xlfn.XLOOKUP(TabTRADER[[#This Row],[ClickTick]],TabCalc[Ticker],TabCalc[M])</f>
        <v>70.56</v>
      </c>
      <c r="X23" s="1343"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228.67389799999998</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238.21901599999998</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0.51169766046790643</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0.32232913832199545</v>
      </c>
      <c r="AL23" s="825" cm="1">
        <f t="array" aca="1" ref="AL23" ca="1">_xlfn.IFS(   TabTRADER[[#This Row],[Traps]]=SellMorePercentGain,                     MIN(TabTRADER[[#This Row],[L_Sn]],TabTRADER[[#This Row],[N]])*(TabTRADER[[#This Row],[M]]-TabTRADER[[#This Row],[L_Sp]])*(1-Commission)*TabTRADER[[#This Row],[Scale]],                    TRUE,"")</f>
        <v>228.67389799999998</v>
      </c>
      <c r="AM23" s="1175">
        <f ca="1">_xlfn.XLOOKUP(TabTRADER[[#This Row],[ClickTick]],TabCalc[Ticker],TabCalc[Ann%RevLB])</f>
        <v>0.39445644061765806</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0.50909766046790639</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360.11512916616681</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23" s="765" cm="1">
        <f t="array" aca="1" ref="AU23" ca="1">_xlfn.IFS(TabTRADER[[#This Row],[Traps]]=ReSaleGain,"",         TabTRADER[[#This Row],[Traps]]=MDown, (TabTRADER[[#This Row],[M]]-TabTRADER[[#This Row],[A]])/TabTRADER[[#This Row],[A]]*ComFactor,             TRUE, IFERROR((TabTRADER[[#This Row],[M]]-TabTRADER[[#This Row],[A]])/TabTRADER[[#This Row],[A]]*ComFactor,""))</f>
        <v>0.51036724655068988</v>
      </c>
      <c r="AV23" s="762" cm="1">
        <f t="array" aca="1" ref="AV23" ca="1">_xlfn.IFS(               TabTRADER[[#This Row],[Traps]]=NoStock,(TabTRADER[[#This Row],[L_Sp]]-TabTRADER[[#This Row],[M]])/TabTRADER[[#This Row],[M]]-Commission,             TabTRADER[[#This Row],[A]]&lt;&gt;0,(TabTRADER[[#This Row],[A]]-TabTRADER[[#This Row],[M]])/TabTRADER[[#This Row],[M]]-Commission)</f>
        <v>-0.3410920634920635</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-0.48132597149035328</v>
      </c>
      <c r="AZ23" s="729">
        <f ca="1">TabTRADER[[#This Row],[L_Sn]]*(TabTRADER[[#This Row],[M]]-TabTRADER[[#This Row],[L_Sp]])*(1-Commission)*TabTRADER[[#This Row],[Scale]]</f>
        <v>22638.715902</v>
      </c>
      <c r="BA23" s="692">
        <f ca="1">TabTRADER[[#This Row],[L_Sn]]*(TabTRADER[[#This Row],[Agiotage]]-TabTRADER[[#This Row],[M]])/(TabTRADER[[#This Row],[L_Bn]]*TabTRADER[[#This Row],[M]])</f>
        <v>-0.99999878029143541</v>
      </c>
      <c r="BB23" s="635">
        <f ca="1">IFERROR((TabTRADER[[#This Row],[M]]-TabTRADER[[#This Row],[A]])/TabTRADER[[#This Row],[A]],0)</f>
        <v>0.51169766046790643</v>
      </c>
      <c r="BC23" s="638" t="str">
        <f ca="1">TEXT(_xlfn.XLOOKUP(TabTRADER[[#This Row],[ClickTick]],TabCalc[Ticker],TabCalc[NAfter]),"#,#0")&amp;" : "&amp;TEXT(_xlfn.XLOOKUP(TabTRADER[[#This Row],[ClickTick]],TabCalc[Ticker],TabCalc[NAfter])*(TabTRADER[[#This Row],[M]]-TabTRADER[[#This Row],[A]])*(1-Commission)*TabTRADER[[#This Row],[Scale]],"#,#0$")</f>
        <v>10 : 238$</v>
      </c>
      <c r="BD23" s="684">
        <f ca="1">_xlfn.XLOOKUP(TabTRADER[[#This Row],[ClickTick]],TabCalc[[#This Row],[Ticker]],TabCalc[[#This Row],[GL]])*(1-Commission)</f>
        <v>14376.054822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0.32492913832199544</v>
      </c>
      <c r="BJ23" s="679">
        <f ca="1">TabTRADER[[#This Row],[L_Sn]]*TabTRADER[[#This Row],[L_Sp]]+TabTRADER[[#This Row],[SellMore]]*TabTRADER[[#This Row],[M]]</f>
        <v>47862.270000000004</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47.862270000000002</v>
      </c>
      <c r="BN23" s="687">
        <f ca="1">((_xlfn.XLOOKUP(TabTRADER[[#This Row],[ClickTick]],TabCalc[Ticker],TabCalc[NAfter])+TabTRADER[[#This Row],[L_Sn]])*(TabTRADER[[#This Row],[Agiotage]]-TabTRADER[[#This Row],[M]]))/(TabTRADER[[#This Row],[L_Sn]]*_xlfn.XLOOKUP(TabTRADER[[#This Row],[ClickTick]],TabCalc[Ticker],TabCalc[NAfter]))</f>
        <v>-7.1272640340771396</v>
      </c>
      <c r="BO23" s="687">
        <f ca="1">(TabTRADER[[#This Row],[M]]-TabTRADER[[#This Row],[Agiotage]])/(TabTRADER[[#This Row],[M]]-TabTRADER[[#This Row],[A]])-1</f>
        <v>1.9542754118809116</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+360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3,876</v>
      </c>
      <c r="F24" s="226" t="str">
        <f ca="1">TRUNC(TabCalc[[#This Row],[L_B1p]],2)&amp;"x"&amp;TabCalc[[#This Row],[L_B1n]]&amp;"=   "&amp;TEXT(TabCalc[[#This Row],[ReverseS1]],"#,#0")&amp;"$"</f>
        <v>-24.92x1200=   -2,508$</v>
      </c>
      <c r="G24" s="225" t="str">
        <f ca="1">IFERROR(TRUNC(_xlfn.XLOOKUP(TabTRADER[[#This Row],[ClickTick]],TabCalc[Ticker],ListLastSalep),2)&amp;"x"&amp;_xlfn.XLOOKUP(TabTRADER[[#This Row],[ClickTick]],TabCalc[Ticker],ListLastSalen)&amp;"=   "&amp;TEXT(-_xlfn.XLOOKUP(TabTRADER[[#This Row],[ClickTick]],TabCalc[Ticker],ListReverseB),"#,#0")&amp;"$","")</f>
        <v>24.12x1800=   -2,322$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3,876</v>
      </c>
      <c r="I24" s="226" t="str">
        <f ca="1">IFERROR(TRUNC(TabCalc[[#This Row],[L_S1p]],2)&amp;"x"&amp;TabCalc[[#This Row],[L_S1n]]&amp;"=   "&amp;TEXT(TabCalc[[#This Row],[ReverseB1]],"#,#0"),"")</f>
        <v>26.07x1200=   3,888</v>
      </c>
      <c r="J24" s="295">
        <f ca="1">_xlfn.XLOOKUP(TabTRADER[[#This Row],[ClickTick]],TabCalc[Ticker],ListGravity)</f>
        <v>1.1612838370565046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1.2243818965373132E-3</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8.837825894829841E-3</v>
      </c>
      <c r="S24" s="683">
        <f ca="1">_xlfn.XLOOKUP(TabTRADER[[#This Row],[ClickTick]],TabCalc[Ticker],TabCalc[Rev(MinStock)])*(1-Commission)</f>
        <v>359.06399999999871</v>
      </c>
      <c r="T24" s="782">
        <f ca="1">_xlfn.XLOOKUP(TabTRADER[[#This Row],[ClickTick]],TabCalc[Ticker],TabCalc[Agiotage])</f>
        <v>1.2243818965373132E-3</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3,220/3,220=&gt;0.0% / -0.4%</v>
      </c>
      <c r="V24" s="739" t="str">
        <f ca="1">_xlfn.XLOOKUP(TabTRADER[[#This Row],[ClickTick]],[1]!RTData[Ticker_Symbol],[1]!RTData[Currency])</f>
        <v>USD</v>
      </c>
      <c r="W24" s="749">
        <f ca="1">_xlfn.XLOOKUP(TabTRADER[[#This Row],[ClickTick]],TabCalc[Ticker],TabCalc[M])</f>
        <v>22.83</v>
      </c>
      <c r="X24" s="1343"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^174/210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2315.9628000000048</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2315.9628000000048</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5.3482587064676727E-2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0.11362919007638367</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22425.709163199983</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0.11957072839043227</v>
      </c>
      <c r="AV24" s="762" cm="1">
        <f t="array" aca="1" ref="AV24" ca="1">_xlfn.IFS(               TabTRADER[[#This Row],[Traps]]=NoStock,(TabTRADER[[#This Row],[L_Sp]]-TabTRADER[[#This Row],[M]])/TabTRADER[[#This Row],[M]]-Commission,             TabTRADER[[#This Row],[A]]&lt;&gt;0,(TabTRADER[[#This Row],[A]]-TabTRADER[[#This Row],[M]])/TabTRADER[[#This Row],[M]]-Commission)</f>
        <v>-0.10964911538974265</v>
      </c>
      <c r="AW24" s="324">
        <f ca="1">_xlfn.XLOOKUP(TabTRADER[[#This Row],[ClickTick]],TabCalc[Ticker],TabCalc[L_Sn])</f>
        <v>1800</v>
      </c>
      <c r="AX24" s="728">
        <f ca="1">_xlfn.XLOOKUP(TabTRADER[[#This Row],[ClickTick]],TabCalc[Ticker],TabCalc[L_Sp])</f>
        <v>24.12</v>
      </c>
      <c r="AY24" s="764">
        <f ca="1">-IFERROR((TabTRADER[[#This Row],[M]]-TabTRADER[[#This Row],[L_Sp]])/TabTRADER[[#This Row],[L_Sp]],0)</f>
        <v>5.3482587064676727E-2</v>
      </c>
      <c r="AZ24" s="729">
        <f ca="1">TabTRADER[[#This Row],[L_Sn]]*(TabTRADER[[#This Row],[M]]-TabTRADER[[#This Row],[L_Sp]])*(1-Commission)*TabTRADER[[#This Row],[Scale]]</f>
        <v>-2315.9628000000048</v>
      </c>
      <c r="BA24" s="692">
        <f ca="1">TabTRADER[[#This Row],[L_Sn]]*(TabTRADER[[#This Row],[Agiotage]]-TabTRADER[[#This Row],[M]])/(TabTRADER[[#This Row],[L_Bn]]*TabTRADER[[#This Row],[M]])</f>
        <v>-0.99994636960593342</v>
      </c>
      <c r="BB24" s="635">
        <f ca="1">IFERROR((TabTRADER[[#This Row],[M]]-TabTRADER[[#This Row],[A]])/TabTRADER[[#This Row],[A]],0)</f>
        <v>0.11988242268942478</v>
      </c>
      <c r="BC24" s="638" t="str">
        <f ca="1">TEXT(_xlfn.XLOOKUP(TabTRADER[[#This Row],[ClickTick]],TabCalc[Ticker],TabCalc[NAfter]),"#,#0")&amp;" : "&amp;TEXT(_xlfn.XLOOKUP(TabTRADER[[#This Row],[ClickTick]],TabCalc[Ticker],TabCalc[NAfter])*(TabTRADER[[#This Row],[M]]-TabTRADER[[#This Row],[A]])*(1-Commission)*TabTRADER[[#This Row],[Scale]],"#,#0$")</f>
        <v>9,200 : 22,426$</v>
      </c>
      <c r="BD24" s="684">
        <f ca="1">_xlfn.XLOOKUP(TabTRADER[[#This Row],[ClickTick]],TabCalc[[#This Row],[Ticker]],TabCalc[[#This Row],[GL]])*(1-Commission)</f>
        <v>173294.26039999997</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84510</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23.475000000000001</v>
      </c>
      <c r="BN24" s="687">
        <f ca="1">((_xlfn.XLOOKUP(TabTRADER[[#This Row],[ClickTick]],TabCalc[Ticker],TabCalc[NAfter])+TabTRADER[[#This Row],[L_Sn]])*(TabTRADER[[#This Row],[Agiotage]]-TabTRADER[[#This Row],[M]]))/(TabTRADER[[#This Row],[L_Sn]]*_xlfn.XLOOKUP(TabTRADER[[#This Row],[ClickTick]],TabCalc[Ticker],TabCalc[NAfter]))</f>
        <v>-1.5164041775310269E-2</v>
      </c>
      <c r="BO24" s="687">
        <f ca="1">(TabTRADER[[#This Row],[M]]-TabTRADER[[#This Row],[Agiotage]])/(TabTRADER[[#This Row],[M]]-TabTRADER[[#This Row],[A]])-1</f>
        <v>8.3410054437661199</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-3,017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-4,908$</v>
      </c>
      <c r="G25" s="225" t="str">
        <f ca="1">IFERROR(TRUNC(_xlfn.XLOOKUP(TabTRADER[[#This Row],[ClickTick]],TabCalc[Ticker],ListLastSalep),2)&amp;"x"&amp;_xlfn.XLOOKUP(TabTRADER[[#This Row],[ClickTick]],TabCalc[Ticker],ListLastSalen)&amp;"=   "&amp;TEXT(-_xlfn.XLOOKUP(TabTRADER[[#This Row],[ClickTick]],TabCalc[Ticker],ListReverseB),"#,#0")&amp;"$","")</f>
        <v>28.94x1000=   -4,427$</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18.1% = 1,129</v>
      </c>
      <c r="I25" s="226" t="str">
        <f ca="1">IFERROR(TRUNC(TabCalc[[#This Row],[L_S1p]],2)&amp;"x"&amp;TabCalc[[#This Row],[L_S1n]]&amp;"=   "&amp;TEXT(TabCalc[[#This Row],[ReverseB1]],"#,#0"),"")</f>
        <v>27.08x4000=   10,268</v>
      </c>
      <c r="J25" s="295">
        <f ca="1">_xlfn.XLOOKUP(TabTRADER[[#This Row],[ClickTick]],TabCalc[Ticker],ListGravity)</f>
        <v>1.1537755476685838</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98052</v>
      </c>
      <c r="M25" s="323">
        <f ca="1">_xlfn.XLOOKUP(TabTRADER[[#This Row],[ClickTick]],TabCalc[Ticker],TabCalc[Agiotage])</f>
        <v>4.3166557896760572E-3</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-0.10958953868507081</v>
      </c>
      <c r="S25" s="683">
        <f ca="1">_xlfn.XLOOKUP(TabTRADER[[#This Row],[ClickTick]],TabCalc[Ticker],TabCalc[Rev(MinStock)])*(1-Commission)</f>
        <v>-3009.1557999999995</v>
      </c>
      <c r="T25" s="782">
        <f ca="1">_xlfn.XLOOKUP(TabTRADER[[#This Row],[ClickTick]],TabCalc[Ticker],TabCalc[Agiotage])</f>
        <v>4.3166557896760572E-3</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-935/-935=&gt;0.2% / -1.9%</v>
      </c>
      <c r="V25" s="739" t="str">
        <f ca="1">_xlfn.XLOOKUP(TabTRADER[[#This Row],[ClickTick]],[1]!RTData[Ticker_Symbol],[1]!RTData[Currency])</f>
        <v>USD</v>
      </c>
      <c r="W25" s="749">
        <f ca="1">_xlfn.XLOOKUP(TabTRADER[[#This Row],[ClickTick]],TabCalc[Ticker],TabCalc[M])</f>
        <v>24.513000000000002</v>
      </c>
      <c r="X25" s="1343"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^39/123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3009.1557999999995</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122565.00000000001</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6.073262318951634E-2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0.12047755068739033</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-1.2328823102070465</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0.12307755068739033</v>
      </c>
      <c r="AP25" s="825" cm="1">
        <f t="array" aca="1" ref="AP25" ca="1">_xlfn.IFS(         TabTRADER[[#This Row],[Traps]]=MDown,TabTRADER[[#This Row],[L_Bn]]*TabTRADER[[#This Row],[M]]*(-(TabTRADER[[#This Row],[L_Bp]]+TabTRADER[[#This Row],[M]])/TabTRADER[[#This Row],[M]])*(1-Commission)*TabTRADER[[#This Row],[Scale]],                               TRUE,"")</f>
        <v>3009.1557999999991</v>
      </c>
      <c r="AQ25" s="1186" cm="1">
        <f t="array" aca="1" ref="AQ25" ca="1">_xlfn.IFS(   TabTRADER[[#This Row],[Traps]]=MUp,TabTRADER[[#This Row],[TakeGain_A]]-Commission,        TabTRADER[[#This Row],[Traps]]=MDown,(TabTRADER[[#This Row],[A]]-TabTRADER[[#This Row],[M]])/TabTRADER[[#This Row],[M]]-Commission,                              TRUE,"")</f>
        <v>6.2059568392281529E-2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7904.3949999999859</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-3.01</v>
      </c>
      <c r="AU25" s="765" cm="1">
        <f t="array" aca="1" ref="AU25" ca="1">_xlfn.IFS(TabTRADER[[#This Row],[Traps]]=ReSaleGain,"",         TabTRADER[[#This Row],[Traps]]=MDown, (TabTRADER[[#This Row],[M]]-TabTRADER[[#This Row],[A]])/TabTRADER[[#This Row],[A]]*ComFactor,             TRUE, IFERROR((TabTRADER[[#This Row],[M]]-TabTRADER[[#This Row],[A]])/TabTRADER[[#This Row],[A]]*ComFactor,""))</f>
        <v>-6.0574718369223596E-2</v>
      </c>
      <c r="AV25" s="762" cm="1">
        <f t="array" aca="1" ref="AV25" ca="1">_xlfn.IFS(               TabTRADER[[#This Row],[Traps]]=NoStock,(TabTRADER[[#This Row],[L_Sp]]-TabTRADER[[#This Row],[M]])/TabTRADER[[#This Row],[M]]-Commission,             TabTRADER[[#This Row],[A]]&lt;&gt;0,(TabTRADER[[#This Row],[A]]-TabTRADER[[#This Row],[M]])/TabTRADER[[#This Row],[M]]-Commission)</f>
        <v>6.2059568392281529E-2</v>
      </c>
      <c r="AW25" s="324">
        <f ca="1">_xlfn.XLOOKUP(TabTRADER[[#This Row],[ClickTick]],TabCalc[Ticker],TabCalc[L_Sn])</f>
        <v>1000</v>
      </c>
      <c r="AX25" s="728">
        <f ca="1">_xlfn.XLOOKUP(TabTRADER[[#This Row],[ClickTick]],TabCalc[Ticker],TabCalc[L_Sp])</f>
        <v>28.94</v>
      </c>
      <c r="AY25" s="764">
        <f ca="1">-IFERROR((TabTRADER[[#This Row],[M]]-TabTRADER[[#This Row],[L_Sp]])/TabTRADER[[#This Row],[L_Sp]],0)</f>
        <v>0.1529716655148583</v>
      </c>
      <c r="AZ25" s="729">
        <f ca="1">TabTRADER[[#This Row],[L_Sn]]*(TabTRADER[[#This Row],[M]]-TabTRADER[[#This Row],[L_Sp]])*(1-Commission)*TabTRADER[[#This Row],[Scale]]</f>
        <v>-4415.4897999999994</v>
      </c>
      <c r="BA25" s="692">
        <f ca="1">TabTRADER[[#This Row],[L_Sn]]*(TabTRADER[[#This Row],[Agiotage]]-TabTRADER[[#This Row],[M]])/(TabTRADER[[#This Row],[L_Bn]]*TabTRADER[[#This Row],[M]])</f>
        <v>-0.99982390340677707</v>
      </c>
      <c r="BB25" s="635">
        <f ca="1">IFERROR((TabTRADER[[#This Row],[M]]-TabTRADER[[#This Row],[A]])/TabTRADER[[#This Row],[A]],0)</f>
        <v>-6.073262318951634E-2</v>
      </c>
      <c r="BC25" s="638" t="str">
        <f ca="1">TEXT(_xlfn.XLOOKUP(TabTRADER[[#This Row],[ClickTick]],TabCalc[Ticker],TabCalc[NAfter]),"#,#0")&amp;" : "&amp;TEXT(_xlfn.XLOOKUP(TabTRADER[[#This Row],[ClickTick]],TabCalc[Ticker],TabCalc[NAfter])*(TabTRADER[[#This Row],[M]]-TabTRADER[[#This Row],[A]])*(1-Commission)*TabTRADER[[#This Row],[Scale]],"#,#0$")</f>
        <v>5,000 : -7,904$</v>
      </c>
      <c r="BD25" s="684">
        <f ca="1">_xlfn.XLOOKUP(TabTRADER[[#This Row],[ClickTick]],TabCalc[[#This Row],[Ticker]],TabCalc[[#This Row],[GL]])*(1-Commission)</f>
        <v>38508.824059200058</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0.12307755068739033</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-2.9410420013052389E-2</v>
      </c>
      <c r="BO25" s="687">
        <f ca="1">(TabTRADER[[#This Row],[M]]-TabTRADER[[#This Row],[Agiotage]])/(TabTRADER[[#This Row],[M]]-TabTRADER[[#This Row],[A]])-1</f>
        <v>-16.462891699817266</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+26,418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34.7%</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3,785/110,000=14,426</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6" t="str">
        <f ca="1">TRUNC(TabCalc[[#This Row],[L_B1p]],2)&amp;"x"&amp;TabCalc[[#This Row],[L_B1n]]&amp;"=   "&amp;TEXT(TabCalc[[#This Row],[ReverseS1]],"#,#0")&amp;"$"</f>
        <v>-284.47x20000=   19,324$</v>
      </c>
      <c r="G26" s="225" t="str">
        <f ca="1">IFERROR(TRUNC(_xlfn.XLOOKUP(TabTRADER[[#This Row],[ClickTick]],TabCalc[Ticker],ListLastSalep),2)&amp;"x"&amp;_xlfn.XLOOKUP(TabTRADER[[#This Row],[ClickTick]],TabCalc[Ticker],ListLastSalen)&amp;"=   "&amp;TEXT(-_xlfn.XLOOKUP(TabTRADER[[#This Row],[ClickTick]],TabCalc[Ticker],ListReverseB),"#,#0")&amp;"$","")</f>
        <v>380.01x20000=   218$</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6" s="226" t="str">
        <f ca="1">IFERROR(TRUNC(TabCalc[[#This Row],[L_S1p]],2)&amp;"x"&amp;TabCalc[[#This Row],[L_S1n]]&amp;"=   "&amp;TEXT(TabCalc[[#This Row],[ReverseB1]],"#,#0"),"")</f>
        <v>425.1x20000=   8,800</v>
      </c>
      <c r="J26" s="295">
        <f ca="1">_xlfn.XLOOKUP(TabTRADER[[#This Row],[ClickTick]],TabCalc[Ticker],ListGravity)</f>
        <v>1.217775387037523</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0.10512331511079581</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0.53044833180730255</v>
      </c>
      <c r="S26" s="683">
        <f ca="1">_xlfn.XLOOKUP(TabTRADER[[#This Row],[ClickTick]],TabCalc[Ticker],TabCalc[Rev(MinStock)])*(1-Commission)</f>
        <v>26348.914240000006</v>
      </c>
      <c r="T26" s="782">
        <f ca="1">_xlfn.XLOOKUP(TabTRADER[[#This Row],[ClickTick]],TabCalc[Ticker],TabCalc[Agiotage])</f>
        <v>0.10512331511079581</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-8,140/-8,140=&gt;-11.6% / -1.7%</v>
      </c>
      <c r="V26" s="739" t="str">
        <f ca="1">_xlfn.XLOOKUP(TabTRADER[[#This Row],[ClickTick]],[1]!RTData[Ticker_Symbol],[1]!RTData[Currency])</f>
        <v>GBp</v>
      </c>
      <c r="W26" s="749">
        <f ca="1">_xlfn.XLOOKUP(TabTRADER[[#This Row],[ClickTick]],TabCalc[Ticker],TabCalc[M])</f>
        <v>381.1</v>
      </c>
      <c r="X26" s="1343"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110000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^1,149/419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177" t="str" cm="1">
        <f t="array" aca="1" ref="AF26" ca="1">_xlfn.IFS(       TabTRADER[[#This Row],[Traps]]=RePurchaseGain,TEXT(TabTRADER[[#This Row],[L_Sn]],"#,#0")&amp;" x "&amp;TEXT(TabTRADER[[#This Row],[L_Sp]],"#,#0.#0"),     TabTRADER[[#This Row],[Traps]]=ReSaleGain,TEXT(TabTRADER[[#This Row],[L_Bn]],"#0,#0")&amp;" x "&amp;TEXT(TabTRADER[[#This Row],[L_Bp]],"#,#0.#0"),               TRUE,"")</f>
        <v/>
      </c>
      <c r="AG26" s="1177"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380.01</v>
      </c>
      <c r="AH26" s="1177"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217.43320000000634</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127802.86634800001</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0.44021805040766609</v>
      </c>
      <c r="AK26" s="1186"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2.601416950932349E-4</v>
      </c>
      <c r="AL26" s="825" cm="1">
        <f t="array" aca="1" ref="AL26" ca="1">_xlfn.IFS(   TabTRADER[[#This Row],[Traps]]=SellMorePercentGain,                     MIN(TabTRADER[[#This Row],[L_Sn]],TabTRADER[[#This Row],[N]])*(TabTRADER[[#This Row],[M]]-TabTRADER[[#This Row],[L_Sp]])*(1-Commission)*TabTRADER[[#This Row],[Scale]],                    TRUE,"")</f>
        <v>217.43320000000634</v>
      </c>
      <c r="AM26" s="1192">
        <f ca="1">_xlfn.XLOOKUP(TabTRADER[[#This Row],[ClickTick]],TabCalc[Ticker],TabCalc[Ann%RevLB])</f>
        <v>0.8302669541331692</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cm="1">
        <f t="array" aca="1" ref="AQ26" ca="1">_xlfn.IFS(   TabTRADER[[#This Row],[Traps]]=MUp,TabTRADER[[#This Row],[TakeGain_A]]-Commission,        TabTRADER[[#This Row],[Traps]]=MDown,(TabTRADER[[#This Row],[A]]-TabTRADER[[#This Row],[M]])/TabTRADER[[#This Row],[M]]-Commission,                              TRUE,"")</f>
        <v>0.4376180504076661</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184063.99500822808</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20,000x1.1648</v>
      </c>
      <c r="AU26" s="765" cm="1">
        <f t="array" aca="1" ref="AU26" ca="1">_xlfn.IFS(TabTRADER[[#This Row],[Traps]]=ReSaleGain,"",         TabTRADER[[#This Row],[Traps]]=MDown, (TabTRADER[[#This Row],[M]]-TabTRADER[[#This Row],[A]])/TabTRADER[[#This Row],[A]]*ComFactor,             TRUE, IFERROR((TabTRADER[[#This Row],[M]]-TabTRADER[[#This Row],[A]])/TabTRADER[[#This Row],[A]]*ComFactor,""))</f>
        <v>0.43907348347660613</v>
      </c>
      <c r="AV26" s="762" cm="1">
        <f t="array" aca="1" ref="AV26" ca="1">_xlfn.IFS(               TabTRADER[[#This Row],[Traps]]=NoStock,(TabTRADER[[#This Row],[L_Sp]]-TabTRADER[[#This Row],[M]])/TabTRADER[[#This Row],[M]]-Commission,             TabTRADER[[#This Row],[A]]&lt;&gt;0,(TabTRADER[[#This Row],[A]]-TabTRADER[[#This Row],[M]])/TabTRADER[[#This Row],[M]]-Commission)</f>
        <v>-0.30826069511700577</v>
      </c>
      <c r="AW26" s="324">
        <f ca="1">_xlfn.XLOOKUP(TabTRADER[[#This Row],[ClickTick]],TabCalc[Ticker],TabCalc[L_Sn])</f>
        <v>20000</v>
      </c>
      <c r="AX26" s="728">
        <f ca="1">_xlfn.XLOOKUP(TabTRADER[[#This Row],[ClickTick]],TabCalc[Ticker],TabCalc[L_Sp])</f>
        <v>380.01</v>
      </c>
      <c r="AY26" s="764">
        <f ca="1">-IFERROR((TabTRADER[[#This Row],[M]]-TabTRADER[[#This Row],[L_Sp]])/TabTRADER[[#This Row],[L_Sp]],0)</f>
        <v>-2.8683455698535086E-3</v>
      </c>
      <c r="AZ26" s="729">
        <f ca="1">TabTRADER[[#This Row],[L_Sn]]*(TabTRADER[[#This Row],[M]]-TabTRADER[[#This Row],[L_Sp]])*(1-Commission)*TabTRADER[[#This Row],[Scale]]</f>
        <v>217.43320000000634</v>
      </c>
      <c r="BA26" s="692">
        <f ca="1">TabTRADER[[#This Row],[L_Sn]]*(TabTRADER[[#This Row],[Agiotage]]-TabTRADER[[#This Row],[M]])/(TabTRADER[[#This Row],[L_Bn]]*TabTRADER[[#This Row],[M]])</f>
        <v>-0.99972415818653682</v>
      </c>
      <c r="BB26" s="635">
        <f ca="1">IFERROR((TabTRADER[[#This Row],[M]]-TabTRADER[[#This Row],[A]])/TabTRADER[[#This Row],[A]],0)</f>
        <v>0.44021805040766609</v>
      </c>
      <c r="BC26" s="638" t="str">
        <f ca="1">TEXT(_xlfn.XLOOKUP(TabTRADER[[#This Row],[ClickTick]],TabCalc[Ticker],TabCalc[NAfter]),"#,#0")&amp;" : "&amp;TEXT(_xlfn.XLOOKUP(TabTRADER[[#This Row],[ClickTick]],TabCalc[Ticker],TabCalc[NAfter])*(TabTRADER[[#This Row],[M]]-TabTRADER[[#This Row],[A]])*(1-Commission)*TabTRADER[[#This Row],[Scale]],"#,#0$")</f>
        <v>110,000 : 127,803$</v>
      </c>
      <c r="BD26" s="684">
        <f ca="1">_xlfn.XLOOKUP(TabTRADER[[#This Row],[ClickTick]],TabCalc[[#This Row],[Ticker]],TabCalc[[#This Row],[GL]])*(1-Commission)</f>
        <v>1145704.0713655401</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2.8601416950932348E-3</v>
      </c>
      <c r="BJ26" s="679">
        <f ca="1">TabTRADER[[#This Row],[L_Sn]]*TabTRADER[[#This Row],[L_Sp]]+TabTRADER[[#This Row],[SellMore]]*TabTRADER[[#This Row],[M]]</f>
        <v>11411200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380.37333333333333</v>
      </c>
      <c r="BN26" s="687">
        <f ca="1">((_xlfn.XLOOKUP(TabTRADER[[#This Row],[ClickTick]],TabCalc[Ticker],TabCalc[NAfter])+TabTRADER[[#This Row],[L_Sn]])*(TabTRADER[[#This Row],[Agiotage]]-TabTRADER[[#This Row],[M]]))/(TabTRADER[[#This Row],[L_Sn]]*_xlfn.XLOOKUP(TabTRADER[[#This Row],[ClickTick]],TabCalc[Ticker],TabCalc[NAfter]))</f>
        <v>-2.2513333622288908E-2</v>
      </c>
      <c r="BO26" s="687">
        <f ca="1">(TabTRADER[[#This Row],[M]]-TabTRADER[[#This Row],[Agiotage]])/(TabTRADER[[#This Row],[M]]-TabTRADER[[#This Row],[A]])-1</f>
        <v>2.270699092678063</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+6,040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-285$</v>
      </c>
      <c r="G27" s="225" t="str">
        <f ca="1">IFERROR(TRUNC(_xlfn.XLOOKUP(TabTRADER[[#This Row],[ClickTick]],TabCalc[Ticker],ListLastSalep),2)&amp;"x"&amp;_xlfn.XLOOKUP(TabTRADER[[#This Row],[ClickTick]],TabCalc[Ticker],ListLastSalen)&amp;"=   "&amp;TEXT(-_xlfn.XLOOKUP(TabTRADER[[#This Row],[ClickTick]],TabCalc[Ticker],ListReverseB),"#,#0")&amp;"$","")</f>
        <v>64.9x1000=   1,810$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 = 0</v>
      </c>
      <c r="I27" s="226" t="str">
        <f ca="1">IFERROR(TRUNC(TabCalc[[#This Row],[L_S1p]],2)&amp;"x"&amp;TabCalc[[#This Row],[L_S1n]]&amp;"=   "&amp;TEXT(TabCalc[[#This Row],[ReverseB1]],"#,#0"),"")</f>
        <v>71.82x1000=   5,110</v>
      </c>
      <c r="J27" s="295">
        <f ca="1">_xlfn.XLOOKUP(TabTRADER[[#This Row],[ClickTick]],TabCalc[Ticker],ListGravity)</f>
        <v>1.1399407884874833</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66710</v>
      </c>
      <c r="M27" s="323">
        <f ca="1">_xlfn.XLOOKUP(TabTRADER[[#This Row],[ClickTick]],TabCalc[Ticker],TabCalc[Agiotage])</f>
        <v>8.4933270760272677E-6</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4.741717695085565E-2</v>
      </c>
      <c r="S27" s="683">
        <f ca="1">_xlfn.XLOOKUP(TabTRADER[[#This Row],[ClickTick]],TabCalc[Ticker],TabCalc[Rev(MinStock)])*(1-Commission)</f>
        <v>6024.2959999999912</v>
      </c>
      <c r="T27" s="782">
        <f ca="1">_xlfn.XLOOKUP(TabTRADER[[#This Row],[ClickTick]],TabCalc[Ticker],TabCalc[Agiotage])</f>
        <v>8.4933270760272677E-6</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4,620/4,620=&gt;2.3% / 1.7%</v>
      </c>
      <c r="V27" s="739" t="str">
        <f ca="1">_xlfn.XLOOKUP(TabTRADER[[#This Row],[ClickTick]],[1]!RTData[Ticker_Symbol],[1]!RTData[Currency])</f>
        <v>USD</v>
      </c>
      <c r="W27" s="749">
        <f ca="1">_xlfn.XLOOKUP(TabTRADER[[#This Row],[ClickTick]],TabCalc[Ticker],TabCalc[M])</f>
        <v>66.709999999999994</v>
      </c>
      <c r="X27" s="1343"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^112/400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1805.293999999988</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-834.39634285720274</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-2.0857107444022817E-3</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2.4532363963423599E-2</v>
      </c>
      <c r="AL27" s="825" cm="1">
        <f t="array" aca="1" ref="AL27" ca="1">_xlfn.IFS(   TabTRADER[[#This Row],[Traps]]=SellMorePercentGain,                     MIN(TabTRADER[[#This Row],[L_Sn]],TabTRADER[[#This Row],[N]])*(TabTRADER[[#This Row],[M]]-TabTRADER[[#This Row],[L_Sp]])*(1-Commission)*TabTRADER[[#This Row],[Scale]],                    TRUE,"")</f>
        <v>1805.293999999988</v>
      </c>
      <c r="AM27" s="1175">
        <f ca="1">_xlfn.XLOOKUP(TabTRADER[[#This Row],[ClickTick]],TabCalc[Ticker],TabCalc[Ann%RevLB])</f>
        <v>1.3130910540236949</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-4.6857107444022821E-3</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-832.65603343981559</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2,000x-0.13</v>
      </c>
      <c r="AU27" s="765" cm="1">
        <f t="array" aca="1" ref="AU27" ca="1">_xlfn.IFS(TabTRADER[[#This Row],[Traps]]=ReSaleGain,"",         TabTRADER[[#This Row],[Traps]]=MDown, (TabTRADER[[#This Row],[M]]-TabTRADER[[#This Row],[A]])/TabTRADER[[#This Row],[A]]*ComFactor,             TRUE, IFERROR((TabTRADER[[#This Row],[M]]-TabTRADER[[#This Row],[A]])/TabTRADER[[#This Row],[A]]*ComFactor,""))</f>
        <v>-2.0802878964668358E-3</v>
      </c>
      <c r="AV27" s="762" cm="1">
        <f t="array" aca="1" ref="AV27" ca="1">_xlfn.IFS(               TabTRADER[[#This Row],[Traps]]=NoStock,(TabTRADER[[#This Row],[L_Sp]]-TabTRADER[[#This Row],[M]])/TabTRADER[[#This Row],[M]]-Commission,             TabTRADER[[#This Row],[A]]&lt;&gt;0,(TabTRADER[[#This Row],[A]]-TabTRADER[[#This Row],[M]])/TabTRADER[[#This Row],[M]]-Commission)</f>
        <v>-5.0992997408812061E-4</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-2.7889060092449736E-2</v>
      </c>
      <c r="AZ27" s="729">
        <f ca="1">TabTRADER[[#This Row],[L_Sn]]*(TabTRADER[[#This Row],[M]]-TabTRADER[[#This Row],[L_Sp]])*(1-Commission)*TabTRADER[[#This Row],[Scale]]</f>
        <v>1805.293999999988</v>
      </c>
      <c r="BA27" s="692">
        <f ca="1">TabTRADER[[#This Row],[L_Sn]]*(TabTRADER[[#This Row],[Agiotage]]-TabTRADER[[#This Row],[M]])/(TabTRADER[[#This Row],[L_Bn]]*TabTRADER[[#This Row],[M]])</f>
        <v>-0.49999993634142492</v>
      </c>
      <c r="BB27" s="635">
        <f ca="1">IFERROR((TabTRADER[[#This Row],[M]]-TabTRADER[[#This Row],[A]])/TabTRADER[[#This Row],[A]],0)</f>
        <v>-2.0857107444022817E-3</v>
      </c>
      <c r="BC27" s="638" t="str">
        <f ca="1">TEXT(_xlfn.XLOOKUP(TabTRADER[[#This Row],[ClickTick]],TabCalc[Ticker],TabCalc[NAfter]),"#,#0")&amp;" : "&amp;TEXT(_xlfn.XLOOKUP(TabTRADER[[#This Row],[ClickTick]],TabCalc[Ticker],TabCalc[NAfter])*(TabTRADER[[#This Row],[M]]-TabTRADER[[#This Row],[A]])*(1-Commission)*TabTRADER[[#This Row],[Scale]],"#,#0$")</f>
        <v>6,000 : -834$</v>
      </c>
      <c r="BD27" s="684">
        <f ca="1">_xlfn.XLOOKUP(TabTRADER[[#This Row],[ClickTick]],TabCalc[[#This Row],[Ticker]],TabCalc[[#This Row],[GL]])*(1-Commission)</f>
        <v>111257.96522599993</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2.7132363963423597E-2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-7.7828323424451742E-2</v>
      </c>
      <c r="BO27" s="687">
        <f ca="1">(TabTRADER[[#This Row],[M]]-TabTRADER[[#This Row],[Agiotage]])/(TabTRADER[[#This Row],[M]]-TabTRADER[[#This Row],[A]])-1</f>
        <v>-479.45280793716893</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4,950$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16.3% = 0</v>
      </c>
      <c r="I28" s="226" t="str">
        <f ca="1">IFERROR(TRUNC(TabCalc[[#This Row],[L_S1p]],2)&amp;"x"&amp;TabCalc[[#This Row],[L_S1n]]&amp;"=   "&amp;TEXT(TabCalc[[#This Row],[ReverseB1]],"#,#0"),"")</f>
        <v>4.96x2276=   -11,715</v>
      </c>
      <c r="J28" s="295">
        <f ca="1">_xlfn.XLOOKUP(TabTRADER[[#This Row],[ClickTick]],TabCalc[Ticker],ListGravity)</f>
        <v>1.4836795252225521</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0.67310504152532458</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0.3625336927223719</v>
      </c>
      <c r="S28" s="683">
        <f ca="1">_xlfn.XLOOKUP(TabTRADER[[#This Row],[ClickTick]],TabCalc[Ticker],TabCalc[Rev(MinStock)])*(1-Commission)</f>
        <v>0</v>
      </c>
      <c r="T28" s="782">
        <f ca="1">_xlfn.XLOOKUP(TabTRADER[[#This Row],[ClickTick]],TabCalc[Ticker],TabCalc[Agiotage])</f>
        <v>0.67310504152532458</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-1.4%</v>
      </c>
      <c r="V28" s="739" t="str">
        <f ca="1">_xlfn.XLOOKUP(TabTRADER[[#This Row],[ClickTick]],[1]!RTData[Ticker_Symbol],[1]!RTData[Currency])</f>
        <v>USD</v>
      </c>
      <c r="W28" s="749">
        <f ca="1">_xlfn.XLOOKUP(TabTRADER[[#This Row],[ClickTick]],TabCalc[Ticker],TabCalc[M])</f>
        <v>10.11</v>
      </c>
      <c r="X28" s="1343"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0.38958844591060859</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0x10.11</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-0.16580474777448057</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-0.19503546099290761</v>
      </c>
      <c r="AZ28" s="729">
        <f ca="1">TabTRADER[[#This Row],[L_Sn]]*(TabTRADER[[#This Row],[M]]-TabTRADER[[#This Row],[L_Sp]])*(1-Commission)*TabTRADER[[#This Row],[Scale]]</f>
        <v>4937.1299999999956</v>
      </c>
      <c r="BA28" s="692">
        <f ca="1">TabTRADER[[#This Row],[L_Sn]]*(TabTRADER[[#This Row],[Agiotage]]-TabTRADER[[#This Row],[M]])/(TabTRADER[[#This Row],[L_Bn]]*TabTRADER[[#This Row],[M]])</f>
        <v>-0.93342185543765321</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-6.6578144562346675E-2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+29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50$</v>
      </c>
      <c r="G29" s="225" t="str">
        <f ca="1">IFERROR(TRUNC(_xlfn.XLOOKUP(TabTRADER[[#This Row],[ClickTick]],TabCalc[Ticker],ListLastSalep),2)&amp;"x"&amp;_xlfn.XLOOKUP(TabTRADER[[#This Row],[ClickTick]],TabCalc[Ticker],ListLastSalen)&amp;"=   "&amp;TEXT(-_xlfn.XLOOKUP(TabTRADER[[#This Row],[ClickTick]],TabCalc[Ticker],ListReverseB),"#,#0")&amp;"$","")</f>
        <v>6.8x990=   1,178$</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0</v>
      </c>
      <c r="I29" s="226" t="str">
        <f ca="1">IFERROR(TRUNC(TabCalc[[#This Row],[L_S1p]],2)&amp;"x"&amp;TabCalc[[#This Row],[L_S1n]]&amp;"=   "&amp;TEXT(TabCalc[[#This Row],[ReverseB1]],"#,#0"),"")</f>
        <v>5.56x1000=   -2,430</v>
      </c>
      <c r="J29" s="295">
        <f ca="1">_xlfn.XLOOKUP(TabTRADER[[#This Row],[ClickTick]],TabCalc[Ticker],ListGravity)</f>
        <v>0.74568210262828538</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2.8763183520520572E-4</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0.57646548152240407</v>
      </c>
      <c r="S29" s="683">
        <f ca="1">_xlfn.XLOOKUP(TabTRADER[[#This Row],[ClickTick]],TabCalc[Ticker],TabCalc[Rev(MinStock)])*(1-Commission)</f>
        <v>29.141035800000004</v>
      </c>
      <c r="T29" s="782">
        <f ca="1">_xlfn.XLOOKUP(TabTRADER[[#This Row],[ClickTick]],TabCalc[Ticker],TabCalc[Agiotage])</f>
        <v>2.8763183520520572E-4</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2/2=&gt;-4.2% / -1.6%</v>
      </c>
      <c r="V29" s="739" t="str">
        <f ca="1">_xlfn.XLOOKUP(TabTRADER[[#This Row],[ClickTick]],[1]!RTData[Ticker_Symbol],[1]!RTData[Currency])</f>
        <v>USD</v>
      </c>
      <c r="W29" s="749">
        <f ca="1">_xlfn.XLOOKUP(TabTRADER[[#This Row],[ClickTick]],TabCalc[Ticker],TabCalc[M])</f>
        <v>7.99</v>
      </c>
      <c r="X29" s="1343"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11.869060000000003</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29.141035800000004</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0.57646548152240407</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0.14633617021276601</v>
      </c>
      <c r="AL29" s="825" cm="1">
        <f t="array" aca="1" ref="AL29" ca="1">_xlfn.IFS(   TabTRADER[[#This Row],[Traps]]=SellMorePercentGain,                     MIN(TabTRADER[[#This Row],[L_Sn]],TabTRADER[[#This Row],[N]])*(TabTRADER[[#This Row],[M]]-TabTRADER[[#This Row],[L_Sp]])*(1-Commission)*TabTRADER[[#This Row],[Scale]],                    TRUE,"")</f>
        <v>11.869060000000003</v>
      </c>
      <c r="AM29" s="1175">
        <f ca="1">_xlfn.XLOOKUP(TabTRADER[[#This Row],[ClickTick]],TabCalc[Ticker],TabCalc[Ann%RevLB])</f>
        <v>0.70587609982335198</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0.57386548152240402</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45.939837034508621</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10x2.92</v>
      </c>
      <c r="AU29" s="765" cm="1">
        <f t="array" aca="1" ref="AU29" ca="1">_xlfn.IFS(TabTRADER[[#This Row],[Traps]]=ReSaleGain,"",         TabTRADER[[#This Row],[Traps]]=MDown, (TabTRADER[[#This Row],[M]]-TabTRADER[[#This Row],[A]])/TabTRADER[[#This Row],[A]]*ComFactor,             TRUE, IFERROR((TabTRADER[[#This Row],[M]]-TabTRADER[[#This Row],[A]])/TabTRADER[[#This Row],[A]]*ComFactor,""))</f>
        <v>0.57496667127044576</v>
      </c>
      <c r="AV29" s="762" cm="1">
        <f t="array" aca="1" ref="AV29" ca="1">_xlfn.IFS(               TabTRADER[[#This Row],[Traps]]=NoStock,(TabTRADER[[#This Row],[L_Sp]]-TabTRADER[[#This Row],[M]])/TabTRADER[[#This Row],[M]]-Commission,             TabTRADER[[#This Row],[A]]&lt;&gt;0,(TabTRADER[[#This Row],[A]]-TabTRADER[[#This Row],[M]])/TabTRADER[[#This Row],[M]]-Commission)</f>
        <v>-0.36826958698372969</v>
      </c>
      <c r="AW29" s="324">
        <f ca="1">_xlfn.XLOOKUP(TabTRADER[[#This Row],[ClickTick]],TabCalc[Ticker],TabCalc[L_Sn])</f>
        <v>990</v>
      </c>
      <c r="AX29" s="728">
        <f ca="1">_xlfn.XLOOKUP(TabTRADER[[#This Row],[ClickTick]],TabCalc[Ticker],TabCalc[L_Sp])</f>
        <v>6.8</v>
      </c>
      <c r="AY29" s="764">
        <f ca="1">-IFERROR((TabTRADER[[#This Row],[M]]-TabTRADER[[#This Row],[L_Sp]])/TabTRADER[[#This Row],[L_Sp]],0)</f>
        <v>-0.17500000000000007</v>
      </c>
      <c r="AZ29" s="729">
        <f ca="1">TabTRADER[[#This Row],[L_Sn]]*(TabTRADER[[#This Row],[M]]-TabTRADER[[#This Row],[L_Sp]])*(1-Commission)*TabTRADER[[#This Row],[Scale]]</f>
        <v>1175.0369400000004</v>
      </c>
      <c r="BA29" s="692">
        <f ca="1">TabTRADER[[#This Row],[L_Sn]]*(TabTRADER[[#This Row],[Agiotage]]-TabTRADER[[#This Row],[M]])/(TabTRADER[[#This Row],[L_Bn]]*TabTRADER[[#This Row],[M]])</f>
        <v>-0.49498218050582893</v>
      </c>
      <c r="BB29" s="635">
        <f ca="1">IFERROR((TabTRADER[[#This Row],[M]]-TabTRADER[[#This Row],[A]])/TabTRADER[[#This Row],[A]],0)</f>
        <v>0.57646548152240407</v>
      </c>
      <c r="BC29" s="638" t="str">
        <f ca="1">TEXT(_xlfn.XLOOKUP(TabTRADER[[#This Row],[ClickTick]],TabCalc[Ticker],TabCalc[NAfter]),"#,#0")&amp;" : "&amp;TEXT(_xlfn.XLOOKUP(TabTRADER[[#This Row],[ClickTick]],TabCalc[Ticker],TabCalc[NAfter])*(TabTRADER[[#This Row],[M]]-TabTRADER[[#This Row],[A]])*(1-Commission)*TabTRADER[[#This Row],[Scale]],"#,#0$")</f>
        <v>10 : 29$</v>
      </c>
      <c r="BD29" s="684">
        <f ca="1">_xlfn.XLOOKUP(TabTRADER[[#This Row],[ClickTick]],TabCalc[[#This Row],[Ticker]],TabCalc[[#This Row],[GL]])*(1-Commission)</f>
        <v>14732.395919999999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0.14893617021276601</v>
      </c>
      <c r="BJ29" s="679">
        <f ca="1">TabTRADER[[#This Row],[L_Sn]]*TabTRADER[[#This Row],[L_Sp]]+TabTRADER[[#This Row],[SellMore]]*TabTRADER[[#This Row],[M]]</f>
        <v>6811.9</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6.8118999999999996</v>
      </c>
      <c r="BN29" s="687">
        <f ca="1">((_xlfn.XLOOKUP(TabTRADER[[#This Row],[ClickTick]],TabCalc[Ticker],TabCalc[NAfter])+TabTRADER[[#This Row],[L_Sn]])*(TabTRADER[[#This Row],[Agiotage]]-TabTRADER[[#This Row],[M]]))/(TabTRADER[[#This Row],[L_Sn]]*_xlfn.XLOOKUP(TabTRADER[[#This Row],[ClickTick]],TabCalc[Ticker],TabCalc[NAfter]))</f>
        <v>-0.80704165334997924</v>
      </c>
      <c r="BO29" s="687">
        <f ca="1">(TabTRADER[[#This Row],[M]]-TabTRADER[[#This Row],[Agiotage]])/(TabTRADER[[#This Row],[M]]-TabTRADER[[#This Row],[A]])-1</f>
        <v>1.7346107978795886</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-49,740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-66.9%</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-22,360$</v>
      </c>
      <c r="G30" s="225" t="str">
        <f ca="1">IFERROR(TRUNC(_xlfn.XLOOKUP(TabTRADER[[#This Row],[ClickTick]],TabCalc[Ticker],ListLastSalep),2)&amp;"x"&amp;_xlfn.XLOOKUP(TabTRADER[[#This Row],[ClickTick]],TabCalc[Ticker],ListLastSalen)&amp;"=   "&amp;TEXT(-_xlfn.XLOOKUP(TabTRADER[[#This Row],[ClickTick]],TabCalc[Ticker],ListReverseB),"#,#0")&amp;"$","")</f>
        <v>88.24x1500=   -95,205$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256.2% = 79</v>
      </c>
      <c r="I30" s="226" t="str">
        <f ca="1">IFERROR(TRUNC(TabCalc[[#This Row],[L_S1p]],2)&amp;"x"&amp;TabCalc[[#This Row],[L_S1n]]&amp;"=   "&amp;TEXT(TabCalc[[#This Row],[ReverseB1]],"#,#0"),"")</f>
        <v>125.31x2800=   281,512</v>
      </c>
      <c r="J30" s="295">
        <f ca="1">_xlfn.XLOOKUP(TabTRADER[[#This Row],[ClickTick]],TabCalc[Ticker],ListGravity)</f>
        <v>1.6269681065805408</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292286</v>
      </c>
      <c r="M30" s="323">
        <f ca="1">_xlfn.XLOOKUP(TabTRADER[[#This Row],[ClickTick]],TabCalc[Ticker],TabCalc[Agiotage])</f>
        <v>1.1079459906615486E-3</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-0.40096735187424426</v>
      </c>
      <c r="S30" s="683">
        <f ca="1">_xlfn.XLOOKUP(TabTRADER[[#This Row],[ClickTick]],TabCalc[Ticker],TabCalc[Rev(MinStock)])*(1-Commission)</f>
        <v>-49610.676000000007</v>
      </c>
      <c r="T30" s="782">
        <f ca="1">_xlfn.XLOOKUP(TabTRADER[[#This Row],[ClickTick]],TabCalc[Ticker],TabCalc[Agiotage])</f>
        <v>1.1079459906615486E-3</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4,020/4,020=&gt;0.8% / -0.8%</v>
      </c>
      <c r="V30" s="739" t="str">
        <f ca="1">_xlfn.XLOOKUP(TabTRADER[[#This Row],[ClickTick]],[1]!RTData[Ticker_Symbol],[1]!RTData[Currency])</f>
        <v>USD</v>
      </c>
      <c r="W30" s="749">
        <f ca="1">_xlfn.XLOOKUP(TabTRADER[[#This Row],[ClickTick]],TabCalc[Ticker],TabCalc[M])</f>
        <v>24.77</v>
      </c>
      <c r="X30" s="1343"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-516/297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49610.676000000007</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297240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0.65426919388705507</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0.66675809446911594</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-0.49434331052989022</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0.66935809446911598</v>
      </c>
      <c r="AP30" s="825" cm="1">
        <f t="array" aca="1" ref="AP30" ca="1">_xlfn.IFS(         TabTRADER[[#This Row],[Traps]]=MDown,TabTRADER[[#This Row],[L_Bn]]*TabTRADER[[#This Row],[M]]*(-(TabTRADER[[#This Row],[L_Bp]]+TabTRADER[[#This Row],[M]])/TabTRADER[[#This Row],[M]])*(1-Commission)*TabTRADER[[#This Row],[Scale]],                               TRUE,"")</f>
        <v>49610.676000000007</v>
      </c>
      <c r="AQ30" s="1186" cm="1">
        <f t="array" aca="1" ref="AQ30" ca="1">_xlfn.IFS(   TabTRADER[[#This Row],[Traps]]=MUp,TabTRADER[[#This Row],[TakeGain_A]]-Commission,        TabTRADER[[#This Row],[Traps]]=MDown,(TabTRADER[[#This Row],[A]]-TabTRADER[[#This Row],[M]])/TabTRADER[[#This Row],[M]]-Commission,                              TRUE,"")</f>
        <v>1.8898237653074959</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561041.52949600003</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-16.579999999999998</v>
      </c>
      <c r="AU30" s="765" cm="1">
        <f t="array" aca="1" ref="AU30" ca="1">_xlfn.IFS(TabTRADER[[#This Row],[Traps]]=ReSaleGain,"",         TabTRADER[[#This Row],[Traps]]=MDown, (TabTRADER[[#This Row],[M]]-TabTRADER[[#This Row],[A]])/TabTRADER[[#This Row],[A]]*ComFactor,             TRUE, IFERROR((TabTRADER[[#This Row],[M]]-TabTRADER[[#This Row],[A]])/TabTRADER[[#This Row],[A]]*ComFactor,""))</f>
        <v>-0.65256809398294868</v>
      </c>
      <c r="AV30" s="762" cm="1">
        <f t="array" aca="1" ref="AV30" ca="1">_xlfn.IFS(               TabTRADER[[#This Row],[Traps]]=NoStock,(TabTRADER[[#This Row],[L_Sp]]-TabTRADER[[#This Row],[M]])/TabTRADER[[#This Row],[M]]-Commission,             TabTRADER[[#This Row],[A]]&lt;&gt;0,(TabTRADER[[#This Row],[A]]-TabTRADER[[#This Row],[M]])/TabTRADER[[#This Row],[M]]-Commission)</f>
        <v>1.8898237653074959</v>
      </c>
      <c r="AW30" s="324">
        <f ca="1">_xlfn.XLOOKUP(TabTRADER[[#This Row],[ClickTick]],TabCalc[Ticker],TabCalc[L_Sn])</f>
        <v>1500</v>
      </c>
      <c r="AX30" s="728">
        <f ca="1">_xlfn.XLOOKUP(TabTRADER[[#This Row],[ClickTick]],TabCalc[Ticker],TabCalc[L_Sp])</f>
        <v>88.24</v>
      </c>
      <c r="AY30" s="764">
        <f ca="1">-IFERROR((TabTRADER[[#This Row],[M]]-TabTRADER[[#This Row],[L_Sp]])/TabTRADER[[#This Row],[L_Sp]],0)</f>
        <v>0.71928830462375348</v>
      </c>
      <c r="AZ30" s="729">
        <f ca="1">TabTRADER[[#This Row],[L_Sn]]*(TabTRADER[[#This Row],[M]]-TabTRADER[[#This Row],[L_Sp]])*(1-Commission)*TabTRADER[[#This Row],[Scale]]</f>
        <v>-94957.46699999999</v>
      </c>
      <c r="BA30" s="692">
        <f ca="1">TabTRADER[[#This Row],[L_Sn]]*(TabTRADER[[#This Row],[Agiotage]]-TabTRADER[[#This Row],[M]])/(TabTRADER[[#This Row],[L_Bn]]*TabTRADER[[#This Row],[M]])</f>
        <v>-0.49997763532517842</v>
      </c>
      <c r="BB30" s="635">
        <f ca="1">IFERROR((TabTRADER[[#This Row],[M]]-TabTRADER[[#This Row],[A]])/TabTRADER[[#This Row],[A]],0)</f>
        <v>-0.65426919388705507</v>
      </c>
      <c r="BC30" s="638" t="str">
        <f ca="1">TEXT(_xlfn.XLOOKUP(TabTRADER[[#This Row],[ClickTick]],TabCalc[Ticker],TabCalc[NAfter]),"#,#0")&amp;" : "&amp;TEXT(_xlfn.XLOOKUP(TabTRADER[[#This Row],[ClickTick]],TabCalc[Ticker],TabCalc[NAfter])*(TabTRADER[[#This Row],[M]]-TabTRADER[[#This Row],[A]])*(1-Commission)*TabTRADER[[#This Row],[Scale]],"#,#0$")</f>
        <v>12,000 : -561,042$</v>
      </c>
      <c r="BD30" s="684">
        <f ca="1">_xlfn.XLOOKUP(TabTRADER[[#This Row],[ClickTick]],TabCalc[[#This Row],[Ticker]],TabCalc[[#This Row],[GL]])*(1-Commission)</f>
        <v>-514620.46887799993</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0.66935809446911598</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-1.8576669040507005E-2</v>
      </c>
      <c r="BO30" s="687">
        <f ca="1">(TabTRADER[[#This Row],[M]]-TabTRADER[[#This Row],[Agiotage]])/(TabTRADER[[#This Row],[M]]-TabTRADER[[#This Row],[A]])-1</f>
        <v>-1.5283992354048017</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-548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364</v>
      </c>
      <c r="F31" s="226" t="str">
        <f ca="1">TRUNC(TabCalc[[#This Row],[L_B1p]],2)&amp;"x"&amp;TabCalc[[#This Row],[L_B1n]]&amp;"=   "&amp;TEXT(TabCalc[[#This Row],[ReverseS1]],"#,#0")&amp;"$"</f>
        <v>-378.43x150=   19,763$</v>
      </c>
      <c r="G31" s="225" t="str">
        <f ca="1">IFERROR(TRUNC(_xlfn.XLOOKUP(TabTRADER[[#This Row],[ClickTick]],TabCalc[Ticker],ListLastSalep),2)&amp;"x"&amp;_xlfn.XLOOKUP(TabTRADER[[#This Row],[ClickTick]],TabCalc[Ticker],ListLastSalen)&amp;"=   "&amp;TEXT(-_xlfn.XLOOKUP(TabTRADER[[#This Row],[ClickTick]],TabCalc[Ticker],ListReverseB),"#,#0")&amp;"$","")</f>
        <v>523.92x150=   -2,061$</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364</v>
      </c>
      <c r="I31" s="226" t="str">
        <f ca="1">IFERROR(TRUNC(TabCalc[[#This Row],[L_S1p]],2)&amp;"x"&amp;TabCalc[[#This Row],[L_S1n]]&amp;"=   "&amp;TEXT(TabCalc[[#This Row],[ReverseB1]],"#,#0"),"")</f>
        <v>515.24x200=   1,013</v>
      </c>
      <c r="J31" s="295">
        <f ca="1">_xlfn.XLOOKUP(TabTRADER[[#This Row],[ClickTick]],TabCalc[Ticker],ListGravity)</f>
        <v>1.2274619938061075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1.3927540245892689E-3</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-7.1035167273223315E-3</v>
      </c>
      <c r="S31" s="683">
        <f ca="1">_xlfn.XLOOKUP(TabTRADER[[#This Row],[ClickTick]],TabCalc[Ticker],TabCalc[Rev(MinStock)])*(1-Commission)</f>
        <v>-546.07650000000513</v>
      </c>
      <c r="T31" s="782">
        <f ca="1">_xlfn.XLOOKUP(TabTRADER[[#This Row],[ClickTick]],TabCalc[Ticker],TabCalc[Agiotage])</f>
        <v>1.3927540245892689E-3</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117,110/117,110=&gt;0.1% / 1.4%</v>
      </c>
      <c r="V31" s="739" t="str">
        <f ca="1">_xlfn.XLOOKUP(TabTRADER[[#This Row],[ClickTick]],[1]!RTData[Ticker_Symbol],[1]!RTData[Currency])</f>
        <v>USD</v>
      </c>
      <c r="W31" s="749">
        <f ca="1">_xlfn.XLOOKUP(TabTRADER[[#This Row],[ClickTick]],TabCalc[Ticker],TabCalc[M])</f>
        <v>510.18</v>
      </c>
      <c r="X31" s="1343"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^4,085/5,000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546.07650000000513</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4999764</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-0.52757202108784396</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4.5543376847387868E-3</v>
      </c>
      <c r="AL31" s="825" t="str" cm="1">
        <f t="array" aca="1" ref="AL31" ca="1">_xlfn.IFS(   TabTRADER[[#This Row],[Traps]]=SellMorePercentGain,                     MIN(TabTRADER[[#This Row],[L_Sn]],TabTRADER[[#This Row],[N]])*(TabTRADER[[#This Row],[M]]-TabTRADER[[#This Row],[L_Sp]])*(1-Commission)*TabTRADER[[#This Row],[Scale]],                    TRUE,"")</f>
        <v/>
      </c>
      <c r="AM31" s="1341">
        <f ca="1">_xlfn.XLOOKUP(TabTRADER[[#This Row],[ClickTick]],TabCalc[Ticker],TabCalc[Ann%RevLB])</f>
        <v>-7.3064743481029704E-2</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7.1543376847387867E-3</v>
      </c>
      <c r="AP31" s="825" cm="1">
        <f t="array" aca="1" ref="AP31" ca="1">_xlfn.IFS(         TabTRADER[[#This Row],[Traps]]=MDown,TabTRADER[[#This Row],[L_Bn]]*TabTRADER[[#This Row],[M]]*(-(TabTRADER[[#This Row],[L_Bp]]+TabTRADER[[#This Row],[M]])/TabTRADER[[#This Row],[M]])*(1-Commission)*TabTRADER[[#This Row],[Scale]],                               TRUE,"")</f>
        <v>546.07650000000513</v>
      </c>
      <c r="AQ31" s="1186" cm="1">
        <f t="array" aca="1" ref="AQ31" ca="1">_xlfn.IFS(   TabTRADER[[#This Row],[Traps]]=MUp,TabTRADER[[#This Row],[TakeGain_A]]-Commission,        TabTRADER[[#This Row],[Traps]]=MDown,(TabTRADER[[#This Row],[A]]-TabTRADER[[#This Row],[M]])/TabTRADER[[#This Row],[M]]-Commission,                              TRUE,"")</f>
        <v>-0.34796638129319707</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-1722260.8489600001</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-3.65</v>
      </c>
      <c r="AU31" s="765" cm="1">
        <f t="array" aca="1" ref="AU31" ca="1">_xlfn.IFS(TabTRADER[[#This Row],[Traps]]=ReSaleGain,"",         TabTRADER[[#This Row],[Traps]]=MDown, (TabTRADER[[#This Row],[M]]-TabTRADER[[#This Row],[A]])/TabTRADER[[#This Row],[A]]*ComFactor,             TRUE, IFERROR((TabTRADER[[#This Row],[M]]-TabTRADER[[#This Row],[A]])/TabTRADER[[#This Row],[A]]*ComFactor,""))</f>
        <v>0.52620033383301557</v>
      </c>
      <c r="AV31" s="762" cm="1">
        <f t="array" aca="1" ref="AV31" ca="1">_xlfn.IFS(               TabTRADER[[#This Row],[Traps]]=NoStock,(TabTRADER[[#This Row],[L_Sp]]-TabTRADER[[#This Row],[M]])/TabTRADER[[#This Row],[M]]-Commission,             TabTRADER[[#This Row],[A]]&lt;&gt;0,(TabTRADER[[#This Row],[A]]-TabTRADER[[#This Row],[M]])/TabTRADER[[#This Row],[M]]-Commission)</f>
        <v>-0.34796638129319707</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2.6225377920293086E-2</v>
      </c>
      <c r="AZ31" s="729">
        <f ca="1">TabTRADER[[#This Row],[L_Sn]]*(TabTRADER[[#This Row],[M]]-TabTRADER[[#This Row],[L_Sp]])*(1-Commission)*TabTRADER[[#This Row],[Scale]]</f>
        <v>-2055.6413999999927</v>
      </c>
      <c r="BA31" s="692">
        <f ca="1">TabTRADER[[#This Row],[L_Sn]]*(TabTRADER[[#This Row],[Agiotage]]-TabTRADER[[#This Row],[M]])/(TabTRADER[[#This Row],[L_Bn]]*TabTRADER[[#This Row],[M]])</f>
        <v>-0.99999727007325923</v>
      </c>
      <c r="BB31" s="635">
        <f ca="1">IFERROR((TabTRADER[[#This Row],[M]]-TabTRADER[[#This Row],[A]])/TabTRADER[[#This Row],[A]],0)</f>
        <v>0.52757202108784396</v>
      </c>
      <c r="BC31" s="638" t="str">
        <f ca="1">TEXT(_xlfn.XLOOKUP(TabTRADER[[#This Row],[ClickTick]],TabCalc[Ticker],TabCalc[NAfter]),"#,#0")&amp;" : "&amp;TEXT(_xlfn.XLOOKUP(TabTRADER[[#This Row],[ClickTick]],TabCalc[Ticker],TabCalc[NAfter])*(TabTRADER[[#This Row],[M]]-TabTRADER[[#This Row],[A]])*(1-Commission)*TabTRADER[[#This Row],[Scale]],"#,#0$")</f>
        <v>9,800 : 1,722,261$</v>
      </c>
      <c r="BD31" s="684">
        <f ca="1">_xlfn.XLOOKUP(TabTRADER[[#This Row],[ClickTick]],TabCalc[[#This Row],[Ticker]],TabCalc[[#This Row],[GL]])*(1-Commission)</f>
        <v>4074691.744744</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7.1543376847387867E-3</v>
      </c>
      <c r="BJ31" s="679">
        <f ca="1">TabTRADER[[#This Row],[L_Sn]]*TabTRADER[[#This Row],[L_Sp]]+TabTRADER[[#This Row],[SellMore]]*TabTRADER[[#This Row],[M]]</f>
        <v>1098948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511.13860465116278</v>
      </c>
      <c r="BN31" s="687">
        <f ca="1">((_xlfn.XLOOKUP(TabTRADER[[#This Row],[ClickTick]],TabCalc[Ticker],TabCalc[NAfter])+TabTRADER[[#This Row],[L_Sn]])*(TabTRADER[[#This Row],[Agiotage]]-TabTRADER[[#This Row],[M]]))/(TabTRADER[[#This Row],[L_Sn]]*_xlfn.XLOOKUP(TabTRADER[[#This Row],[ClickTick]],TabCalc[Ticker],TabCalc[NAfter]))</f>
        <v>-3.4532497565288813</v>
      </c>
      <c r="BO31" s="687">
        <f ca="1">(TabTRADER[[#This Row],[M]]-TabTRADER[[#This Row],[Agiotage]])/(TabTRADER[[#This Row],[M]]-TabTRADER[[#This Row],[A]])-1</f>
        <v>1.8954678979721438</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790$</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32" s="226" t="str">
        <f ca="1">IFERROR(TRUNC(TabCalc[[#This Row],[L_S1p]],2)&amp;"x"&amp;TabCalc[[#This Row],[L_S1n]]&amp;"=   "&amp;TEXT(TabCalc[[#This Row],[ReverseB1]],"#,#0"),"")</f>
        <v>84.7x300=   257</v>
      </c>
      <c r="J32" s="295">
        <f ca="1">_xlfn.XLOOKUP(TabTRADER[[#This Row],[ClickTick]],TabCalc[Ticker],ListGravity)</f>
        <v>1.0852713178294575</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1.303453695704332E-4</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0.18097854685216527</v>
      </c>
      <c r="S32" s="683">
        <f ca="1">_xlfn.XLOOKUP(TabTRADER[[#This Row],[ClickTick]],TabCalc[Ticker],TabCalc[Rev(MinStock)])*(1-Commission)</f>
        <v>12.81614815179999</v>
      </c>
      <c r="T32" s="782">
        <f ca="1">_xlfn.XLOOKUP(TabTRADER[[#This Row],[ClickTick]],TabCalc[Ticker],TabCalc[Agiotage])</f>
        <v>1.303453695704332E-4</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32" s="739" t="str">
        <f ca="1">_xlfn.XLOOKUP(TabTRADER[[#This Row],[ClickTick]],[1]!RTData[Ticker_Symbol],[1]!RTData[Currency])</f>
        <v>USD</v>
      </c>
      <c r="W32" s="749">
        <f ca="1">_xlfn.XLOOKUP(TabTRADER[[#This Row],[ClickTick]],TabCalc[Ticker],TabCalc[M])</f>
        <v>83.85</v>
      </c>
      <c r="X32" s="1343"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1.9748519999999896</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12.81614815179999</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0.18097854685216527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2.1013595706618843E-2</v>
      </c>
      <c r="AL32" s="825" cm="1">
        <f t="array" aca="1" ref="AL32" ca="1">_xlfn.IFS(   TabTRADER[[#This Row],[Traps]]=SellMorePercentGain,                     MIN(TabTRADER[[#This Row],[L_Sn]],TabTRADER[[#This Row],[N]])*(TabTRADER[[#This Row],[M]]-TabTRADER[[#This Row],[L_Sp]])*(1-Commission)*TabTRADER[[#This Row],[Scale]],                    TRUE,"")</f>
        <v>1.9748519999999896</v>
      </c>
      <c r="AM32" s="1175">
        <f ca="1">_xlfn.XLOOKUP(TabTRADER[[#This Row],[ClickTick]],TabCalc[Ticker],TabCalc[Ann%RevLB])</f>
        <v>0.95812171862911033</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0.17837854685216528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15.135596020554814</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1x12.84</v>
      </c>
      <c r="AU32" s="765" cm="1">
        <f t="array" aca="1" ref="AU32" ca="1">_xlfn.IFS(TabTRADER[[#This Row],[Traps]]=ReSaleGain,"",         TabTRADER[[#This Row],[Traps]]=MDown, (TabTRADER[[#This Row],[M]]-TabTRADER[[#This Row],[A]])/TabTRADER[[#This Row],[A]]*ComFactor,             TRUE, IFERROR((TabTRADER[[#This Row],[M]]-TabTRADER[[#This Row],[A]])/TabTRADER[[#This Row],[A]]*ComFactor,""))</f>
        <v>0.18050800263034963</v>
      </c>
      <c r="AV32" s="762" cm="1">
        <f t="array" aca="1" ref="AV32" ca="1">_xlfn.IFS(               TabTRADER[[#This Row],[Traps]]=NoStock,(TabTRADER[[#This Row],[L_Sp]]-TabTRADER[[#This Row],[M]])/TabTRADER[[#This Row],[M]]-Commission,             TabTRADER[[#This Row],[A]]&lt;&gt;0,(TabTRADER[[#This Row],[A]]-TabTRADER[[#This Row],[M]])/TabTRADER[[#This Row],[M]]-Commission)</f>
        <v>-0.15584456768038152</v>
      </c>
      <c r="AW32" s="324">
        <f ca="1">_xlfn.XLOOKUP(TabTRADER[[#This Row],[ClickTick]],TabCalc[Ticker],TabCalc[L_Sn])</f>
        <v>399</v>
      </c>
      <c r="AX32" s="728">
        <f ca="1">_xlfn.XLOOKUP(TabTRADER[[#This Row],[ClickTick]],TabCalc[Ticker],TabCalc[L_Sp])</f>
        <v>81.87</v>
      </c>
      <c r="AY32" s="764">
        <f ca="1">-IFERROR((TabTRADER[[#This Row],[M]]-TabTRADER[[#This Row],[L_Sp]])/TabTRADER[[#This Row],[L_Sp]],0)</f>
        <v>-2.4184683034078291E-2</v>
      </c>
      <c r="AZ32" s="729">
        <f ca="1">TabTRADER[[#This Row],[L_Sn]]*(TabTRADER[[#This Row],[M]]-TabTRADER[[#This Row],[L_Sp]])*(1-Commission)*TabTRADER[[#This Row],[Scale]]</f>
        <v>787.96594799999582</v>
      </c>
      <c r="BA32" s="692">
        <f ca="1">TabTRADER[[#This Row],[L_Sn]]*(TabTRADER[[#This Row],[Agiotage]]-TabTRADER[[#This Row],[M]])/(TabTRADER[[#This Row],[L_Bn]]*TabTRADER[[#This Row],[M]])</f>
        <v>-9.9749844937977158E-2</v>
      </c>
      <c r="BB32" s="635">
        <f ca="1">IFERROR((TabTRADER[[#This Row],[M]]-TabTRADER[[#This Row],[A]])/TabTRADER[[#This Row],[A]],0)</f>
        <v>0.18097854685216527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66544.535194799973</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2.3613595706618841E-2</v>
      </c>
      <c r="BJ32" s="679">
        <f ca="1">TabTRADER[[#This Row],[L_Sn]]*TabTRADER[[#This Row],[L_Sp]]+TabTRADER[[#This Row],[SellMore]]*TabTRADER[[#This Row],[M]]</f>
        <v>66206.13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82.861239048811015</v>
      </c>
      <c r="BN32" s="687">
        <f ca="1">((_xlfn.XLOOKUP(TabTRADER[[#This Row],[ClickTick]],TabCalc[Ticker],TabCalc[NAfter])+TabTRADER[[#This Row],[L_Sn]])*(TabTRADER[[#This Row],[Agiotage]]-TabTRADER[[#This Row],[M]]))/(TabTRADER[[#This Row],[L_Sn]]*_xlfn.XLOOKUP(TabTRADER[[#This Row],[ClickTick]],TabCalc[Ticker],TabCalc[NAfter]))</f>
        <v>-84.060019703890148</v>
      </c>
      <c r="BO32" s="687">
        <f ca="1">(TabTRADER[[#This Row],[M]]-TabTRADER[[#This Row],[Agiotage]])/(TabTRADER[[#This Row],[M]]-TabTRADER[[#This Row],[A]])-1</f>
        <v>5.5255066501226846</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+17,840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561/20,000=49,215</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7,920$</v>
      </c>
      <c r="G33" s="225" t="str">
        <f ca="1">IFERROR(TRUNC(_xlfn.XLOOKUP(TabTRADER[[#This Row],[ClickTick]],TabCalc[Ticker],ListLastSalep),2)&amp;"x"&amp;_xlfn.XLOOKUP(TabTRADER[[#This Row],[ClickTick]],TabCalc[Ticker],ListLastSalen)&amp;"=   "&amp;TEXT(-_xlfn.XLOOKUP(TabTRADER[[#This Row],[ClickTick]],TabCalc[Ticker],ListReverseB),"#,#0")&amp;"$","")</f>
        <v>81.47x2000=   12,660$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33" s="226" t="str">
        <f ca="1">IFERROR(TRUNC(TabCalc[[#This Row],[L_S1p]],2)&amp;"x"&amp;TabCalc[[#This Row],[L_S1n]]&amp;"=   "&amp;TEXT(TabCalc[[#This Row],[ReverseB1]],"#,#0"),"")</f>
        <v>94.22x1000=   6,420</v>
      </c>
      <c r="J33" s="295">
        <f ca="1">_xlfn.XLOOKUP(TabTRADER[[#This Row],[ClickTick]],TabCalc[Ticker],ListGravity)</f>
        <v>1.1701025056947609</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439000</v>
      </c>
      <c r="M33" s="323">
        <f ca="1">_xlfn.XLOOKUP(TabTRADER[[#This Row],[ClickTick]],TabCalc[Ticker],TabCalc[Agiotage])</f>
        <v>4.6623648690558679E-4</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0.11308316430020286</v>
      </c>
      <c r="S33" s="683">
        <f ca="1">_xlfn.XLOOKUP(TabTRADER[[#This Row],[ClickTick]],TabCalc[Ticker],TabCalc[Rev(MinStock)])*(1-Commission)</f>
        <v>17793.616000000002</v>
      </c>
      <c r="T33" s="782">
        <f ca="1">_xlfn.XLOOKUP(TabTRADER[[#This Row],[ClickTick]],TabCalc[Ticker],TabCalc[Agiotage])</f>
        <v>4.6623648690558679E-4</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32,200/32,200=&gt;1.0% / -2.1%</v>
      </c>
      <c r="V33" s="739" t="str">
        <f ca="1">_xlfn.XLOOKUP(TabTRADER[[#This Row],[ClickTick]],[1]!RTData[Ticker_Symbol],[1]!RTData[Currency])</f>
        <v>USD</v>
      </c>
      <c r="W33" s="749">
        <f ca="1">_xlfn.XLOOKUP(TabTRADER[[#This Row],[ClickTick]],TabCalc[Ticker],TabCalc[M])</f>
        <v>87.8</v>
      </c>
      <c r="X33" s="1343"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^1,274/1,756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12627.083999999995</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506926.46543400001</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0.40733084245925816</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6.9495671981776738E-2</v>
      </c>
      <c r="AL33" s="825" cm="1">
        <f t="array" aca="1" ref="AL33" ca="1">_xlfn.IFS(   TabTRADER[[#This Row],[Traps]]=SellMorePercentGain,                     MIN(TabTRADER[[#This Row],[L_Sn]],TabTRADER[[#This Row],[N]])*(TabTRADER[[#This Row],[M]]-TabTRADER[[#This Row],[L_Sp]])*(1-Commission)*TabTRADER[[#This Row],[Scale]],                    TRUE,"")</f>
        <v>12627.083999999995</v>
      </c>
      <c r="AM33" s="1342">
        <f ca="1">_xlfn.XLOOKUP(TabTRADER[[#This Row],[ClickTick]],TabCalc[Ticker],TabCalc[Ann%RevLB])</f>
        <v>3.1315337806210026</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0.40473084245925817</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713413.24966412538</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2,000x25.41</v>
      </c>
      <c r="AU33" s="765" cm="1">
        <f t="array" aca="1" ref="AU33" ca="1">_xlfn.IFS(TabTRADER[[#This Row],[Traps]]=ReSaleGain,"",         TabTRADER[[#This Row],[Traps]]=MDown, (TabTRADER[[#This Row],[M]]-TabTRADER[[#This Row],[A]])/TabTRADER[[#This Row],[A]]*ComFactor,             TRUE, IFERROR((TabTRADER[[#This Row],[M]]-TabTRADER[[#This Row],[A]])/TabTRADER[[#This Row],[A]]*ComFactor,""))</f>
        <v>0.40627178226886407</v>
      </c>
      <c r="AV33" s="762" cm="1">
        <f t="array" aca="1" ref="AV33" ca="1">_xlfn.IFS(               TabTRADER[[#This Row],[Traps]]=NoStock,(TabTRADER[[#This Row],[L_Sp]]-TabTRADER[[#This Row],[M]])/TabTRADER[[#This Row],[M]]-Commission,             TabTRADER[[#This Row],[A]]&lt;&gt;0,(TabTRADER[[#This Row],[A]]-TabTRADER[[#This Row],[M]])/TabTRADER[[#This Row],[M]]-Commission)</f>
        <v>-0.29203502847380414</v>
      </c>
      <c r="AW33" s="324">
        <f ca="1">_xlfn.XLOOKUP(TabTRADER[[#This Row],[ClickTick]],TabCalc[Ticker],TabCalc[L_Sn])</f>
        <v>2000</v>
      </c>
      <c r="AX33" s="728">
        <f ca="1">_xlfn.XLOOKUP(TabTRADER[[#This Row],[ClickTick]],TabCalc[Ticker],TabCalc[L_Sp])</f>
        <v>81.47</v>
      </c>
      <c r="AY33" s="764">
        <f ca="1">-IFERROR((TabTRADER[[#This Row],[M]]-TabTRADER[[#This Row],[L_Sp]])/TabTRADER[[#This Row],[L_Sp]],0)</f>
        <v>-7.769731189394867E-2</v>
      </c>
      <c r="AZ33" s="729">
        <f ca="1">TabTRADER[[#This Row],[L_Sn]]*(TabTRADER[[#This Row],[M]]-TabTRADER[[#This Row],[L_Sp]])*(1-Commission)*TabTRADER[[#This Row],[Scale]]</f>
        <v>12627.083999999995</v>
      </c>
      <c r="BA33" s="692">
        <f ca="1">TabTRADER[[#This Row],[L_Sn]]*(TabTRADER[[#This Row],[Agiotage]]-TabTRADER[[#This Row],[M]])/(TabTRADER[[#This Row],[L_Bn]]*TabTRADER[[#This Row],[M]])</f>
        <v>-0.99999468978944306</v>
      </c>
      <c r="BB33" s="635">
        <f ca="1">IFERROR((TabTRADER[[#This Row],[M]]-TabTRADER[[#This Row],[A]])/TabTRADER[[#This Row],[A]],0)</f>
        <v>0.40733084245925816</v>
      </c>
      <c r="BC33" s="638" t="str">
        <f ca="1">TEXT(_xlfn.XLOOKUP(TabTRADER[[#This Row],[ClickTick]],TabCalc[Ticker],TabCalc[NAfter]),"#,#0")&amp;" : "&amp;TEXT(_xlfn.XLOOKUP(TabTRADER[[#This Row],[ClickTick]],TabCalc[Ticker],TabCalc[NAfter])*(TabTRADER[[#This Row],[M]]-TabTRADER[[#This Row],[A]])*(1-Commission)*TabTRADER[[#This Row],[Scale]],"#,#0$")</f>
        <v>20,000 : 506,926$</v>
      </c>
      <c r="BD33" s="684">
        <f ca="1">_xlfn.XLOOKUP(TabTRADER[[#This Row],[ClickTick]],TabCalc[[#This Row],[Ticker]],TabCalc[[#This Row],[GL]])*(1-Commission)</f>
        <v>1271101.4511820001</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7.2095671981776743E-2</v>
      </c>
      <c r="BJ33" s="679">
        <f ca="1">TabTRADER[[#This Row],[L_Sn]]*TabTRADER[[#This Row],[L_Sp]]+TabTRADER[[#This Row],[SellMore]]*TabTRADER[[#This Row],[M]]</f>
        <v>338540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84.635000000000005</v>
      </c>
      <c r="BN33" s="687">
        <f ca="1">((_xlfn.XLOOKUP(TabTRADER[[#This Row],[ClickTick]],TabCalc[Ticker],TabCalc[NAfter])+TabTRADER[[#This Row],[L_Sn]])*(TabTRADER[[#This Row],[Agiotage]]-TabTRADER[[#This Row],[M]]))/(TabTRADER[[#This Row],[L_Sn]]*_xlfn.XLOOKUP(TabTRADER[[#This Row],[ClickTick]],TabCalc[Ticker],TabCalc[NAfter]))</f>
        <v>-4.8289743569932202E-2</v>
      </c>
      <c r="BO33" s="687">
        <f ca="1">(TabTRADER[[#This Row],[M]]-TabTRADER[[#This Row],[Agiotage]])/(TabTRADER[[#This Row],[M]]-TabTRADER[[#This Row],[A]])-1</f>
        <v>2.4549884824322481</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+7,645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4,305$</v>
      </c>
      <c r="G34" s="225" t="str">
        <f ca="1">IFERROR(TRUNC(_xlfn.XLOOKUP(TabTRADER[[#This Row],[ClickTick]],TabCalc[Ticker],ListLastSalep),2)&amp;"x"&amp;_xlfn.XLOOKUP(TabTRADER[[#This Row],[ClickTick]],TabCalc[Ticker],ListLastSalen)&amp;"=   "&amp;TEXT(-_xlfn.XLOOKUP(TabTRADER[[#This Row],[ClickTick]],TabCalc[Ticker],ListReverseB),"#,#0")&amp;"$","")</f>
        <v>1233.56x100=   -12,139$</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41</v>
      </c>
      <c r="I34" s="226" t="str">
        <f ca="1">IFERROR(TRUNC(TabCalc[[#This Row],[L_S1p]],2)&amp;"x"&amp;TabCalc[[#This Row],[L_S1n]]&amp;"=   "&amp;TEXT(TabCalc[[#This Row],[ReverseB1]],"#,#0"),"")</f>
        <v>1235.33x100=   12,316</v>
      </c>
      <c r="J34" s="295">
        <f ca="1">_xlfn.XLOOKUP(TabTRADER[[#This Row],[ClickTick]],TabCalc[Ticker],ListGravity)</f>
        <v>1.2114362912144725</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3.4597705182637987E-2</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1.3939537597549378E-2</v>
      </c>
      <c r="S34" s="683">
        <f ca="1">_xlfn.XLOOKUP(TabTRADER[[#This Row],[ClickTick]],TabCalc[Ticker],TabCalc[Rev(MinStock)])*(1-Commission)</f>
        <v>7625.1229999999814</v>
      </c>
      <c r="T34" s="782">
        <f ca="1">_xlfn.XLOOKUP(TabTRADER[[#This Row],[ClickTick]],TabCalc[Ticker],TabCalc[Agiotage])</f>
        <v>3.4597705182637987E-2</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-91,680/-91,680=&gt;0.2% / -3.6%</v>
      </c>
      <c r="V34" s="739" t="str">
        <f ca="1">_xlfn.XLOOKUP(TabTRADER[[#This Row],[ClickTick]],[1]!RTData[Ticker_Symbol],[1]!RTData[Currency])</f>
        <v>USD</v>
      </c>
      <c r="W34" s="749">
        <f ca="1">_xlfn.XLOOKUP(TabTRADER[[#This Row],[ClickTick]],TabCalc[Ticker],TabCalc[M])</f>
        <v>1112.17</v>
      </c>
      <c r="X34" s="1343"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^1,501/3,337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7625.1229999999814</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7625.1229999999814</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1.3939537597549378E-2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0.20909306396324065</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-49419.280131814121</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1.2474134349964368E-2</v>
      </c>
      <c r="AW34" s="324">
        <f ca="1">_xlfn.XLOOKUP(TabTRADER[[#This Row],[ClickTick]],TabCalc[Ticker],TabCalc[L_Sn])</f>
        <v>100</v>
      </c>
      <c r="AX34" s="728">
        <f ca="1">_xlfn.XLOOKUP(TabTRADER[[#This Row],[ClickTick]],TabCalc[Ticker],TabCalc[L_Sp])</f>
        <v>1233.56</v>
      </c>
      <c r="AY34" s="764">
        <f ca="1">-IFERROR((TabTRADER[[#This Row],[M]]-TabTRADER[[#This Row],[L_Sp]])/TabTRADER[[#This Row],[L_Sp]],0)</f>
        <v>9.8406238853399816E-2</v>
      </c>
      <c r="AZ34" s="729">
        <f ca="1">TabTRADER[[#This Row],[L_Sn]]*(TabTRADER[[#This Row],[M]]-TabTRADER[[#This Row],[L_Sp]])*(1-Commission)*TabTRADER[[#This Row],[Scale]]</f>
        <v>-12107.438599999987</v>
      </c>
      <c r="BA34" s="692">
        <f ca="1">TabTRADER[[#This Row],[L_Sn]]*(TabTRADER[[#This Row],[Agiotage]]-TabTRADER[[#This Row],[M]])/(TabTRADER[[#This Row],[L_Bn]]*TabTRADER[[#This Row],[M]])</f>
        <v>-0.19999377834230689</v>
      </c>
      <c r="BB34" s="635">
        <f ca="1">IFERROR((TabTRADER[[#This Row],[M]]-TabTRADER[[#This Row],[A]])/TabTRADER[[#This Row],[A]],0)</f>
        <v>-1.4850279245483463E-2</v>
      </c>
      <c r="BC34" s="638" t="str">
        <f ca="1">TEXT(_xlfn.XLOOKUP(TabTRADER[[#This Row],[ClickTick]],TabCalc[Ticker],TabCalc[NAfter]),"#,#0")&amp;" : "&amp;TEXT(_xlfn.XLOOKUP(TabTRADER[[#This Row],[ClickTick]],TabCalc[Ticker],TabCalc[NAfter])*(TabTRADER[[#This Row],[M]]-TabTRADER[[#This Row],[A]])*(1-Commission)*TabTRADER[[#This Row],[Scale]],"#,#0$")</f>
        <v>3,000 : -50,164$</v>
      </c>
      <c r="BD34" s="684">
        <f ca="1">_xlfn.XLOOKUP(TabTRADER[[#This Row],[ClickTick]],TabCalc[[#This Row],[Ticker]],TabCalc[[#This Row],[GL]])*(1-Commission)</f>
        <v>1497535.248626</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156"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-11.492065823713112</v>
      </c>
      <c r="BO34" s="687">
        <f ca="1">(TabTRADER[[#This Row],[M]]-TabTRADER[[#This Row],[Agiotage]])/(TabTRADER[[#This Row],[M]]-TabTRADER[[#This Row],[A]])-1</f>
        <v>-67.336737387105629</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-7,150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-112.6%</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-176,721$</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12.402000000000001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1.1904908516935759E-4</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-0.52962962962962967</v>
      </c>
      <c r="S35" s="683">
        <f ca="1">_xlfn.XLOOKUP(TabTRADER[[#This Row],[ClickTick]],TabCalc[Ticker],TabCalc[Rev(MinStock)])*(1-Commission)</f>
        <v>-7131.4100000000008</v>
      </c>
      <c r="T35" s="782">
        <f ca="1">_xlfn.XLOOKUP(TabTRADER[[#This Row],[ClickTick]],TabCalc[Ticker],TabCalc[Agiotage])</f>
        <v>1.1904908516935759E-4</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533/533=&gt;1.7% / 0.4%</v>
      </c>
      <c r="V35" s="739" t="str">
        <f ca="1">_xlfn.XLOOKUP(TabTRADER[[#This Row],[ClickTick]],[1]!RTData[Ticker_Symbol],[1]!RTData[Currency])</f>
        <v>USD</v>
      </c>
      <c r="W35" s="749">
        <f ca="1">_xlfn.XLOOKUP(TabTRADER[[#This Row],[ClickTick]],TabCalc[Ticker],TabCalc[M])</f>
        <v>2.54</v>
      </c>
      <c r="X35" s="1343"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-184/68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7131.4100000000008</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67734.180000000008</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0.73079199115257343</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1.1233842519685042</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-2.5422222222222222</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1.1259842519685042</v>
      </c>
      <c r="AP35" s="825" cm="1">
        <f t="array" aca="1" ref="AP35" ca="1">_xlfn.IFS(         TabTRADER[[#This Row],[Traps]]=MDown,TabTRADER[[#This Row],[L_Bn]]*TabTRADER[[#This Row],[M]]*(-(TabTRADER[[#This Row],[L_Bp]]+TabTRADER[[#This Row],[M]])/TabTRADER[[#This Row],[M]])*(1-Commission)*TabTRADER[[#This Row],[Scale]],                               TRUE,"")</f>
        <v>7131.4100000000017</v>
      </c>
      <c r="AQ35" s="1186" cm="1">
        <f t="array" aca="1" ref="AQ35" ca="1">_xlfn.IFS(   TabTRADER[[#This Row],[Traps]]=MUp,TabTRADER[[#This Row],[TakeGain_A]]-Commission,        TabTRADER[[#This Row],[Traps]]=MDown,(TabTRADER[[#This Row],[A]]-TabTRADER[[#This Row],[M]])/TabTRADER[[#This Row],[M]]-Commission,                              TRUE,"")</f>
        <v>2.7119997412237069</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183393.1224125</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-2.86</v>
      </c>
      <c r="AU35" s="765" cm="1">
        <f t="array" aca="1" ref="AU35" ca="1">_xlfn.IFS(TabTRADER[[#This Row],[Traps]]=ReSaleGain,"",         TabTRADER[[#This Row],[Traps]]=MDown, (TabTRADER[[#This Row],[M]]-TabTRADER[[#This Row],[A]])/TabTRADER[[#This Row],[A]]*ComFactor,             TRUE, IFERROR((TabTRADER[[#This Row],[M]]-TabTRADER[[#This Row],[A]])/TabTRADER[[#This Row],[A]]*ComFactor,""))</f>
        <v>-0.72889193197557667</v>
      </c>
      <c r="AV35" s="762" cm="1">
        <f t="array" aca="1" ref="AV35" ca="1">_xlfn.IFS(               TabTRADER[[#This Row],[Traps]]=NoStock,(TabTRADER[[#This Row],[L_Sp]]-TabTRADER[[#This Row],[M]])/TabTRADER[[#This Row],[M]]-Commission,             TabTRADER[[#This Row],[A]]&lt;&gt;0,(TabTRADER[[#This Row],[A]]-TabTRADER[[#This Row],[M]])/TabTRADER[[#This Row],[M]]-Commission)</f>
        <v>2.7119997412237069</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-0.73079199115257343</v>
      </c>
      <c r="BC35" s="638" t="str">
        <f ca="1">TEXT(_xlfn.XLOOKUP(TabTRADER[[#This Row],[ClickTick]],TabCalc[Ticker],TabCalc[NAfter]),"#,#0")&amp;" : "&amp;TEXT(_xlfn.XLOOKUP(TabTRADER[[#This Row],[ClickTick]],TabCalc[Ticker],TabCalc[NAfter])*(TabTRADER[[#This Row],[M]]-TabTRADER[[#This Row],[A]])*(1-Commission)*TabTRADER[[#This Row],[Scale]],"#,#0$")</f>
        <v>26,667 : -183,393$</v>
      </c>
      <c r="BD35" s="684">
        <f ca="1">_xlfn.XLOOKUP(TabTRADER[[#This Row],[ClickTick]],TabCalc[[#This Row],[Ticker]],TabCalc[[#This Row],[GL]])*(1-Commission)</f>
        <v>-183393.1224125</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1.1259842519685042</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-1.3683611676138536</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+4,185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6,325</v>
      </c>
      <c r="F36" s="226" t="str">
        <f ca="1">TRUNC(TabCalc[[#This Row],[L_B1p]],2)&amp;"x"&amp;TabCalc[[#This Row],[L_B1n]]&amp;"=   "&amp;TEXT(TabCalc[[#This Row],[ReverseS1]],"#,#0")&amp;"$"</f>
        <v>-27.53x1000=   10,980$</v>
      </c>
      <c r="G36" s="225" t="str">
        <f ca="1">IFERROR(TRUNC(_xlfn.XLOOKUP(TabTRADER[[#This Row],[ClickTick]],TabCalc[Ticker],ListLastSalep),2)&amp;"x"&amp;_xlfn.XLOOKUP(TabTRADER[[#This Row],[ClickTick]],TabCalc[Ticker],ListLastSalen)&amp;"=   "&amp;TEXT(-_xlfn.XLOOKUP(TabTRADER[[#This Row],[ClickTick]],TabCalc[Ticker],ListReverseB),"#,#0")&amp;"$","")</f>
        <v>39.3x500=   -395$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6,325</v>
      </c>
      <c r="I36" s="226" t="str">
        <f ca="1">IFERROR(TRUNC(TabCalc[[#This Row],[L_S1p]],2)&amp;"x"&amp;TabCalc[[#This Row],[L_S1n]]&amp;"=   "&amp;TEXT(TabCalc[[#This Row],[ReverseB1]],"#,#0"),"")</f>
        <v>36.29x1000=   -2,220</v>
      </c>
      <c r="J36" s="295">
        <f ca="1">_xlfn.XLOOKUP(TabTRADER[[#This Row],[ClickTick]],TabCalc[Ticker],ListGravity)</f>
        <v>1.2172163074526097</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38510</v>
      </c>
      <c r="M36" s="323">
        <f ca="1">_xlfn.XLOOKUP(TabTRADER[[#This Row],[ClickTick]],TabCalc[Ticker],TabCalc[Agiotage])</f>
        <v>5.2451708599980218E-4</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7.8107502799552045E-2</v>
      </c>
      <c r="S36" s="683">
        <f ca="1">_xlfn.XLOOKUP(TabTRADER[[#This Row],[ClickTick]],TabCalc[Ticker],TabCalc[Rev(MinStock)])*(1-Commission)</f>
        <v>4174.1189999999988</v>
      </c>
      <c r="T36" s="782">
        <f ca="1">_xlfn.XLOOKUP(TabTRADER[[#This Row],[ClickTick]],TabCalc[Ticker],TabCalc[Agiotage])</f>
        <v>5.2451708599980218E-4</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6,800/6,800=&gt;2.6% / -1.4%</v>
      </c>
      <c r="V36" s="739" t="str">
        <f ca="1">_xlfn.XLOOKUP(TabTRADER[[#This Row],[ClickTick]],[1]!RTData[Ticker_Symbol],[1]!RTData[Currency])</f>
        <v>USD</v>
      </c>
      <c r="W36" s="749">
        <f ca="1">_xlfn.XLOOKUP(TabTRADER[[#This Row],[ClickTick]],TabCalc[Ticker],TabCalc[M])</f>
        <v>38.51</v>
      </c>
      <c r="X36" s="1343"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^87/154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4174.1189999999988</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4174.1189999999988</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7.8107502799552045E-2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1.041433370660694</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48622.088170925541</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2.5%</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-0.24299210594650733</v>
      </c>
      <c r="AW36" s="324">
        <f ca="1">_xlfn.XLOOKUP(TabTRADER[[#This Row],[ClickTick]],TabCalc[Ticker],TabCalc[L_Sn])</f>
        <v>500</v>
      </c>
      <c r="AX36" s="728">
        <f ca="1">_xlfn.XLOOKUP(TabTRADER[[#This Row],[ClickTick]],TabCalc[Ticker],TabCalc[L_Sp])</f>
        <v>39.3005</v>
      </c>
      <c r="AY36" s="764">
        <f ca="1">-IFERROR((TabTRADER[[#This Row],[M]]-TabTRADER[[#This Row],[L_Sp]])/TabTRADER[[#This Row],[L_Sp]],0)</f>
        <v>2.0114247910331968E-2</v>
      </c>
      <c r="AZ36" s="729">
        <f ca="1">TabTRADER[[#This Row],[L_Sn]]*(TabTRADER[[#This Row],[M]]-TabTRADER[[#This Row],[L_Sp]])*(1-Commission)*TabTRADER[[#This Row],[Scale]]</f>
        <v>-394.2223500000008</v>
      </c>
      <c r="BA36" s="692">
        <f ca="1">TabTRADER[[#This Row],[L_Sn]]*(TabTRADER[[#This Row],[Agiotage]]-TabTRADER[[#This Row],[M]])/(TabTRADER[[#This Row],[L_Bn]]*TabTRADER[[#This Row],[M]])</f>
        <v>-0.33332879323910675</v>
      </c>
      <c r="BB36" s="635">
        <f ca="1">IFERROR((TabTRADER[[#This Row],[M]]-TabTRADER[[#This Row],[A]])/TabTRADER[[#This Row],[A]],0)</f>
        <v>0.31646867789077843</v>
      </c>
      <c r="BC36" s="638" t="str">
        <f ca="1">TEXT(_xlfn.XLOOKUP(TabTRADER[[#This Row],[ClickTick]],TabCalc[Ticker],TabCalc[NAfter]),"#,#0")&amp;" : "&amp;TEXT(_xlfn.XLOOKUP(TabTRADER[[#This Row],[ClickTick]],TabCalc[Ticker],TabCalc[NAfter])*(TabTRADER[[#This Row],[M]]-TabTRADER[[#This Row],[A]])*(1-Commission)*TabTRADER[[#This Row],[Scale]],"#,#0$")</f>
        <v>4,000 : 36,934$</v>
      </c>
      <c r="BD36" s="684">
        <f ca="1">_xlfn.XLOOKUP(TabTRADER[[#This Row],[ClickTick]],TabCalc[[#This Row],[Ticker]],TabCalc[[#This Row],[GL]])*(1-Commission)</f>
        <v>86571.876369999984</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77415.25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38.707625</v>
      </c>
      <c r="BN36" s="687">
        <f ca="1">((_xlfn.XLOOKUP(TabTRADER[[#This Row],[ClickTick]],TabCalc[Ticker],TabCalc[NAfter])+TabTRADER[[#This Row],[L_Sn]])*(TabTRADER[[#This Row],[Agiotage]]-TabTRADER[[#This Row],[M]]))/(TabTRADER[[#This Row],[L_Sn]]*_xlfn.XLOOKUP(TabTRADER[[#This Row],[ClickTick]],TabCalc[Ticker],TabCalc[NAfter]))</f>
        <v>-8.6646319836556504E-2</v>
      </c>
      <c r="BO36" s="687">
        <f ca="1">(TabTRADER[[#This Row],[M]]-TabTRADER[[#This Row],[Agiotage]])/(TabTRADER[[#This Row],[M]]-TabTRADER[[#This Row],[A]])-1</f>
        <v>3.1598137167608975</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+6,640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24.2%</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3,012/4,000=20,633</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1,250$</v>
      </c>
      <c r="G37" s="225" t="str">
        <f ca="1">IFERROR(TRUNC(_xlfn.XLOOKUP(TabTRADER[[#This Row],[ClickTick]],TabCalc[Ticker],ListLastSalep),2)&amp;"x"&amp;_xlfn.XLOOKUP(TabTRADER[[#This Row],[ClickTick]],TabCalc[Ticker],ListLastSalen)&amp;"=   "&amp;TEXT(-_xlfn.XLOOKUP(TabTRADER[[#This Row],[ClickTick]],TabCalc[Ticker],ListReverseB),"#,#0")&amp;"$","")</f>
        <v>5.61x2000=   2,480$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0</v>
      </c>
      <c r="I37" s="226" t="str">
        <f ca="1">IFERROR(TRUNC(TabCalc[[#This Row],[L_S1p]],2)&amp;"x"&amp;TabCalc[[#This Row],[L_S1n]]&amp;"=   "&amp;TEXT(TabCalc[[#This Row],[ReverseB1]],"#,#0"),"")</f>
        <v>6.93x2000=   160</v>
      </c>
      <c r="J37" s="295">
        <f ca="1">_xlfn.XLOOKUP(TabTRADER[[#This Row],[ClickTick]],TabCalc[Ticker],ListGravity)</f>
        <v>1.7664233576642336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6.0746796594593659</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0.31984585741811161</v>
      </c>
      <c r="S37" s="683">
        <f ca="1">_xlfn.XLOOKUP(TabTRADER[[#This Row],[ClickTick]],TabCalc[Ticker],TabCalc[Rev(MinStock)])*(1-Commission)</f>
        <v>6622.7359999999971</v>
      </c>
      <c r="T37" s="782">
        <f ca="1">_xlfn.XLOOKUP(TabTRADER[[#This Row],[ClickTick]],TabCalc[Ticker],TabCalc[Agiotage])</f>
        <v>6.0746796594593659</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3,440/3,440=&gt;1.3% / 7.9%</v>
      </c>
      <c r="V37" s="739" t="str">
        <f ca="1">_xlfn.XLOOKUP(TabTRADER[[#This Row],[ClickTick]],[1]!RTData[Ticker_Symbol],[1]!RTData[Currency])</f>
        <v>USD</v>
      </c>
      <c r="W37" s="749">
        <f ca="1">_xlfn.XLOOKUP(TabTRADER[[#This Row],[ClickTick]],TabCalc[Ticker],TabCalc[M])</f>
        <v>6.85</v>
      </c>
      <c r="X37" s="1343"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^8/27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2473.5519999999983</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6622.7359999999971</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0.31984585741811161</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0.17842189781021889</v>
      </c>
      <c r="AL37" s="825" cm="1">
        <f t="array" aca="1" ref="AL37" ca="1">_xlfn.IFS(   TabTRADER[[#This Row],[Traps]]=SellMorePercentGain,                     MIN(TabTRADER[[#This Row],[L_Sn]],TabTRADER[[#This Row],[N]])*(TabTRADER[[#This Row],[M]]-TabTRADER[[#This Row],[L_Sp]])*(1-Commission)*TabTRADER[[#This Row],[Scale]],                    TRUE,"")</f>
        <v>2473.5519999999983</v>
      </c>
      <c r="AM37" s="1175">
        <f ca="1">_xlfn.XLOOKUP(TabTRADER[[#This Row],[ClickTick]],TabCalc[Ticker],TabCalc[Ann%RevLB])</f>
        <v>2.1323057161207442</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0.31724585741811162</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8740.990674373792</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-3.4%</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4,000x1.66</v>
      </c>
      <c r="AU37" s="765" cm="1">
        <f t="array" aca="1" ref="AU37" ca="1">_xlfn.IFS(TabTRADER[[#This Row],[Traps]]=ReSaleGain,"",         TabTRADER[[#This Row],[Traps]]=MDown, (TabTRADER[[#This Row],[M]]-TabTRADER[[#This Row],[A]])/TabTRADER[[#This Row],[A]]*ComFactor,             TRUE, IFERROR((TabTRADER[[#This Row],[M]]-TabTRADER[[#This Row],[A]])/TabTRADER[[#This Row],[A]]*ComFactor,""))</f>
        <v>0.31901425818882451</v>
      </c>
      <c r="AV37" s="762" cm="1">
        <f t="array" aca="1" ref="AV37" ca="1">_xlfn.IFS(               TabTRADER[[#This Row],[Traps]]=NoStock,(TabTRADER[[#This Row],[L_Sp]]-TabTRADER[[#This Row],[M]])/TabTRADER[[#This Row],[M]]-Commission,             TabTRADER[[#This Row],[A]]&lt;&gt;0,(TabTRADER[[#This Row],[A]]-TabTRADER[[#This Row],[M]])/TabTRADER[[#This Row],[M]]-Commission)</f>
        <v>-0.24493576642335757</v>
      </c>
      <c r="AW37" s="324">
        <f ca="1">_xlfn.XLOOKUP(TabTRADER[[#This Row],[ClickTick]],TabCalc[Ticker],TabCalc[L_Sn])</f>
        <v>2000</v>
      </c>
      <c r="AX37" s="728">
        <f ca="1">_xlfn.XLOOKUP(TabTRADER[[#This Row],[ClickTick]],TabCalc[Ticker],TabCalc[L_Sp])</f>
        <v>5.61</v>
      </c>
      <c r="AY37" s="764">
        <f ca="1">-IFERROR((TabTRADER[[#This Row],[M]]-TabTRADER[[#This Row],[L_Sp]])/TabTRADER[[#This Row],[L_Sp]],0)</f>
        <v>-0.22103386809269149</v>
      </c>
      <c r="AZ37" s="729">
        <f ca="1">TabTRADER[[#This Row],[L_Sn]]*(TabTRADER[[#This Row],[M]]-TabTRADER[[#This Row],[L_Sp]])*(1-Commission)*TabTRADER[[#This Row],[Scale]]</f>
        <v>2473.5519999999983</v>
      </c>
      <c r="BA37" s="692">
        <f ca="1">TabTRADER[[#This Row],[L_Sn]]*(TabTRADER[[#This Row],[Agiotage]]-TabTRADER[[#This Row],[M]])/(TabTRADER[[#This Row],[L_Bn]]*TabTRADER[[#This Row],[M]])</f>
        <v>-5.6592725586907568E-2</v>
      </c>
      <c r="BB37" s="635">
        <f ca="1">IFERROR((TabTRADER[[#This Row],[M]]-TabTRADER[[#This Row],[A]])/TabTRADER[[#This Row],[A]],0)</f>
        <v>0.31984585741811161</v>
      </c>
      <c r="BC37" s="638" t="str">
        <f ca="1">TEXT(_xlfn.XLOOKUP(TabTRADER[[#This Row],[ClickTick]],TabCalc[Ticker],TabCalc[NAfter]),"#,#0")&amp;" : "&amp;TEXT(_xlfn.XLOOKUP(TabTRADER[[#This Row],[ClickTick]],TabCalc[Ticker],TabCalc[NAfter])*(TabTRADER[[#This Row],[M]]-TabTRADER[[#This Row],[A]])*(1-Commission)*TabTRADER[[#This Row],[Scale]],"#,#0$")</f>
        <v>4,000 : 6,623$</v>
      </c>
      <c r="BD37" s="684">
        <f ca="1">_xlfn.XLOOKUP(TabTRADER[[#This Row],[ClickTick]],TabCalc[[#This Row],[Ticker]],TabCalc[[#This Row],[GL]])*(1-Commission)</f>
        <v>7906.7688120000257</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MYA</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0.18102189781021888</v>
      </c>
      <c r="BJ37" s="679">
        <f ca="1">TabTRADER[[#This Row],[L_Sn]]*TabTRADER[[#This Row],[L_Sp]]+TabTRADER[[#This Row],[SellMore]]*TabTRADER[[#This Row],[M]]</f>
        <v>38620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6.4366666666666665</v>
      </c>
      <c r="BN37" s="687">
        <f ca="1">((_xlfn.XLOOKUP(TabTRADER[[#This Row],[ClickTick]],TabCalc[Ticker],TabCalc[NAfter])+TabTRADER[[#This Row],[L_Sn]])*(TabTRADER[[#This Row],[Agiotage]]-TabTRADER[[#This Row],[M]]))/(TabTRADER[[#This Row],[L_Sn]]*_xlfn.XLOOKUP(TabTRADER[[#This Row],[ClickTick]],TabCalc[Ticker],TabCalc[NAfter]))</f>
        <v>-5.8149025540547524E-4</v>
      </c>
      <c r="BO37" s="687">
        <f ca="1">(TabTRADER[[#This Row],[M]]-TabTRADER[[#This Row],[Agiotage]])/(TabTRADER[[#This Row],[M]]-TabTRADER[[#This Row],[A]])-1</f>
        <v>-0.5329395538911843</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-1,800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-16.4%</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4,340$</v>
      </c>
      <c r="G38" s="225" t="str">
        <f ca="1">IFERROR(TRUNC(_xlfn.XLOOKUP(TabTRADER[[#This Row],[ClickTick]],TabCalc[Ticker],ListLastSalep),2)&amp;"x"&amp;_xlfn.XLOOKUP(TabTRADER[[#This Row],[ClickTick]],TabCalc[Ticker],ListLastSalen)&amp;"=   "&amp;TEXT(-_xlfn.XLOOKUP(TabTRADER[[#This Row],[ClickTick]],TabCalc[Ticker],ListReverseB),"#,#0")&amp;"$","")</f>
        <v>9.07x2500=   -11,675$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106.1% = 1,071</v>
      </c>
      <c r="I38" s="226" t="str">
        <f ca="1">IFERROR(TRUNC(TabCalc[[#This Row],[L_S1p]],2)&amp;"x"&amp;TabCalc[[#This Row],[L_S1n]]&amp;"=   "&amp;TEXT(TabCalc[[#This Row],[ReverseB1]],"#,#0"),"")</f>
        <v>7.4x2500=   7,500</v>
      </c>
      <c r="J38" s="295">
        <f ca="1">_xlfn.XLOOKUP(TabTRADER[[#This Row],[ClickTick]],TabCalc[Ticker],ListGravity)</f>
        <v>1.5075749999999999</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2.8162469848329948E-3</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-0.14062499999999994</v>
      </c>
      <c r="S38" s="683">
        <f ca="1">_xlfn.XLOOKUP(TabTRADER[[#This Row],[ClickTick]],TabCalc[Ticker],TabCalc[Rev(MinStock)])*(1-Commission)</f>
        <v>-1795.3199999999993</v>
      </c>
      <c r="T38" s="782">
        <f ca="1">_xlfn.XLOOKUP(TabTRADER[[#This Row],[ClickTick]],TabCalc[Ticker],TabCalc[Agiotage])</f>
        <v>2.8162469848329948E-3</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9,000/9,000=&gt;0.9% / -6.4%</v>
      </c>
      <c r="V38" s="739" t="str">
        <f ca="1">_xlfn.XLOOKUP(TabTRADER[[#This Row],[ClickTick]],[1]!RTData[Ticker_Symbol],[1]!RTData[Currency])</f>
        <v>USD</v>
      </c>
      <c r="W38" s="749">
        <f ca="1">_xlfn.XLOOKUP(TabTRADER[[#This Row],[ClickTick]],TabCalc[Ticker],TabCalc[M])</f>
        <v>4.4000000000000004</v>
      </c>
      <c r="X38" s="1343"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-57/198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11644.644999999999</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11644.644999999999</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0.5148842337375964</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-0.34913793103448265</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-59478.958249333307</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3.3%</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-0.23086609962282142</v>
      </c>
      <c r="AV38" s="762" cm="1">
        <f t="array" aca="1" ref="AV38" ca="1">_xlfn.IFS(               TabTRADER[[#This Row],[Traps]]=NoStock,(TabTRADER[[#This Row],[L_Sp]]-TabTRADER[[#This Row],[M]])/TabTRADER[[#This Row],[M]]-Commission,             TabTRADER[[#This Row],[A]]&lt;&gt;0,(TabTRADER[[#This Row],[A]]-TabTRADER[[#This Row],[M]])/TabTRADER[[#This Row],[M]]-Commission)</f>
        <v>0.29858185185185171</v>
      </c>
      <c r="AW38" s="324">
        <f ca="1">_xlfn.XLOOKUP(TabTRADER[[#This Row],[ClickTick]],TabCalc[Ticker],TabCalc[L_Sn])</f>
        <v>2500</v>
      </c>
      <c r="AX38" s="728">
        <f ca="1">_xlfn.XLOOKUP(TabTRADER[[#This Row],[ClickTick]],TabCalc[Ticker],TabCalc[L_Sp])</f>
        <v>9.07</v>
      </c>
      <c r="AY38" s="764">
        <f ca="1">-IFERROR((TabTRADER[[#This Row],[M]]-TabTRADER[[#This Row],[L_Sp]])/TabTRADER[[#This Row],[L_Sp]],0)</f>
        <v>0.5148842337375964</v>
      </c>
      <c r="AZ38" s="729">
        <f ca="1">TabTRADER[[#This Row],[L_Sn]]*(TabTRADER[[#This Row],[M]]-TabTRADER[[#This Row],[L_Sp]])*(1-Commission)*TabTRADER[[#This Row],[Scale]]</f>
        <v>-11644.644999999999</v>
      </c>
      <c r="BA38" s="692">
        <f ca="1">TabTRADER[[#This Row],[L_Sn]]*(TabTRADER[[#This Row],[Agiotage]]-TabTRADER[[#This Row],[M]])/(TabTRADER[[#This Row],[L_Bn]]*TabTRADER[[#This Row],[M]])</f>
        <v>-0.9993599438670836</v>
      </c>
      <c r="BB38" s="635">
        <f ca="1">IFERROR((TabTRADER[[#This Row],[M]]-TabTRADER[[#This Row],[A]])/TabTRADER[[#This Row],[A]],0)</f>
        <v>-0.23146791620495433</v>
      </c>
      <c r="BC38" s="638" t="str">
        <f ca="1">TEXT(_xlfn.XLOOKUP(TabTRADER[[#This Row],[ClickTick]],TabCalc[Ticker],TabCalc[NAfter]),"#,#0")&amp;" : "&amp;TEXT(_xlfn.XLOOKUP(TabTRADER[[#This Row],[ClickTick]],TabCalc[Ticker],TabCalc[NAfter])*(TabTRADER[[#This Row],[M]]-TabTRADER[[#This Row],[A]])*(1-Commission)*TabTRADER[[#This Row],[Scale]],"#,#0$")</f>
        <v>45,000 : -59,479$</v>
      </c>
      <c r="BD38" s="684">
        <f ca="1">_xlfn.XLOOKUP(TabTRADER[[#This Row],[ClickTick]],TabCalc[[#This Row],[Ticker]],TabCalc[[#This Row],[GL]])*(1-Commission)</f>
        <v>-57133.575473999976</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-1.8565886957175152E-3</v>
      </c>
      <c r="BO38" s="687">
        <f ca="1">(TabTRADER[[#This Row],[M]]-TabTRADER[[#This Row],[Agiotage]])/(TabTRADER[[#This Row],[M]]-TabTRADER[[#This Row],[A]])-1</f>
        <v>-4.3181280270454625</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-2,916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-68.4%</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-421$</v>
      </c>
      <c r="G39" s="225" t="str">
        <f ca="1">IFERROR(TRUNC(_xlfn.XLOOKUP(TabTRADER[[#This Row],[ClickTick]],TabCalc[Ticker],ListLastSalep),2)&amp;"x"&amp;_xlfn.XLOOKUP(TabTRADER[[#This Row],[ClickTick]],TabCalc[Ticker],ListLastSalen)&amp;"=   "&amp;TEXT(-_xlfn.XLOOKUP(TabTRADER[[#This Row],[ClickTick]],TabCalc[Ticker],ListReverseB),"#,#0")&amp;"$","")</f>
        <v>1.54x3006=   -2,495$</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116.9% = 6,024</v>
      </c>
      <c r="I39" s="226" t="str">
        <f ca="1">IFERROR(TRUNC(TabCalc[[#This Row],[L_S1p]],2)&amp;"x"&amp;TabCalc[[#This Row],[L_S1n]]&amp;"=   "&amp;TEXT(TabCalc[[#This Row],[ReverseB1]],"#,#0"),"")</f>
        <v>1.39x3006=   2,044</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4970</v>
      </c>
      <c r="M39" s="323">
        <f ca="1">_xlfn.XLOOKUP(TabTRADER[[#This Row],[ClickTick]],TabCalc[Ticker],TabCalc[Agiotage])</f>
        <v>9.3454688987438753E-3</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-0.40610623170221666</v>
      </c>
      <c r="S39" s="683">
        <f ca="1">_xlfn.XLOOKUP(TabTRADER[[#This Row],[ClickTick]],TabCalc[Ticker],TabCalc[Rev(MinStock)])*(1-Commission)</f>
        <v>-2908.3316262000003</v>
      </c>
      <c r="T39" s="782">
        <f ca="1">_xlfn.XLOOKUP(TabTRADER[[#This Row],[ClickTick]],TabCalc[Ticker],TabCalc[Agiotage])</f>
        <v>9.3454688987438753E-3</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1,100/1,100=&gt;-3.2% / 14.5%</v>
      </c>
      <c r="V39" s="739" t="str">
        <f ca="1">_xlfn.XLOOKUP(TabTRADER[[#This Row],[ClickTick]],[1]!RTData[Ticker_Symbol],[1]!RTData[Currency])</f>
        <v>USD</v>
      </c>
      <c r="W39" s="749">
        <f ca="1">_xlfn.XLOOKUP(TabTRADER[[#This Row],[ClickTick]],TabCalc[Ticker],TabCalc[M])</f>
        <v>0.71</v>
      </c>
      <c r="X39" s="1343"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-7/7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2908.3316262000003</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7100</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0.33417110238439707</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0.68120281690140849</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-0.48895733582875583</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0.68380281690140854</v>
      </c>
      <c r="AP39" s="825" cm="1">
        <f t="array" aca="1" ref="AP39" ca="1">_xlfn.IFS(         TabTRADER[[#This Row],[Traps]]=MDown,TabTRADER[[#This Row],[L_Bn]]*TabTRADER[[#This Row],[M]]*(-(TabTRADER[[#This Row],[L_Bp]]+TabTRADER[[#This Row],[M]])/TabTRADER[[#This Row],[M]])*(1-Commission)*TabTRADER[[#This Row],[Scale]],                               TRUE,"")</f>
        <v>2908.3316262000003</v>
      </c>
      <c r="AQ39" s="1186" cm="1">
        <f t="array" aca="1" ref="AQ39" ca="1">_xlfn.IFS(   TabTRADER[[#This Row],[Traps]]=MUp,TabTRADER[[#This Row],[TakeGain_A]]-Commission,        TabTRADER[[#This Row],[Traps]]=MDown,(TabTRADER[[#This Row],[A]]-TabTRADER[[#This Row],[M]])/TabTRADER[[#This Row],[M]]-Commission,                              TRUE,"")</f>
        <v>0.49928735211267611</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3554.1353594799994</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-0.48</v>
      </c>
      <c r="AU39" s="765" cm="1">
        <f t="array" aca="1" ref="AU39" ca="1">_xlfn.IFS(TabTRADER[[#This Row],[Traps]]=ReSaleGain,"",         TabTRADER[[#This Row],[Traps]]=MDown, (TabTRADER[[#This Row],[M]]-TabTRADER[[#This Row],[A]])/TabTRADER[[#This Row],[A]]*ComFactor,             TRUE, IFERROR((TabTRADER[[#This Row],[M]]-TabTRADER[[#This Row],[A]])/TabTRADER[[#This Row],[A]]*ComFactor,""))</f>
        <v>-0.33330225751819764</v>
      </c>
      <c r="AV39" s="762" cm="1">
        <f t="array" aca="1" ref="AV39" ca="1">_xlfn.IFS(               TabTRADER[[#This Row],[Traps]]=NoStock,(TabTRADER[[#This Row],[L_Sp]]-TabTRADER[[#This Row],[M]])/TabTRADER[[#This Row],[M]]-Commission,             TabTRADER[[#This Row],[A]]&lt;&gt;0,(TabTRADER[[#This Row],[A]]-TabTRADER[[#This Row],[M]])/TabTRADER[[#This Row],[M]]-Commission)</f>
        <v>0.49928735211267611</v>
      </c>
      <c r="AW39" s="324">
        <f ca="1">_xlfn.XLOOKUP(TabTRADER[[#This Row],[ClickTick]],TabCalc[Ticker],TabCalc[L_Sn])</f>
        <v>3006</v>
      </c>
      <c r="AX39" s="728">
        <f ca="1">_xlfn.XLOOKUP(TabTRADER[[#This Row],[ClickTick]],TabCalc[Ticker],TabCalc[L_Sp])</f>
        <v>1.54</v>
      </c>
      <c r="AY39" s="764">
        <f ca="1">-IFERROR((TabTRADER[[#This Row],[M]]-TabTRADER[[#This Row],[L_Sp]])/TabTRADER[[#This Row],[L_Sp]],0)</f>
        <v>0.53896103896103897</v>
      </c>
      <c r="AZ39" s="729">
        <f ca="1">TabTRADER[[#This Row],[L_Sn]]*(TabTRADER[[#This Row],[M]]-TabTRADER[[#This Row],[L_Sp]])*(1-Commission)*TabTRADER[[#This Row],[Scale]]</f>
        <v>-2488.4930519999998</v>
      </c>
      <c r="BA39" s="692">
        <f ca="1">TabTRADER[[#This Row],[L_Sn]]*(TabTRADER[[#This Row],[Agiotage]]-TabTRADER[[#This Row],[M]])/(TabTRADER[[#This Row],[L_Bn]]*TabTRADER[[#This Row],[M]])</f>
        <v>-0.49391160963224001</v>
      </c>
      <c r="BB39" s="635">
        <f ca="1">IFERROR((TabTRADER[[#This Row],[M]]-TabTRADER[[#This Row],[A]])/TabTRADER[[#This Row],[A]],0)</f>
        <v>-0.33417110238439707</v>
      </c>
      <c r="BC39" s="638" t="str">
        <f ca="1">TEXT(_xlfn.XLOOKUP(TabTRADER[[#This Row],[ClickTick]],TabCalc[Ticker],TabCalc[NAfter]),"#,#0")&amp;" : "&amp;TEXT(_xlfn.XLOOKUP(TabTRADER[[#This Row],[ClickTick]],TabCalc[Ticker],TabCalc[NAfter])*(TabTRADER[[#This Row],[M]]-TabTRADER[[#This Row],[A]])*(1-Commission)*TabTRADER[[#This Row],[Scale]],"#,#0$")</f>
        <v>10,000 : -3,554$</v>
      </c>
      <c r="BD39" s="684">
        <f ca="1">_xlfn.XLOOKUP(TabTRADER[[#This Row],[ClickTick]],TabCalc[[#This Row],[Ticker]],TabCalc[[#This Row],[GL]])*(1-Commission)</f>
        <v>-7390.876628199996</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0.68380281690140854</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-3.0315079279783554E-4</v>
      </c>
      <c r="BO39" s="687">
        <f ca="1">(TabTRADER[[#This Row],[M]]-TabTRADER[[#This Row],[Agiotage]])/(TabTRADER[[#This Row],[M]]-TabTRADER[[#This Row],[A]])-1</f>
        <v>-2.9662527130723522</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+13,610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367/1,000=15,408</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13,395$</v>
      </c>
      <c r="G40" s="225" t="str">
        <f ca="1">IFERROR(TRUNC(_xlfn.XLOOKUP(TabTRADER[[#This Row],[ClickTick]],TabCalc[Ticker],ListLastSalep),2)&amp;"x"&amp;_xlfn.XLOOKUP(TabTRADER[[#This Row],[ClickTick]],TabCalc[Ticker],ListLastSalen)&amp;"=   "&amp;TEXT(-_xlfn.XLOOKUP(TabTRADER[[#This Row],[ClickTick]],TabCalc[Ticker],ListReverseB),"#,#0")&amp;"$","")</f>
        <v>37.21x2000=   9,460$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-11.3% = 0</v>
      </c>
      <c r="I40" s="226" t="str">
        <f ca="1">IFERROR(TRUNC(TabCalc[[#This Row],[L_S1p]],2)&amp;"x"&amp;TabCalc[[#This Row],[L_S1n]]&amp;"=   "&amp;TEXT(TabCalc[[#This Row],[ReverseB1]],"#,#0"),"")</f>
        <v>29.92x2000=   -24,040</v>
      </c>
      <c r="J40" s="295">
        <f ca="1">_xlfn.XLOOKUP(TabTRADER[[#This Row],[ClickTick]],TabCalc[Ticker],ListGravity)</f>
        <v>0.91400405340963276</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9.3750837061045182E-5</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0.48040945993646311</v>
      </c>
      <c r="S40" s="683">
        <f ca="1">_xlfn.XLOOKUP(TabTRADER[[#This Row],[ClickTick]],TabCalc[Ticker],TabCalc[Rev(MinStock)])*(1-Commission)</f>
        <v>13574.614</v>
      </c>
      <c r="T40" s="782">
        <f ca="1">_xlfn.XLOOKUP(TabTRADER[[#This Row],[ClickTick]],TabCalc[Ticker],TabCalc[Agiotage])</f>
        <v>9.3750837061045182E-5</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2,410/2,410=&gt;-2.2% / 5.2%</v>
      </c>
      <c r="V40" s="739" t="str">
        <f ca="1">_xlfn.XLOOKUP(TabTRADER[[#This Row],[ClickTick]],[1]!RTData[Ticker_Symbol],[1]!RTData[Currency])</f>
        <v>USD</v>
      </c>
      <c r="W40" s="749">
        <f ca="1">_xlfn.XLOOKUP(TabTRADER[[#This Row],[ClickTick]],TabCalc[Ticker],TabCalc[M])</f>
        <v>41.94</v>
      </c>
      <c r="X40" s="1343"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^152/42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4717.7019999999975</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13431.490424666661</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0.47294870352534835</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0.11018016213638523</v>
      </c>
      <c r="AL40" s="825" cm="1">
        <f t="array" aca="1" ref="AL40" ca="1">_xlfn.IFS(   TabTRADER[[#This Row],[Traps]]=SellMorePercentGain,                     MIN(TabTRADER[[#This Row],[L_Sn]],TabTRADER[[#This Row],[N]])*(TabTRADER[[#This Row],[M]]-TabTRADER[[#This Row],[L_Sp]])*(1-Commission)*TabTRADER[[#This Row],[Scale]],                    TRUE,"")</f>
        <v>4717.7019999999975</v>
      </c>
      <c r="AM40" s="1175">
        <f ca="1">_xlfn.XLOOKUP(TabTRADER[[#This Row],[ClickTick]],TabCalc[Ticker],TabCalc[Ann%RevLB])</f>
        <v>13.303646582855903</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0.47034870352534836</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19783.896407425891</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1,000x13.46</v>
      </c>
      <c r="AU40" s="765" cm="1">
        <f t="array" aca="1" ref="AU40" ca="1">_xlfn.IFS(TabTRADER[[#This Row],[Traps]]=ReSaleGain,"",         TabTRADER[[#This Row],[Traps]]=MDown, (TabTRADER[[#This Row],[M]]-TabTRADER[[#This Row],[A]])/TabTRADER[[#This Row],[A]]*ComFactor,             TRUE, IFERROR((TabTRADER[[#This Row],[M]]-TabTRADER[[#This Row],[A]])/TabTRADER[[#This Row],[A]]*ComFactor,""))</f>
        <v>0.47171903689618244</v>
      </c>
      <c r="AV40" s="762" cm="1">
        <f t="array" aca="1" ref="AV40" ca="1">_xlfn.IFS(               TabTRADER[[#This Row],[Traps]]=NoStock,(TabTRADER[[#This Row],[L_Sp]]-TabTRADER[[#This Row],[M]])/TabTRADER[[#This Row],[M]]-Commission,             TabTRADER[[#This Row],[A]]&lt;&gt;0,(TabTRADER[[#This Row],[A]]-TabTRADER[[#This Row],[M]])/TabTRADER[[#This Row],[M]]-Commission)</f>
        <v>-0.32368973136226342</v>
      </c>
      <c r="AW40" s="324">
        <f ca="1">_xlfn.XLOOKUP(TabTRADER[[#This Row],[ClickTick]],TabCalc[Ticker],TabCalc[L_Sn])</f>
        <v>2000</v>
      </c>
      <c r="AX40" s="728">
        <f ca="1">_xlfn.XLOOKUP(TabTRADER[[#This Row],[ClickTick]],TabCalc[Ticker],TabCalc[L_Sp])</f>
        <v>37.21</v>
      </c>
      <c r="AY40" s="764">
        <f ca="1">-IFERROR((TabTRADER[[#This Row],[M]]-TabTRADER[[#This Row],[L_Sp]])/TabTRADER[[#This Row],[L_Sp]],0)</f>
        <v>-0.12711636656812675</v>
      </c>
      <c r="AZ40" s="729">
        <f ca="1">TabTRADER[[#This Row],[L_Sn]]*(TabTRADER[[#This Row],[M]]-TabTRADER[[#This Row],[L_Sp]])*(1-Commission)*TabTRADER[[#This Row],[Scale]]</f>
        <v>9435.403999999995</v>
      </c>
      <c r="BA40" s="692">
        <f ca="1">TabTRADER[[#This Row],[L_Sn]]*(TabTRADER[[#This Row],[Agiotage]]-TabTRADER[[#This Row],[M]])/(TabTRADER[[#This Row],[L_Bn]]*TabTRADER[[#This Row],[M]])</f>
        <v>-1.9999955292876936</v>
      </c>
      <c r="BB40" s="635">
        <f ca="1">IFERROR((TabTRADER[[#This Row],[M]]-TabTRADER[[#This Row],[A]])/TabTRADER[[#This Row],[A]],0)</f>
        <v>0.47294870352534835</v>
      </c>
      <c r="BC40" s="638" t="str">
        <f ca="1">TEXT(_xlfn.XLOOKUP(TabTRADER[[#This Row],[ClickTick]],TabCalc[Ticker],TabCalc[NAfter]),"#,#0")&amp;" : "&amp;TEXT(_xlfn.XLOOKUP(TabTRADER[[#This Row],[ClickTick]],TabCalc[Ticker],TabCalc[NAfter])*(TabTRADER[[#This Row],[M]]-TabTRADER[[#This Row],[A]])*(1-Commission)*TabTRADER[[#This Row],[Scale]],"#,#0$")</f>
        <v>1,000 : 13,431$</v>
      </c>
      <c r="BD40" s="684">
        <f ca="1">_xlfn.XLOOKUP(TabTRADER[[#This Row],[ClickTick]],TabCalc[[#This Row],[Ticker]],TabCalc[[#This Row],[GL]])*(1-Commission)</f>
        <v>151620.97782800015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0.11278016213638524</v>
      </c>
      <c r="BJ40" s="679">
        <f ca="1">TabTRADER[[#This Row],[L_Sn]]*TabTRADER[[#This Row],[L_Sp]]+TabTRADER[[#This Row],[SellMore]]*TabTRADER[[#This Row],[M]]</f>
        <v>158300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39.575000000000003</v>
      </c>
      <c r="BN40" s="687">
        <f ca="1">((_xlfn.XLOOKUP(TabTRADER[[#This Row],[ClickTick]],TabCalc[Ticker],TabCalc[NAfter])+TabTRADER[[#This Row],[L_Sn]])*(TabTRADER[[#This Row],[Agiotage]]-TabTRADER[[#This Row],[M]]))/(TabTRADER[[#This Row],[L_Sn]]*_xlfn.XLOOKUP(TabTRADER[[#This Row],[ClickTick]],TabCalc[Ticker],TabCalc[NAfter]))</f>
        <v>-6.2909859373744409E-2</v>
      </c>
      <c r="BO40" s="687">
        <f ca="1">(TabTRADER[[#This Row],[M]]-TabTRADER[[#This Row],[Agiotage]])/(TabTRADER[[#This Row],[M]]-TabTRADER[[#This Row],[A]])-1</f>
        <v>2.1143872474564382</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+851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807$</v>
      </c>
      <c r="G41" s="225" t="str">
        <f ca="1">IFERROR(TRUNC(_xlfn.XLOOKUP(TabTRADER[[#This Row],[ClickTick]],TabCalc[Ticker],ListLastSalep),2)&amp;"x"&amp;_xlfn.XLOOKUP(TabTRADER[[#This Row],[ClickTick]],TabCalc[Ticker],ListLastSalen)&amp;"=   "&amp;TEXT(-_xlfn.XLOOKUP(TabTRADER[[#This Row],[ClickTick]],TabCalc[Ticker],ListReverseB),"#,#0")&amp;"$","")</f>
        <v>33.36x3200=   38,464$</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-26.5% = 0</v>
      </c>
      <c r="I41" s="226" t="str">
        <f ca="1">IFERROR(TRUNC(TabCalc[[#This Row],[L_S1p]],2)&amp;"x"&amp;TabCalc[[#This Row],[L_S1n]]&amp;"=   "&amp;TEXT(TabCalc[[#This Row],[ReverseB1]],"#,#0"),"")</f>
        <v>32.24x1500=   -19,710</v>
      </c>
      <c r="J41" s="295">
        <f ca="1">_xlfn.XLOOKUP(TabTRADER[[#This Row],[ClickTick]],TabCalc[Ticker],ListGravity)</f>
        <v>0.98605244601145869</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7.3873717920976329E-4</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0.59957701797673602</v>
      </c>
      <c r="S41" s="683">
        <f ca="1">_xlfn.XLOOKUP(TabTRADER[[#This Row],[ClickTick]],TabCalc[Ticker],TabCalc[Rev(MinStock)])*(1-Commission)</f>
        <v>848.28870000000006</v>
      </c>
      <c r="T41" s="782">
        <f ca="1">_xlfn.XLOOKUP(TabTRADER[[#This Row],[ClickTick]],TabCalc[Ticker],TabCalc[Agiotage])</f>
        <v>7.3873717920976329E-4</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-16/-16=&gt;-0.4% / 0.1%</v>
      </c>
      <c r="V41" s="739" t="str">
        <f ca="1">_xlfn.XLOOKUP(TabTRADER[[#This Row],[ClickTick]],[1]!RTData[Ticker_Symbol],[1]!RTData[Currency])</f>
        <v>EUR</v>
      </c>
      <c r="W41" s="749">
        <f ca="1">_xlfn.XLOOKUP(TabTRADER[[#This Row],[ClickTick]],TabCalc[Ticker],TabCalc[M])</f>
        <v>45.38</v>
      </c>
      <c r="X41" s="1343"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599.43740000000014</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848.28870000000006</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0.59957701797673602</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0.2622743940061702</v>
      </c>
      <c r="AL41" s="825" cm="1">
        <f t="array" aca="1" ref="AL41" ca="1">_xlfn.IFS(   TabTRADER[[#This Row],[Traps]]=SellMorePercentGain,                     MIN(TabTRADER[[#This Row],[L_Sn]],TabTRADER[[#This Row],[N]])*(TabTRADER[[#This Row],[M]]-TabTRADER[[#This Row],[L_Sp]])*(1-Commission)*TabTRADER[[#This Row],[Scale]],                    TRUE,"")</f>
        <v>599.43740000000014</v>
      </c>
      <c r="AM41" s="1192">
        <f ca="1">_xlfn.XLOOKUP(TabTRADER[[#This Row],[ClickTick]],TabCalc[Ticker],TabCalc[Ann%RevLB])</f>
        <v>0.7906510127165749</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0.59697701797673597</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1356.9031091293621</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50x17.01</v>
      </c>
      <c r="AU41" s="765" cm="1">
        <f t="array" aca="1" ref="AU41" ca="1">_xlfn.IFS(TabTRADER[[#This Row],[Traps]]=ReSaleGain,"",         TabTRADER[[#This Row],[Traps]]=MDown, (TabTRADER[[#This Row],[M]]-TabTRADER[[#This Row],[A]])/TabTRADER[[#This Row],[A]]*ComFactor,             TRUE, IFERROR((TabTRADER[[#This Row],[M]]-TabTRADER[[#This Row],[A]])/TabTRADER[[#This Row],[A]]*ComFactor,""))</f>
        <v>0.59801811772999647</v>
      </c>
      <c r="AV41" s="762" cm="1">
        <f t="array" aca="1" ref="AV41" ca="1">_xlfn.IFS(               TabTRADER[[#This Row],[Traps]]=NoStock,(TabTRADER[[#This Row],[L_Sp]]-TabTRADER[[#This Row],[M]])/TabTRADER[[#This Row],[M]]-Commission,             TabTRADER[[#This Row],[A]]&lt;&gt;0,(TabTRADER[[#This Row],[A]]-TabTRADER[[#This Row],[M]])/TabTRADER[[#This Row],[M]]-Commission)</f>
        <v>-0.37743472895548702</v>
      </c>
      <c r="AW41" s="324">
        <f ca="1">_xlfn.XLOOKUP(TabTRADER[[#This Row],[ClickTick]],TabCalc[Ticker],TabCalc[L_Sn])</f>
        <v>3200</v>
      </c>
      <c r="AX41" s="728">
        <f ca="1">_xlfn.XLOOKUP(TabTRADER[[#This Row],[ClickTick]],TabCalc[Ticker],TabCalc[L_Sp])</f>
        <v>33.36</v>
      </c>
      <c r="AY41" s="764">
        <f ca="1">-IFERROR((TabTRADER[[#This Row],[M]]-TabTRADER[[#This Row],[L_Sp]])/TabTRADER[[#This Row],[L_Sp]],0)</f>
        <v>-0.36031175059952048</v>
      </c>
      <c r="AZ41" s="729">
        <f ca="1">TabTRADER[[#This Row],[L_Sn]]*(TabTRADER[[#This Row],[M]]-TabTRADER[[#This Row],[L_Sp]])*(1-Commission)*TabTRADER[[#This Row],[Scale]]</f>
        <v>38363.993600000009</v>
      </c>
      <c r="BA41" s="692">
        <f ca="1">TabTRADER[[#This Row],[L_Sn]]*(TabTRADER[[#This Row],[Agiotage]]-TabTRADER[[#This Row],[M]])/(TabTRADER[[#This Row],[L_Bn]]*TabTRADER[[#This Row],[M]])</f>
        <v>-0.79998697686770892</v>
      </c>
      <c r="BB41" s="635">
        <f ca="1">IFERROR((TabTRADER[[#This Row],[M]]-TabTRADER[[#This Row],[A]])/TabTRADER[[#This Row],[A]],0)</f>
        <v>0.59957701797673602</v>
      </c>
      <c r="BC41" s="638" t="str">
        <f ca="1">TEXT(_xlfn.XLOOKUP(TabTRADER[[#This Row],[ClickTick]],TabCalc[Ticker],TabCalc[NAfter]),"#,#0")&amp;" : "&amp;TEXT(_xlfn.XLOOKUP(TabTRADER[[#This Row],[ClickTick]],TabCalc[Ticker],TabCalc[NAfter])*(TabTRADER[[#This Row],[M]]-TabTRADER[[#This Row],[A]])*(1-Commission)*TabTRADER[[#This Row],[Scale]],"#,#0$")</f>
        <v>50 : 848$</v>
      </c>
      <c r="BD41" s="684">
        <f ca="1">_xlfn.XLOOKUP(TabTRADER[[#This Row],[ClickTick]],TabCalc[[#This Row],[Ticker]],TabCalc[[#This Row],[GL]])*(1-Commission)</f>
        <v>36307.706383499921</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0.26487439400617019</v>
      </c>
      <c r="BJ41" s="679">
        <f ca="1">TabTRADER[[#This Row],[L_Sn]]*TabTRADER[[#This Row],[L_Sp]]+TabTRADER[[#This Row],[SellMore]]*TabTRADER[[#This Row],[M]]</f>
        <v>109021</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33.544923076923077</v>
      </c>
      <c r="BN41" s="687">
        <f ca="1">((_xlfn.XLOOKUP(TabTRADER[[#This Row],[ClickTick]],TabCalc[Ticker],TabCalc[NAfter])+TabTRADER[[#This Row],[L_Sn]])*(TabTRADER[[#This Row],[Agiotage]]-TabTRADER[[#This Row],[M]]))/(TabTRADER[[#This Row],[L_Sn]]*_xlfn.XLOOKUP(TabTRADER[[#This Row],[ClickTick]],TabCalc[Ticker],TabCalc[NAfter]))</f>
        <v>-0.92176624440104737</v>
      </c>
      <c r="BO41" s="687">
        <f ca="1">(TabTRADER[[#This Row],[M]]-TabTRADER[[#This Row],[Agiotage]])/(TabTRADER[[#This Row],[M]]-TabTRADER[[#This Row],[A]])-1</f>
        <v>1.6677990160388467</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-11,075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-17,350$</v>
      </c>
      <c r="G42" s="225" t="str">
        <f ca="1">IFERROR(TRUNC(_xlfn.XLOOKUP(TabTRADER[[#This Row],[ClickTick]],TabCalc[Ticker],ListLastSalep),2)&amp;"x"&amp;_xlfn.XLOOKUP(TabTRADER[[#This Row],[ClickTick]],TabCalc[Ticker],ListLastSalen)&amp;"=   "&amp;TEXT(-_xlfn.XLOOKUP(TabTRADER[[#This Row],[ClickTick]],TabCalc[Ticker],ListReverseB),"#,#0")&amp;"$","")</f>
        <v>237.8x200=   -5,520$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13.1% = 181</v>
      </c>
      <c r="I42" s="226" t="str">
        <f ca="1">IFERROR(TRUNC(TabCalc[[#This Row],[L_S1p]],2)&amp;"x"&amp;TabCalc[[#This Row],[L_S1n]]&amp;"=   "&amp;TEXT(TabCalc[[#This Row],[ReverseB1]],"#,#0"),"")</f>
        <v>265.05x500=   27,425</v>
      </c>
      <c r="J42" s="295">
        <f ca="1">_xlfn.XLOOKUP(TabTRADER[[#This Row],[ClickTick]],TabCalc[Ticker],ListGravity)</f>
        <v>1.3732959086584207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483460</v>
      </c>
      <c r="M42" s="323">
        <f ca="1">_xlfn.XLOOKUP(TabTRADER[[#This Row],[ClickTick]],TabCalc[Ticker],TabCalc[Agiotage])</f>
        <v>0.15718001402410189</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-9.5330320636970112E-2</v>
      </c>
      <c r="S42" s="683">
        <f ca="1">_xlfn.XLOOKUP(TabTRADER[[#This Row],[ClickTick]],TabCalc[Ticker],TabCalc[Rev(MinStock)])*(1-Commission)</f>
        <v>-11046.205000000004</v>
      </c>
      <c r="T42" s="782">
        <f ca="1">_xlfn.XLOOKUP(TabTRADER[[#This Row],[ClickTick]],TabCalc[Ticker],TabCalc[Agiotage])</f>
        <v>0.15718001402410189</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-5,320/-5,320=&gt;-1.1% / -0.4%</v>
      </c>
      <c r="V42" s="739" t="str">
        <f ca="1">_xlfn.XLOOKUP(TabTRADER[[#This Row],[ClickTick]],[1]!RTData[Ticker_Symbol],[1]!RTData[Currency])</f>
        <v>EUR</v>
      </c>
      <c r="W42" s="749">
        <f ca="1">_xlfn.XLOOKUP(TabTRADER[[#This Row],[ClickTick]],TabCalc[Ticker],TabCalc[M])</f>
        <v>210.2</v>
      </c>
      <c r="X42" s="1343"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-30/799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5505.6480000000047</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5505.6480000000047</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0.11606391925988234</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-0.74606337889802699</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-114965.75982999995</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-0.12577960474732947</v>
      </c>
      <c r="AV42" s="762" cm="1">
        <f t="array" aca="1" ref="AV42" ca="1">_xlfn.IFS(               TabTRADER[[#This Row],[Traps]]=NoStock,(TabTRADER[[#This Row],[L_Sp]]-TabTRADER[[#This Row],[M]])/TabTRADER[[#This Row],[M]]-Commission,             TabTRADER[[#This Row],[A]]&lt;&gt;0,(TabTRADER[[#This Row],[A]]-TabTRADER[[#This Row],[M]])/TabTRADER[[#This Row],[M]]-Commission)</f>
        <v>0.1417054860033051</v>
      </c>
      <c r="AW42" s="324">
        <f ca="1">_xlfn.XLOOKUP(TabTRADER[[#This Row],[ClickTick]],TabCalc[Ticker],TabCalc[L_Sn])</f>
        <v>200</v>
      </c>
      <c r="AX42" s="728">
        <f ca="1">_xlfn.XLOOKUP(TabTRADER[[#This Row],[ClickTick]],TabCalc[Ticker],TabCalc[L_Sp])</f>
        <v>237.8</v>
      </c>
      <c r="AY42" s="764">
        <f ca="1">-IFERROR((TabTRADER[[#This Row],[M]]-TabTRADER[[#This Row],[L_Sp]])/TabTRADER[[#This Row],[L_Sp]],0)</f>
        <v>0.11606391925988234</v>
      </c>
      <c r="AZ42" s="729">
        <f ca="1">TabTRADER[[#This Row],[L_Sn]]*(TabTRADER[[#This Row],[M]]-TabTRADER[[#This Row],[L_Sp]])*(1-Commission)*TabTRADER[[#This Row],[Scale]]</f>
        <v>-5505.6480000000047</v>
      </c>
      <c r="BA42" s="692">
        <f ca="1">TabTRADER[[#This Row],[L_Sn]]*(TabTRADER[[#This Row],[Agiotage]]-TabTRADER[[#This Row],[M]])/(TabTRADER[[#This Row],[L_Bn]]*TabTRADER[[#This Row],[M]])</f>
        <v>-0.39970089435961154</v>
      </c>
      <c r="BB42" s="635">
        <f ca="1">IFERROR((TabTRADER[[#This Row],[M]]-TabTRADER[[#This Row],[A]])/TabTRADER[[#This Row],[A]],0)</f>
        <v>-0.12610748420626577</v>
      </c>
      <c r="BC42" s="638" t="str">
        <f ca="1">TEXT(_xlfn.XLOOKUP(TabTRADER[[#This Row],[ClickTick]],TabCalc[Ticker],TabCalc[NAfter]),"#,#0")&amp;" : "&amp;TEXT(_xlfn.XLOOKUP(TabTRADER[[#This Row],[ClickTick]],TabCalc[Ticker],TabCalc[NAfter])*(TabTRADER[[#This Row],[M]]-TabTRADER[[#This Row],[A]])*(1-Commission)*TabTRADER[[#This Row],[Scale]],"#,#0$")</f>
        <v>3,800 : -114,966$</v>
      </c>
      <c r="BD42" s="684">
        <f ca="1">_xlfn.XLOOKUP(TabTRADER[[#This Row],[ClickTick]],TabCalc[[#This Row],[Ticker]],TabCalc[[#This Row],[GL]])*(1-Commission)</f>
        <v>-29529.049335000138</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-1.1054885262419785</v>
      </c>
      <c r="BO42" s="687">
        <f ca="1">(TabTRADER[[#This Row],[M]]-TabTRADER[[#This Row],[Agiotage]])/(TabTRADER[[#This Row],[M]]-TabTRADER[[#This Row],[A]])-1</f>
        <v>-7.9245616613365808</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-553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-1,380$</v>
      </c>
      <c r="G43" s="225" t="str">
        <f ca="1">IFERROR(TRUNC(_xlfn.XLOOKUP(TabTRADER[[#This Row],[ClickTick]],TabCalc[Ticker],ListLastSalep),2)&amp;"x"&amp;_xlfn.XLOOKUP(TabTRADER[[#This Row],[ClickTick]],TabCalc[Ticker],ListLastSalen)&amp;"=   "&amp;TEXT(-_xlfn.XLOOKUP(TabTRADER[[#This Row],[ClickTick]],TabCalc[Ticker],ListReverseB),"#,#0")&amp;"$","")</f>
        <v>16.54x632=   -980$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3,226</v>
      </c>
      <c r="I43" s="226" t="str">
        <f ca="1">IFERROR(TRUNC(TabCalc[[#This Row],[L_S1p]],2)&amp;"x"&amp;TabCalc[[#This Row],[L_S1n]]&amp;"=   "&amp;TEXT(TabCalc[[#This Row],[ReverseB1]],"#,#0"),"")</f>
        <v>21.02x1000=   6,031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187375</v>
      </c>
      <c r="M43" s="323">
        <f ca="1">_xlfn.XLOOKUP(TabTRADER[[#This Row],[ClickTick]],TabCalc[Ticker],TabCalc[Agiotage])</f>
        <v>0.12795064721805283</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-1.3815789473684151E-2</v>
      </c>
      <c r="S43" s="683">
        <f ca="1">_xlfn.XLOOKUP(TabTRADER[[#This Row],[ClickTick]],TabCalc[Ticker],TabCalc[Rev(MinStock)])*(1-Commission)</f>
        <v>-551.28292799999747</v>
      </c>
      <c r="T43" s="782">
        <f ca="1">_xlfn.XLOOKUP(TabTRADER[[#This Row],[ClickTick]],TabCalc[Ticker],TabCalc[Agiotage])</f>
        <v>0.12795064721805283</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1,250/1,250=&gt;1.6% / 1.3%</v>
      </c>
      <c r="V43" s="739" t="str">
        <f ca="1">_xlfn.XLOOKUP(TabTRADER[[#This Row],[ClickTick]],[1]!RTData[Ticker_Symbol],[1]!RTData[Currency])</f>
        <v>USD</v>
      </c>
      <c r="W43" s="749">
        <f ca="1">_xlfn.XLOOKUP(TabTRADER[[#This Row],[ClickTick]],TabCalc[Ticker],TabCalc[M])</f>
        <v>14.99</v>
      </c>
      <c r="X43" s="1343"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^68/375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551.28292799999747</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374750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0.10853056911123017</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1.1409339559706409E-2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-0.26177285318559446</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1.4009339559706409E-2</v>
      </c>
      <c r="AP43" s="825" cm="1">
        <f t="array" aca="1" ref="AP43" ca="1">_xlfn.IFS(         TabTRADER[[#This Row],[Traps]]=MDown,TabTRADER[[#This Row],[L_Bn]]*TabTRADER[[#This Row],[M]]*(-(TabTRADER[[#This Row],[L_Bp]]+TabTRADER[[#This Row],[M]])/TabTRADER[[#This Row],[M]])*(1-Commission)*TabTRADER[[#This Row],[Scale]],                               TRUE,"")</f>
        <v>551.28292799999747</v>
      </c>
      <c r="AQ43" s="1186" cm="1">
        <f t="array" aca="1" ref="AQ43" ca="1">_xlfn.IFS(   TabTRADER[[#This Row],[Traps]]=MUp,TabTRADER[[#This Row],[TakeGain_A]]-Commission,        TabTRADER[[#This Row],[Traps]]=MDown,(TabTRADER[[#This Row],[A]]-TabTRADER[[#This Row],[M]])/TabTRADER[[#This Row],[M]]-Commission,                              TRUE,"")</f>
        <v>0.11914345563709151</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45504.73926400004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U43" s="765" cm="1">
        <f t="array" aca="1" ref="AU43" ca="1">_xlfn.IFS(TabTRADER[[#This Row],[Traps]]=ReSaleGain,"",         TabTRADER[[#This Row],[Traps]]=MDown, (TabTRADER[[#This Row],[M]]-TabTRADER[[#This Row],[A]])/TabTRADER[[#This Row],[A]]*ComFactor,             TRUE, IFERROR((TabTRADER[[#This Row],[M]]-TabTRADER[[#This Row],[A]])/TabTRADER[[#This Row],[A]]*ComFactor,""))</f>
        <v>-0.10824838963154097</v>
      </c>
      <c r="AV43" s="762" cm="1">
        <f t="array" aca="1" ref="AV43" ca="1">_xlfn.IFS(               TabTRADER[[#This Row],[Traps]]=NoStock,(TabTRADER[[#This Row],[L_Sp]]-TabTRADER[[#This Row],[M]])/TabTRADER[[#This Row],[M]]-Commission,             TabTRADER[[#This Row],[A]]&lt;&gt;0,(TabTRADER[[#This Row],[A]]-TabTRADER[[#This Row],[M]])/TabTRADER[[#This Row],[M]]-Commission)</f>
        <v>0.11914345563709151</v>
      </c>
      <c r="AW43" s="324">
        <f ca="1">_xlfn.XLOOKUP(TabTRADER[[#This Row],[ClickTick]],TabCalc[Ticker],TabCalc[L_Sn])</f>
        <v>632</v>
      </c>
      <c r="AX43" s="728">
        <f ca="1">_xlfn.XLOOKUP(TabTRADER[[#This Row],[ClickTick]],TabCalc[Ticker],TabCalc[L_Sp])</f>
        <v>16.54</v>
      </c>
      <c r="AY43" s="764">
        <f ca="1">-IFERROR((TabTRADER[[#This Row],[M]]-TabTRADER[[#This Row],[L_Sp]])/TabTRADER[[#This Row],[L_Sp]],0)</f>
        <v>9.371221281741228E-2</v>
      </c>
      <c r="AZ43" s="729">
        <f ca="1">TabTRADER[[#This Row],[L_Sn]]*(TabTRADER[[#This Row],[M]]-TabTRADER[[#This Row],[L_Sp]])*(1-Commission)*TabTRADER[[#This Row],[Scale]]</f>
        <v>-977.05303999999933</v>
      </c>
      <c r="BA43" s="692">
        <f ca="1">TabTRADER[[#This Row],[L_Sn]]*(TabTRADER[[#This Row],[Agiotage]]-TabTRADER[[#This Row],[M]])/(TabTRADER[[#This Row],[L_Bn]]*TabTRADER[[#This Row],[M]])</f>
        <v>-0.2380719666950761</v>
      </c>
      <c r="BB43" s="635">
        <f ca="1">IFERROR((TabTRADER[[#This Row],[M]]-TabTRADER[[#This Row],[A]])/TabTRADER[[#This Row],[A]],0)</f>
        <v>-0.10853056911123017</v>
      </c>
      <c r="BC43" s="638" t="str">
        <f ca="1">TEXT(_xlfn.XLOOKUP(TabTRADER[[#This Row],[ClickTick]],TabCalc[Ticker],TabCalc[NAfter]),"#,#0")&amp;" : "&amp;TEXT(_xlfn.XLOOKUP(TabTRADER[[#This Row],[ClickTick]],TabCalc[Ticker],TabCalc[NAfter])*(TabTRADER[[#This Row],[M]]-TabTRADER[[#This Row],[A]])*(1-Commission)*TabTRADER[[#This Row],[Scale]],"#,#0$")</f>
        <v>25,000 : -45,505$</v>
      </c>
      <c r="BD43" s="684">
        <f ca="1">_xlfn.XLOOKUP(TabTRADER[[#This Row],[ClickTick]],TabCalc[[#This Row],[Ticker]],TabCalc[[#This Row],[GL]])*(1-Commission)</f>
        <v>68216.39502799997</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1.4009339559706409E-2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-2.4110382848766255E-2</v>
      </c>
      <c r="BO43" s="687">
        <f ca="1">(TabTRADER[[#This Row],[M]]-TabTRADER[[#This Row],[Agiotage]])/(TabTRADER[[#This Row],[M]]-TabTRADER[[#This Row],[A]])-1</f>
        <v>-9.1438814199468936</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-900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-666$</v>
      </c>
      <c r="G44" s="225" t="str">
        <f ca="1">IFERROR(TRUNC(_xlfn.XLOOKUP(TabTRADER[[#This Row],[ClickTick]],TabCalc[Ticker],ListLastSalep),2)&amp;"x"&amp;_xlfn.XLOOKUP(TabTRADER[[#This Row],[ClickTick]],TabCalc[Ticker],ListLastSalen)&amp;"=   "&amp;TEXT(-_xlfn.XLOOKUP(TabTRADER[[#This Row],[ClickTick]],TabCalc[Ticker],ListReverseB),"#,#0")&amp;"$","")</f>
        <v>12.76x3000=   -11,453$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42.7% = 1,310</v>
      </c>
      <c r="I44" s="226" t="str">
        <f ca="1">IFERROR(TRUNC(TabCalc[[#This Row],[L_S1p]],2)&amp;"x"&amp;TabCalc[[#This Row],[L_S1n]]&amp;"=   "&amp;TEXT(TabCalc[[#This Row],[ReverseB1]],"#,#0"),"")</f>
        <v>10.36x4000=   5,640</v>
      </c>
      <c r="J44" s="295">
        <f ca="1">_xlfn.XLOOKUP(TabTRADER[[#This Row],[ClickTick]],TabCalc[Ticker],ListGravity)</f>
        <v>1.4897575418994415</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7.0318592659626732E-4</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-3.2432432432432511E-2</v>
      </c>
      <c r="S44" s="683">
        <f ca="1">_xlfn.XLOOKUP(TabTRADER[[#This Row],[ClickTick]],TabCalc[Ticker],TabCalc[Rev(MinStock)])*(1-Commission)</f>
        <v>-897.66000000000213</v>
      </c>
      <c r="T44" s="782">
        <f ca="1">_xlfn.XLOOKUP(TabTRADER[[#This Row],[ClickTick]],TabCalc[Ticker],TabCalc[Agiotage])</f>
        <v>7.0318592659626732E-4</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640/640=&gt;0.0% / -4.1%</v>
      </c>
      <c r="V44" s="739" t="str">
        <f ca="1">_xlfn.XLOOKUP(TabTRADER[[#This Row],[ClickTick]],[1]!RTData[Ticker_Symbol],[1]!RTData[Currency])</f>
        <v>USD</v>
      </c>
      <c r="W44" s="749">
        <f ca="1">_xlfn.XLOOKUP(TabTRADER[[#This Row],[ClickTick]],TabCalc[Ticker],TabCalc[M])</f>
        <v>8.9499999999999993</v>
      </c>
      <c r="X44" s="1343"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-713/143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11422.823140260003</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11422.823140260003</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0.29900319899694333</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-3.7183680495782495E-2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-323103.63068599999</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-0.69165465779009638</v>
      </c>
      <c r="AV44" s="762" cm="1">
        <f t="array" aca="1" ref="AV44" ca="1">_xlfn.IFS(               TabTRADER[[#This Row],[Traps]]=NoStock,(TabTRADER[[#This Row],[L_Sp]]-TabTRADER[[#This Row],[M]])/TabTRADER[[#This Row],[M]]-Commission,             TabTRADER[[#This Row],[A]]&lt;&gt;0,(TabTRADER[[#This Row],[A]]-TabTRADER[[#This Row],[M]])/TabTRADER[[#This Row],[M]]-Commission)</f>
        <v>2.2595919692737434</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0.29900319899694333</v>
      </c>
      <c r="AZ44" s="729">
        <f ca="1">TabTRADER[[#This Row],[L_Sn]]*(TabTRADER[[#This Row],[M]]-TabTRADER[[#This Row],[L_Sp]])*(1-Commission)*TabTRADER[[#This Row],[Scale]]</f>
        <v>-11422.823140260003</v>
      </c>
      <c r="BA44" s="692">
        <f ca="1">TabTRADER[[#This Row],[L_Sn]]*(TabTRADER[[#This Row],[Agiotage]]-TabTRADER[[#This Row],[M]])/(TabTRADER[[#This Row],[L_Bn]]*TabTRADER[[#This Row],[M]])</f>
        <v>-0.99992143174004511</v>
      </c>
      <c r="BB44" s="635">
        <f ca="1">IFERROR((TabTRADER[[#This Row],[M]]-TabTRADER[[#This Row],[A]])/TabTRADER[[#This Row],[A]],0)</f>
        <v>-0.69345764767404894</v>
      </c>
      <c r="BC44" s="638" t="str">
        <f ca="1">TEXT(_xlfn.XLOOKUP(TabTRADER[[#This Row],[ClickTick]],TabCalc[Ticker],TabCalc[NAfter]),"#,#0")&amp;" : "&amp;TEXT(_xlfn.XLOOKUP(TabTRADER[[#This Row],[ClickTick]],TabCalc[Ticker],TabCalc[NAfter])*(TabTRADER[[#This Row],[M]]-TabTRADER[[#This Row],[A]])*(1-Commission)*TabTRADER[[#This Row],[Scale]],"#,#0$")</f>
        <v>16,000 : -323,104$</v>
      </c>
      <c r="BD44" s="684">
        <f ca="1">_xlfn.XLOOKUP(TabTRADER[[#This Row],[ClickTick]],TabCalc[[#This Row],[Ticker]],TabCalc[[#This Row],[GL]])*(1-Commission)</f>
        <v>-711469.67686774</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-3.5424299889040551E-3</v>
      </c>
      <c r="BO44" s="687">
        <f ca="1">(TabTRADER[[#This Row],[M]]-TabTRADER[[#This Row],[Agiotage]])/(TabTRADER[[#This Row],[M]]-TabTRADER[[#This Row],[A]])-1</f>
        <v>-1.4420144025447412</v>
      </c>
      <c r="BP44" s="1277">
        <f ca="1">_xlfn.XMATCH(TabTRADER[[#This Row],[ClickTick]]&amp;1, TabConsolid[#Headers])</f>
        <v>125</v>
      </c>
      <c r="BQ44" t="str">
        <f ca="1">IF(ABS(TabTRADER[[#This Row],[L_Bp]])&gt;=TabTRADER[[#This Row],[M]],"OK")</f>
        <v>OK</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+68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216</v>
      </c>
      <c r="F45" s="226" t="str">
        <f ca="1">TRUNC(TabCalc[[#This Row],[L_B1p]],2)&amp;"x"&amp;TabCalc[[#This Row],[L_B1n]]&amp;"=   "&amp;TEXT(TabCalc[[#This Row],[ReverseS1]],"#,#0")&amp;"$"</f>
        <v>-382.16x100=   22$</v>
      </c>
      <c r="G45" s="225" t="str">
        <f ca="1">IFERROR(TRUNC(_xlfn.XLOOKUP(TabTRADER[[#This Row],[ClickTick]],TabCalc[Ticker],ListLastSalep),2)&amp;"x"&amp;_xlfn.XLOOKUP(TabTRADER[[#This Row],[ClickTick]],TabCalc[Ticker],ListLastSalen)&amp;"=   "&amp;TEXT(-_xlfn.XLOOKUP(TabTRADER[[#This Row],[ClickTick]],TabCalc[Ticker],ListReverseB),"#,#0")&amp;"$","")</f>
        <v>427.54x9=   -209$</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216</v>
      </c>
      <c r="I45" s="226" t="str">
        <f ca="1">IFERROR(TRUNC(TabCalc[[#This Row],[L_S1p]],2)&amp;"x"&amp;TabCalc[[#This Row],[L_S1n]]&amp;"=   "&amp;TEXT(TabCalc[[#This Row],[ReverseB1]],"#,#0"),"")</f>
        <v>333.93x390=   -27,464</v>
      </c>
      <c r="J45" s="295">
        <f ca="1">_xlfn.XLOOKUP(TabTRADER[[#This Row],[ClickTick]],TabCalc[Ticker],ListGravity)</f>
        <v>0.9677706195127983</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3.9707188888134714E-3</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0.20159876378116559</v>
      </c>
      <c r="S45" s="683">
        <f ca="1">_xlfn.XLOOKUP(TabTRADER[[#This Row],[ClickTick]],TabCalc[Ticker],TabCalc[Rev(MinStock)])*(1-Commission)</f>
        <v>67.663616000000033</v>
      </c>
      <c r="T45" s="782">
        <f ca="1">_xlfn.XLOOKUP(TabTRADER[[#This Row],[ClickTick]],TabCalc[Ticker],TabCalc[Agiotage])</f>
        <v>3.9707188888134714E-3</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18/18=&gt;-3.6% / 0.6%</v>
      </c>
      <c r="V45" s="739" t="str">
        <f ca="1">_xlfn.XLOOKUP(TabTRADER[[#This Row],[ClickTick]],[1]!RTData[Ticker_Symbol],[1]!RTData[Currency])</f>
        <v>USD</v>
      </c>
      <c r="W45" s="749">
        <f ca="1">_xlfn.XLOOKUP(TabTRADER[[#This Row],[ClickTick]],TabCalc[Ticker],TabCalc[M])</f>
        <v>404.35</v>
      </c>
      <c r="X45" s="1343"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208.16735399999996</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208.16735399999996</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5.4240538896945308E-2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0.26106314734251657</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67.663616000000033</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0.20107460699533455</v>
      </c>
      <c r="AV45" s="762" cm="1">
        <f t="array" aca="1" ref="AV45" ca="1">_xlfn.IFS(               TabTRADER[[#This Row],[Traps]]=NoStock,(TabTRADER[[#This Row],[L_Sp]]-TabTRADER[[#This Row],[M]])/TabTRADER[[#This Row],[M]]-Commission,             TabTRADER[[#This Row],[A]]&lt;&gt;0,(TabTRADER[[#This Row],[A]]-TabTRADER[[#This Row],[M]])/TabTRADER[[#This Row],[M]]-Commission)</f>
        <v>-0.17037544206751581</v>
      </c>
      <c r="AW45" s="324">
        <f ca="1">_xlfn.XLOOKUP(TabTRADER[[#This Row],[ClickTick]],TabCalc[Ticker],TabCalc[L_Sn])</f>
        <v>9</v>
      </c>
      <c r="AX45" s="728">
        <f ca="1">_xlfn.XLOOKUP(TabTRADER[[#This Row],[ClickTick]],TabCalc[Ticker],TabCalc[L_Sp])</f>
        <v>427.54</v>
      </c>
      <c r="AY45" s="764">
        <f ca="1">-IFERROR((TabTRADER[[#This Row],[M]]-TabTRADER[[#This Row],[L_Sp]])/TabTRADER[[#This Row],[L_Sp]],0)</f>
        <v>5.4240538896945308E-2</v>
      </c>
      <c r="AZ45" s="729">
        <f ca="1">TabTRADER[[#This Row],[L_Sn]]*(TabTRADER[[#This Row],[M]]-TabTRADER[[#This Row],[L_Sp]])*(1-Commission)*TabTRADER[[#This Row],[Scale]]</f>
        <v>-208.16735399999996</v>
      </c>
      <c r="BA45" s="692">
        <f ca="1">TabTRADER[[#This Row],[L_Sn]]*(TabTRADER[[#This Row],[Agiotage]]-TabTRADER[[#This Row],[M]])/(TabTRADER[[#This Row],[L_Bn]]*TabTRADER[[#This Row],[M]])</f>
        <v>-2.2499779049894902E-2</v>
      </c>
      <c r="BB45" s="635">
        <f ca="1">IFERROR((TabTRADER[[#This Row],[M]]-TabTRADER[[#This Row],[A]])/TabTRADER[[#This Row],[A]],0)</f>
        <v>0.20159876378116559</v>
      </c>
      <c r="BC45" s="638" t="str">
        <f ca="1">TEXT(_xlfn.XLOOKUP(TabTRADER[[#This Row],[ClickTick]],TabCalc[Ticker],TabCalc[NAfter]),"#,#0")&amp;" : "&amp;TEXT(_xlfn.XLOOKUP(TabTRADER[[#This Row],[ClickTick]],TabCalc[Ticker],TabCalc[NAfter])*(TabTRADER[[#This Row],[M]]-TabTRADER[[#This Row],[A]])*(1-Commission)*TabTRADER[[#This Row],[Scale]],"#,#0$")</f>
        <v>1 : 68$</v>
      </c>
      <c r="BD45" s="684">
        <f ca="1">_xlfn.XLOOKUP(TabTRADER[[#This Row],[ClickTick]],TabCalc[[#This Row],[Ticker]],TabCalc[[#This Row],[GL]])*(1-Commission)</f>
        <v>87402.271714000002</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4252.21</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425.221</v>
      </c>
      <c r="BN45" s="687">
        <f ca="1">((_xlfn.XLOOKUP(TabTRADER[[#This Row],[ClickTick]],TabCalc[Ticker],TabCalc[NAfter])+TabTRADER[[#This Row],[L_Sn]])*(TabTRADER[[#This Row],[Agiotage]]-TabTRADER[[#This Row],[M]]))/(TabTRADER[[#This Row],[L_Sn]]*_xlfn.XLOOKUP(TabTRADER[[#This Row],[ClickTick]],TabCalc[Ticker],TabCalc[NAfter]))</f>
        <v>-449.27336586790136</v>
      </c>
      <c r="BO45" s="687">
        <f ca="1">(TabTRADER[[#This Row],[M]]-TabTRADER[[#This Row],[Agiotage]])/(TabTRADER[[#This Row],[M]]-TabTRADER[[#This Row],[A]])-1</f>
        <v>4.9602893467144904</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-1,226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1,256</v>
      </c>
      <c r="F46" s="226" t="str">
        <f ca="1">TRUNC(TabCalc[[#This Row],[L_B1p]],2)&amp;"x"&amp;TabCalc[[#This Row],[L_B1n]]&amp;"=   "&amp;TEXT(TabCalc[[#This Row],[ReverseS1]],"#,#0")&amp;"$"</f>
        <v>-235.25x1000=   49,620$</v>
      </c>
      <c r="G46" s="225" t="str">
        <f ca="1">IFERROR(TRUNC(_xlfn.XLOOKUP(TabTRADER[[#This Row],[ClickTick]],TabCalc[Ticker],ListLastSalep),2)&amp;"x"&amp;_xlfn.XLOOKUP(TabTRADER[[#This Row],[ClickTick]],TabCalc[Ticker],ListLastSalen)&amp;"=   "&amp;TEXT(-_xlfn.XLOOKUP(TabTRADER[[#This Row],[ClickTick]],TabCalc[Ticker],ListReverseB),"#,#0")&amp;"$","")</f>
        <v>288.85x300=   -1,194$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1,256</v>
      </c>
      <c r="I46" s="226" t="str">
        <f ca="1">IFERROR(TRUNC(TabCalc[[#This Row],[L_S1p]],2)&amp;"x"&amp;TabCalc[[#This Row],[L_S1n]]&amp;"=   "&amp;TEXT(TabCalc[[#This Row],[ReverseB1]],"#,#0"),"")</f>
        <v>296.4x500=   5,765</v>
      </c>
      <c r="J46" s="295">
        <f ca="1">_xlfn.XLOOKUP(TabTRADER[[#This Row],[ClickTick]],TabCalc[Ticker],ListGravity)</f>
        <v>1.1773682030399832</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712175</v>
      </c>
      <c r="M46" s="323">
        <f ca="1">_xlfn.XLOOKUP(TabTRADER[[#This Row],[ClickTick]],TabCalc[Ticker],TabCalc[Agiotage])</f>
        <v>3.579393845927167E-3</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-5.3508611132932517E-3</v>
      </c>
      <c r="S46" s="683">
        <f ca="1">_xlfn.XLOOKUP(TabTRADER[[#This Row],[ClickTick]],TabCalc[Ticker],TabCalc[Rev(MinStock)])*(1-Commission)</f>
        <v>-1222.8123999999764</v>
      </c>
      <c r="T46" s="782">
        <f ca="1">_xlfn.XLOOKUP(TabTRADER[[#This Row],[ClickTick]],TabCalc[Ticker],TabCalc[Agiotage])</f>
        <v>3.579393845927167E-3</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40,320/40,320=&gt;-1.2% / 0.9%</v>
      </c>
      <c r="V46" s="739" t="str">
        <f ca="1">_xlfn.XLOOKUP(TabTRADER[[#This Row],[ClickTick]],[1]!RTData[Ticker_Symbol],[1]!RTData[Currency])</f>
        <v>USD</v>
      </c>
      <c r="W46" s="749">
        <f ca="1">_xlfn.XLOOKUP(TabTRADER[[#This Row],[ClickTick]],TabCalc[Ticker],TabCalc[M])</f>
        <v>284.87</v>
      </c>
      <c r="X46" s="1343"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^899/1,282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1190.8956000000053</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1190.8956000000053</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1.3778777912411349E-2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42">
        <f ca="1">_xlfn.XLOOKUP(TabTRADER[[#This Row],[ClickTick]],TabCalc[Ticker],TabCalc[Ann%RevLB])</f>
        <v>-7.4088846184060406E-2</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363180.58834462514</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0.39571307832036318</v>
      </c>
      <c r="AV46" s="762" cm="1">
        <f t="array" aca="1" ref="AV46" ca="1">_xlfn.IFS(               TabTRADER[[#This Row],[Traps]]=NoStock,(TabTRADER[[#This Row],[L_Sp]]-TabTRADER[[#This Row],[M]])/TabTRADER[[#This Row],[M]]-Commission,             TabTRADER[[#This Row],[A]]&lt;&gt;0,(TabTRADER[[#This Row],[A]]-TabTRADER[[#This Row],[M]])/TabTRADER[[#This Row],[M]]-Commission)</f>
        <v>-0.28664950357473007</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1.3778777912411349E-2</v>
      </c>
      <c r="AZ46" s="729">
        <f ca="1">TabTRADER[[#This Row],[L_Sn]]*(TabTRADER[[#This Row],[M]]-TabTRADER[[#This Row],[L_Sp]])*(1-Commission)*TabTRADER[[#This Row],[Scale]]</f>
        <v>-1190.8956000000053</v>
      </c>
      <c r="BA46" s="692">
        <f ca="1">TabTRADER[[#This Row],[L_Sn]]*(TabTRADER[[#This Row],[Agiotage]]-TabTRADER[[#This Row],[M]])/(TabTRADER[[#This Row],[L_Bn]]*TabTRADER[[#This Row],[M]])</f>
        <v>-0.37499528812197769</v>
      </c>
      <c r="BB46" s="635">
        <f ca="1">IFERROR((TabTRADER[[#This Row],[M]]-TabTRADER[[#This Row],[A]])/TabTRADER[[#This Row],[A]],0)</f>
        <v>0.39674461431758895</v>
      </c>
      <c r="BC46" s="638" t="str">
        <f ca="1">TEXT(_xlfn.XLOOKUP(TabTRADER[[#This Row],[ClickTick]],TabCalc[Ticker],TabCalc[NAfter]),"#,#0")&amp;" : "&amp;TEXT(_xlfn.XLOOKUP(TabTRADER[[#This Row],[ClickTick]],TabCalc[Ticker],TabCalc[NAfter])*(TabTRADER[[#This Row],[M]]-TabTRADER[[#This Row],[A]])*(1-Commission)*TabTRADER[[#This Row],[Scale]],"#,#0$")</f>
        <v>4,500 : 363,181$</v>
      </c>
      <c r="BD46" s="684">
        <f ca="1">_xlfn.XLOOKUP(TabTRADER[[#This Row],[ClickTick]],TabCalc[[#This Row],[Ticker]],TabCalc[[#This Row],[GL]])*(1-Commission)</f>
        <v>896681.47280280001</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229090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286.36250000000001</v>
      </c>
      <c r="BN46" s="687">
        <f ca="1">((_xlfn.XLOOKUP(TabTRADER[[#This Row],[ClickTick]],TabCalc[Ticker],TabCalc[NAfter])+TabTRADER[[#This Row],[L_Sn]])*(TabTRADER[[#This Row],[Agiotage]]-TabTRADER[[#This Row],[M]]))/(TabTRADER[[#This Row],[L_Sn]]*_xlfn.XLOOKUP(TabTRADER[[#This Row],[ClickTick]],TabCalc[Ticker],TabCalc[NAfter]))</f>
        <v>-1.0128583843774368</v>
      </c>
      <c r="BO46" s="687">
        <f ca="1">(TabTRADER[[#This Row],[M]]-TabTRADER[[#This Row],[Agiotage]])/(TabTRADER[[#This Row],[M]]-TabTRADER[[#This Row],[A]])-1</f>
        <v>2.5204688704159466</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-2,604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-25.0%</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-4,501$</v>
      </c>
      <c r="G47" s="225" t="str">
        <f ca="1">IFERROR(TRUNC(_xlfn.XLOOKUP(TabTRADER[[#This Row],[ClickTick]],TabCalc[Ticker],ListLastSalep),2)&amp;"x"&amp;_xlfn.XLOOKUP(TabTRADER[[#This Row],[ClickTick]],TabCalc[Ticker],ListLastSalen)&amp;"=   "&amp;TEXT(-_xlfn.XLOOKUP(TabTRADER[[#This Row],[ClickTick]],TabCalc[Ticker],ListReverseB),"#,#0")&amp;"$","")</f>
        <v>44.29x350=   -5,075$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48.7% = 345</v>
      </c>
      <c r="I47" s="226" t="str">
        <f ca="1">IFERROR(TRUNC(TabCalc[[#This Row],[L_S1p]],2)&amp;"x"&amp;TabCalc[[#This Row],[L_S1n]]&amp;"=   "&amp;TEXT(TabCalc[[#This Row],[ReverseB1]],"#,#0"),"")</f>
        <v>43.37x2500=   33,925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68540</v>
      </c>
      <c r="M47" s="323">
        <f ca="1">_xlfn.XLOOKUP(TabTRADER[[#This Row],[ClickTick]],TabCalc[Ticker],TabCalc[Agiotage])</f>
        <v>2.5362318840579712E-2</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-0.19980021857806102</v>
      </c>
      <c r="S47" s="683">
        <f ca="1">_xlfn.XLOOKUP(TabTRADER[[#This Row],[ClickTick]],TabCalc[Ticker],TabCalc[Rev(MinStock)])*(1-Commission)</f>
        <v>-2597.4739629999985</v>
      </c>
      <c r="T47" s="782">
        <f ca="1">_xlfn.XLOOKUP(TabTRADER[[#This Row],[ClickTick]],TabCalc[Ticker],TabCalc[Agiotage])</f>
        <v>2.5362318840579712E-2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450/450=&gt;2.0% / 4.2%</v>
      </c>
      <c r="V47" s="739" t="str">
        <f ca="1">_xlfn.XLOOKUP(TabTRADER[[#This Row],[ClickTick]],[1]!RTData[Ticker_Symbol],[1]!RTData[Currency])</f>
        <v>EUR</v>
      </c>
      <c r="W47" s="749">
        <f ca="1">_xlfn.XLOOKUP(TabTRADER[[#This Row],[ClickTick]],TabCalc[Ticker],TabCalc[M])</f>
        <v>29.8</v>
      </c>
      <c r="X47" s="1343"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-200/89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2597.4739629999985</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89400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0.2836426530703004</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0.24708791946308711</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-0.58957441547624567</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0.2496879194630871</v>
      </c>
      <c r="AP47" s="825" cm="1">
        <f t="array" aca="1" ref="AP47" ca="1">_xlfn.IFS(         TabTRADER[[#This Row],[Traps]]=MDown,TabTRADER[[#This Row],[L_Bn]]*TabTRADER[[#This Row],[M]]*(-(TabTRADER[[#This Row],[L_Bp]]+TabTRADER[[#This Row],[M]])/TabTRADER[[#This Row],[M]])*(1-Commission)*TabTRADER[[#This Row],[Scale]],                               TRUE,"")</f>
        <v>2597.4739629999985</v>
      </c>
      <c r="AQ47" s="1186" cm="1">
        <f t="array" aca="1" ref="AQ47" ca="1">_xlfn.IFS(   TabTRADER[[#This Row],[Traps]]=MUp,TabTRADER[[#This Row],[TakeGain_A]]-Commission,        TabTRADER[[#This Row],[Traps]]=MDown,(TabTRADER[[#This Row],[A]]-TabTRADER[[#This Row],[M]])/TabTRADER[[#This Row],[M]]-Commission,                              TRUE,"")</f>
        <v>0.39335134228187923</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35306.015070000001</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-7.44</v>
      </c>
      <c r="AU47" s="765" cm="1">
        <f t="array" aca="1" ref="AU47" ca="1">_xlfn.IFS(TabTRADER[[#This Row],[Traps]]=ReSaleGain,"",         TabTRADER[[#This Row],[Traps]]=MDown, (TabTRADER[[#This Row],[M]]-TabTRADER[[#This Row],[A]])/TabTRADER[[#This Row],[A]]*ComFactor,             TRUE, IFERROR((TabTRADER[[#This Row],[M]]-TabTRADER[[#This Row],[A]])/TabTRADER[[#This Row],[A]]*ComFactor,""))</f>
        <v>-0.28290518217231758</v>
      </c>
      <c r="AV47" s="762" cm="1">
        <f t="array" aca="1" ref="AV47" ca="1">_xlfn.IFS(               TabTRADER[[#This Row],[Traps]]=NoStock,(TabTRADER[[#This Row],[L_Sp]]-TabTRADER[[#This Row],[M]])/TabTRADER[[#This Row],[M]]-Commission,             TabTRADER[[#This Row],[A]]&lt;&gt;0,(TabTRADER[[#This Row],[A]]-TabTRADER[[#This Row],[M]])/TabTRADER[[#This Row],[M]]-Commission)</f>
        <v>0.39335134228187923</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0.32729509194047596</v>
      </c>
      <c r="AZ47" s="729">
        <f ca="1">TabTRADER[[#This Row],[L_Sn]]*(TabTRADER[[#This Row],[M]]-TabTRADER[[#This Row],[L_Sp]])*(1-Commission)*TabTRADER[[#This Row],[Scale]]</f>
        <v>-5061.3756192999981</v>
      </c>
      <c r="BA47" s="692">
        <f ca="1">TabTRADER[[#This Row],[L_Sn]]*(TabTRADER[[#This Row],[Agiotage]]-TabTRADER[[#This Row],[M]])/(TabTRADER[[#This Row],[L_Bn]]*TabTRADER[[#This Row],[M]])</f>
        <v>-0.99914891547514839</v>
      </c>
      <c r="BB47" s="635">
        <f ca="1">IFERROR((TabTRADER[[#This Row],[M]]-TabTRADER[[#This Row],[A]])/TabTRADER[[#This Row],[A]],0)</f>
        <v>-0.2836426530703004</v>
      </c>
      <c r="BC47" s="638" t="str">
        <f ca="1">TEXT(_xlfn.XLOOKUP(TabTRADER[[#This Row],[ClickTick]],TabCalc[Ticker],TabCalc[NAfter]),"#,#0")&amp;" : "&amp;TEXT(_xlfn.XLOOKUP(TabTRADER[[#This Row],[ClickTick]],TabCalc[Ticker],TabCalc[NAfter])*(TabTRADER[[#This Row],[M]]-TabTRADER[[#This Row],[A]])*(1-Commission)*TabTRADER[[#This Row],[Scale]],"#,#0$")</f>
        <v>3,000 : -35,306$</v>
      </c>
      <c r="BD47" s="684">
        <f ca="1">_xlfn.XLOOKUP(TabTRADER[[#This Row],[ClickTick]],TabCalc[[#This Row],[Ticker]],TabCalc[[#This Row],[GL]])*(1-Commission)</f>
        <v>-199262.76129299999</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0.2496879194630871</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-9.4995272601794342E-2</v>
      </c>
      <c r="BO47" s="687">
        <f ca="1">(TabTRADER[[#This Row],[M]]-TabTRADER[[#This Row],[Agiotage]])/(TabTRADER[[#This Row],[M]]-TabTRADER[[#This Row],[A]])-1</f>
        <v>-3.5234133813438384</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-21,850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-48.1%</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1.1818821656050955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32875.800000000003</v>
      </c>
      <c r="M48" s="323">
        <f ca="1">_xlfn.XLOOKUP(TabTRADER[[#This Row],[ClickTick]],TabCalc[Ticker],TabCalc[Agiotage])</f>
        <v>3.1156902902410422E-5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-0.32473118279569896</v>
      </c>
      <c r="S48" s="683">
        <f ca="1">_xlfn.XLOOKUP(TabTRADER[[#This Row],[ClickTick]],TabCalc[Ticker],TabCalc[Rev(MinStock)])*(1-Commission)</f>
        <v>-21792.890780000002</v>
      </c>
      <c r="T48" s="782">
        <f ca="1">_xlfn.XLOOKUP(TabTRADER[[#This Row],[ClickTick]],TabCalc[Ticker],TabCalc[Agiotage])</f>
        <v>3.1156902902410422E-5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2,749/2,749=&gt;4.9% / 4.1%</v>
      </c>
      <c r="V48" s="739" t="str">
        <f ca="1">_xlfn.XLOOKUP(TabTRADER[[#This Row],[ClickTick]],[1]!RTData[Ticker_Symbol],[1]!RTData[Currency])</f>
        <v>USD</v>
      </c>
      <c r="W48" s="749">
        <f ca="1">_xlfn.XLOOKUP(TabTRADER[[#This Row],[ClickTick]],TabCalc[Ticker],TabCalc[M])</f>
        <v>6.28</v>
      </c>
      <c r="X48" s="1343"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-22/45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21792.890780000002</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45435.8</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0.32473118279569896</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0.478291719745223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-1.1240694789081886</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0.48089171974522299</v>
      </c>
      <c r="AP48" s="825" cm="1">
        <f t="array" aca="1" ref="AP48" ca="1">_xlfn.IFS(         TabTRADER[[#This Row],[Traps]]=MDown,TabTRADER[[#This Row],[L_Bn]]*TabTRADER[[#This Row],[M]]*(-(TabTRADER[[#This Row],[L_Bp]]+TabTRADER[[#This Row],[M]])/TabTRADER[[#This Row],[M]])*(1-Commission)*TabTRADER[[#This Row],[Scale]],                               TRUE,"")</f>
        <v>21792.890780000002</v>
      </c>
      <c r="AQ48" s="1186" cm="1">
        <f t="array" aca="1" ref="AQ48" ca="1">_xlfn.IFS(   TabTRADER[[#This Row],[Traps]]=MUp,TabTRADER[[#This Row],[TakeGain_A]]-Commission,        TabTRADER[[#This Row],[Traps]]=MDown,(TabTRADER[[#This Row],[A]]-TabTRADER[[#This Row],[M]])/TabTRADER[[#This Row],[M]]-Commission,                              TRUE,"")</f>
        <v>0.478291719745223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21792.890780000002</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-3.02</v>
      </c>
      <c r="AU48" s="765" cm="1">
        <f t="array" aca="1" ref="AU48" ca="1">_xlfn.IFS(TabTRADER[[#This Row],[Traps]]=ReSaleGain,"",         TabTRADER[[#This Row],[Traps]]=MDown, (TabTRADER[[#This Row],[M]]-TabTRADER[[#This Row],[A]])/TabTRADER[[#This Row],[A]]*ComFactor,             TRUE, IFERROR((TabTRADER[[#This Row],[M]]-TabTRADER[[#This Row],[A]])/TabTRADER[[#This Row],[A]]*ComFactor,""))</f>
        <v>-0.32388688172043012</v>
      </c>
      <c r="AV48" s="762" cm="1">
        <f t="array" aca="1" ref="AV48" ca="1">_xlfn.IFS(               TabTRADER[[#This Row],[Traps]]=NoStock,(TabTRADER[[#This Row],[L_Sp]]-TabTRADER[[#This Row],[M]])/TabTRADER[[#This Row],[M]]-Commission,             TabTRADER[[#This Row],[A]]&lt;&gt;0,(TabTRADER[[#This Row],[A]]-TabTRADER[[#This Row],[M]])/TabTRADER[[#This Row],[M]]-Commission)</f>
        <v>0.478291719745223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-0.32473118279569896</v>
      </c>
      <c r="BC48" s="638" t="str">
        <f ca="1">TEXT(_xlfn.XLOOKUP(TabTRADER[[#This Row],[ClickTick]],TabCalc[Ticker],TabCalc[NAfter]),"#,#0")&amp;" : "&amp;TEXT(_xlfn.XLOOKUP(TabTRADER[[#This Row],[ClickTick]],TabCalc[Ticker],TabCalc[NAfter])*(TabTRADER[[#This Row],[M]]-TabTRADER[[#This Row],[A]])*(1-Commission)*TabTRADER[[#This Row],[Scale]],"#,#0$")</f>
        <v>7,235 : -21,793$</v>
      </c>
      <c r="BD48" s="684">
        <f ca="1">_xlfn.XLOOKUP(TabTRADER[[#This Row],[ClickTick]],TabCalc[[#This Row],[Ticker]],TabCalc[[#This Row],[GL]])*(1-Commission)</f>
        <v>-21792.890779999994</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0.48089171974522299</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-3.079459881820231</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+60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2,451</v>
      </c>
      <c r="F49" s="226" t="str">
        <f ca="1">TRUNC(TabCalc[[#This Row],[L_B1p]],2)&amp;"x"&amp;TabCalc[[#This Row],[L_B1n]]&amp;"=   "&amp;TEXT(TabCalc[[#This Row],[ReverseS1]],"#,#0")&amp;"$"</f>
        <v>-24.15x3000=   11,670$</v>
      </c>
      <c r="G49" s="225" t="str">
        <f ca="1">IFERROR(TRUNC(_xlfn.XLOOKUP(TabTRADER[[#This Row],[ClickTick]],TabCalc[Ticker],ListLastSalep),2)&amp;"x"&amp;_xlfn.XLOOKUP(TabTRADER[[#This Row],[ClickTick]],TabCalc[Ticker],ListLastSalen)&amp;"=   "&amp;TEXT(-_xlfn.XLOOKUP(TabTRADER[[#This Row],[ClickTick]],TabCalc[Ticker],ListReverseB),"#,#0")&amp;"$","")</f>
        <v>30.08x500=   -1,020$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2,451</v>
      </c>
      <c r="I49" s="226" t="str">
        <f ca="1">IFERROR(TRUNC(TabCalc[[#This Row],[L_S1p]],2)&amp;"x"&amp;TabCalc[[#This Row],[L_S1n]]&amp;"=   "&amp;TEXT(TabCalc[[#This Row],[ReverseB1]],"#,#0"),"")</f>
        <v>25.39x3000=   -7,950</v>
      </c>
      <c r="J49" s="295">
        <f ca="1">_xlfn.XLOOKUP(TabTRADER[[#This Row],[ClickTick]],TabCalc[Ticker],ListGravity)</f>
        <v>1.2125534950071326</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3.0948271353104243E-2</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1.4285714285713982E-3</v>
      </c>
      <c r="S49" s="683">
        <f ca="1">_xlfn.XLOOKUP(TabTRADER[[#This Row],[ClickTick]],TabCalc[Ticker],TabCalc[Rev(MinStock)])*(1-Commission)</f>
        <v>59.843999999998722</v>
      </c>
      <c r="T49" s="782">
        <f ca="1">_xlfn.XLOOKUP(TabTRADER[[#This Row],[ClickTick]],TabCalc[Ticker],TabCalc[Agiotage])</f>
        <v>3.0948271353104243E-2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660/660=&gt;0.5% / -1.2%</v>
      </c>
      <c r="V49" s="739" t="str">
        <f ca="1">_xlfn.XLOOKUP(TabTRADER[[#This Row],[ClickTick]],[1]!RTData[Ticker_Symbol],[1]!RTData[Currency])</f>
        <v>USD</v>
      </c>
      <c r="W49" s="749">
        <f ca="1">_xlfn.XLOOKUP(TabTRADER[[#This Row],[ClickTick]],TabCalc[Ticker],TabCalc[M])</f>
        <v>28.04</v>
      </c>
      <c r="X49" s="1343"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59.843999999998722</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59.843999999998722</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1.4285714285713982E-3</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2.7067669172931755E-2</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6322.7624513902201</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-7.2678459343794577E-2</v>
      </c>
      <c r="AW49" s="324">
        <f ca="1">_xlfn.XLOOKUP(TabTRADER[[#This Row],[ClickTick]],TabCalc[Ticker],TabCalc[L_Sn])</f>
        <v>500</v>
      </c>
      <c r="AX49" s="728">
        <f ca="1">_xlfn.XLOOKUP(TabTRADER[[#This Row],[ClickTick]],TabCalc[Ticker],TabCalc[L_Sp])</f>
        <v>30.08</v>
      </c>
      <c r="AY49" s="764">
        <f ca="1">-IFERROR((TabTRADER[[#This Row],[M]]-TabTRADER[[#This Row],[L_Sp]])/TabTRADER[[#This Row],[L_Sp]],0)</f>
        <v>6.7819148936170193E-2</v>
      </c>
      <c r="AZ49" s="729">
        <f ca="1">TabTRADER[[#This Row],[L_Sn]]*(TabTRADER[[#This Row],[M]]-TabTRADER[[#This Row],[L_Sp]])*(1-Commission)*TabTRADER[[#This Row],[Scale]]</f>
        <v>-1017.3479999999995</v>
      </c>
      <c r="BA49" s="692">
        <f ca="1">TabTRADER[[#This Row],[L_Sn]]*(TabTRADER[[#This Row],[Agiotage]]-TabTRADER[[#This Row],[M]])/(TabTRADER[[#This Row],[L_Bn]]*TabTRADER[[#This Row],[M]])</f>
        <v>-0.33296542711182714</v>
      </c>
      <c r="BB49" s="635">
        <f ca="1">IFERROR((TabTRADER[[#This Row],[M]]-TabTRADER[[#This Row],[A]])/TabTRADER[[#This Row],[A]],0)</f>
        <v>7.5359539789069993E-2</v>
      </c>
      <c r="BC49" s="638" t="str">
        <f ca="1">TEXT(_xlfn.XLOOKUP(TabTRADER[[#This Row],[ClickTick]],TabCalc[Ticker],TabCalc[NAfter]),"#,#0")&amp;" : "&amp;TEXT(_xlfn.XLOOKUP(TabTRADER[[#This Row],[ClickTick]],TabCalc[Ticker],TabCalc[NAfter])*(TabTRADER[[#This Row],[M]]-TabTRADER[[#This Row],[A]])*(1-Commission)*TabTRADER[[#This Row],[Scale]],"#,#0$")</f>
        <v>3,000 : 5,880$</v>
      </c>
      <c r="BD49" s="684">
        <f ca="1">_xlfn.XLOOKUP(TabTRADER[[#This Row],[ClickTick]],TabCalc[[#This Row],[Ticker]],TabCalc[[#This Row],[GL]])*(1-Commission)</f>
        <v>95766.727437999987</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57100</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28.55</v>
      </c>
      <c r="BN49" s="687">
        <f ca="1">((_xlfn.XLOOKUP(TabTRADER[[#This Row],[ClickTick]],TabCalc[Ticker],TabCalc[NAfter])+TabTRADER[[#This Row],[L_Sn]])*(TabTRADER[[#This Row],[Agiotage]]-TabTRADER[[#This Row],[M]]))/(TabTRADER[[#This Row],[L_Sn]]*_xlfn.XLOOKUP(TabTRADER[[#This Row],[ClickTick]],TabCalc[Ticker],TabCalc[NAfter]))</f>
        <v>-6.5354454033509424E-2</v>
      </c>
      <c r="BO49" s="687">
        <f ca="1">(TabTRADER[[#This Row],[M]]-TabTRADER[[#This Row],[Agiotage]])/(TabTRADER[[#This Row],[M]]-TabTRADER[[#This Row],[A]])-1</f>
        <v>13.253970345367378</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+2,300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3,125</v>
      </c>
      <c r="F50" s="226" t="str">
        <f ca="1">TRUNC(TabCalc[[#This Row],[L_B1p]],2)&amp;"x"&amp;TabCalc[[#This Row],[L_B1n]]&amp;"=   "&amp;TEXT(TabCalc[[#This Row],[ReverseS1]],"#,#0")&amp;"$"</f>
        <v>-58.8x2000=   1,600$</v>
      </c>
      <c r="G50" s="225" t="str">
        <f ca="1">IFERROR(TRUNC(_xlfn.XLOOKUP(TabTRADER[[#This Row],[ClickTick]],TabCalc[Ticker],ListLastSalep),2)&amp;"x"&amp;_xlfn.XLOOKUP(TabTRADER[[#This Row],[ClickTick]],TabCalc[Ticker],ListLastSalen)&amp;"=   "&amp;TEXT(-_xlfn.XLOOKUP(TabTRADER[[#This Row],[ClickTick]],TabCalc[Ticker],ListReverseB),"#,#0")&amp;"$","")</f>
        <v>61.2x21=   -34$</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3,125</v>
      </c>
      <c r="I50" s="226" t="str">
        <f ca="1">IFERROR(TRUNC(TabCalc[[#This Row],[L_S1p]],2)&amp;"x"&amp;TabCalc[[#This Row],[L_S1n]]&amp;"=   "&amp;TEXT(TabCalc[[#This Row],[ReverseB1]],"#,#0"),"")</f>
        <v>61.2x21=   34</v>
      </c>
      <c r="J50" s="295">
        <f ca="1">_xlfn.XLOOKUP(TabTRADER[[#This Row],[ClickTick]],TabCalc[Ticker],ListGravity)</f>
        <v>1.0318791946308725</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0.42833015527104329</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1.9674935842600487E-2</v>
      </c>
      <c r="S50" s="683">
        <f ca="1">_xlfn.XLOOKUP(TabTRADER[[#This Row],[ClickTick]],TabCalc[Ticker],TabCalc[Rev(MinStock)])*(1-Commission)</f>
        <v>2294.0199999999973</v>
      </c>
      <c r="T50" s="782">
        <f ca="1">_xlfn.XLOOKUP(TabTRADER[[#This Row],[ClickTick]],TabCalc[Ticker],TabCalc[Agiotage])</f>
        <v>0.42833015527104329</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-8,000/-8,000=&gt;0.2% / -0.7%</v>
      </c>
      <c r="V50" s="739" t="str">
        <f ca="1">_xlfn.XLOOKUP(TabTRADER[[#This Row],[ClickTick]],[1]!RTData[Ticker_Symbol],[1]!RTData[Currency])</f>
        <v>CHF</v>
      </c>
      <c r="W50" s="749">
        <f ca="1">_xlfn.XLOOKUP(TabTRADER[[#This Row],[ClickTick]],TabCalc[Ticker],TabCalc[M])</f>
        <v>59.6</v>
      </c>
      <c r="X50" s="1343"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59.409500000000001</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^147/1,192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2294.0199999999973</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2294.0199999999973</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1.9674935842600487E-2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0.70829769033361745</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3812.279221336657</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-5.7963087248322168E-3</v>
      </c>
      <c r="AW50" s="324">
        <f ca="1">_xlfn.XLOOKUP(TabTRADER[[#This Row],[ClickTick]],TabCalc[Ticker],TabCalc[L_Sn])</f>
        <v>21</v>
      </c>
      <c r="AX50" s="728">
        <f ca="1">_xlfn.XLOOKUP(TabTRADER[[#This Row],[ClickTick]],TabCalc[Ticker],TabCalc[L_Sp])</f>
        <v>61.2</v>
      </c>
      <c r="AY50" s="764">
        <f ca="1">-IFERROR((TabTRADER[[#This Row],[M]]-TabTRADER[[#This Row],[L_Sp]])/TabTRADER[[#This Row],[L_Sp]],0)</f>
        <v>2.6143790849673224E-2</v>
      </c>
      <c r="AZ50" s="729">
        <f ca="1">TabTRADER[[#This Row],[L_Sn]]*(TabTRADER[[#This Row],[M]]-TabTRADER[[#This Row],[L_Sp]])*(1-Commission)*TabTRADER[[#This Row],[Scale]]</f>
        <v>-33.512640000000026</v>
      </c>
      <c r="BA50" s="692">
        <f ca="1">TabTRADER[[#This Row],[L_Sn]]*(TabTRADER[[#This Row],[Agiotage]]-TabTRADER[[#This Row],[M]])/(TabTRADER[[#This Row],[L_Bn]]*TabTRADER[[#This Row],[M]])</f>
        <v>-1.042453915049755E-2</v>
      </c>
      <c r="BB50" s="635">
        <f ca="1">IFERROR((TabTRADER[[#This Row],[M]]-TabTRADER[[#This Row],[A]])/TabTRADER[[#This Row],[A]],0)</f>
        <v>3.2065578737407335E-3</v>
      </c>
      <c r="BC50" s="638" t="str">
        <f ca="1">TEXT(_xlfn.XLOOKUP(TabTRADER[[#This Row],[ClickTick]],TabCalc[Ticker],TabCalc[NAfter]),"#,#0")&amp;" : "&amp;TEXT(_xlfn.XLOOKUP(TabTRADER[[#This Row],[ClickTick]],TabCalc[Ticker],TabCalc[NAfter])*(TabTRADER[[#This Row],[M]]-TabTRADER[[#This Row],[A]])*(1-Commission)*TabTRADER[[#This Row],[Scale]],"#,#0$")</f>
        <v>20,000 : 3,800$</v>
      </c>
      <c r="BD50" s="684">
        <f ca="1">_xlfn.XLOOKUP(TabTRADER[[#This Row],[ClickTick]],TabCalc[[#This Row],[Ticker]],TabCalc[[#This Row],[GL]])*(1-Commission)</f>
        <v>146123.39879399992</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358885.2</v>
      </c>
      <c r="BK50" s="679">
        <f ca="1">INDEX(
  INDEX(TabConsolid[], , _xlfn.XMATCH(TabTRADER[[#This Row],[ClickTick]]&amp;1, TabConsolid[#Headers])),
  MATCH(
    -TabTRADER[[#This Row],[M]],
    INDEX(TabConsolid[], , _xlfn.XMATCH(TabTRADER[[#This Row],[ClickTick]]&amp;2, TabConsolid[#Headers])),
    -1
  )
)</f>
        <v>6000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50" s="1156">
        <f ca="1">TabTRADER[[#This Row],[ReBuy]]/(TabTRADER[[#This Row],[L_Sn]]+TabTRADER[[#This Row],[SellMore]])</f>
        <v>59.605580468360742</v>
      </c>
      <c r="BN50" s="687">
        <f ca="1">((_xlfn.XLOOKUP(TabTRADER[[#This Row],[ClickTick]],TabCalc[Ticker],TabCalc[NAfter])+TabTRADER[[#This Row],[L_Sn]])*(TabTRADER[[#This Row],[Agiotage]]-TabTRADER[[#This Row],[M]]))/(TabTRADER[[#This Row],[L_Sn]]*_xlfn.XLOOKUP(TabTRADER[[#This Row],[ClickTick]],TabCalc[Ticker],TabCalc[NAfter]))</f>
        <v>-2.8206571475269491</v>
      </c>
      <c r="BO50" s="687">
        <f ca="1">(TabTRADER[[#This Row],[M]]-TabTRADER[[#This Row],[Agiotage]])/(TabTRADER[[#This Row],[M]]-TabTRADER[[#This Row],[A]])-1</f>
        <v>309.61244012981064</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+6,300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3,968/5,000=42,540</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12,450$</v>
      </c>
      <c r="G51" s="225" t="str">
        <f ca="1">IFERROR(TRUNC(_xlfn.XLOOKUP(TabTRADER[[#This Row],[ClickTick]],TabCalc[Ticker],ListLastSalep),2)&amp;"x"&amp;_xlfn.XLOOKUP(TabTRADER[[#This Row],[ClickTick]],TabCalc[Ticker],ListLastSalen)&amp;"=   "&amp;TEXT(-_xlfn.XLOOKUP(TabTRADER[[#This Row],[ClickTick]],TabCalc[Ticker],ListReverseB),"#,#0")&amp;"$","")</f>
        <v>10.07x5000=   3,250$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1" s="226" t="str">
        <f ca="1">IFERROR(TRUNC(TabCalc[[#This Row],[L_S1p]],2)&amp;"x"&amp;TabCalc[[#This Row],[L_S1n]]&amp;"=   "&amp;TEXT(TabCalc[[#This Row],[ReverseB1]],"#,#0"),"")</f>
        <v>10.58x5000=   -700</v>
      </c>
      <c r="J51" s="295">
        <f ca="1">_xlfn.XLOOKUP(TabTRADER[[#This Row],[ClickTick]],TabCalc[Ticker],ListGravity)</f>
        <v>1.1194029850746268</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5.6187673121244343E-7</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0.13319238900634245</v>
      </c>
      <c r="S51" s="683">
        <f ca="1">_xlfn.XLOOKUP(TabTRADER[[#This Row],[ClickTick]],TabCalc[Ticker],TabCalc[Rev(MinStock)])*(1-Commission)</f>
        <v>6283.619999999999</v>
      </c>
      <c r="T51" s="782">
        <f ca="1">_xlfn.XLOOKUP(TabTRADER[[#This Row],[ClickTick]],TabCalc[Ticker],TabCalc[Agiotage])</f>
        <v>5.6187673121244343E-7</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-550/-550=&gt;-0.3% / -1.7%</v>
      </c>
      <c r="V51" s="739" t="str">
        <f ca="1">_xlfn.XLOOKUP(TabTRADER[[#This Row],[ClickTick]],[1]!RTData[Ticker_Symbol],[1]!RTData[Currency])</f>
        <v>USD</v>
      </c>
      <c r="W51" s="749">
        <f ca="1">_xlfn.XLOOKUP(TabTRADER[[#This Row],[ClickTick]],TabCalc[Ticker],TabCalc[M])</f>
        <v>10.72</v>
      </c>
      <c r="X51" s="1343"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3241.5500000000015</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6283.619999999999</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0.13319238900634245</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5.8034328358208986E-2</v>
      </c>
      <c r="AL51" s="825" cm="1">
        <f t="array" aca="1" ref="AL51" ca="1">_xlfn.IFS(   TabTRADER[[#This Row],[Traps]]=SellMorePercentGain,                     MIN(TabTRADER[[#This Row],[L_Sn]],TabTRADER[[#This Row],[N]])*(TabTRADER[[#This Row],[M]]-TabTRADER[[#This Row],[L_Sp]])*(1-Commission)*TabTRADER[[#This Row],[Scale]],                    TRUE,"")</f>
        <v>3241.5500000000015</v>
      </c>
      <c r="AM51" s="1175">
        <f ca="1">_xlfn.XLOOKUP(TabTRADER[[#This Row],[ClickTick]],TabCalc[Ticker],TabCalc[Ann%RevLB])</f>
        <v>0.90470301966572242</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0.13059238900634246</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7120.550359408031</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5,000x1.26</v>
      </c>
      <c r="AU51" s="765" cm="1">
        <f t="array" aca="1" ref="AU51" ca="1">_xlfn.IFS(TabTRADER[[#This Row],[Traps]]=ReSaleGain,"",         TabTRADER[[#This Row],[Traps]]=MDown, (TabTRADER[[#This Row],[M]]-TabTRADER[[#This Row],[A]])/TabTRADER[[#This Row],[A]]*ComFactor,             TRUE, IFERROR((TabTRADER[[#This Row],[M]]-TabTRADER[[#This Row],[A]])/TabTRADER[[#This Row],[A]]*ComFactor,""))</f>
        <v>0.13284608879492596</v>
      </c>
      <c r="AV51" s="762" cm="1">
        <f t="array" aca="1" ref="AV51" ca="1">_xlfn.IFS(               TabTRADER[[#This Row],[Traps]]=NoStock,(TabTRADER[[#This Row],[L_Sp]]-TabTRADER[[#This Row],[M]])/TabTRADER[[#This Row],[M]]-Commission,             TabTRADER[[#This Row],[A]]&lt;&gt;0,(TabTRADER[[#This Row],[A]]-TabTRADER[[#This Row],[M]])/TabTRADER[[#This Row],[M]]-Commission)</f>
        <v>-0.1201373134328358</v>
      </c>
      <c r="AW51" s="324">
        <f ca="1">_xlfn.XLOOKUP(TabTRADER[[#This Row],[ClickTick]],TabCalc[Ticker],TabCalc[L_Sn])</f>
        <v>5000</v>
      </c>
      <c r="AX51" s="728">
        <f ca="1">_xlfn.XLOOKUP(TabTRADER[[#This Row],[ClickTick]],TabCalc[Ticker],TabCalc[L_Sp])</f>
        <v>10.07</v>
      </c>
      <c r="AY51" s="764">
        <f ca="1">-IFERROR((TabTRADER[[#This Row],[M]]-TabTRADER[[#This Row],[L_Sp]])/TabTRADER[[#This Row],[L_Sp]],0)</f>
        <v>-6.4548162859980177E-2</v>
      </c>
      <c r="AZ51" s="729">
        <f ca="1">TabTRADER[[#This Row],[L_Sn]]*(TabTRADER[[#This Row],[M]]-TabTRADER[[#This Row],[L_Sp]])*(1-Commission)*TabTRADER[[#This Row],[Scale]]</f>
        <v>3241.5500000000015</v>
      </c>
      <c r="BA51" s="692">
        <f ca="1">TabTRADER[[#This Row],[L_Sn]]*(TabTRADER[[#This Row],[Agiotage]]-TabTRADER[[#This Row],[M]])/(TabTRADER[[#This Row],[L_Bn]]*TabTRADER[[#This Row],[M]])</f>
        <v>-0.99999994758612576</v>
      </c>
      <c r="BB51" s="635">
        <f ca="1">IFERROR((TabTRADER[[#This Row],[M]]-TabTRADER[[#This Row],[A]])/TabTRADER[[#This Row],[A]],0)</f>
        <v>0.13319238900634245</v>
      </c>
      <c r="BC51" s="638" t="str">
        <f ca="1">TEXT(_xlfn.XLOOKUP(TabTRADER[[#This Row],[ClickTick]],TabCalc[Ticker],TabCalc[NAfter]),"#,#0")&amp;" : "&amp;TEXT(_xlfn.XLOOKUP(TabTRADER[[#This Row],[ClickTick]],TabCalc[Ticker],TabCalc[NAfter])*(TabTRADER[[#This Row],[M]]-TabTRADER[[#This Row],[A]])*(1-Commission)*TabTRADER[[#This Row],[Scale]],"#,#0$")</f>
        <v>5,000 : 6,284$</v>
      </c>
      <c r="BD51" s="684">
        <f ca="1">_xlfn.XLOOKUP(TabTRADER[[#This Row],[ClickTick]],TabCalc[[#This Row],[Ticker]],TabCalc[[#This Row],[GL]])*(1-Commission)</f>
        <v>-79237.395729999946</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6.0634328358208985E-2</v>
      </c>
      <c r="BJ51" s="679">
        <f ca="1">TabTRADER[[#This Row],[L_Sn]]*TabTRADER[[#This Row],[L_Sp]]+TabTRADER[[#This Row],[SellMore]]*TabTRADER[[#This Row],[M]]</f>
        <v>103950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10.395</v>
      </c>
      <c r="BN51" s="687">
        <f ca="1">((_xlfn.XLOOKUP(TabTRADER[[#This Row],[ClickTick]],TabCalc[Ticker],TabCalc[NAfter])+TabTRADER[[#This Row],[L_Sn]])*(TabTRADER[[#This Row],[Agiotage]]-TabTRADER[[#This Row],[M]]))/(TabTRADER[[#This Row],[L_Sn]]*_xlfn.XLOOKUP(TabTRADER[[#This Row],[ClickTick]],TabCalc[Ticker],TabCalc[NAfter]))</f>
        <v>-4.2879997752493073E-3</v>
      </c>
      <c r="BO51" s="687">
        <f ca="1">(TabTRADER[[#This Row],[M]]-TabTRADER[[#This Row],[Agiotage]])/(TabTRADER[[#This Row],[M]]-TabTRADER[[#This Row],[A]])-1</f>
        <v>7.5079360620025959</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43"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0.2419437148942622</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+540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6,600$</v>
      </c>
      <c r="G53" s="225" t="str">
        <f ca="1">IFERROR(TRUNC(_xlfn.XLOOKUP(TabTRADER[[#This Row],[ClickTick]],TabCalc[Ticker],ListLastSalep),2)&amp;"x"&amp;_xlfn.XLOOKUP(TabTRADER[[#This Row],[ClickTick]],TabCalc[Ticker],ListLastSalen)&amp;"=   "&amp;TEXT(-_xlfn.XLOOKUP(TabTRADER[[#This Row],[ClickTick]],TabCalc[Ticker],ListReverseB),"#,#0")&amp;"$","")</f>
        <v>107.37x1800=   21,456$</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 = 0</v>
      </c>
      <c r="I53" s="226" t="str">
        <f ca="1">IFERROR(TRUNC(TabCalc[[#This Row],[L_S1p]],2)&amp;"x"&amp;TabCalc[[#This Row],[L_S1n]]&amp;"=   "&amp;TEXT(TabCalc[[#This Row],[ReverseB1]],"#,#0"),"")</f>
        <v>114.13x1800=   -9,288</v>
      </c>
      <c r="J53" s="295">
        <f ca="1">_xlfn.XLOOKUP(TabTRADER[[#This Row],[ClickTick]],TabCalc[Ticker],ListGravity)</f>
        <v>1.0636264565344957</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35787</v>
      </c>
      <c r="M53" s="323">
        <f ca="1">_xlfn.XLOOKUP(TabTRADER[[#This Row],[ClickTick]],TabCalc[Ticker],TabCalc[Agiotage])</f>
        <v>3.4090178993023115E-4</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1.5320452804494096E-2</v>
      </c>
      <c r="S53" s="683">
        <f ca="1">_xlfn.XLOOKUP(TabTRADER[[#This Row],[ClickTick]],TabCalc[Ticker],TabCalc[Rev(MinStock)])*(1-Commission)</f>
        <v>538.59600000000341</v>
      </c>
      <c r="T53" s="782">
        <f ca="1">_xlfn.XLOOKUP(TabTRADER[[#This Row],[ClickTick]],TabCalc[Ticker],TabCalc[Agiotage])</f>
        <v>3.4090178993023115E-4</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420/420=&gt;2.5% / 1.3%</v>
      </c>
      <c r="V53" s="739" t="str">
        <f ca="1">_xlfn.XLOOKUP(TabTRADER[[#This Row],[ClickTick]],[1]!RTData[Ticker_Symbol],[1]!RTData[Currency])</f>
        <v>USD</v>
      </c>
      <c r="W53" s="749">
        <f ca="1">_xlfn.XLOOKUP(TabTRADER[[#This Row],[ClickTick]],TabCalc[Ticker],TabCalc[M])</f>
        <v>119.29</v>
      </c>
      <c r="X53" s="1343"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^11/60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538.59600000000341</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538.59600000000341</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1.5320452804494096E-2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0.10606467326188221</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3350.3578347648977</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-5.5915449744320556E-2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-0.11101797522585453</v>
      </c>
      <c r="AZ53" s="729">
        <f ca="1">TabTRADER[[#This Row],[L_Sn]]*(TabTRADER[[#This Row],[M]]-TabTRADER[[#This Row],[L_Sp]])*(1-Commission)*TabTRADER[[#This Row],[Scale]]</f>
        <v>21400.214400000004</v>
      </c>
      <c r="BA53" s="692">
        <f ca="1">TabTRADER[[#This Row],[L_Sn]]*(TabTRADER[[#This Row],[Agiotage]]-TabTRADER[[#This Row],[M]])/(TabTRADER[[#This Row],[L_Bn]]*TabTRADER[[#This Row],[M]])</f>
        <v>-5.9999828534601436</v>
      </c>
      <c r="BB53" s="635">
        <f ca="1">IFERROR((TabTRADER[[#This Row],[M]]-TabTRADER[[#This Row],[A]])/TabTRADER[[#This Row],[A]],0)</f>
        <v>5.6318073142654732E-2</v>
      </c>
      <c r="BC53" s="638" t="str">
        <f ca="1">TEXT(_xlfn.XLOOKUP(TabTRADER[[#This Row],[ClickTick]],TabCalc[Ticker],TabCalc[NAfter]),"#,#0")&amp;" : "&amp;TEXT(_xlfn.XLOOKUP(TabTRADER[[#This Row],[ClickTick]],TabCalc[Ticker],TabCalc[NAfter])*(TabTRADER[[#This Row],[M]]-TabTRADER[[#This Row],[A]])*(1-Commission)*TabTRADER[[#This Row],[Scale]],"#,#0$")</f>
        <v>500 : 3,172$</v>
      </c>
      <c r="BD53" s="684">
        <f ca="1">_xlfn.XLOOKUP(TabTRADER[[#This Row],[ClickTick]],TabCalc[[#This Row],[Ticker]],TabCalc[[#This Row],[GL]])*(1-Commission)</f>
        <v>11344.527340000006</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229053</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109.07285714285715</v>
      </c>
      <c r="BN53" s="687">
        <f ca="1">((_xlfn.XLOOKUP(TabTRADER[[#This Row],[ClickTick]],TabCalc[Ticker],TabCalc[NAfter])+TabTRADER[[#This Row],[L_Sn]])*(TabTRADER[[#This Row],[Agiotage]]-TabTRADER[[#This Row],[M]]))/(TabTRADER[[#This Row],[L_Sn]]*_xlfn.XLOOKUP(TabTRADER[[#This Row],[ClickTick]],TabCalc[Ticker],TabCalc[NAfter]))</f>
        <v>-0.3048513510287591</v>
      </c>
      <c r="BO53" s="687">
        <f ca="1">(TabTRADER[[#This Row],[M]]-TabTRADER[[#This Row],[Agiotage]])/(TabTRADER[[#This Row],[M]]-TabTRADER[[#This Row],[A]])-1</f>
        <v>17.756235707265738</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-2,350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-15,498$</v>
      </c>
      <c r="G54" s="225" t="str">
        <f ca="1">IFERROR(TRUNC(_xlfn.XLOOKUP(TabTRADER[[#This Row],[ClickTick]],TabCalc[Ticker],ListLastSalep),2)&amp;"x"&amp;_xlfn.XLOOKUP(TabTRADER[[#This Row],[ClickTick]],TabCalc[Ticker],ListLastSalen)&amp;"=   "&amp;TEXT(-_xlfn.XLOOKUP(TabTRADER[[#This Row],[ClickTick]],TabCalc[Ticker],ListReverseB),"#,#0")&amp;"$","")</f>
        <v>10.55x7200=   -31,392$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70.4% = 1,147</v>
      </c>
      <c r="I54" s="226" t="str">
        <f ca="1">IFERROR(TRUNC(TabCalc[[#This Row],[L_S1p]],2)&amp;"x"&amp;TabCalc[[#This Row],[L_S1n]]&amp;"=   "&amp;TEXT(TabCalc[[#This Row],[ReverseB1]],"#,#0"),"")</f>
        <v>8.63x3000=   7,320</v>
      </c>
      <c r="J54" s="295">
        <f ca="1">_xlfn.XLOOKUP(TabTRADER[[#This Row],[ClickTick]],TabCalc[Ticker],ListGravity)</f>
        <v>1.8416801292407108</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56948</v>
      </c>
      <c r="M54" s="323">
        <f ca="1">_xlfn.XLOOKUP(TabTRADER[[#This Row],[ClickTick]],TabCalc[Ticker],TabCalc[Agiotage])</f>
        <v>1.1060872052413513</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-7.0570570570570534E-2</v>
      </c>
      <c r="S54" s="683">
        <f ca="1">_xlfn.XLOOKUP(TabTRADER[[#This Row],[ClickTick]],TabCalc[Ticker],TabCalc[Rev(MinStock)])*(1-Commission)</f>
        <v>-2343.8899999999985</v>
      </c>
      <c r="T54" s="782">
        <f ca="1">_xlfn.XLOOKUP(TabTRADER[[#This Row],[ClickTick]],TabCalc[Ticker],TabCalc[Agiotage])</f>
        <v>1.1060872052413513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-200/-200=&gt;-4.0% / -1.7%</v>
      </c>
      <c r="V54" s="739" t="str">
        <f ca="1">_xlfn.XLOOKUP(TabTRADER[[#This Row],[ClickTick]],[1]!RTData[Ticker_Symbol],[1]!RTData[Currency])</f>
        <v>USD</v>
      </c>
      <c r="W54" s="749">
        <f ca="1">_xlfn.XLOOKUP(TabTRADER[[#This Row],[ClickTick]],TabCalc[Ticker],TabCalc[M])</f>
        <v>6.19</v>
      </c>
      <c r="X54" s="1343"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-61/62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2343.8899999999985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61900.000000000007</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0.2512217544878308</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7.3328917609046806E-2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-0.65142065142065109</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7.5928917609046812E-2</v>
      </c>
      <c r="AP54" s="825" cm="1">
        <f t="array" aca="1" ref="AP54" ca="1">_xlfn.IFS(         TabTRADER[[#This Row],[Traps]]=MDown,TabTRADER[[#This Row],[L_Bn]]*TabTRADER[[#This Row],[M]]*(-(TabTRADER[[#This Row],[L_Bp]]+TabTRADER[[#This Row],[M]])/TabTRADER[[#This Row],[M]])*(1-Commission)*TabTRADER[[#This Row],[Scale]],                               TRUE,"")</f>
        <v>2343.889999999999</v>
      </c>
      <c r="AQ54" s="1186" cm="1">
        <f t="array" aca="1" ref="AQ54" ca="1">_xlfn.IFS(   TabTRADER[[#This Row],[Traps]]=MUp,TabTRADER[[#This Row],[TakeGain_A]]-Commission,        TabTRADER[[#This Row],[Traps]]=MDown,(TabTRADER[[#This Row],[A]]-TabTRADER[[#This Row],[M]])/TabTRADER[[#This Row],[M]]-Commission,                              TRUE,"")</f>
        <v>0.33290888529886908</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20714.003199999996</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54" s="765" cm="1">
        <f t="array" aca="1" ref="AU54" ca="1">_xlfn.IFS(TabTRADER[[#This Row],[Traps]]=ReSaleGain,"",         TabTRADER[[#This Row],[Traps]]=MDown, (TabTRADER[[#This Row],[M]]-TabTRADER[[#This Row],[A]])/TabTRADER[[#This Row],[A]]*ComFactor,             TRUE, IFERROR((TabTRADER[[#This Row],[M]]-TabTRADER[[#This Row],[A]])/TabTRADER[[#This Row],[A]]*ComFactor,""))</f>
        <v>-0.25056857792616244</v>
      </c>
      <c r="AV54" s="762" cm="1">
        <f t="array" aca="1" ref="AV54" ca="1">_xlfn.IFS(               TabTRADER[[#This Row],[Traps]]=NoStock,(TabTRADER[[#This Row],[L_Sp]]-TabTRADER[[#This Row],[M]])/TabTRADER[[#This Row],[M]]-Commission,             TabTRADER[[#This Row],[A]]&lt;&gt;0,(TabTRADER[[#This Row],[A]]-TabTRADER[[#This Row],[M]])/TabTRADER[[#This Row],[M]]-Commission)</f>
        <v>0.33290888529886908</v>
      </c>
      <c r="AW54" s="324">
        <f ca="1">_xlfn.XLOOKUP(TabTRADER[[#This Row],[ClickTick]],TabCalc[Ticker],TabCalc[L_Sn])</f>
        <v>7200</v>
      </c>
      <c r="AX54" s="728">
        <f ca="1">_xlfn.XLOOKUP(TabTRADER[[#This Row],[ClickTick]],TabCalc[Ticker],TabCalc[L_Sp])</f>
        <v>10.55</v>
      </c>
      <c r="AY54" s="764">
        <f ca="1">-IFERROR((TabTRADER[[#This Row],[M]]-TabTRADER[[#This Row],[L_Sp]])/TabTRADER[[#This Row],[L_Sp]],0)</f>
        <v>0.41327014218009478</v>
      </c>
      <c r="AZ54" s="729">
        <f ca="1">TabTRADER[[#This Row],[L_Sn]]*(TabTRADER[[#This Row],[M]]-TabTRADER[[#This Row],[L_Sp]])*(1-Commission)*TabTRADER[[#This Row],[Scale]]</f>
        <v>-31310.380800000003</v>
      </c>
      <c r="BA54" s="692">
        <f ca="1">TabTRADER[[#This Row],[L_Sn]]*(TabTRADER[[#This Row],[Agiotage]]-TabTRADER[[#This Row],[M]])/(TabTRADER[[#This Row],[L_Bn]]*TabTRADER[[#This Row],[M]])</f>
        <v>-1.1826873060504772</v>
      </c>
      <c r="BB54" s="635">
        <f ca="1">IFERROR((TabTRADER[[#This Row],[M]]-TabTRADER[[#This Row],[A]])/TabTRADER[[#This Row],[A]],0)</f>
        <v>-0.2512217544878308</v>
      </c>
      <c r="BC54" s="638" t="str">
        <f ca="1">TEXT(_xlfn.XLOOKUP(TabTRADER[[#This Row],[ClickTick]],TabCalc[Ticker],TabCalc[NAfter]),"#,#0")&amp;" : "&amp;TEXT(_xlfn.XLOOKUP(TabTRADER[[#This Row],[ClickTick]],TabCalc[Ticker],TabCalc[NAfter])*(TabTRADER[[#This Row],[M]]-TabTRADER[[#This Row],[A]])*(1-Commission)*TabTRADER[[#This Row],[Scale]],"#,#0$")</f>
        <v>10,000 : -20,714$</v>
      </c>
      <c r="BD54" s="684">
        <f ca="1">_xlfn.XLOOKUP(TabTRADER[[#This Row],[ClickTick]],TabCalc[[#This Row],[Ticker]],TabCalc[[#This Row],[GL]])*(1-Commission)</f>
        <v>-60433.094361999982</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7.5928917609046812E-2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-1.2144902787478995E-3</v>
      </c>
      <c r="BO54" s="687">
        <f ca="1">(TabTRADER[[#This Row],[M]]-TabTRADER[[#This Row],[Agiotage]])/(TabTRADER[[#This Row],[M]]-TabTRADER[[#This Row],[A]])-1</f>
        <v>-3.4479549281387953</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-5,406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-6,440$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2.2286773255813959</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75658.671999999991</v>
      </c>
      <c r="M55" s="323">
        <f ca="1">_xlfn.XLOOKUP(TabTRADER[[#This Row],[ClickTick]],TabCalc[Ticker],TabCalc[Agiotage])</f>
        <v>0.15100864553314122</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-0.2820518707088121</v>
      </c>
      <c r="S55" s="683">
        <f ca="1">_xlfn.XLOOKUP(TabTRADER[[#This Row],[ClickTick]],TabCalc[Ticker],TabCalc[Rev(MinStock)])*(1-Commission)</f>
        <v>-5391.675102000002</v>
      </c>
      <c r="T55" s="782">
        <f ca="1">_xlfn.XLOOKUP(TabTRADER[[#This Row],[ClickTick]],TabCalc[Ticker],TabCalc[Agiotage])</f>
        <v>0.15100864553314122</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4,040/4,040=&gt;-0.3% / 3.3%</v>
      </c>
      <c r="V55" s="739" t="str">
        <f ca="1">_xlfn.XLOOKUP(TabTRADER[[#This Row],[ClickTick]],[1]!RTData[Ticker_Symbol],[1]!RTData[Currency])</f>
        <v>EUR</v>
      </c>
      <c r="W55" s="749">
        <f ca="1">_xlfn.XLOOKUP(TabTRADER[[#This Row],[ClickTick]],TabCalc[Ticker],TabCalc[M])</f>
        <v>0.68799999999999994</v>
      </c>
      <c r="X55" s="1343"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-291/347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5391.675102000002</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347440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0.45578554969610918</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0.39025828488372111</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-0.87533339185493408</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0.3928582848837211</v>
      </c>
      <c r="AP55" s="825" cm="1">
        <f t="array" aca="1" ref="AP55" ca="1">_xlfn.IFS(         TabTRADER[[#This Row],[Traps]]=MDown,TabTRADER[[#This Row],[L_Bn]]*TabTRADER[[#This Row],[M]]*(-(TabTRADER[[#This Row],[L_Bp]]+TabTRADER[[#This Row],[M]])/TabTRADER[[#This Row],[M]])*(1-Commission)*TabTRADER[[#This Row],[Scale]],                               TRUE,"")</f>
        <v>5391.6751020000011</v>
      </c>
      <c r="AQ55" s="1186" cm="1">
        <f t="array" aca="1" ref="AQ55" ca="1">_xlfn.IFS(   TabTRADER[[#This Row],[Traps]]=MUp,TabTRADER[[#This Row],[TakeGain_A]]-Commission,        TabTRADER[[#This Row],[Traps]]=MDown,(TabTRADER[[#This Row],[A]]-TabTRADER[[#This Row],[M]])/TabTRADER[[#This Row],[M]]-Commission,                              TRUE,"")</f>
        <v>0.83491092871862782</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290228.23660160764</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-0.27</v>
      </c>
      <c r="AU55" s="765" cm="1">
        <f t="array" aca="1" ref="AU55" ca="1">_xlfn.IFS(TabTRADER[[#This Row],[Traps]]=ReSaleGain,"",         TabTRADER[[#This Row],[Traps]]=MDown, (TabTRADER[[#This Row],[M]]-TabTRADER[[#This Row],[A]])/TabTRADER[[#This Row],[A]]*ComFactor,             TRUE, IFERROR((TabTRADER[[#This Row],[M]]-TabTRADER[[#This Row],[A]])/TabTRADER[[#This Row],[A]]*ComFactor,""))</f>
        <v>-0.45460050726689927</v>
      </c>
      <c r="AV55" s="762" cm="1">
        <f t="array" aca="1" ref="AV55" ca="1">_xlfn.IFS(               TabTRADER[[#This Row],[Traps]]=NoStock,(TabTRADER[[#This Row],[L_Sp]]-TabTRADER[[#This Row],[M]])/TabTRADER[[#This Row],[M]]-Commission,             TabTRADER[[#This Row],[A]]&lt;&gt;0,(TabTRADER[[#This Row],[A]]-TabTRADER[[#This Row],[M]])/TabTRADER[[#This Row],[M]]-Commission)</f>
        <v>0.83491092871862782</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-0.45578554969610918</v>
      </c>
      <c r="BC55" s="638" t="str">
        <f ca="1">TEXT(_xlfn.XLOOKUP(TabTRADER[[#This Row],[ClickTick]],TabCalc[Ticker],TabCalc[NAfter]),"#,#0")&amp;" : "&amp;TEXT(_xlfn.XLOOKUP(TabTRADER[[#This Row],[ClickTick]],TabCalc[Ticker],TabCalc[NAfter])*(TabTRADER[[#This Row],[M]]-TabTRADER[[#This Row],[A]])*(1-Commission)*TabTRADER[[#This Row],[Scale]],"#,#0$")</f>
        <v>505,000 : -290,228$</v>
      </c>
      <c r="BD55" s="684">
        <f ca="1">_xlfn.XLOOKUP(TabTRADER[[#This Row],[ClickTick]],TabCalc[[#This Row],[Ticker]],TabCalc[[#This Row],[GL]])*(1-Commission)</f>
        <v>-290228.23660160758</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AMY</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0.3928582848837211</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-1.9319409011488666</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-2,800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-5,195$</v>
      </c>
      <c r="G56" s="225" t="str">
        <f ca="1">IFERROR(TRUNC(_xlfn.XLOOKUP(TabTRADER[[#This Row],[ClickTick]],TabCalc[Ticker],ListLastSalep),2)&amp;"x"&amp;_xlfn.XLOOKUP(TabTRADER[[#This Row],[ClickTick]],TabCalc[Ticker],ListLastSalen)&amp;"=   "&amp;TEXT(-_xlfn.XLOOKUP(TabTRADER[[#This Row],[ClickTick]],TabCalc[Ticker],ListReverseB),"#,#0")&amp;"$","")</f>
        <v>3.52x5000=   -6,750$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62.2% = 3,704</v>
      </c>
      <c r="I56" s="226" t="str">
        <f ca="1">IFERROR(TRUNC(TabCalc[[#This Row],[L_S1p]],2)&amp;"x"&amp;TabCalc[[#This Row],[L_S1n]]&amp;"=   "&amp;TEXT(TabCalc[[#This Row],[ReverseB1]],"#,#0"),"")</f>
        <v>3.96x5000=   8,951</v>
      </c>
      <c r="J56" s="295">
        <f ca="1">_xlfn.XLOOKUP(TabTRADER[[#This Row],[ClickTick]],TabCalc[Ticker],ListGravity)</f>
        <v>1.4976958525345623</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4.5786842046550367E-4</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-0.11428571428571438</v>
      </c>
      <c r="S56" s="683">
        <f ca="1">_xlfn.XLOOKUP(TabTRADER[[#This Row],[ClickTick]],TabCalc[Ticker],TabCalc[Rev(MinStock)])*(1-Commission)</f>
        <v>-2792.7200000000021</v>
      </c>
      <c r="T56" s="782">
        <f ca="1">_xlfn.XLOOKUP(TabTRADER[[#This Row],[ClickTick]],TabCalc[Ticker],TabCalc[Agiotage])</f>
        <v>4.5786842046550367E-4</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850/850=&gt;-1.1% / 0.5%</v>
      </c>
      <c r="V56" s="739" t="str">
        <f ca="1">_xlfn.XLOOKUP(TabTRADER[[#This Row],[ClickTick]],[1]!RTData[Ticker_Symbol],[1]!RTData[Currency])</f>
        <v>USD</v>
      </c>
      <c r="W56" s="749">
        <f ca="1">_xlfn.XLOOKUP(TabTRADER[[#This Row],[ClickTick]],TabCalc[Ticker],TabCalc[M])</f>
        <v>2.17</v>
      </c>
      <c r="X56" s="1343"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6732.45</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6732.45</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0.38352272727272729</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-9.5681063122923668E-2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-2792.7200000000021</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-0.11398857142857152</v>
      </c>
      <c r="AV56" s="762" cm="1">
        <f t="array" aca="1" ref="AV56" ca="1">_xlfn.IFS(               TabTRADER[[#This Row],[Traps]]=NoStock,(TabTRADER[[#This Row],[L_Sp]]-TabTRADER[[#This Row],[M]])/TabTRADER[[#This Row],[M]]-Commission,             TabTRADER[[#This Row],[A]]&lt;&gt;0,(TabTRADER[[#This Row],[A]]-TabTRADER[[#This Row],[M]])/TabTRADER[[#This Row],[M]]-Commission)</f>
        <v>0.12643225806451625</v>
      </c>
      <c r="AW56" s="324">
        <f ca="1">_xlfn.XLOOKUP(TabTRADER[[#This Row],[ClickTick]],TabCalc[Ticker],TabCalc[L_Sn])</f>
        <v>5000</v>
      </c>
      <c r="AX56" s="728">
        <f ca="1">_xlfn.XLOOKUP(TabTRADER[[#This Row],[ClickTick]],TabCalc[Ticker],TabCalc[L_Sp])</f>
        <v>3.52</v>
      </c>
      <c r="AY56" s="764">
        <f ca="1">-IFERROR((TabTRADER[[#This Row],[M]]-TabTRADER[[#This Row],[L_Sp]])/TabTRADER[[#This Row],[L_Sp]],0)</f>
        <v>0.38352272727272729</v>
      </c>
      <c r="AZ56" s="729">
        <f ca="1">TabTRADER[[#This Row],[L_Sn]]*(TabTRADER[[#This Row],[M]]-TabTRADER[[#This Row],[L_Sp]])*(1-Commission)*TabTRADER[[#This Row],[Scale]]</f>
        <v>-6732.45</v>
      </c>
      <c r="BA56" s="692">
        <f ca="1">TabTRADER[[#This Row],[L_Sn]]*(TabTRADER[[#This Row],[Agiotage]]-TabTRADER[[#This Row],[M]])/(TabTRADER[[#This Row],[L_Bn]]*TabTRADER[[#This Row],[M]])</f>
        <v>-0.49989450036394795</v>
      </c>
      <c r="BB56" s="635">
        <f ca="1">IFERROR((TabTRADER[[#This Row],[M]]-TabTRADER[[#This Row],[A]])/TabTRADER[[#This Row],[A]],0)</f>
        <v>-0.11428571428571438</v>
      </c>
      <c r="BC56" s="638" t="str">
        <f ca="1">TEXT(_xlfn.XLOOKUP(TabTRADER[[#This Row],[ClickTick]],TabCalc[Ticker],TabCalc[NAfter]),"#,#0")&amp;" : "&amp;TEXT(_xlfn.XLOOKUP(TabTRADER[[#This Row],[ClickTick]],TabCalc[Ticker],TabCalc[NAfter])*(TabTRADER[[#This Row],[M]]-TabTRADER[[#This Row],[A]])*(1-Commission)*TabTRADER[[#This Row],[Scale]],"#,#0$")</f>
        <v>10,000 : -2,793$</v>
      </c>
      <c r="BD56" s="684">
        <f ca="1">_xlfn.XLOOKUP(TabTRADER[[#This Row],[ClickTick]],TabCalc[[#This Row],[Ticker]],TabCalc[[#This Row],[GL]])*(1-Commission)</f>
        <v>8687.7679209999969</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-6.5086263947386025E-4</v>
      </c>
      <c r="BO56" s="687">
        <f ca="1">(TabTRADER[[#This Row],[M]]-TabTRADER[[#This Row],[Agiotage]])/(TabTRADER[[#This Row],[M]]-TabTRADER[[#This Row],[A]])-1</f>
        <v>-8.7483647556411874</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-9,615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-26.9%</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-3,775$</v>
      </c>
      <c r="G57" s="225" t="str">
        <f ca="1">IFERROR(TRUNC(_xlfn.XLOOKUP(TabTRADER[[#This Row],[ClickTick]],TabCalc[Ticker],ListLastSalep),2)&amp;"x"&amp;_xlfn.XLOOKUP(TabTRADER[[#This Row],[ClickTick]],TabCalc[Ticker],ListLastSalen)&amp;"=   "&amp;TEXT(-_xlfn.XLOOKUP(TabTRADER[[#This Row],[ClickTick]],TabCalc[Ticker],ListReverseB),"#,#0")&amp;"$","")</f>
        <v>40.01x1000=   -16,200$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68.0% = 309</v>
      </c>
      <c r="I57" s="226" t="str">
        <f ca="1">IFERROR(TRUNC(TabCalc[[#This Row],[L_S1p]],2)&amp;"x"&amp;TabCalc[[#This Row],[L_S1n]]&amp;"=   "&amp;TEXT(TabCalc[[#This Row],[ReverseB1]],"#,#0"),"")</f>
        <v>40.59x1000=   16,785</v>
      </c>
      <c r="J57" s="295">
        <f ca="1">_xlfn.XLOOKUP(TabTRADER[[#This Row],[ClickTick]],TabCalc[Ticker],ListGravity)</f>
        <v>1.3388399832003361</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238100</v>
      </c>
      <c r="M57" s="323">
        <f ca="1">_xlfn.XLOOKUP(TabTRADER[[#This Row],[ClickTick]],TabCalc[Ticker],TabCalc[Agiotage])</f>
        <v>0.10492537313432836</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-0.21211118464592987</v>
      </c>
      <c r="S57" s="683">
        <f ca="1">_xlfn.XLOOKUP(TabTRADER[[#This Row],[ClickTick]],TabCalc[Ticker],TabCalc[Rev(MinStock)])*(1-Commission)</f>
        <v>-9590.0010000000002</v>
      </c>
      <c r="T57" s="782">
        <f ca="1">_xlfn.XLOOKUP(TabTRADER[[#This Row],[ClickTick]],TabCalc[Ticker],TabCalc[Agiotage])</f>
        <v>0.10492537313432836</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-2,280/-2,280=&gt;0.3% / -0.8%</v>
      </c>
      <c r="V57" s="739" t="str">
        <f ca="1">_xlfn.XLOOKUP(TabTRADER[[#This Row],[ClickTick]],[1]!RTData[Ticker_Symbol],[1]!RTData[Currency])</f>
        <v>EUR</v>
      </c>
      <c r="W57" s="749">
        <f ca="1">_xlfn.XLOOKUP(TabTRADER[[#This Row],[ClickTick]],TabCalc[Ticker],TabCalc[M])</f>
        <v>23.81</v>
      </c>
      <c r="X57" s="1343"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-114/286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9590.0010000000002</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285720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0.2921590486807879</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0.26661461570768585</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-0.53027796161482466</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0.26921461570768584</v>
      </c>
      <c r="AP57" s="825" cm="1">
        <f t="array" aca="1" ref="AP57" ca="1">_xlfn.IFS(         TabTRADER[[#This Row],[Traps]]=MDown,TabTRADER[[#This Row],[L_Bn]]*TabTRADER[[#This Row],[M]]*(-(TabTRADER[[#This Row],[L_Bp]]+TabTRADER[[#This Row],[M]])/TabTRADER[[#This Row],[M]])*(1-Commission)*TabTRADER[[#This Row],[Scale]],                               TRUE,"")</f>
        <v>9590.0010000000002</v>
      </c>
      <c r="AQ57" s="1186" cm="1">
        <f t="array" aca="1" ref="AQ57" ca="1">_xlfn.IFS(   TabTRADER[[#This Row],[Traps]]=MUp,TabTRADER[[#This Row],[TakeGain_A]]-Commission,        TabTRADER[[#This Row],[Traps]]=MDown,(TabTRADER[[#This Row],[A]]-TabTRADER[[#This Row],[M]])/TabTRADER[[#This Row],[M]]-Commission,                              TRUE,"")</f>
        <v>0.41014674506509891</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117623.38200000004</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-6.41</v>
      </c>
      <c r="AU57" s="765" cm="1">
        <f t="array" aca="1" ref="AU57" ca="1">_xlfn.IFS(TabTRADER[[#This Row],[Traps]]=ReSaleGain,"",         TabTRADER[[#This Row],[Traps]]=MDown, (TabTRADER[[#This Row],[M]]-TabTRADER[[#This Row],[A]])/TabTRADER[[#This Row],[A]]*ComFactor,             TRUE, IFERROR((TabTRADER[[#This Row],[M]]-TabTRADER[[#This Row],[A]])/TabTRADER[[#This Row],[A]]*ComFactor,""))</f>
        <v>-0.29139943515421785</v>
      </c>
      <c r="AV57" s="762" cm="1">
        <f t="array" aca="1" ref="AV57" ca="1">_xlfn.IFS(               TabTRADER[[#This Row],[Traps]]=NoStock,(TabTRADER[[#This Row],[L_Sp]]-TabTRADER[[#This Row],[M]])/TabTRADER[[#This Row],[M]]-Commission,             TabTRADER[[#This Row],[A]]&lt;&gt;0,(TabTRADER[[#This Row],[A]]-TabTRADER[[#This Row],[M]])/TabTRADER[[#This Row],[M]]-Commission)</f>
        <v>0.41014674506509891</v>
      </c>
      <c r="AW57" s="324">
        <f ca="1">_xlfn.XLOOKUP(TabTRADER[[#This Row],[ClickTick]],TabCalc[Ticker],TabCalc[L_Sn])</f>
        <v>1000</v>
      </c>
      <c r="AX57" s="728">
        <f ca="1">_xlfn.XLOOKUP(TabTRADER[[#This Row],[ClickTick]],TabCalc[Ticker],TabCalc[L_Sp])</f>
        <v>40.01</v>
      </c>
      <c r="AY57" s="764">
        <f ca="1">-IFERROR((TabTRADER[[#This Row],[M]]-TabTRADER[[#This Row],[L_Sp]])/TabTRADER[[#This Row],[L_Sp]],0)</f>
        <v>0.40489877530617346</v>
      </c>
      <c r="AZ57" s="729">
        <f ca="1">TabTRADER[[#This Row],[L_Sn]]*(TabTRADER[[#This Row],[M]]-TabTRADER[[#This Row],[L_Sp]])*(1-Commission)*TabTRADER[[#This Row],[Scale]]</f>
        <v>-16157.88</v>
      </c>
      <c r="BA57" s="692">
        <f ca="1">TabTRADER[[#This Row],[L_Sn]]*(TabTRADER[[#This Row],[Agiotage]]-TabTRADER[[#This Row],[M]])/(TabTRADER[[#This Row],[L_Bn]]*TabTRADER[[#This Row],[M]])</f>
        <v>-0.66372881497593927</v>
      </c>
      <c r="BB57" s="635">
        <f ca="1">IFERROR((TabTRADER[[#This Row],[M]]-TabTRADER[[#This Row],[A]])/TabTRADER[[#This Row],[A]],0)</f>
        <v>-0.2921590486807879</v>
      </c>
      <c r="BC57" s="638" t="str">
        <f ca="1">TEXT(_xlfn.XLOOKUP(TabTRADER[[#This Row],[ClickTick]],TabCalc[Ticker],TabCalc[NAfter]),"#,#0")&amp;" : "&amp;TEXT(_xlfn.XLOOKUP(TabTRADER[[#This Row],[ClickTick]],TabCalc[Ticker],TabCalc[NAfter])*(TabTRADER[[#This Row],[M]]-TabTRADER[[#This Row],[A]])*(1-Commission)*TabTRADER[[#This Row],[Scale]],"#,#0$")</f>
        <v>12,000 : -117,623$</v>
      </c>
      <c r="BD57" s="684">
        <f ca="1">_xlfn.XLOOKUP(TabTRADER[[#This Row],[ClickTick]],TabCalc[[#This Row],[Ticker]],TabCalc[[#This Row],[GL]])*(1-Commission)</f>
        <v>-113531.4447704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0.26921461570768584</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-2.5680497512437811E-2</v>
      </c>
      <c r="BO57" s="687">
        <f ca="1">(TabTRADER[[#This Row],[M]]-TabTRADER[[#This Row],[Agiotage]])/(TabTRADER[[#This Row],[M]]-TabTRADER[[#This Row],[A]])-1</f>
        <v>-3.412116471825557</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+41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27.2%</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45$</v>
      </c>
      <c r="G58" s="225" t="str">
        <f ca="1">IFERROR(TRUNC(_xlfn.XLOOKUP(TabTRADER[[#This Row],[ClickTick]],TabCalc[Ticker],ListLastSalep),2)&amp;"x"&amp;_xlfn.XLOOKUP(TabTRADER[[#This Row],[ClickTick]],TabCalc[Ticker],ListLastSalen)&amp;"=   "&amp;TEXT(-_xlfn.XLOOKUP(TabTRADER[[#This Row],[ClickTick]],TabCalc[Ticker],ListReverseB),"#,#0")&amp;"$","")</f>
        <v>12.56x2990=   7,864$</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-17.3% = 0</v>
      </c>
      <c r="I58" s="226" t="str">
        <f ca="1">IFERROR(TRUNC(TabCalc[[#This Row],[L_S1p]],2)&amp;"x"&amp;TabCalc[[#This Row],[L_S1n]]&amp;"=   "&amp;TEXT(TabCalc[[#This Row],[ReverseB1]],"#,#0"),"")</f>
        <v>11.65x3000=   -10,616</v>
      </c>
      <c r="J58" s="295">
        <f ca="1">_xlfn.XLOOKUP(TabTRADER[[#This Row],[ClickTick]],TabCalc[Ticker],ListGravity)</f>
        <v>1.1138637261356155</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7.1240551570914536E-4</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0.37341772151898722</v>
      </c>
      <c r="S58" s="683">
        <f ca="1">_xlfn.XLOOKUP(TabTRADER[[#This Row],[ClickTick]],TabCalc[Ticker],TabCalc[Rev(MinStock)])*(1-Commission)</f>
        <v>41.192619999999991</v>
      </c>
      <c r="T58" s="782">
        <f ca="1">_xlfn.XLOOKUP(TabTRADER[[#This Row],[ClickTick]],TabCalc[Ticker],TabCalc[Agiotage])</f>
        <v>7.1240551570914536E-4</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-0.4%</v>
      </c>
      <c r="V58" s="739" t="str">
        <f ca="1">_xlfn.XLOOKUP(TabTRADER[[#This Row],[ClickTick]],[1]!RTData[Ticker_Symbol],[1]!RTData[Currency])</f>
        <v>EUR</v>
      </c>
      <c r="W58" s="749">
        <f ca="1">_xlfn.XLOOKUP(TabTRADER[[#This Row],[ClickTick]],TabCalc[Ticker],TabCalc[M])</f>
        <v>15.19</v>
      </c>
      <c r="X58" s="1343"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26.231619999999989</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41.192619999999991</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0.37341772151898722</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0.17054022383146802</v>
      </c>
      <c r="AL58" s="825" cm="1">
        <f t="array" aca="1" ref="AL58" ca="1">_xlfn.IFS(   TabTRADER[[#This Row],[Traps]]=SellMorePercentGain,                     MIN(TabTRADER[[#This Row],[L_Sn]],TabTRADER[[#This Row],[N]])*(TabTRADER[[#This Row],[M]]-TabTRADER[[#This Row],[L_Sp]])*(1-Commission)*TabTRADER[[#This Row],[Scale]],                    TRUE,"")</f>
        <v>26.231619999999989</v>
      </c>
      <c r="AM58" s="1175">
        <f ca="1">_xlfn.XLOOKUP(TabTRADER[[#This Row],[ClickTick]],TabCalc[Ticker],TabCalc[Ann%RevLB])</f>
        <v>0.4481012658227847</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0.37081772151898723</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56.574674303797451</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10x4.13</v>
      </c>
      <c r="AU58" s="765" cm="1">
        <f t="array" aca="1" ref="AU58" ca="1">_xlfn.IFS(TabTRADER[[#This Row],[Traps]]=ReSaleGain,"",         TabTRADER[[#This Row],[Traps]]=MDown, (TabTRADER[[#This Row],[M]]-TabTRADER[[#This Row],[A]])/TabTRADER[[#This Row],[A]]*ComFactor,             TRUE, IFERROR((TabTRADER[[#This Row],[M]]-TabTRADER[[#This Row],[A]])/TabTRADER[[#This Row],[A]]*ComFactor,""))</f>
        <v>0.37244683544303786</v>
      </c>
      <c r="AV58" s="762" cm="1">
        <f t="array" aca="1" ref="AV58" ca="1">_xlfn.IFS(               TabTRADER[[#This Row],[Traps]]=NoStock,(TabTRADER[[#This Row],[L_Sp]]-TabTRADER[[#This Row],[M]])/TabTRADER[[#This Row],[M]]-Commission,             TabTRADER[[#This Row],[A]]&lt;&gt;0,(TabTRADER[[#This Row],[A]]-TabTRADER[[#This Row],[M]])/TabTRADER[[#This Row],[M]]-Commission)</f>
        <v>-0.27448940092165891</v>
      </c>
      <c r="AW58" s="324">
        <f ca="1">_xlfn.XLOOKUP(TabTRADER[[#This Row],[ClickTick]],TabCalc[Ticker],TabCalc[L_Sn])</f>
        <v>2990</v>
      </c>
      <c r="AX58" s="728">
        <f ca="1">_xlfn.XLOOKUP(TabTRADER[[#This Row],[ClickTick]],TabCalc[Ticker],TabCalc[L_Sp])</f>
        <v>12.56</v>
      </c>
      <c r="AY58" s="764">
        <f ca="1">-IFERROR((TabTRADER[[#This Row],[M]]-TabTRADER[[#This Row],[L_Sp]])/TabTRADER[[#This Row],[L_Sp]],0)</f>
        <v>-0.20939490445859865</v>
      </c>
      <c r="AZ58" s="729">
        <f ca="1">TabTRADER[[#This Row],[L_Sn]]*(TabTRADER[[#This Row],[M]]-TabTRADER[[#This Row],[L_Sp]])*(1-Commission)*TabTRADER[[#This Row],[Scale]]</f>
        <v>7843.2543799999967</v>
      </c>
      <c r="BA58" s="692">
        <f ca="1">TabTRADER[[#This Row],[L_Sn]]*(TabTRADER[[#This Row],[Agiotage]]-TabTRADER[[#This Row],[M]])/(TabTRADER[[#This Row],[L_Bn]]*TabTRADER[[#This Row],[M]])</f>
        <v>-0.49830996167992131</v>
      </c>
      <c r="BB58" s="635">
        <f ca="1">IFERROR((TabTRADER[[#This Row],[M]]-TabTRADER[[#This Row],[A]])/TabTRADER[[#This Row],[A]],0)</f>
        <v>0.37341772151898722</v>
      </c>
      <c r="BC58" s="638" t="str">
        <f ca="1">TEXT(_xlfn.XLOOKUP(TabTRADER[[#This Row],[ClickTick]],TabCalc[Ticker],TabCalc[NAfter]),"#,#0")&amp;" : "&amp;TEXT(_xlfn.XLOOKUP(TabTRADER[[#This Row],[ClickTick]],TabCalc[Ticker],TabCalc[NAfter])*(TabTRADER[[#This Row],[M]]-TabTRADER[[#This Row],[A]])*(1-Commission)*TabTRADER[[#This Row],[Scale]],"#,#0$")</f>
        <v>10 : 41$</v>
      </c>
      <c r="BD58" s="684">
        <f ca="1">_xlfn.XLOOKUP(TabTRADER[[#This Row],[ClickTick]],TabCalc[[#This Row],[Ticker]],TabCalc[[#This Row],[GL]])*(1-Commission)</f>
        <v>18064.694359000016</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0.17314022383146802</v>
      </c>
      <c r="BJ58" s="679">
        <f ca="1">TabTRADER[[#This Row],[L_Sn]]*TabTRADER[[#This Row],[L_Sp]]+TabTRADER[[#This Row],[SellMore]]*TabTRADER[[#This Row],[M]]</f>
        <v>37706.300000000003</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12.568766666666667</v>
      </c>
      <c r="BN58" s="687">
        <f ca="1">((_xlfn.XLOOKUP(TabTRADER[[#This Row],[ClickTick]],TabCalc[Ticker],TabCalc[NAfter])+TabTRADER[[#This Row],[L_Sn]])*(TabTRADER[[#This Row],[Agiotage]]-TabTRADER[[#This Row],[M]]))/(TabTRADER[[#This Row],[L_Sn]]*_xlfn.XLOOKUP(TabTRADER[[#This Row],[ClickTick]],TabCalc[Ticker],TabCalc[NAfter]))</f>
        <v>-1.5240087887442431</v>
      </c>
      <c r="BO58" s="687">
        <f ca="1">(TabTRADER[[#This Row],[M]]-TabTRADER[[#This Row],[Agiotage]])/(TabTRADER[[#This Row],[M]]-TabTRADER[[#This Row],[A]])-1</f>
        <v>2.6777936064126617</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+28,240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1,416/36,000=23,357</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7,800$</v>
      </c>
      <c r="G59" s="225" t="str">
        <f ca="1">IFERROR(TRUNC(_xlfn.XLOOKUP(TabTRADER[[#This Row],[ClickTick]],TabCalc[Ticker],ListLastSalep),2)&amp;"x"&amp;_xlfn.XLOOKUP(TabTRADER[[#This Row],[ClickTick]],TabCalc[Ticker],ListLastSalen)&amp;"=   "&amp;TEXT(-_xlfn.XLOOKUP(TabTRADER[[#This Row],[ClickTick]],TabCalc[Ticker],ListReverseB),"#,#0")&amp;"$","")</f>
        <v>15.12x4000=   5,480$</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0</v>
      </c>
      <c r="I59" s="226" t="str">
        <f ca="1">IFERROR(TRUNC(TabCalc[[#This Row],[L_S1p]],2)&amp;"x"&amp;TabCalc[[#This Row],[L_S1n]]&amp;"=   "&amp;TEXT(TabCalc[[#This Row],[ReverseB1]],"#,#0"),"")</f>
        <v>14.44x8000=   -16,400</v>
      </c>
      <c r="J59" s="295">
        <f ca="1">_xlfn.XLOOKUP(TabTRADER[[#This Row],[ClickTick]],TabCalc[Ticker],ListGravity)</f>
        <v>0.97772771376591883</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428739.99999999994</v>
      </c>
      <c r="M59" s="323">
        <f ca="1">_xlfn.XLOOKUP(TabTRADER[[#This Row],[ClickTick]],TabCalc[Ticker],TabCalc[Agiotage])</f>
        <v>0.20727782625951161</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0.27237654320987637</v>
      </c>
      <c r="S59" s="683">
        <f ca="1">_xlfn.XLOOKUP(TabTRADER[[#This Row],[ClickTick]],TabCalc[Ticker],TabCalc[Rev(MinStock)])*(1-Commission)</f>
        <v>28166.575999999979</v>
      </c>
      <c r="T59" s="782">
        <f ca="1">_xlfn.XLOOKUP(TabTRADER[[#This Row],[ClickTick]],TabCalc[Ticker],TabCalc[Agiotage])</f>
        <v>0.20727782625951161</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720/720=&gt;-0.1% / 0.1%</v>
      </c>
      <c r="V59" s="739" t="str">
        <f ca="1">_xlfn.XLOOKUP(TabTRADER[[#This Row],[ClickTick]],[1]!RTData[Ticker_Symbol],[1]!RTData[Currency])</f>
        <v>EUR</v>
      </c>
      <c r="W59" s="749">
        <f ca="1">_xlfn.XLOOKUP(TabTRADER[[#This Row],[ClickTick]],TabCalc[Ticker],TabCalc[M])</f>
        <v>16.489999999999998</v>
      </c>
      <c r="X59" s="1343"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^95/594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5465.7519999999968</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109926.64567999994</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0.22798322310637298</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8.0480654942389276E-2</v>
      </c>
      <c r="AL59" s="825" cm="1">
        <f t="array" aca="1" ref="AL59" ca="1">_xlfn.IFS(   TabTRADER[[#This Row],[Traps]]=SellMorePercentGain,                     MIN(TabTRADER[[#This Row],[L_Sn]],TabTRADER[[#This Row],[N]])*(TabTRADER[[#This Row],[M]]-TabTRADER[[#This Row],[L_Sp]])*(1-Commission)*TabTRADER[[#This Row],[Scale]],                    TRUE,"")</f>
        <v>5465.7519999999968</v>
      </c>
      <c r="AM59" s="1175">
        <f ca="1">_xlfn.XLOOKUP(TabTRADER[[#This Row],[ClickTick]],TabCalc[Ticker],TabCalc[Ann%RevLB])</f>
        <v>0.57342430149447654</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0.22538322310637299</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134988.07666739859</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8,000x3.06</v>
      </c>
      <c r="AU59" s="765" cm="1">
        <f t="array" aca="1" ref="AU59" ca="1">_xlfn.IFS(TabTRADER[[#This Row],[Traps]]=ReSaleGain,"",         TabTRADER[[#This Row],[Traps]]=MDown, (TabTRADER[[#This Row],[M]]-TabTRADER[[#This Row],[A]])/TabTRADER[[#This Row],[A]]*ComFactor,             TRUE, IFERROR((TabTRADER[[#This Row],[M]]-TabTRADER[[#This Row],[A]])/TabTRADER[[#This Row],[A]]*ComFactor,""))</f>
        <v>0.2273904667262964</v>
      </c>
      <c r="AV59" s="762" cm="1">
        <f t="array" aca="1" ref="AV59" ca="1">_xlfn.IFS(               TabTRADER[[#This Row],[Traps]]=NoStock,(TabTRADER[[#This Row],[L_Sp]]-TabTRADER[[#This Row],[M]])/TabTRADER[[#This Row],[M]]-Commission,             TabTRADER[[#This Row],[A]]&lt;&gt;0,(TabTRADER[[#This Row],[A]]-TabTRADER[[#This Row],[M]])/TabTRADER[[#This Row],[M]]-Commission)</f>
        <v>-0.18825662691193309</v>
      </c>
      <c r="AW59" s="324">
        <f ca="1">_xlfn.XLOOKUP(TabTRADER[[#This Row],[ClickTick]],TabCalc[Ticker],TabCalc[L_Sn])</f>
        <v>4000</v>
      </c>
      <c r="AX59" s="728">
        <f ca="1">_xlfn.XLOOKUP(TabTRADER[[#This Row],[ClickTick]],TabCalc[Ticker],TabCalc[L_Sp])</f>
        <v>15.12</v>
      </c>
      <c r="AY59" s="764">
        <f ca="1">-IFERROR((TabTRADER[[#This Row],[M]]-TabTRADER[[#This Row],[L_Sp]])/TabTRADER[[#This Row],[L_Sp]],0)</f>
        <v>-9.0608465608465555E-2</v>
      </c>
      <c r="AZ59" s="729">
        <f ca="1">TabTRADER[[#This Row],[L_Sn]]*(TabTRADER[[#This Row],[M]]-TabTRADER[[#This Row],[L_Sp]])*(1-Commission)*TabTRADER[[#This Row],[Scale]]</f>
        <v>5465.7519999999968</v>
      </c>
      <c r="BA59" s="692">
        <f ca="1">TabTRADER[[#This Row],[L_Sn]]*(TabTRADER[[#This Row],[Agiotage]]-TabTRADER[[#This Row],[M]])/(TabTRADER[[#This Row],[L_Bn]]*TabTRADER[[#This Row],[M]])</f>
        <v>-0.49371504468588506</v>
      </c>
      <c r="BB59" s="635">
        <f ca="1">IFERROR((TabTRADER[[#This Row],[M]]-TabTRADER[[#This Row],[A]])/TabTRADER[[#This Row],[A]],0)</f>
        <v>0.22798322310637298</v>
      </c>
      <c r="BC59" s="638" t="str">
        <f ca="1">TEXT(_xlfn.XLOOKUP(TabTRADER[[#This Row],[ClickTick]],TabCalc[Ticker],TabCalc[NAfter]),"#,#0")&amp;" : "&amp;TEXT(_xlfn.XLOOKUP(TabTRADER[[#This Row],[ClickTick]],TabCalc[Ticker],TabCalc[NAfter])*(TabTRADER[[#This Row],[M]]-TabTRADER[[#This Row],[A]])*(1-Commission)*TabTRADER[[#This Row],[Scale]],"#,#0$")</f>
        <v>36,000 : 109,927$</v>
      </c>
      <c r="BD59" s="684">
        <f ca="1">_xlfn.XLOOKUP(TabTRADER[[#This Row],[ClickTick]],TabCalc[[#This Row],[Ticker]],TabCalc[[#This Row],[GL]])*(1-Commission)</f>
        <v>94524.373977199924</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8.3080654942389282E-2</v>
      </c>
      <c r="BJ59" s="679">
        <f ca="1">TabTRADER[[#This Row],[L_Sn]]*TabTRADER[[#This Row],[L_Sp]]+TabTRADER[[#This Row],[SellMore]]*TabTRADER[[#This Row],[M]]</f>
        <v>93460</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15.576666666666666</v>
      </c>
      <c r="BN59" s="687">
        <f ca="1">((_xlfn.XLOOKUP(TabTRADER[[#This Row],[ClickTick]],TabCalc[Ticker],TabCalc[NAfter])+TabTRADER[[#This Row],[L_Sn]])*(TabTRADER[[#This Row],[Agiotage]]-TabTRADER[[#This Row],[M]]))/(TabTRADER[[#This Row],[L_Sn]]*_xlfn.XLOOKUP(TabTRADER[[#This Row],[ClickTick]],TabCalc[Ticker],TabCalc[NAfter]))</f>
        <v>-4.5229783815945801E-3</v>
      </c>
      <c r="BO59" s="687">
        <f ca="1">(TabTRADER[[#This Row],[M]]-TabTRADER[[#This Row],[Agiotage]])/(TabTRADER[[#This Row],[M]]-TabTRADER[[#This Row],[A]])-1</f>
        <v>4.3185825132983879</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43"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-1.0667395036678633</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+4,240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7.3%</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7,160$</v>
      </c>
      <c r="G61" s="225" t="str">
        <f ca="1">IFERROR(TRUNC(_xlfn.XLOOKUP(TabTRADER[[#This Row],[ClickTick]],TabCalc[Ticker],ListLastSalep),2)&amp;"x"&amp;_xlfn.XLOOKUP(TabTRADER[[#This Row],[ClickTick]],TabCalc[Ticker],ListLastSalen)&amp;"=   "&amp;TEXT(-_xlfn.XLOOKUP(TabTRADER[[#This Row],[ClickTick]],TabCalc[Ticker],ListReverseB),"#,#0")&amp;"$","")</f>
        <v>47.47x1000=   10,790$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18.5% = 0</v>
      </c>
      <c r="I61" s="226" t="str">
        <f ca="1">IFERROR(TRUNC(TabCalc[[#This Row],[L_S1p]],2)&amp;"x"&amp;TabCalc[[#This Row],[L_S1n]]&amp;"=   "&amp;TEXT(TabCalc[[#This Row],[ReverseB1]],"#,#0"),"")</f>
        <v>45.76x1000=   -12,500</v>
      </c>
      <c r="J61" s="295">
        <f ca="1">_xlfn.XLOOKUP(TabTRADER[[#This Row],[ClickTick]],TabCalc[Ticker],ListGravity)</f>
        <v>1.1103005492619293</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0.14082448702358652</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7.8489448352461952E-2</v>
      </c>
      <c r="S61" s="683">
        <f ca="1">_xlfn.XLOOKUP(TabTRADER[[#This Row],[ClickTick]],TabCalc[Ticker],TabCalc[Rev(MinStock)])*(1-Commission)</f>
        <v>4228.9759999999942</v>
      </c>
      <c r="T61" s="782">
        <f ca="1">_xlfn.XLOOKUP(TabTRADER[[#This Row],[ClickTick]],TabCalc[Ticker],TabCalc[Agiotage])</f>
        <v>0.14082448702358652</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-1,960/-1,960=&gt;-2.1% / 0.5%</v>
      </c>
      <c r="V61" s="739" t="str">
        <f ca="1">_xlfn.XLOOKUP(TabTRADER[[#This Row],[ClickTick]],[1]!RTData[Ticker_Symbol],[1]!RTData[Currency])</f>
        <v>EUR</v>
      </c>
      <c r="W61" s="749">
        <f ca="1">_xlfn.XLOOKUP(TabTRADER[[#This Row],[ClickTick]],TabCalc[Ticker],TabCalc[M])</f>
        <v>58.26</v>
      </c>
      <c r="X61" s="1343"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^111/408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4228.9759999999942</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4228.9759999999942</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7.8489448352461952E-2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0.91149036796407423</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18995.167556650616</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-4.7215271443283788E-2</v>
      </c>
      <c r="AW61" s="324">
        <f ca="1">_xlfn.XLOOKUP(TabTRADER[[#This Row],[ClickTick]],TabCalc[Ticker],TabCalc[L_Sn])</f>
        <v>1000</v>
      </c>
      <c r="AX61" s="728">
        <f ca="1">_xlfn.XLOOKUP(TabTRADER[[#This Row],[ClickTick]],TabCalc[Ticker],TabCalc[L_Sp])</f>
        <v>47.47</v>
      </c>
      <c r="AY61" s="764">
        <f ca="1">-IFERROR((TabTRADER[[#This Row],[M]]-TabTRADER[[#This Row],[L_Sp]])/TabTRADER[[#This Row],[L_Sp]],0)</f>
        <v>-0.22730145354961026</v>
      </c>
      <c r="AZ61" s="729">
        <f ca="1">TabTRADER[[#This Row],[L_Sn]]*(TabTRADER[[#This Row],[M]]-TabTRADER[[#This Row],[L_Sp]])*(1-Commission)*TabTRADER[[#This Row],[Scale]]</f>
        <v>10761.946</v>
      </c>
      <c r="BA61" s="692">
        <f ca="1">TabTRADER[[#This Row],[L_Sn]]*(TabTRADER[[#This Row],[Agiotage]]-TabTRADER[[#This Row],[M]])/(TabTRADER[[#This Row],[L_Bn]]*TabTRADER[[#This Row],[M]])</f>
        <v>-0.99758282720522506</v>
      </c>
      <c r="BB61" s="635">
        <f ca="1">IFERROR((TabTRADER[[#This Row],[M]]-TabTRADER[[#This Row],[A]])/TabTRADER[[#This Row],[A]],0)</f>
        <v>4.6698748796920098E-2</v>
      </c>
      <c r="BC61" s="638" t="str">
        <f ca="1">TEXT(_xlfn.XLOOKUP(TabTRADER[[#This Row],[ClickTick]],TabCalc[Ticker],TabCalc[NAfter]),"#,#0")&amp;" : "&amp;TEXT(_xlfn.XLOOKUP(TabTRADER[[#This Row],[ClickTick]],TabCalc[Ticker],TabCalc[NAfter])*(TabTRADER[[#This Row],[M]]-TabTRADER[[#This Row],[A]])*(1-Commission)*TabTRADER[[#This Row],[Scale]],"#,#0$")</f>
        <v>7,000 : 18,148$</v>
      </c>
      <c r="BD61" s="684">
        <f ca="1">_xlfn.XLOOKUP(TabTRADER[[#This Row],[ClickTick]],TabCalc[[#This Row],[Ticker]],TabCalc[[#This Row],[GL]])*(1-Commission)</f>
        <v>110939.85446999998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163990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54.663333333333334</v>
      </c>
      <c r="BN61" s="687">
        <f ca="1">((_xlfn.XLOOKUP(TabTRADER[[#This Row],[ClickTick]],TabCalc[Ticker],TabCalc[NAfter])+TabTRADER[[#This Row],[L_Sn]])*(TabTRADER[[#This Row],[Agiotage]]-TabTRADER[[#This Row],[M]]))/(TabTRADER[[#This Row],[L_Sn]]*_xlfn.XLOOKUP(TabTRADER[[#This Row],[ClickTick]],TabCalc[Ticker],TabCalc[NAfter]))</f>
        <v>-6.6421914871973048E-2</v>
      </c>
      <c r="BO61" s="687">
        <f ca="1">(TabTRADER[[#This Row],[M]]-TabTRADER[[#This Row],[Agiotage]])/(TabTRADER[[#This Row],[M]]-TabTRADER[[#This Row],[A]])-1</f>
        <v>21.359671810433362</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-1,320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4,320$</v>
      </c>
      <c r="G62" s="225" t="str">
        <f ca="1">IFERROR(TRUNC(_xlfn.XLOOKUP(TabTRADER[[#This Row],[ClickTick]],TabCalc[Ticker],ListLastSalep),2)&amp;"x"&amp;_xlfn.XLOOKUP(TabTRADER[[#This Row],[ClickTick]],TabCalc[Ticker],ListLastSalen)&amp;"=   "&amp;TEXT(-_xlfn.XLOOKUP(TabTRADER[[#This Row],[ClickTick]],TabCalc[Ticker],ListReverseB),"#,#0")&amp;"$","")</f>
        <v>13.74x1200=   198$</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62" s="226" t="str">
        <f ca="1">IFERROR(TRUNC(TabCalc[[#This Row],[L_S1p]],2)&amp;"x"&amp;TabCalc[[#This Row],[L_S1n]]&amp;"=   "&amp;TEXT(TabCalc[[#This Row],[ReverseB1]],"#,#0"),"")</f>
        <v>13.93x2000=   40</v>
      </c>
      <c r="J62" s="295">
        <f ca="1">_xlfn.XLOOKUP(TabTRADER[[#This Row],[ClickTick]],TabCalc[Ticker],ListGravity)</f>
        <v>1.1015255212077641</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173875</v>
      </c>
      <c r="M62" s="323">
        <f ca="1">_xlfn.XLOOKUP(TabTRADER[[#This Row],[ClickTick]],TabCalc[Ticker],TabCalc[Agiotage])</f>
        <v>0.10826173304693219</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-3.066202090592331E-2</v>
      </c>
      <c r="S62" s="683">
        <f ca="1">_xlfn.XLOOKUP(TabTRADER[[#This Row],[ClickTick]],TabCalc[Ticker],TabCalc[Rev(MinStock)])*(1-Commission)</f>
        <v>-1316.5679999999984</v>
      </c>
      <c r="T62" s="782">
        <f ca="1">_xlfn.XLOOKUP(TabTRADER[[#This Row],[ClickTick]],TabCalc[Ticker],TabCalc[Agiotage])</f>
        <v>0.10826173304693219</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-2,277/-2,277=&gt;1.6% / -0.8%</v>
      </c>
      <c r="V62" s="739" t="str">
        <f ca="1">_xlfn.XLOOKUP(TabTRADER[[#This Row],[ClickTick]],[1]!RTData[Ticker_Symbol],[1]!RTData[Currency])</f>
        <v>EUR</v>
      </c>
      <c r="W62" s="749">
        <f ca="1">_xlfn.XLOOKUP(TabTRADER[[#This Row],[ClickTick]],TabCalc[Ticker],TabCalc[M])</f>
        <v>13.91</v>
      </c>
      <c r="X62" s="1343"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^97/275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197.4852000000011</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35451.585599999991</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0.14817779334150427</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9.261969805895106E-3</v>
      </c>
      <c r="AL62" s="825" cm="1">
        <f t="array" aca="1" ref="AL62" ca="1">_xlfn.IFS(   TabTRADER[[#This Row],[Traps]]=SellMorePercentGain,                     MIN(TabTRADER[[#This Row],[L_Sn]],TabTRADER[[#This Row],[N]])*(TabTRADER[[#This Row],[M]]-TabTRADER[[#This Row],[L_Sp]])*(1-Commission)*TabTRADER[[#This Row],[Scale]],                    TRUE,"")</f>
        <v>197.4852000000011</v>
      </c>
      <c r="AM62" s="1175">
        <f ca="1">_xlfn.XLOOKUP(TabTRADER[[#This Row],[ClickTick]],TabCalc[Ticker],TabCalc[Ann%RevLB])</f>
        <v>-0.11742901623545098</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0.14557779334150428</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40704.723324665436</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3,000x1.79</v>
      </c>
      <c r="AU62" s="765" cm="1">
        <f t="array" aca="1" ref="AU62" ca="1">_xlfn.IFS(TabTRADER[[#This Row],[Traps]]=ReSaleGain,"",         TabTRADER[[#This Row],[Traps]]=MDown, (TabTRADER[[#This Row],[M]]-TabTRADER[[#This Row],[A]])/TabTRADER[[#This Row],[A]]*ComFactor,             TRUE, IFERROR((TabTRADER[[#This Row],[M]]-TabTRADER[[#This Row],[A]])/TabTRADER[[#This Row],[A]]*ComFactor,""))</f>
        <v>0.14779253107881635</v>
      </c>
      <c r="AV62" s="762" cm="1">
        <f t="array" aca="1" ref="AV62" ca="1">_xlfn.IFS(               TabTRADER[[#This Row],[Traps]]=NoStock,(TabTRADER[[#This Row],[L_Sp]]-TabTRADER[[#This Row],[M]])/TabTRADER[[#This Row],[M]]-Commission,             TabTRADER[[#This Row],[A]]&lt;&gt;0,(TabTRADER[[#This Row],[A]]-TabTRADER[[#This Row],[M]])/TabTRADER[[#This Row],[M]]-Commission)</f>
        <v>-0.13165474587717577</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-1.2004365223717783E-2</v>
      </c>
      <c r="AZ62" s="729">
        <f ca="1">TabTRADER[[#This Row],[L_Sn]]*(TabTRADER[[#This Row],[M]]-TabTRADER[[#This Row],[L_Sp]])*(1-Commission)*TabTRADER[[#This Row],[Scale]]</f>
        <v>197.4852000000011</v>
      </c>
      <c r="BA62" s="692">
        <f ca="1">TabTRADER[[#This Row],[L_Sn]]*(TabTRADER[[#This Row],[Agiotage]]-TabTRADER[[#This Row],[M]])/(TabTRADER[[#This Row],[L_Bn]]*TabTRADER[[#This Row],[M]])</f>
        <v>-0.39688679416112344</v>
      </c>
      <c r="BB62" s="635">
        <f ca="1">IFERROR((TabTRADER[[#This Row],[M]]-TabTRADER[[#This Row],[A]])/TabTRADER[[#This Row],[A]],0)</f>
        <v>0.14817779334150427</v>
      </c>
      <c r="BC62" s="638" t="str">
        <f ca="1">TEXT(_xlfn.XLOOKUP(TabTRADER[[#This Row],[ClickTick]],TabCalc[Ticker],TabCalc[NAfter]),"#,#0")&amp;" : "&amp;TEXT(_xlfn.XLOOKUP(TabTRADER[[#This Row],[ClickTick]],TabCalc[Ticker],TabCalc[NAfter])*(TabTRADER[[#This Row],[M]]-TabTRADER[[#This Row],[A]])*(1-Commission)*TabTRADER[[#This Row],[Scale]],"#,#0$")</f>
        <v>19,800 : 35,452$</v>
      </c>
      <c r="BD62" s="684">
        <f ca="1">_xlfn.XLOOKUP(TabTRADER[[#This Row],[ClickTick]],TabCalc[[#This Row],[Ticker]],TabCalc[[#This Row],[GL]])*(1-Commission)</f>
        <v>96792.732869999978</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1.1861969805895106E-2</v>
      </c>
      <c r="BJ62" s="679">
        <f ca="1">TabTRADER[[#This Row],[L_Sn]]*TabTRADER[[#This Row],[L_Sp]]+TabTRADER[[#This Row],[SellMore]]*TabTRADER[[#This Row],[M]]</f>
        <v>99954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13.8825</v>
      </c>
      <c r="BN62" s="687">
        <f ca="1">((_xlfn.XLOOKUP(TabTRADER[[#This Row],[ClickTick]],TabCalc[Ticker],TabCalc[NAfter])+TabTRADER[[#This Row],[L_Sn]])*(TabTRADER[[#This Row],[Agiotage]]-TabTRADER[[#This Row],[M]]))/(TabTRADER[[#This Row],[L_Sn]]*_xlfn.XLOOKUP(TabTRADER[[#This Row],[ClickTick]],TabCalc[Ticker],TabCalc[NAfter]))</f>
        <v>-1.2198506044024176E-2</v>
      </c>
      <c r="BO62" s="687">
        <f ca="1">(TabTRADER[[#This Row],[M]]-TabTRADER[[#This Row],[Agiotage]])/(TabTRADER[[#This Row],[M]]-TabTRADER[[#This Row],[A]])-1</f>
        <v>6.6883417084647414</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48,068$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-26.5% = 0</v>
      </c>
      <c r="I63" s="226" t="str">
        <f ca="1">IFERROR(TRUNC(TabCalc[[#This Row],[L_S1p]],2)&amp;"x"&amp;TabCalc[[#This Row],[L_S1n]]&amp;"=   "&amp;TEXT(TabCalc[[#This Row],[ReverseB1]],"#,#0"),"")</f>
        <v>29.29x4000=   -64,360</v>
      </c>
      <c r="J63" s="295">
        <f ca="1">_xlfn.XLOOKUP(TabTRADER[[#This Row],[ClickTick]],TabCalc[Ticker],ListGravity)</f>
        <v>0.98605244601145869</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7.3873717920976329E-4</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0.37120410938208204</v>
      </c>
      <c r="S63" s="683">
        <f ca="1">_xlfn.XLOOKUP(TabTRADER[[#This Row],[ClickTick]],TabCalc[Ticker],TabCalc[Rev(MinStock)])*(1-Commission)</f>
        <v>12.253059000000004</v>
      </c>
      <c r="T63" s="782">
        <f ca="1">_xlfn.XLOOKUP(TabTRADER[[#This Row],[ClickTick]],TabCalc[Ticker],TabCalc[Agiotage])</f>
        <v>7.3873717920976329E-4</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0.1%</v>
      </c>
      <c r="V63" s="739" t="str">
        <f ca="1">_xlfn.XLOOKUP(TabTRADER[[#This Row],[ClickTick]],[1]!RTData[Ticker_Symbol],[1]!RTData[Currency])</f>
        <v>EUR</v>
      </c>
      <c r="W63" s="749">
        <f ca="1">_xlfn.XLOOKUP(TabTRADER[[#This Row],[ClickTick]],TabCalc[Ticker],TabCalc[M])</f>
        <v>45.38</v>
      </c>
      <c r="X63" s="1343"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11.988748000000003</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12.253059000000004</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0.37120410938208204</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0.2622743940061702</v>
      </c>
      <c r="AL63" s="825" cm="1">
        <f t="array" aca="1" ref="AL63" ca="1">_xlfn.IFS(   TabTRADER[[#This Row],[Traps]]=SellMorePercentGain,                     MIN(TabTRADER[[#This Row],[L_Sn]],TabTRADER[[#This Row],[N]])*(TabTRADER[[#This Row],[M]]-TabTRADER[[#This Row],[L_Sp]])*(1-Commission)*TabTRADER[[#This Row],[Scale]],                    TRUE,"")</f>
        <v>11.988748000000003</v>
      </c>
      <c r="AM63" s="1175">
        <f ca="1">_xlfn.XLOOKUP(TabTRADER[[#This Row],[ClickTick]],TabCalc[Ticker],TabCalc[Ann%RevLB])</f>
        <v>0.67152502199773634</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0.36860410938208205</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16.80144485330111</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1x12.28</v>
      </c>
      <c r="AU63" s="765" cm="1">
        <f t="array" aca="1" ref="AU63" ca="1">_xlfn.IFS(TabTRADER[[#This Row],[Traps]]=ReSaleGain,"",         TabTRADER[[#This Row],[Traps]]=MDown, (TabTRADER[[#This Row],[M]]-TabTRADER[[#This Row],[A]])/TabTRADER[[#This Row],[A]]*ComFactor,             TRUE, IFERROR((TabTRADER[[#This Row],[M]]-TabTRADER[[#This Row],[A]])/TabTRADER[[#This Row],[A]]*ComFactor,""))</f>
        <v>0.37023897869768863</v>
      </c>
      <c r="AV63" s="762" cm="1">
        <f t="array" aca="1" ref="AV63" ca="1">_xlfn.IFS(               TabTRADER[[#This Row],[Traps]]=NoStock,(TabTRADER[[#This Row],[L_Sp]]-TabTRADER[[#This Row],[M]])/TabTRADER[[#This Row],[M]]-Commission,             TabTRADER[[#This Row],[A]]&lt;&gt;0,(TabTRADER[[#This Row],[A]]-TabTRADER[[#This Row],[M]])/TabTRADER[[#This Row],[M]]-Commission)</f>
        <v>-0.2733139709122962</v>
      </c>
      <c r="AW63" s="324">
        <f ca="1">_xlfn.XLOOKUP(TabTRADER[[#This Row],[ClickTick]],TabCalc[Ticker],TabCalc[L_Sn])</f>
        <v>3999</v>
      </c>
      <c r="AX63" s="728">
        <f ca="1">_xlfn.XLOOKUP(TabTRADER[[#This Row],[ClickTick]],TabCalc[Ticker],TabCalc[L_Sp])</f>
        <v>33.36</v>
      </c>
      <c r="AY63" s="764">
        <f ca="1">-IFERROR((TabTRADER[[#This Row],[M]]-TabTRADER[[#This Row],[L_Sp]])/TabTRADER[[#This Row],[L_Sp]],0)</f>
        <v>-0.36031175059952048</v>
      </c>
      <c r="AZ63" s="729">
        <f ca="1">TabTRADER[[#This Row],[L_Sn]]*(TabTRADER[[#This Row],[M]]-TabTRADER[[#This Row],[L_Sp]])*(1-Commission)*TabTRADER[[#This Row],[Scale]]</f>
        <v>47943.00325200001</v>
      </c>
      <c r="BA63" s="692">
        <f ca="1">TabTRADER[[#This Row],[L_Sn]]*(TabTRADER[[#This Row],[Agiotage]]-TabTRADER[[#This Row],[M]])/(TabTRADER[[#This Row],[L_Bn]]*TabTRADER[[#This Row],[M]])</f>
        <v>-1.33297830020582</v>
      </c>
      <c r="BB63" s="635">
        <f ca="1">IFERROR((TabTRADER[[#This Row],[M]]-TabTRADER[[#This Row],[A]])/TabTRADER[[#This Row],[A]],0)</f>
        <v>0.37120410938208204</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37462.86264799998</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0.26487439400617019</v>
      </c>
      <c r="BJ63" s="679">
        <f ca="1">TabTRADER[[#This Row],[L_Sn]]*TabTRADER[[#This Row],[L_Sp]]+TabTRADER[[#This Row],[SellMore]]*TabTRADER[[#This Row],[M]]</f>
        <v>133452.01999999999</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33.363004999999994</v>
      </c>
      <c r="BN63" s="687">
        <f ca="1">((_xlfn.XLOOKUP(TabTRADER[[#This Row],[ClickTick]],TabCalc[Ticker],TabCalc[NAfter])+TabTRADER[[#This Row],[L_Sn]])*(TabTRADER[[#This Row],[Agiotage]]-TabTRADER[[#This Row],[M]]))/(TabTRADER[[#This Row],[L_Sn]]*_xlfn.XLOOKUP(TabTRADER[[#This Row],[ClickTick]],TabCalc[Ticker],TabCalc[NAfter]))</f>
        <v>-45.390608915049555</v>
      </c>
      <c r="BO63" s="687">
        <f ca="1">(TabTRADER[[#This Row],[M]]-TabTRADER[[#This Row],[Agiotage]])/(TabTRADER[[#This Row],[M]]-TabTRADER[[#This Row],[A]])-1</f>
        <v>2.6938755606691718</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-8,140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-19.4%</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-9,880$</v>
      </c>
      <c r="G64" s="225" t="str">
        <f ca="1">IFERROR(TRUNC(_xlfn.XLOOKUP(TabTRADER[[#This Row],[ClickTick]],TabCalc[Ticker],ListLastSalep),2)&amp;"x"&amp;_xlfn.XLOOKUP(TabTRADER[[#This Row],[ClickTick]],TabCalc[Ticker],ListLastSalen)&amp;"=   "&amp;TEXT(-_xlfn.XLOOKUP(TabTRADER[[#This Row],[ClickTick]],TabCalc[Ticker],ListReverseB),"#,#0")&amp;"$","")</f>
        <v>267.48x500=   -28,640$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27.3% = 87</v>
      </c>
      <c r="I64" s="226" t="str">
        <f ca="1">IFERROR(TRUNC(TabCalc[[#This Row],[L_S1p]],2)&amp;"x"&amp;TabCalc[[#This Row],[L_S1n]]&amp;"=   "&amp;TEXT(TabCalc[[#This Row],[ReverseB1]],"#,#0"),"")</f>
        <v>263.8x500=   26,800</v>
      </c>
      <c r="J64" s="295">
        <f ca="1">_xlfn.XLOOKUP(TabTRADER[[#This Row],[ClickTick]],TabCalc[Ticker],ListGravity)</f>
        <v>1.3732959086584207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0.15718001402410189</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-0.16221602231964932</v>
      </c>
      <c r="S64" s="683">
        <f ca="1">_xlfn.XLOOKUP(TabTRADER[[#This Row],[ClickTick]],TabCalc[Ticker],TabCalc[Rev(MinStock)])*(1-Commission)</f>
        <v>-8118.836000000003</v>
      </c>
      <c r="T64" s="782">
        <f ca="1">_xlfn.XLOOKUP(TabTRADER[[#This Row],[ClickTick]],TabCalc[Ticker],TabCalc[Agiotage])</f>
        <v>0.15718001402410189</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-561/-561=&gt;-1.1% / -0.4%</v>
      </c>
      <c r="V64" s="739" t="str">
        <f ca="1">_xlfn.XLOOKUP(TabTRADER[[#This Row],[ClickTick]],[1]!RTData[Ticker_Symbol],[1]!RTData[Currency])</f>
        <v>EUR</v>
      </c>
      <c r="W64" s="749">
        <f ca="1">_xlfn.XLOOKUP(TabTRADER[[#This Row],[ClickTick]],TabCalc[Ticker],TabCalc[M])</f>
        <v>210.2</v>
      </c>
      <c r="X64" s="1343"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^48/84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8118.836000000003</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84290.2</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0.17655501681859678</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0.19102511893434834</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-0.4991262225219979</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0.19362511893434833</v>
      </c>
      <c r="AP64" s="825" cm="1">
        <f t="array" aca="1" ref="AP64" ca="1">_xlfn.IFS(         TabTRADER[[#This Row],[Traps]]=MDown,TabTRADER[[#This Row],[L_Bn]]*TabTRADER[[#This Row],[M]]*(-(TabTRADER[[#This Row],[L_Bp]]+TabTRADER[[#This Row],[M]])/TabTRADER[[#This Row],[M]])*(1-Commission)*TabTRADER[[#This Row],[Scale]],                               TRUE,"")</f>
        <v>8118.836000000003</v>
      </c>
      <c r="AQ64" s="1186" cm="1">
        <f t="array" aca="1" ref="AQ64" ca="1">_xlfn.IFS(   TabTRADER[[#This Row],[Traps]]=MUp,TabTRADER[[#This Row],[TakeGain_A]]-Commission,        TabTRADER[[#This Row],[Traps]]=MDown,(TabTRADER[[#This Row],[A]]-TabTRADER[[#This Row],[M]])/TabTRADER[[#This Row],[M]]-Commission,                              TRUE,"")</f>
        <v>0.21181021613426007</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18025.691032000002</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-40.700000000000003</v>
      </c>
      <c r="AU64" s="765" cm="1">
        <f t="array" aca="1" ref="AU64" ca="1">_xlfn.IFS(TabTRADER[[#This Row],[Traps]]=ReSaleGain,"",         TabTRADER[[#This Row],[Traps]]=MDown, (TabTRADER[[#This Row],[M]]-TabTRADER[[#This Row],[A]])/TabTRADER[[#This Row],[A]]*ComFactor,             TRUE, IFERROR((TabTRADER[[#This Row],[M]]-TabTRADER[[#This Row],[A]])/TabTRADER[[#This Row],[A]]*ComFactor,""))</f>
        <v>-0.17609597377486844</v>
      </c>
      <c r="AV64" s="762" cm="1">
        <f t="array" aca="1" ref="AV64" ca="1">_xlfn.IFS(               TabTRADER[[#This Row],[Traps]]=NoStock,(TabTRADER[[#This Row],[L_Sp]]-TabTRADER[[#This Row],[M]])/TabTRADER[[#This Row],[M]]-Commission,             TabTRADER[[#This Row],[A]]&lt;&gt;0,(TabTRADER[[#This Row],[A]]-TabTRADER[[#This Row],[M]])/TabTRADER[[#This Row],[M]]-Commission)</f>
        <v>0.21181021613426007</v>
      </c>
      <c r="AW64" s="324">
        <f ca="1">_xlfn.XLOOKUP(TabTRADER[[#This Row],[ClickTick]],TabCalc[Ticker],TabCalc[L_Sn])</f>
        <v>500</v>
      </c>
      <c r="AX64" s="728">
        <f ca="1">_xlfn.XLOOKUP(TabTRADER[[#This Row],[ClickTick]],TabCalc[Ticker],TabCalc[L_Sp])</f>
        <v>267.48</v>
      </c>
      <c r="AY64" s="764">
        <f ca="1">-IFERROR((TabTRADER[[#This Row],[M]]-TabTRADER[[#This Row],[L_Sp]])/TabTRADER[[#This Row],[L_Sp]],0)</f>
        <v>0.21414685210109177</v>
      </c>
      <c r="AZ64" s="729">
        <f ca="1">TabTRADER[[#This Row],[L_Sn]]*(TabTRADER[[#This Row],[M]]-TabTRADER[[#This Row],[L_Sp]])*(1-Commission)*TabTRADER[[#This Row],[Scale]]</f>
        <v>-28565.536000000015</v>
      </c>
      <c r="BA64" s="692">
        <f ca="1">TabTRADER[[#This Row],[L_Sn]]*(TabTRADER[[#This Row],[Agiotage]]-TabTRADER[[#This Row],[M]])/(TabTRADER[[#This Row],[L_Bn]]*TabTRADER[[#This Row],[M]])</f>
        <v>-2.4981305897475723</v>
      </c>
      <c r="BB64" s="635">
        <f ca="1">IFERROR((TabTRADER[[#This Row],[M]]-TabTRADER[[#This Row],[A]])/TabTRADER[[#This Row],[A]],0)</f>
        <v>-0.17655501681859678</v>
      </c>
      <c r="BC64" s="638" t="str">
        <f ca="1">TEXT(_xlfn.XLOOKUP(TabTRADER[[#This Row],[ClickTick]],TabCalc[Ticker],TabCalc[NAfter]),"#,#0")&amp;" : "&amp;TEXT(_xlfn.XLOOKUP(TabTRADER[[#This Row],[ClickTick]],TabCalc[Ticker],TabCalc[NAfter])*(TabTRADER[[#This Row],[M]]-TabTRADER[[#This Row],[A]])*(1-Commission)*TabTRADER[[#This Row],[Scale]],"#,#0$")</f>
        <v>401 : -18,026$</v>
      </c>
      <c r="BD64" s="684">
        <f ca="1">_xlfn.XLOOKUP(TabTRADER[[#This Row],[ClickTick]],TabCalc[[#This Row],[Ticker]],TabCalc[[#This Row],[GL]])*(1-Commission)</f>
        <v>47958.320323799919</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0.19362511893434833</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-0.94388319604670468</v>
      </c>
      <c r="BO64" s="687">
        <f ca="1">(TabTRADER[[#This Row],[M]]-TabTRADER[[#This Row],[Agiotage]])/(TabTRADER[[#This Row],[M]]-TabTRADER[[#This Row],[A]])-1</f>
        <v>-5.6604693279788227</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-297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-25.6%</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-73$</v>
      </c>
      <c r="G65" s="225" t="str">
        <f ca="1">IFERROR(TRUNC(_xlfn.XLOOKUP(TabTRADER[[#This Row],[ClickTick]],TabCalc[Ticker],ListLastSalep),2)&amp;"x"&amp;_xlfn.XLOOKUP(TabTRADER[[#This Row],[ClickTick]],TabCalc[Ticker],ListLastSalen)&amp;"=   "&amp;TEXT(-_xlfn.XLOOKUP(TabTRADER[[#This Row],[ClickTick]],TabCalc[Ticker],ListReverseB),"#,#0")&amp;"$","")</f>
        <v>45.93x488=   -7,871$</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54.1% = 310</v>
      </c>
      <c r="I65" s="226" t="str">
        <f ca="1">IFERROR(TRUNC(TabCalc[[#This Row],[L_S1p]],2)&amp;"x"&amp;TabCalc[[#This Row],[L_S1n]]&amp;"=   "&amp;TEXT(TabCalc[[#This Row],[ReverseB1]],"#,#0"),"")</f>
        <v>51.5x490=   10,633</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15347</v>
      </c>
      <c r="M65" s="323">
        <f ca="1">_xlfn.XLOOKUP(TabTRADER[[#This Row],[ClickTick]],TabCalc[Ticker],TabCalc[Agiotage])</f>
        <v>2.5362318840579712E-2</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-0.20374081496325977</v>
      </c>
      <c r="S65" s="683">
        <f ca="1">_xlfn.XLOOKUP(TabTRADER[[#This Row],[ClickTick]],TabCalc[Ticker],TabCalc[Rev(MinStock)])*(1-Commission)</f>
        <v>-296.60182499999985</v>
      </c>
      <c r="T65" s="782">
        <f ca="1">_xlfn.XLOOKUP(TabTRADER[[#This Row],[ClickTick]],TabCalc[Ticker],TabCalc[Agiotage])</f>
        <v>2.5362318840579712E-2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84/84=&gt;2.0% / 4.2%</v>
      </c>
      <c r="V65" s="739" t="str">
        <f ca="1">_xlfn.XLOOKUP(TabTRADER[[#This Row],[ClickTick]],[1]!RTData[Ticker_Symbol],[1]!RTData[Currency])</f>
        <v>EUR</v>
      </c>
      <c r="W65" s="749">
        <f ca="1">_xlfn.XLOOKUP(TabTRADER[[#This Row],[ClickTick]],TabCalc[Ticker],TabCalc[M])</f>
        <v>29.8</v>
      </c>
      <c r="X65" s="1343"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296.60182499999985</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16688</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0.28947187468000579</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0.25327248322147639</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-0.60120240480961895</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0.25587248322147638</v>
      </c>
      <c r="AP65" s="825" cm="1">
        <f t="array" aca="1" ref="AP65" ca="1">_xlfn.IFS(         TabTRADER[[#This Row],[Traps]]=MDown,TabTRADER[[#This Row],[L_Bn]]*TabTRADER[[#This Row],[M]]*(-(TabTRADER[[#This Row],[L_Bp]]+TabTRADER[[#This Row],[M]])/TabTRADER[[#This Row],[M]])*(1-Commission)*TabTRADER[[#This Row],[Scale]],                               TRUE,"")</f>
        <v>296.60182499999979</v>
      </c>
      <c r="AQ65" s="1186" cm="1">
        <f t="array" aca="1" ref="AQ65" ca="1">_xlfn.IFS(   TabTRADER[[#This Row],[Traps]]=MUp,TabTRADER[[#This Row],[TakeGain_A]]-Commission,        TabTRADER[[#This Row],[Traps]]=MDown,(TabTRADER[[#This Row],[A]]-TabTRADER[[#This Row],[M]])/TabTRADER[[#This Row],[M]]-Commission,                              TRUE,"")</f>
        <v>0.40480382310642377</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6781.0782369999997</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-7.62</v>
      </c>
      <c r="AU65" s="765" cm="1">
        <f t="array" aca="1" ref="AU65" ca="1">_xlfn.IFS(TabTRADER[[#This Row],[Traps]]=ReSaleGain,"",         TabTRADER[[#This Row],[Traps]]=MDown, (TabTRADER[[#This Row],[M]]-TabTRADER[[#This Row],[A]])/TabTRADER[[#This Row],[A]]*ComFactor,             TRUE, IFERROR((TabTRADER[[#This Row],[M]]-TabTRADER[[#This Row],[A]])/TabTRADER[[#This Row],[A]]*ComFactor,""))</f>
        <v>-0.28871924780583774</v>
      </c>
      <c r="AV65" s="762" cm="1">
        <f t="array" aca="1" ref="AV65" ca="1">_xlfn.IFS(               TabTRADER[[#This Row],[Traps]]=NoStock,(TabTRADER[[#This Row],[L_Sp]]-TabTRADER[[#This Row],[M]])/TabTRADER[[#This Row],[M]]-Commission,             TabTRADER[[#This Row],[A]]&lt;&gt;0,(TabTRADER[[#This Row],[A]]-TabTRADER[[#This Row],[M]])/TabTRADER[[#This Row],[M]]-Commission)</f>
        <v>0.40480382310642377</v>
      </c>
      <c r="AW65" s="324">
        <f ca="1">_xlfn.XLOOKUP(TabTRADER[[#This Row],[ClickTick]],TabCalc[Ticker],TabCalc[L_Sn])</f>
        <v>488</v>
      </c>
      <c r="AX65" s="728">
        <f ca="1">_xlfn.XLOOKUP(TabTRADER[[#This Row],[ClickTick]],TabCalc[Ticker],TabCalc[L_Sp])</f>
        <v>45.93</v>
      </c>
      <c r="AY65" s="764">
        <f ca="1">-IFERROR((TabTRADER[[#This Row],[M]]-TabTRADER[[#This Row],[L_Sp]])/TabTRADER[[#This Row],[L_Sp]],0)</f>
        <v>0.35118658828652294</v>
      </c>
      <c r="AZ65" s="729">
        <f ca="1">TabTRADER[[#This Row],[L_Sn]]*(TabTRADER[[#This Row],[M]]-TabTRADER[[#This Row],[L_Sp]])*(1-Commission)*TabTRADER[[#This Row],[Scale]]</f>
        <v>-7850.9742559999995</v>
      </c>
      <c r="BA65" s="692">
        <f ca="1">TabTRADER[[#This Row],[L_Sn]]*(TabTRADER[[#This Row],[Agiotage]]-TabTRADER[[#This Row],[M]])/(TabTRADER[[#This Row],[L_Bn]]*TabTRADER[[#This Row],[M]])</f>
        <v>-12.502171044919805</v>
      </c>
      <c r="BB65" s="635">
        <f ca="1">IFERROR((TabTRADER[[#This Row],[M]]-TabTRADER[[#This Row],[A]])/TabTRADER[[#This Row],[A]],0)</f>
        <v>-0.28947187468000579</v>
      </c>
      <c r="BC65" s="638" t="str">
        <f ca="1">TEXT(_xlfn.XLOOKUP(TabTRADER[[#This Row],[ClickTick]],TabCalc[Ticker],TabCalc[NAfter]),"#,#0")&amp;" : "&amp;TEXT(_xlfn.XLOOKUP(TabTRADER[[#This Row],[ClickTick]],TabCalc[Ticker],TabCalc[NAfter])*(TabTRADER[[#This Row],[M]]-TabTRADER[[#This Row],[A]])*(1-Commission)*TabTRADER[[#This Row],[Scale]],"#,#0$")</f>
        <v>560 : -6,781$</v>
      </c>
      <c r="BD65" s="684">
        <f ca="1">_xlfn.XLOOKUP(TabTRADER[[#This Row],[ClickTick]],TabCalc[[#This Row],[Ticker]],TabCalc[[#This Row],[GL]])*(1-Commission)</f>
        <v>-230.98936210000224</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0.25587248322147638</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-0.11418259766486781</v>
      </c>
      <c r="BO65" s="687">
        <f ca="1">(TabTRADER[[#This Row],[M]]-TabTRADER[[#This Row],[Agiotage]])/(TabTRADER[[#This Row],[M]]-TabTRADER[[#This Row],[A]])-1</f>
        <v>-3.4524780053773485</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+21,347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68/350=18,504</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23,611$</v>
      </c>
      <c r="G66" s="225" t="str">
        <f ca="1">IFERROR(TRUNC(_xlfn.XLOOKUP(TabTRADER[[#This Row],[ClickTick]],TabCalc[Ticker],ListLastSalep),2)&amp;"x"&amp;_xlfn.XLOOKUP(TabTRADER[[#This Row],[ClickTick]],TabCalc[Ticker],ListLastSalen)&amp;"=   "&amp;TEXT(-_xlfn.XLOOKUP(TabTRADER[[#This Row],[ClickTick]],TabCalc[Ticker],ListReverseB),"#,#0")&amp;"$","")</f>
        <v>260x150=   1,862$</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66" s="226" t="str">
        <f ca="1">IFERROR(TRUNC(TabCalc[[#This Row],[L_S1p]],2)&amp;"x"&amp;TabCalc[[#This Row],[L_S1n]]&amp;"=   "&amp;TEXT(TabCalc[[#This Row],[ReverseB1]],"#,#0"),"")</f>
        <v>230.21x300=   -12,660</v>
      </c>
      <c r="J66" s="295">
        <f ca="1">_xlfn.XLOOKUP(TabTRADER[[#This Row],[ClickTick]],TabCalc[Ticker],ListGravity)</f>
        <v>1.0147607283139384</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1.663350115283337E-3</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0.37027162977867206</v>
      </c>
      <c r="S66" s="683">
        <f ca="1">_xlfn.XLOOKUP(TabTRADER[[#This Row],[ClickTick]],TabCalc[Ticker],TabCalc[Rev(MinStock)])*(1-Commission)</f>
        <v>21291.398060000003</v>
      </c>
      <c r="T66" s="782">
        <f ca="1">_xlfn.XLOOKUP(TabTRADER[[#This Row],[ClickTick]],TabCalc[Ticker],TabCalc[Agiotage])</f>
        <v>1.663350115283337E-3</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476/476=&gt;-0.7% / -0.2%</v>
      </c>
      <c r="V66" s="739" t="str">
        <f ca="1">_xlfn.XLOOKUP(TabTRADER[[#This Row],[ClickTick]],[1]!RTData[Ticker_Symbol],[1]!RTData[Currency])</f>
        <v>USD</v>
      </c>
      <c r="W66" s="749">
        <f ca="1">_xlfn.XLOOKUP(TabTRADER[[#This Row],[ClickTick]],TabCalc[Ticker],TabCalc[M])</f>
        <v>272.41000000000003</v>
      </c>
      <c r="X66" s="1343"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^128/95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1856.6601000000035</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25328.514993920013</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0.36304386927890148</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4.2956330531184701E-2</v>
      </c>
      <c r="AL66" s="825" cm="1">
        <f t="array" aca="1" ref="AL66" ca="1">_xlfn.IFS(   TabTRADER[[#This Row],[Traps]]=SellMorePercentGain,                     MIN(TabTRADER[[#This Row],[L_Sn]],TabTRADER[[#This Row],[N]])*(TabTRADER[[#This Row],[M]]-TabTRADER[[#This Row],[L_Sp]])*(1-Commission)*TabTRADER[[#This Row],[Scale]],                    TRUE,"")</f>
        <v>1856.6601000000035</v>
      </c>
      <c r="AM66" s="1175">
        <f ca="1">_xlfn.XLOOKUP(TabTRADER[[#This Row],[ClickTick]],TabCalc[Ticker],TabCalc[Ann%RevLB])</f>
        <v>0.8383508598762387</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0.36044386927890149</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34523.877080401406</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290x72.55</v>
      </c>
      <c r="AU66" s="765" cm="1">
        <f t="array" aca="1" ref="AU66" ca="1">_xlfn.IFS(TabTRADER[[#This Row],[Traps]]=ReSaleGain,"",         TabTRADER[[#This Row],[Traps]]=MDown, (TabTRADER[[#This Row],[M]]-TabTRADER[[#This Row],[A]])/TabTRADER[[#This Row],[A]]*ComFactor,             TRUE, IFERROR((TabTRADER[[#This Row],[M]]-TabTRADER[[#This Row],[A]])/TabTRADER[[#This Row],[A]]*ComFactor,""))</f>
        <v>0.3620999552187763</v>
      </c>
      <c r="AV66" s="762" cm="1">
        <f t="array" aca="1" ref="AV66" ca="1">_xlfn.IFS(               TabTRADER[[#This Row],[Traps]]=NoStock,(TabTRADER[[#This Row],[L_Sp]]-TabTRADER[[#This Row],[M]])/TabTRADER[[#This Row],[M]]-Commission,             TabTRADER[[#This Row],[A]]&lt;&gt;0,(TabTRADER[[#This Row],[A]]-TabTRADER[[#This Row],[M]])/TabTRADER[[#This Row],[M]]-Commission)</f>
        <v>-0.26894789786403905</v>
      </c>
      <c r="AW66" s="324">
        <f ca="1">_xlfn.XLOOKUP(TabTRADER[[#This Row],[ClickTick]],TabCalc[Ticker],TabCalc[L_Sn])</f>
        <v>150</v>
      </c>
      <c r="AX66" s="728">
        <f ca="1">_xlfn.XLOOKUP(TabTRADER[[#This Row],[ClickTick]],TabCalc[Ticker],TabCalc[L_Sp])</f>
        <v>260</v>
      </c>
      <c r="AY66" s="764">
        <f ca="1">-IFERROR((TabTRADER[[#This Row],[M]]-TabTRADER[[#This Row],[L_Sp]])/TabTRADER[[#This Row],[L_Sp]],0)</f>
        <v>-4.7730769230769327E-2</v>
      </c>
      <c r="AZ66" s="729">
        <f ca="1">TabTRADER[[#This Row],[L_Sn]]*(TabTRADER[[#This Row],[M]]-TabTRADER[[#This Row],[L_Sp]])*(1-Commission)*TabTRADER[[#This Row],[Scale]]</f>
        <v>1856.6601000000035</v>
      </c>
      <c r="BA66" s="692">
        <f ca="1">TabTRADER[[#This Row],[L_Sn]]*(TabTRADER[[#This Row],[Agiotage]]-TabTRADER[[#This Row],[M]])/(TabTRADER[[#This Row],[L_Bn]]*TabTRADER[[#This Row],[M]])</f>
        <v>-0.51723822100665584</v>
      </c>
      <c r="BB66" s="635">
        <f ca="1">IFERROR((TabTRADER[[#This Row],[M]]-TabTRADER[[#This Row],[A]])/TabTRADER[[#This Row],[A]],0)</f>
        <v>0.36304386927890148</v>
      </c>
      <c r="BC66" s="638" t="str">
        <f ca="1">TEXT(_xlfn.XLOOKUP(TabTRADER[[#This Row],[ClickTick]],TabCalc[Ticker],TabCalc[NAfter]),"#,#0")&amp;" : "&amp;TEXT(_xlfn.XLOOKUP(TabTRADER[[#This Row],[ClickTick]],TabCalc[Ticker],TabCalc[NAfter])*(TabTRADER[[#This Row],[M]]-TabTRADER[[#This Row],[A]])*(1-Commission)*TabTRADER[[#This Row],[Scale]],"#,#0$")</f>
        <v>350 : 25,329$</v>
      </c>
      <c r="BD66" s="684">
        <f ca="1">_xlfn.XLOOKUP(TabTRADER[[#This Row],[ClickTick]],TabCalc[[#This Row],[Ticker]],TabCalc[[#This Row],[GL]])*(1-Commission)</f>
        <v>127565.80431599998</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4.5556330531184699E-2</v>
      </c>
      <c r="BJ66" s="679">
        <f ca="1">TabTRADER[[#This Row],[L_Sn]]*TabTRADER[[#This Row],[L_Sp]]+TabTRADER[[#This Row],[SellMore]]*TabTRADER[[#This Row],[M]]</f>
        <v>55344.600000000006</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263.54571428571433</v>
      </c>
      <c r="BN66" s="687">
        <f ca="1">((_xlfn.XLOOKUP(TabTRADER[[#This Row],[ClickTick]],TabCalc[Ticker],TabCalc[NAfter])+TabTRADER[[#This Row],[L_Sn]])*(TabTRADER[[#This Row],[Agiotage]]-TabTRADER[[#This Row],[M]]))/(TabTRADER[[#This Row],[L_Sn]]*_xlfn.XLOOKUP(TabTRADER[[#This Row],[ClickTick]],TabCalc[Ticker],TabCalc[NAfter]))</f>
        <v>-2.5943651109512835</v>
      </c>
      <c r="BO66" s="687">
        <f ca="1">(TabTRADER[[#This Row],[M]]-TabTRADER[[#This Row],[Agiotage]])/(TabTRADER[[#This Row],[M]]-TabTRADER[[#This Row],[A]])-1</f>
        <v>2.7544651261211075</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+10,720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233/1,500=54,732</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10,300$</v>
      </c>
      <c r="G67" s="225" t="str">
        <f ca="1">IFERROR(TRUNC(_xlfn.XLOOKUP(TabTRADER[[#This Row],[ClickTick]],TabCalc[Ticker],ListLastSalep),2)&amp;"x"&amp;_xlfn.XLOOKUP(TabTRADER[[#This Row],[ClickTick]],TabCalc[Ticker],ListLastSalen)&amp;"=   "&amp;TEXT(-_xlfn.XLOOKUP(TabTRADER[[#This Row],[ClickTick]],TabCalc[Ticker],ListReverseB),"#,#0")&amp;"$","")</f>
        <v>221.65x500=   6,520$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67" s="226" t="str">
        <f ca="1">IFERROR(TRUNC(TabCalc[[#This Row],[L_S1p]],2)&amp;"x"&amp;TabCalc[[#This Row],[L_S1n]]&amp;"=   "&amp;TEXT(TabCalc[[#This Row],[ReverseB1]],"#,#0"),"")</f>
        <v>232.72x500=   -985</v>
      </c>
      <c r="J67" s="295">
        <f ca="1">_xlfn.XLOOKUP(TabTRADER[[#This Row],[ClickTick]],TabCalc[Ticker],ListGravity)</f>
        <v>1.2289577740849631</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2.7120209366645639E-3</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0.10053927315357561</v>
      </c>
      <c r="S67" s="683">
        <f ca="1">_xlfn.XLOOKUP(TabTRADER[[#This Row],[ClickTick]],TabCalc[Ticker],TabCalc[Rev(MinStock)])*(1-Commission)</f>
        <v>10692.127999999997</v>
      </c>
      <c r="T67" s="782">
        <f ca="1">_xlfn.XLOOKUP(TabTRADER[[#This Row],[ClickTick]],TabCalc[Ticker],TabCalc[Agiotage])</f>
        <v>2.7120209366645639E-3</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-555/-555=&gt;0.6% / -1.2%</v>
      </c>
      <c r="V67" s="739" t="str">
        <f ca="1">_xlfn.XLOOKUP(TabTRADER[[#This Row],[ClickTick]],[1]!RTData[Ticker_Symbol],[1]!RTData[Currency])</f>
        <v>USD</v>
      </c>
      <c r="W67" s="749">
        <f ca="1">_xlfn.XLOOKUP(TabTRADER[[#This Row],[ClickTick]],TabCalc[Ticker],TabCalc[M])</f>
        <v>234.69</v>
      </c>
      <c r="X67" s="1343"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^180/352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6503.0479999999961</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44868.039000000012</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0.1465070835368833</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5.2962657122161118E-2</v>
      </c>
      <c r="AL67" s="825" cm="1">
        <f t="array" aca="1" ref="AL67" ca="1">_xlfn.IFS(   TabTRADER[[#This Row],[Traps]]=SellMorePercentGain,                     MIN(TabTRADER[[#This Row],[L_Sn]],TabTRADER[[#This Row],[N]])*(TabTRADER[[#This Row],[M]]-TabTRADER[[#This Row],[L_Sp]])*(1-Commission)*TabTRADER[[#This Row],[Scale]],                    TRUE,"")</f>
        <v>6503.0479999999961</v>
      </c>
      <c r="AM67" s="1175">
        <f ca="1">_xlfn.XLOOKUP(TabTRADER[[#This Row],[ClickTick]],TabCalc[Ticker],TabCalc[Ann%RevLB])</f>
        <v>0.2276360901590391</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0.14390708353688331</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51441.524537909158</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500x29.99</v>
      </c>
      <c r="AU67" s="765" cm="1">
        <f t="array" aca="1" ref="AU67" ca="1">_xlfn.IFS(TabTRADER[[#This Row],[Traps]]=ReSaleGain,"",         TabTRADER[[#This Row],[Traps]]=MDown, (TabTRADER[[#This Row],[M]]-TabTRADER[[#This Row],[A]])/TabTRADER[[#This Row],[A]]*ComFactor,             TRUE, IFERROR((TabTRADER[[#This Row],[M]]-TabTRADER[[#This Row],[A]])/TabTRADER[[#This Row],[A]]*ComFactor,""))</f>
        <v>0.1461261651196874</v>
      </c>
      <c r="AV67" s="762" cm="1">
        <f t="array" aca="1" ref="AV67" ca="1">_xlfn.IFS(               TabTRADER[[#This Row],[Traps]]=NoStock,(TabTRADER[[#This Row],[L_Sp]]-TabTRADER[[#This Row],[M]])/TabTRADER[[#This Row],[M]]-Commission,             TabTRADER[[#This Row],[A]]&lt;&gt;0,(TabTRADER[[#This Row],[A]]-TabTRADER[[#This Row],[M]])/TabTRADER[[#This Row],[M]]-Commission)</f>
        <v>-0.13038558950104395</v>
      </c>
      <c r="AW67" s="324">
        <f ca="1">_xlfn.XLOOKUP(TabTRADER[[#This Row],[ClickTick]],TabCalc[Ticker],TabCalc[L_Sn])</f>
        <v>500</v>
      </c>
      <c r="AX67" s="728">
        <f ca="1">_xlfn.XLOOKUP(TabTRADER[[#This Row],[ClickTick]],TabCalc[Ticker],TabCalc[L_Sp])</f>
        <v>221.65</v>
      </c>
      <c r="AY67" s="764">
        <f ca="1">-IFERROR((TabTRADER[[#This Row],[M]]-TabTRADER[[#This Row],[L_Sp]])/TabTRADER[[#This Row],[L_Sp]],0)</f>
        <v>-5.8831491089555571E-2</v>
      </c>
      <c r="AZ67" s="729">
        <f ca="1">TabTRADER[[#This Row],[L_Sn]]*(TabTRADER[[#This Row],[M]]-TabTRADER[[#This Row],[L_Sp]])*(1-Commission)*TabTRADER[[#This Row],[Scale]]</f>
        <v>6503.0479999999961</v>
      </c>
      <c r="BA67" s="692">
        <f ca="1">TabTRADER[[#This Row],[L_Sn]]*(TabTRADER[[#This Row],[Agiotage]]-TabTRADER[[#This Row],[M]])/(TabTRADER[[#This Row],[L_Bn]]*TabTRADER[[#This Row],[M]])</f>
        <v>-0.9999884442416096</v>
      </c>
      <c r="BB67" s="635">
        <f ca="1">IFERROR((TabTRADER[[#This Row],[M]]-TabTRADER[[#This Row],[A]])/TabTRADER[[#This Row],[A]],0)</f>
        <v>0.1465070835368833</v>
      </c>
      <c r="BC67" s="638" t="str">
        <f ca="1">TEXT(_xlfn.XLOOKUP(TabTRADER[[#This Row],[ClickTick]],TabCalc[Ticker],TabCalc[NAfter]),"#,#0")&amp;" : "&amp;TEXT(_xlfn.XLOOKUP(TabTRADER[[#This Row],[ClickTick]],TabCalc[Ticker],TabCalc[NAfter])*(TabTRADER[[#This Row],[M]]-TabTRADER[[#This Row],[A]])*(1-Commission)*TabTRADER[[#This Row],[Scale]],"#,#0$")</f>
        <v>1,500 : 44,868$</v>
      </c>
      <c r="BD67" s="684">
        <f ca="1">_xlfn.XLOOKUP(TabTRADER[[#This Row],[ClickTick]],TabCalc[[#This Row],[Ticker]],TabCalc[[#This Row],[GL]])*(1-Commission)</f>
        <v>179914.84301340001</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5.5562657122161116E-2</v>
      </c>
      <c r="BJ67" s="679">
        <f ca="1">TabTRADER[[#This Row],[L_Sn]]*TabTRADER[[#This Row],[L_Sp]]+TabTRADER[[#This Row],[SellMore]]*TabTRADER[[#This Row],[M]]</f>
        <v>228170</v>
      </c>
      <c r="BK67" s="679">
        <f ca="1">INDEX(
  INDEX(TabConsolid[], , _xlfn.XMATCH(TabTRADER[[#This Row],[ClickTick]]&amp;1, TabConsolid[#Headers])),
  MATCH(
    -TabTRADER[[#This Row],[M]],
    INDEX(TabConsolid[], , _xlfn.XMATCH(TabTRADER[[#This Row],[ClickTick]]&amp;2, TabConsolid[#Headers])),
    -1
  )
)</f>
        <v>500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228.17</v>
      </c>
      <c r="BN67" s="687">
        <f ca="1">((_xlfn.XLOOKUP(TabTRADER[[#This Row],[ClickTick]],TabCalc[Ticker],TabCalc[NAfter])+TabTRADER[[#This Row],[L_Sn]])*(TabTRADER[[#This Row],[Agiotage]]-TabTRADER[[#This Row],[M]]))/(TabTRADER[[#This Row],[L_Sn]]*_xlfn.XLOOKUP(TabTRADER[[#This Row],[ClickTick]],TabCalc[Ticker],TabCalc[NAfter]))</f>
        <v>-0.62583276794416887</v>
      </c>
      <c r="BO67" s="687">
        <f ca="1">(TabTRADER[[#This Row],[M]]-TabTRADER[[#This Row],[Agiotage]])/(TabTRADER[[#This Row],[M]]-TabTRADER[[#This Row],[A]])-1</f>
        <v>6.8255181053372214</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+19,340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31.7%</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18/250=15,770</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10,495$</v>
      </c>
      <c r="G68" s="225" t="str">
        <f ca="1">IFERROR(TRUNC(_xlfn.XLOOKUP(TabTRADER[[#This Row],[ClickTick]],TabCalc[Ticker],ListLastSalep),2)&amp;"x"&amp;_xlfn.XLOOKUP(TabTRADER[[#This Row],[ClickTick]],TabCalc[Ticker],ListLastSalen)&amp;"=   "&amp;TEXT(-_xlfn.XLOOKUP(TabTRADER[[#This Row],[ClickTick]],TabCalc[Ticker],ListReverseB),"#,#0")&amp;"$","")</f>
        <v>660.2x54=   11,405$</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-24.2% = 0</v>
      </c>
      <c r="I68" s="226" t="str">
        <f ca="1">IFERROR(TRUNC(TabCalc[[#This Row],[L_S1p]],2)&amp;"x"&amp;TabCalc[[#This Row],[L_S1n]]&amp;"=   "&amp;TEXT(TabCalc[[#This Row],[ReverseB1]],"#,#0"),"")</f>
        <v>606.66x66=   -17,473</v>
      </c>
      <c r="J68" s="295">
        <f ca="1">_xlfn.XLOOKUP(TabTRADER[[#This Row],[ClickTick]],TabCalc[Ticker],ListGravity)</f>
        <v>1.0809080330502641</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78426</v>
      </c>
      <c r="M68" s="323">
        <f ca="1">_xlfn.XLOOKUP(TabTRADER[[#This Row],[ClickTick]],TabCalc[Ticker],TabCalc[Agiotage])</f>
        <v>0.1427007365316057</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0.46426711028213263</v>
      </c>
      <c r="S68" s="683">
        <f ca="1">_xlfn.XLOOKUP(TabTRADER[[#This Row],[ClickTick]],TabCalc[Ticker],TabCalc[Rev(MinStock)])*(1-Commission)</f>
        <v>19290.015219999994</v>
      </c>
      <c r="T68" s="782">
        <f ca="1">_xlfn.XLOOKUP(TabTRADER[[#This Row],[ClickTick]],TabCalc[Ticker],TabCalc[Agiotage])</f>
        <v>0.1427007365316057</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-1,975/-1,975=&gt;-2.7% / -0.3%</v>
      </c>
      <c r="V68" s="739" t="str">
        <f ca="1">_xlfn.XLOOKUP(TabTRADER[[#This Row],[ClickTick]],[1]!RTData[Ticker_Symbol],[1]!RTData[Currency])</f>
        <v>EUR</v>
      </c>
      <c r="W68" s="749">
        <f ca="1">_xlfn.XLOOKUP(TabTRADER[[#This Row],[ClickTick]],TabCalc[Ticker],TabCalc[M])</f>
        <v>871.4</v>
      </c>
      <c r="X68" s="1343"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^176/218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11375.147519999995</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54115.694418799976</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0.33165650770968891</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0.239768602249254</v>
      </c>
      <c r="AL68" s="825" cm="1">
        <f t="array" aca="1" ref="AL68" ca="1">_xlfn.IFS(   TabTRADER[[#This Row],[Traps]]=SellMorePercentGain,                     MIN(TabTRADER[[#This Row],[L_Sn]],TabTRADER[[#This Row],[N]])*(TabTRADER[[#This Row],[M]]-TabTRADER[[#This Row],[L_Sp]])*(1-Commission)*TabTRADER[[#This Row],[Scale]],                    TRUE,"")</f>
        <v>11375.147519999995</v>
      </c>
      <c r="AM68" s="1192">
        <f ca="1">_xlfn.XLOOKUP(TabTRADER[[#This Row],[ClickTick]],TabCalc[Ticker],TabCalc[Ann%RevLB])</f>
        <v>1.6226811621511432</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0.32905650770968892</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72063.516642023882</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70x217.02</v>
      </c>
      <c r="AU68" s="765" cm="1">
        <f t="array" aca="1" ref="AU68" ca="1">_xlfn.IFS(TabTRADER[[#This Row],[Traps]]=ReSaleGain,"",         TabTRADER[[#This Row],[Traps]]=MDown, (TabTRADER[[#This Row],[M]]-TabTRADER[[#This Row],[A]])/TabTRADER[[#This Row],[A]]*ComFactor,             TRUE, IFERROR((TabTRADER[[#This Row],[M]]-TabTRADER[[#This Row],[A]])/TabTRADER[[#This Row],[A]]*ComFactor,""))</f>
        <v>0.33079420078964372</v>
      </c>
      <c r="AV68" s="762" cm="1">
        <f t="array" aca="1" ref="AV68" ca="1">_xlfn.IFS(               TabTRADER[[#This Row],[Traps]]=NoStock,(TabTRADER[[#This Row],[L_Sp]]-TabTRADER[[#This Row],[M]])/TabTRADER[[#This Row],[M]]-Commission,             TabTRADER[[#This Row],[A]]&lt;&gt;0,(TabTRADER[[#This Row],[A]]-TabTRADER[[#This Row],[M]])/TabTRADER[[#This Row],[M]]-Commission)</f>
        <v>-0.25165559788845526</v>
      </c>
      <c r="AW68" s="324">
        <f ca="1">_xlfn.XLOOKUP(TabTRADER[[#This Row],[ClickTick]],TabCalc[Ticker],TabCalc[L_Sn])</f>
        <v>54</v>
      </c>
      <c r="AX68" s="728">
        <f ca="1">_xlfn.XLOOKUP(TabTRADER[[#This Row],[ClickTick]],TabCalc[Ticker],TabCalc[L_Sp])</f>
        <v>660.2</v>
      </c>
      <c r="AY68" s="764">
        <f ca="1">-IFERROR((TabTRADER[[#This Row],[M]]-TabTRADER[[#This Row],[L_Sp]])/TabTRADER[[#This Row],[L_Sp]],0)</f>
        <v>-0.31990305967888505</v>
      </c>
      <c r="AZ68" s="729">
        <f ca="1">TabTRADER[[#This Row],[L_Sn]]*(TabTRADER[[#This Row],[M]]-TabTRADER[[#This Row],[L_Sp]])*(1-Commission)*TabTRADER[[#This Row],[Scale]]</f>
        <v>11375.147519999995</v>
      </c>
      <c r="BA68" s="692">
        <f ca="1">TabTRADER[[#This Row],[L_Sn]]*(TabTRADER[[#This Row],[Agiotage]]-TabTRADER[[#This Row],[M]])/(TabTRADER[[#This Row],[L_Bn]]*TabTRADER[[#This Row],[M]])</f>
        <v>-0.77130224204444886</v>
      </c>
      <c r="BB68" s="635">
        <f ca="1">IFERROR((TabTRADER[[#This Row],[M]]-TabTRADER[[#This Row],[A]])/TabTRADER[[#This Row],[A]],0)</f>
        <v>0.33165650770968891</v>
      </c>
      <c r="BC68" s="638" t="str">
        <f ca="1">TEXT(_xlfn.XLOOKUP(TabTRADER[[#This Row],[ClickTick]],TabCalc[Ticker],TabCalc[NAfter]),"#,#0")&amp;" : "&amp;TEXT(_xlfn.XLOOKUP(TabTRADER[[#This Row],[ClickTick]],TabCalc[Ticker],TabCalc[NAfter])*(TabTRADER[[#This Row],[M]]-TabTRADER[[#This Row],[A]])*(1-Commission)*TabTRADER[[#This Row],[Scale]],"#,#0$")</f>
        <v>250 : 54,116$</v>
      </c>
      <c r="BD68" s="684">
        <f ca="1">_xlfn.XLOOKUP(TabTRADER[[#This Row],[ClickTick]],TabCalc[[#This Row],[Ticker]],TabCalc[[#This Row],[GL]])*(1-Commission)</f>
        <v>175946.90354920001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0.24236860224925399</v>
      </c>
      <c r="BJ68" s="679">
        <f ca="1">TabTRADER[[#This Row],[L_Sn]]*TabTRADER[[#This Row],[L_Sp]]+TabTRADER[[#This Row],[SellMore]]*TabTRADER[[#This Row],[M]]</f>
        <v>148932.79999999999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809.4173913043478</v>
      </c>
      <c r="BN68" s="687">
        <f ca="1">((_xlfn.XLOOKUP(TabTRADER[[#This Row],[ClickTick]],TabCalc[Ticker],TabCalc[NAfter])+TabTRADER[[#This Row],[L_Sn]])*(TabTRADER[[#This Row],[Agiotage]]-TabTRADER[[#This Row],[M]]))/(TabTRADER[[#This Row],[L_Sn]]*_xlfn.XLOOKUP(TabTRADER[[#This Row],[ClickTick]],TabCalc[Ticker],TabCalc[NAfter]))</f>
        <v>-19.619423627858843</v>
      </c>
      <c r="BO68" s="687">
        <f ca="1">(TabTRADER[[#This Row],[M]]-TabTRADER[[#This Row],[Agiotage]])/(TabTRADER[[#This Row],[M]]-TabTRADER[[#This Row],[A]])-1</f>
        <v>3.0145102064120071</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+5,061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-13,033$</v>
      </c>
      <c r="G69" s="225" t="str">
        <f ca="1">IFERROR(TRUNC(_xlfn.XLOOKUP(TabTRADER[[#This Row],[ClickTick]],TabCalc[Ticker],ListLastSalep),2)&amp;"x"&amp;_xlfn.XLOOKUP(TabTRADER[[#This Row],[ClickTick]],TabCalc[Ticker],ListLastSalen)&amp;"=   "&amp;TEXT(-_xlfn.XLOOKUP(TabTRADER[[#This Row],[ClickTick]],TabCalc[Ticker],ListReverseB),"#,#0")&amp;"$","")</f>
        <v>3.16x11000=   -10,890$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45.6% = 5,051</v>
      </c>
      <c r="I69" s="226" t="str">
        <f ca="1">IFERROR(TRUNC(TabCalc[[#This Row],[L_S1p]],2)&amp;"x"&amp;TabCalc[[#This Row],[L_S1n]]&amp;"=   "&amp;TEXT(TabCalc[[#This Row],[ReverseB1]],"#,#0"),"")</f>
        <v>4.48x5000=   11,555</v>
      </c>
      <c r="J69" s="295">
        <f ca="1">_xlfn.XLOOKUP(TabTRADER[[#This Row],[ClickTick]],TabCalc[Ticker],ListGravity)</f>
        <v>1.4976958525345623</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236855.5</v>
      </c>
      <c r="M69" s="323">
        <f ca="1">_xlfn.XLOOKUP(TabTRADER[[#This Row],[ClickTick]],TabCalc[Ticker],TabCalc[Agiotage])</f>
        <v>4.5786842046550367E-4</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0.12493519958527728</v>
      </c>
      <c r="S69" s="683">
        <f ca="1">_xlfn.XLOOKUP(TabTRADER[[#This Row],[ClickTick]],TabCalc[Ticker],TabCalc[Rev(MinStock)])*(1-Commission)</f>
        <v>5047.8413999999966</v>
      </c>
      <c r="T69" s="782">
        <f ca="1">_xlfn.XLOOKUP(TabTRADER[[#This Row],[ClickTick]],TabCalc[Ticker],TabCalc[Agiotage])</f>
        <v>4.5786842046550367E-4</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9,350/9,350=&gt;-1.1% / 0.5%</v>
      </c>
      <c r="V69" s="739" t="str">
        <f ca="1">_xlfn.XLOOKUP(TabTRADER[[#This Row],[ClickTick]],[1]!RTData[Ticker_Symbol],[1]!RTData[Currency])</f>
        <v>USD</v>
      </c>
      <c r="W69" s="749">
        <f ca="1">_xlfn.XLOOKUP(TabTRADER[[#This Row],[ClickTick]],TabCalc[Ticker],TabCalc[M])</f>
        <v>2.17</v>
      </c>
      <c r="X69" s="1343"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-143/239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10861.686000000002</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10861.686000000002</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0.31329113924050639</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0.23923761622712669</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-122133.12610000002</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-0.33817698694315274</v>
      </c>
      <c r="AV69" s="762" cm="1">
        <f t="array" aca="1" ref="AV69" ca="1">_xlfn.IFS(               TabTRADER[[#This Row],[Traps]]=NoStock,(TabTRADER[[#This Row],[L_Sp]]-TabTRADER[[#This Row],[M]])/TabTRADER[[#This Row],[M]]-Commission,             TabTRADER[[#This Row],[A]]&lt;&gt;0,(TabTRADER[[#This Row],[A]]-TabTRADER[[#This Row],[M]])/TabTRADER[[#This Row],[M]]-Commission)</f>
        <v>0.51039329702555514</v>
      </c>
      <c r="AW69" s="324">
        <f ca="1">_xlfn.XLOOKUP(TabTRADER[[#This Row],[ClickTick]],TabCalc[Ticker],TabCalc[L_Sn])</f>
        <v>11000</v>
      </c>
      <c r="AX69" s="728">
        <f ca="1">_xlfn.XLOOKUP(TabTRADER[[#This Row],[ClickTick]],TabCalc[Ticker],TabCalc[L_Sp])</f>
        <v>3.16</v>
      </c>
      <c r="AY69" s="764">
        <f ca="1">-IFERROR((TabTRADER[[#This Row],[M]]-TabTRADER[[#This Row],[L_Sp]])/TabTRADER[[#This Row],[L_Sp]],0)</f>
        <v>0.31329113924050639</v>
      </c>
      <c r="AZ69" s="729">
        <f ca="1">TabTRADER[[#This Row],[L_Sn]]*(TabTRADER[[#This Row],[M]]-TabTRADER[[#This Row],[L_Sp]])*(1-Commission)*TabTRADER[[#This Row],[Scale]]</f>
        <v>-10861.686000000002</v>
      </c>
      <c r="BA69" s="692">
        <f ca="1">TabTRADER[[#This Row],[L_Sn]]*(TabTRADER[[#This Row],[Agiotage]]-TabTRADER[[#This Row],[M]])/(TabTRADER[[#This Row],[L_Bn]]*TabTRADER[[#This Row],[M]])</f>
        <v>-0.52369900038127881</v>
      </c>
      <c r="BB69" s="635">
        <f ca="1">IFERROR((TabTRADER[[#This Row],[M]]-TabTRADER[[#This Row],[A]])/TabTRADER[[#This Row],[A]],0)</f>
        <v>-0.33905853914492956</v>
      </c>
      <c r="BC69" s="638" t="str">
        <f ca="1">TEXT(_xlfn.XLOOKUP(TabTRADER[[#This Row],[ClickTick]],TabCalc[Ticker],TabCalc[NAfter]),"#,#0")&amp;" : "&amp;TEXT(_xlfn.XLOOKUP(TabTRADER[[#This Row],[ClickTick]],TabCalc[Ticker],TabCalc[NAfter])*(TabTRADER[[#This Row],[M]]-TabTRADER[[#This Row],[A]])*(1-Commission)*TabTRADER[[#This Row],[Scale]],"#,#0$")</f>
        <v>110,000 : -122,133$</v>
      </c>
      <c r="BD69" s="684">
        <f ca="1">_xlfn.XLOOKUP(TabTRADER[[#This Row],[ClickTick]],TabCalc[[#This Row],[Ticker]],TabCalc[[#This Row],[GL]])*(1-Commission)</f>
        <v>-143005.13740799998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-2.1695421315795344E-4</v>
      </c>
      <c r="BO69" s="687">
        <f ca="1">(TabTRADER[[#This Row],[M]]-TabTRADER[[#This Row],[Agiotage]])/(TabTRADER[[#This Row],[M]]-TabTRADER[[#This Row],[A]])-1</f>
        <v>-2.9489318993540197</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-3,805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-1,967$</v>
      </c>
      <c r="G70" s="225" t="str">
        <f ca="1">IFERROR(TRUNC(_xlfn.XLOOKUP(TabTRADER[[#This Row],[ClickTick]],TabCalc[Ticker],ListLastSalep),2)&amp;"x"&amp;_xlfn.XLOOKUP(TabTRADER[[#This Row],[ClickTick]],TabCalc[Ticker],ListLastSalen)&amp;"=   "&amp;TEXT(-_xlfn.XLOOKUP(TabTRADER[[#This Row],[ClickTick]],TabCalc[Ticker],ListReverseB),"#,#0")&amp;"$","")</f>
        <v>122.97x330=   -5,666$</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291</v>
      </c>
      <c r="I70" s="226" t="str">
        <f ca="1">IFERROR(TRUNC(TabCalc[[#This Row],[L_S1p]],2)&amp;"x"&amp;TabCalc[[#This Row],[L_S1n]]&amp;"=   "&amp;TEXT(TabCalc[[#This Row],[ReverseB1]],"#,#0"),"")</f>
        <v>119.32x800=   10,816</v>
      </c>
      <c r="J70" s="295">
        <f ca="1">_xlfn.XLOOKUP(TabTRADER[[#This Row],[ClickTick]],TabCalc[Ticker],ListGravity)</f>
        <v>1.2672249527410206</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5.8750465755093165E-4</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-6.3551070986015284E-2</v>
      </c>
      <c r="S70" s="683">
        <f ca="1">_xlfn.XLOOKUP(TabTRADER[[#This Row],[ClickTick]],TabCalc[Ticker],TabCalc[Rev(MinStock)])*(1-Commission)</f>
        <v>-3795.5059600000036</v>
      </c>
      <c r="T70" s="782">
        <f ca="1">_xlfn.XLOOKUP(TabTRADER[[#This Row],[ClickTick]],TabCalc[Ticker],TabCalc[Agiotage])</f>
        <v>5.8750465755093165E-4</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-2,064/-2,064=&gt;0.2% / -1.7%</v>
      </c>
      <c r="V70" s="739" t="str">
        <f ca="1">_xlfn.XLOOKUP(TabTRADER[[#This Row],[ClickTick]],[1]!RTData[Ticker_Symbol],[1]!RTData[Currency])</f>
        <v>USD</v>
      </c>
      <c r="W70" s="749">
        <f ca="1">_xlfn.XLOOKUP(TabTRADER[[#This Row],[ClickTick]],TabCalc[Ticker],TabCalc[M])</f>
        <v>105.8</v>
      </c>
      <c r="X70" s="1343"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^30/127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3795.5059600000036</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126960</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4.2881126831066665E-2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6.5263894139886633E-2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-0.54472346559441676</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6.7863894139886638E-2</v>
      </c>
      <c r="AP70" s="825" cm="1">
        <f t="array" aca="1" ref="AP70" ca="1">_xlfn.IFS(         TabTRADER[[#This Row],[Traps]]=MDown,TabTRADER[[#This Row],[L_Bn]]*TabTRADER[[#This Row],[M]]*(-(TabTRADER[[#This Row],[L_Bp]]+TabTRADER[[#This Row],[M]])/TabTRADER[[#This Row],[M]])*(1-Commission)*TabTRADER[[#This Row],[Scale]],                               TRUE,"")</f>
        <v>3795.5059600000031</v>
      </c>
      <c r="AQ70" s="1186" cm="1">
        <f t="array" aca="1" ref="AQ70" ca="1">_xlfn.IFS(   TabTRADER[[#This Row],[Traps]]=MUp,TabTRADER[[#This Row],[TakeGain_A]]-Commission,        TabTRADER[[#This Row],[Traps]]=MDown,(TabTRADER[[#This Row],[A]]-TabTRADER[[#This Row],[M]])/TabTRADER[[#This Row],[M]]-Commission,                              TRUE,"")</f>
        <v>4.2202299936988145E-2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5673.3109400000139</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-7.18</v>
      </c>
      <c r="AU70" s="765" cm="1">
        <f t="array" aca="1" ref="AU70" ca="1">_xlfn.IFS(TabTRADER[[#This Row],[Traps]]=ReSaleGain,"",         TabTRADER[[#This Row],[Traps]]=MDown, (TabTRADER[[#This Row],[M]]-TabTRADER[[#This Row],[A]])/TabTRADER[[#This Row],[A]]*ComFactor,             TRUE, IFERROR((TabTRADER[[#This Row],[M]]-TabTRADER[[#This Row],[A]])/TabTRADER[[#This Row],[A]]*ComFactor,""))</f>
        <v>-4.2769635901305891E-2</v>
      </c>
      <c r="AV70" s="762" cm="1">
        <f t="array" aca="1" ref="AV70" ca="1">_xlfn.IFS(               TabTRADER[[#This Row],[Traps]]=NoStock,(TabTRADER[[#This Row],[L_Sp]]-TabTRADER[[#This Row],[M]])/TabTRADER[[#This Row],[M]]-Commission,             TabTRADER[[#This Row],[A]]&lt;&gt;0,(TabTRADER[[#This Row],[A]]-TabTRADER[[#This Row],[M]])/TabTRADER[[#This Row],[M]]-Commission)</f>
        <v>4.2202299936988145E-2</v>
      </c>
      <c r="AW70" s="324">
        <f ca="1">_xlfn.XLOOKUP(TabTRADER[[#This Row],[ClickTick]],TabCalc[Ticker],TabCalc[L_Sn])</f>
        <v>330</v>
      </c>
      <c r="AX70" s="728">
        <f ca="1">_xlfn.XLOOKUP(TabTRADER[[#This Row],[ClickTick]],TabCalc[Ticker],TabCalc[L_Sp])</f>
        <v>122.97</v>
      </c>
      <c r="AY70" s="764">
        <f ca="1">-IFERROR((TabTRADER[[#This Row],[M]]-TabTRADER[[#This Row],[L_Sp]])/TabTRADER[[#This Row],[L_Sp]],0)</f>
        <v>0.13962755143530944</v>
      </c>
      <c r="AZ70" s="729">
        <f ca="1">TabTRADER[[#This Row],[L_Sn]]*(TabTRADER[[#This Row],[M]]-TabTRADER[[#This Row],[L_Sp]])*(1-Commission)*TabTRADER[[#This Row],[Scale]]</f>
        <v>-5651.3681400000005</v>
      </c>
      <c r="BA70" s="692">
        <f ca="1">TabTRADER[[#This Row],[L_Sn]]*(TabTRADER[[#This Row],[Agiotage]]-TabTRADER[[#This Row],[M]])/(TabTRADER[[#This Row],[L_Bn]]*TabTRADER[[#This Row],[M]])</f>
        <v>-0.62263805192179988</v>
      </c>
      <c r="BB70" s="635">
        <f ca="1">IFERROR((TabTRADER[[#This Row],[M]]-TabTRADER[[#This Row],[A]])/TabTRADER[[#This Row],[A]],0)</f>
        <v>-4.2881126831066665E-2</v>
      </c>
      <c r="BC70" s="638" t="str">
        <f ca="1">TEXT(_xlfn.XLOOKUP(TabTRADER[[#This Row],[ClickTick]],TabCalc[Ticker],TabCalc[NAfter]),"#,#0")&amp;" : "&amp;TEXT(_xlfn.XLOOKUP(TabTRADER[[#This Row],[ClickTick]],TabCalc[Ticker],TabCalc[NAfter])*(TabTRADER[[#This Row],[M]]-TabTRADER[[#This Row],[A]])*(1-Commission)*TabTRADER[[#This Row],[Scale]],"#,#0$")</f>
        <v>1,200 : -5,673$</v>
      </c>
      <c r="BD70" s="684">
        <f ca="1">_xlfn.XLOOKUP(TabTRADER[[#This Row],[ClickTick]],TabCalc[[#This Row],[Ticker]],TabCalc[[#This Row],[GL]])*(1-Commission)</f>
        <v>30111.625687999978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6.7863894139886638E-2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-0.40877045736836853</v>
      </c>
      <c r="BO70" s="687">
        <f ca="1">(TabTRADER[[#This Row],[M]]-TabTRADER[[#This Row],[Agiotage]])/(TabTRADER[[#This Row],[M]]-TabTRADER[[#This Row],[A]])-1</f>
        <v>-23.32015875150061</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36.8%</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43,853$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-31.1% = 0</v>
      </c>
      <c r="I71" s="226" t="str">
        <f ca="1">IFERROR(TRUNC(TabCalc[[#This Row],[L_S1p]],2)&amp;"x"&amp;TabCalc[[#This Row],[L_S1n]]&amp;"=   "&amp;TEXT(TabCalc[[#This Row],[ReverseB1]],"#,#0"),"")</f>
        <v>48.66x4000=   -87,599</v>
      </c>
      <c r="J71" s="295">
        <f ca="1">_xlfn.XLOOKUP(TabTRADER[[#This Row],[ClickTick]],TabCalc[Ticker],ListGravity)</f>
        <v>1.0367609126984128</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8.6062636309864679E-5</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0.58135365307037212</v>
      </c>
      <c r="S71" s="683">
        <f ca="1">_xlfn.XLOOKUP(TabTRADER[[#This Row],[ClickTick]],TabCalc[Ticker],TabCalc[Rev(MinStock)])*(1-Commission)</f>
        <v>0</v>
      </c>
      <c r="T71" s="782">
        <f ca="1">_xlfn.XLOOKUP(TabTRADER[[#This Row],[ClickTick]],TabCalc[Ticker],TabCalc[Agiotage])</f>
        <v>8.6062636309864679E-5</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-1.9%</v>
      </c>
      <c r="V71" s="739" t="str">
        <f ca="1">_xlfn.XLOOKUP(TabTRADER[[#This Row],[ClickTick]],[1]!RTData[Ticker_Symbol],[1]!RTData[Currency])</f>
        <v>USD</v>
      </c>
      <c r="W71" s="749">
        <f ca="1">_xlfn.XLOOKUP(TabTRADER[[#This Row],[ClickTick]],TabCalc[Ticker],TabCalc[M])</f>
        <v>70.56</v>
      </c>
      <c r="X71" s="1343"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0.44060487390596625</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0x70.56</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-0.31335113378684804</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-0.45085476236495908</v>
      </c>
      <c r="AZ71" s="729">
        <f ca="1">TabTRADER[[#This Row],[L_Sn]]*(TabTRADER[[#This Row],[M]]-TabTRADER[[#This Row],[L_Sp]])*(1-Commission)*TabTRADER[[#This Row],[Scale]]</f>
        <v>43739.181680000002</v>
      </c>
      <c r="BA71" s="692">
        <f ca="1">TabTRADER[[#This Row],[L_Sn]]*(TabTRADER[[#This Row],[Agiotage]]-TabTRADER[[#This Row],[M]])/(TabTRADER[[#This Row],[L_Bn]]*TabTRADER[[#This Row],[M]])</f>
        <v>-0.99999878029143552</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-1.2197085644816141E-6</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48.0%</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79,180$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-20.8% = 0</v>
      </c>
      <c r="I72" s="226" t="str">
        <f ca="1">IFERROR(TRUNC(TabCalc[[#This Row],[L_S1p]],2)&amp;"x"&amp;TabCalc[[#This Row],[L_S1n]]&amp;"=   "&amp;TEXT(TabCalc[[#This Row],[ReverseB1]],"#,#0"),"")</f>
        <v>212.3x25000=   -42,200</v>
      </c>
      <c r="J72" s="295">
        <f ca="1">_xlfn.XLOOKUP(TabTRADER[[#This Row],[ClickTick]],TabCalc[Ticker],ListGravity)</f>
        <v>1.217775387037523</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0.10512331511079581</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0.92319337908760613</v>
      </c>
      <c r="S72" s="683">
        <f ca="1">_xlfn.XLOOKUP(TabTRADER[[#This Row],[ClickTick]],TabCalc[Ticker],TabCalc[Rev(MinStock)])*(1-Commission)</f>
        <v>0</v>
      </c>
      <c r="T72" s="782">
        <f ca="1">_xlfn.XLOOKUP(TabTRADER[[#This Row],[ClickTick]],TabCalc[Ticker],TabCalc[Agiotage])</f>
        <v>0.10512331511079581</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-1.7%</v>
      </c>
      <c r="V72" s="739" t="str">
        <f ca="1">_xlfn.XLOOKUP(TabTRADER[[#This Row],[ClickTick]],[1]!RTData[Ticker_Symbol],[1]!RTData[Currency])</f>
        <v>GBp</v>
      </c>
      <c r="W72" s="749">
        <f ca="1">_xlfn.XLOOKUP(TabTRADER[[#This Row],[ClickTick]],TabCalc[Ticker],TabCalc[M])</f>
        <v>381.1</v>
      </c>
      <c r="X72" s="1343"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0.82674033948143821</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-1.3%</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0x3.811</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-0.21036699029126213</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-0.26225490196078433</v>
      </c>
      <c r="AZ72" s="729">
        <f ca="1">TabTRADER[[#This Row],[L_Sn]]*(TabTRADER[[#This Row],[M]]-TabTRADER[[#This Row],[L_Sp]])*(1-Commission)*TabTRADER[[#This Row],[Scale]]</f>
        <v>78974.131999999998</v>
      </c>
      <c r="BA72" s="692">
        <f ca="1">TabTRADER[[#This Row],[L_Sn]]*(TabTRADER[[#This Row],[Agiotage]]-TabTRADER[[#This Row],[M]])/(TabTRADER[[#This Row],[L_Bn]]*TabTRADER[[#This Row],[M]])</f>
        <v>-3.9988966327461473</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-2.7584181346318459E-4</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-42,128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-47,772$</v>
      </c>
      <c r="G73" s="225" t="str">
        <f ca="1">IFERROR(TRUNC(_xlfn.XLOOKUP(TabTRADER[[#This Row],[ClickTick]],TabCalc[Ticker],ListLastSalep),2)&amp;"x"&amp;_xlfn.XLOOKUP(TabTRADER[[#This Row],[ClickTick]],TabCalc[Ticker],ListLastSalen)&amp;"=   "&amp;TEXT(-_xlfn.XLOOKUP(TabTRADER[[#This Row],[ClickTick]],TabCalc[Ticker],ListReverseB),"#,#0")&amp;"$","")</f>
        <v>124.1x200=   -19,866$</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401.0% = 50</v>
      </c>
      <c r="I73" s="226" t="str">
        <f ca="1">IFERROR(TRUNC(TabCalc[[#This Row],[L_S1p]],2)&amp;"x"&amp;TabCalc[[#This Row],[L_S1n]]&amp;"=   "&amp;TEXT(TabCalc[[#This Row],[ReverseB1]],"#,#0"),"")</f>
        <v>126.78x299=   30,501</v>
      </c>
      <c r="J73" s="295">
        <f ca="1">_xlfn.XLOOKUP(TabTRADER[[#This Row],[ClickTick]],TabCalc[Ticker],ListGravity)</f>
        <v>1.6269681065805408</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111465</v>
      </c>
      <c r="M73" s="323">
        <f ca="1">_xlfn.XLOOKUP(TabTRADER[[#This Row],[ClickTick]],TabCalc[Ticker],TabCalc[Agiotage])</f>
        <v>1.1079459906615486E-3</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-0.36180518697536374</v>
      </c>
      <c r="S73" s="683">
        <f ca="1">_xlfn.XLOOKUP(TabTRADER[[#This Row],[ClickTick]],TabCalc[Ticker],TabCalc[Rev(MinStock)])*(1-Commission)</f>
        <v>-42018.267720000011</v>
      </c>
      <c r="T73" s="782">
        <f ca="1">_xlfn.XLOOKUP(TabTRADER[[#This Row],[ClickTick]],TabCalc[Ticker],TabCalc[Agiotage])</f>
        <v>1.1079459906615486E-3</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1,675/1,675=&gt;0.8% / -0.8%</v>
      </c>
      <c r="V73" s="739" t="str">
        <f ca="1">_xlfn.XLOOKUP(TabTRADER[[#This Row],[ClickTick]],[1]!RTData[Ticker_Symbol],[1]!RTData[Currency])</f>
        <v>USD</v>
      </c>
      <c r="W73" s="749">
        <f ca="1">_xlfn.XLOOKUP(TabTRADER[[#This Row],[ClickTick]],TabCalc[Ticker],TabCalc[M])</f>
        <v>24.77</v>
      </c>
      <c r="X73" s="1343"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-175/124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42018.267720000011</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123850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0.59876318045741295</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0.564319660880097</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-0.43561828532150815</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0.56691966088009704</v>
      </c>
      <c r="AP73" s="825" cm="1">
        <f t="array" aca="1" ref="AP73" ca="1">_xlfn.IFS(         TabTRADER[[#This Row],[Traps]]=MDown,TabTRADER[[#This Row],[L_Bn]]*TabTRADER[[#This Row],[M]]*(-(TabTRADER[[#This Row],[L_Bp]]+TabTRADER[[#This Row],[M]])/TabTRADER[[#This Row],[M]])*(1-Commission)*TabTRADER[[#This Row],[Scale]],                               TRUE,"")</f>
        <v>42018.267720000011</v>
      </c>
      <c r="AQ73" s="1186" cm="1">
        <f t="array" aca="1" ref="AQ73" ca="1">_xlfn.IFS(   TabTRADER[[#This Row],[Traps]]=MUp,TabTRADER[[#This Row],[TakeGain_A]]-Commission,        TabTRADER[[#This Row],[Traps]]=MDown,(TabTRADER[[#This Row],[A]]-TabTRADER[[#This Row],[M]])/TabTRADER[[#This Row],[M]]-Commission,                              TRUE,"")</f>
        <v>1.4896937060960842</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184340.04200369999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-14.04</v>
      </c>
      <c r="AU73" s="765" cm="1">
        <f t="array" aca="1" ref="AU73" ca="1">_xlfn.IFS(TabTRADER[[#This Row],[Traps]]=ReSaleGain,"",         TabTRADER[[#This Row],[Traps]]=MDown, (TabTRADER[[#This Row],[M]]-TabTRADER[[#This Row],[A]])/TabTRADER[[#This Row],[A]]*ComFactor,             TRUE, IFERROR((TabTRADER[[#This Row],[M]]-TabTRADER[[#This Row],[A]])/TabTRADER[[#This Row],[A]]*ComFactor,""))</f>
        <v>-0.59720639618822369</v>
      </c>
      <c r="AV73" s="762" cm="1">
        <f t="array" aca="1" ref="AV73" ca="1">_xlfn.IFS(               TabTRADER[[#This Row],[Traps]]=NoStock,(TabTRADER[[#This Row],[L_Sp]]-TabTRADER[[#This Row],[M]])/TabTRADER[[#This Row],[M]]-Commission,             TabTRADER[[#This Row],[A]]&lt;&gt;0,(TabTRADER[[#This Row],[A]]-TabTRADER[[#This Row],[M]])/TabTRADER[[#This Row],[M]]-Commission)</f>
        <v>1.4896937060960842</v>
      </c>
      <c r="AW73" s="324">
        <f ca="1">_xlfn.XLOOKUP(TabTRADER[[#This Row],[ClickTick]],TabCalc[Ticker],TabCalc[L_Sn])</f>
        <v>200</v>
      </c>
      <c r="AX73" s="728">
        <f ca="1">_xlfn.XLOOKUP(TabTRADER[[#This Row],[ClickTick]],TabCalc[Ticker],TabCalc[L_Sp])</f>
        <v>124.1</v>
      </c>
      <c r="AY73" s="764">
        <f ca="1">-IFERROR((TabTRADER[[#This Row],[M]]-TabTRADER[[#This Row],[L_Sp]])/TabTRADER[[#This Row],[L_Sp]],0)</f>
        <v>0.800402900886382</v>
      </c>
      <c r="AZ73" s="729">
        <f ca="1">TabTRADER[[#This Row],[L_Sn]]*(TabTRADER[[#This Row],[M]]-TabTRADER[[#This Row],[L_Sp]])*(1-Commission)*TabTRADER[[#This Row],[Scale]]</f>
        <v>-19814.348399999999</v>
      </c>
      <c r="BA73" s="692">
        <f ca="1">TabTRADER[[#This Row],[L_Sn]]*(TabTRADER[[#This Row],[Agiotage]]-TabTRADER[[#This Row],[M]])/(TabTRADER[[#This Row],[L_Bn]]*TabTRADER[[#This Row],[M]])</f>
        <v>-6.6663684710023791E-2</v>
      </c>
      <c r="BB73" s="635">
        <f ca="1">IFERROR((TabTRADER[[#This Row],[M]]-TabTRADER[[#This Row],[A]])/TabTRADER[[#This Row],[A]],0)</f>
        <v>-0.59876318045741295</v>
      </c>
      <c r="BC73" s="638" t="str">
        <f ca="1">TEXT(_xlfn.XLOOKUP(TabTRADER[[#This Row],[ClickTick]],TabCalc[Ticker],TabCalc[NAfter]),"#,#0")&amp;" : "&amp;TEXT(_xlfn.XLOOKUP(TabTRADER[[#This Row],[ClickTick]],TabCalc[Ticker],TabCalc[NAfter])*(TabTRADER[[#This Row],[M]]-TabTRADER[[#This Row],[A]])*(1-Commission)*TabTRADER[[#This Row],[Scale]],"#,#0$")</f>
        <v>5,000 : -184,340$</v>
      </c>
      <c r="BD73" s="684">
        <f ca="1">_xlfn.XLOOKUP(TabTRADER[[#This Row],[ClickTick]],TabCalc[[#This Row],[Ticker]],TabCalc[[#This Row],[GL]])*(1-Commission)</f>
        <v>-174113.12181039999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0.56691966088009704</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-0.12879823868084855</v>
      </c>
      <c r="BO73" s="687">
        <f ca="1">(TabTRADER[[#This Row],[M]]-TabTRADER[[#This Row],[Agiotage]])/(TabTRADER[[#This Row],[M]]-TabTRADER[[#This Row],[A]])-1</f>
        <v>-1.6700793996285694</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+15,920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-10,600$</v>
      </c>
      <c r="G74" s="225" t="str">
        <f ca="1">IFERROR(TRUNC(_xlfn.XLOOKUP(TabTRADER[[#This Row],[ClickTick]],TabCalc[Ticker],ListLastSalep),2)&amp;"x"&amp;_xlfn.XLOOKUP(TabTRADER[[#This Row],[ClickTick]],TabCalc[Ticker],ListLastSalen)&amp;"=   "&amp;TEXT(-_xlfn.XLOOKUP(TabTRADER[[#This Row],[ClickTick]],TabCalc[Ticker],ListReverseB),"#,#0")&amp;"$","")</f>
        <v>1.91x12000=   -6,000$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35.5% = 10,000</v>
      </c>
      <c r="I74" s="226" t="str">
        <f ca="1">IFERROR(TRUNC(TabCalc[[#This Row],[L_S1p]],2)&amp;"x"&amp;TabCalc[[#This Row],[L_S1n]]&amp;"=   "&amp;TEXT(TabCalc[[#This Row],[ReverseB1]],"#,#0"),"")</f>
        <v>1.52x28000=   3,080</v>
      </c>
      <c r="J74" s="295">
        <f ca="1">_xlfn.XLOOKUP(TabTRADER[[#This Row],[ClickTick]],TabCalc[Ticker],ListGravity)</f>
        <v>1.7021276595744681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126900</v>
      </c>
      <c r="M74" s="323">
        <f ca="1">_xlfn.XLOOKUP(TabTRADER[[#This Row],[ClickTick]],TabCalc[Ticker],TabCalc[Agiotage])</f>
        <v>6.7201642321426539E-5</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0.39328063241106709</v>
      </c>
      <c r="S74" s="683">
        <f ca="1">_xlfn.XLOOKUP(TabTRADER[[#This Row],[ClickTick]],TabCalc[Ticker],TabCalc[Rev(MinStock)])*(1-Commission)</f>
        <v>15878.607999999997</v>
      </c>
      <c r="T74" s="782">
        <f ca="1">_xlfn.XLOOKUP(TabTRADER[[#This Row],[ClickTick]],TabCalc[Ticker],TabCalc[Agiotage])</f>
        <v>6.7201642321426539E-5</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1,200/1,200=&gt;5.3% / -3.4%</v>
      </c>
      <c r="V74" s="739" t="str">
        <f ca="1">_xlfn.XLOOKUP(TabTRADER[[#This Row],[ClickTick]],[1]!RTData[Ticker_Symbol],[1]!RTData[Currency])</f>
        <v>USD</v>
      </c>
      <c r="W74" s="749">
        <f ca="1">_xlfn.XLOOKUP(TabTRADER[[#This Row],[ClickTick]],TabCalc[Ticker],TabCalc[M])</f>
        <v>1.41</v>
      </c>
      <c r="X74" s="1343"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-275/169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5984.4</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5984.4</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0.26178010471204188</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0.98320158102766775</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-94168.5236</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-0.35722125380290881</v>
      </c>
      <c r="AV74" s="762" cm="1">
        <f t="array" aca="1" ref="AV74" ca="1">_xlfn.IFS(               TabTRADER[[#This Row],[Traps]]=NoStock,(TabTRADER[[#This Row],[L_Sp]]-TabTRADER[[#This Row],[M]])/TabTRADER[[#This Row],[M]]-Commission,             TabTRADER[[#This Row],[A]]&lt;&gt;0,(TabTRADER[[#This Row],[A]]-TabTRADER[[#This Row],[M]])/TabTRADER[[#This Row],[M]]-Commission)</f>
        <v>0.55540236406619392</v>
      </c>
      <c r="AW74" s="324">
        <f ca="1">_xlfn.XLOOKUP(TabTRADER[[#This Row],[ClickTick]],TabCalc[Ticker],TabCalc[L_Sn])</f>
        <v>12000</v>
      </c>
      <c r="AX74" s="728">
        <f ca="1">_xlfn.XLOOKUP(TabTRADER[[#This Row],[ClickTick]],TabCalc[Ticker],TabCalc[L_Sp])</f>
        <v>1.91</v>
      </c>
      <c r="AY74" s="764">
        <f ca="1">-IFERROR((TabTRADER[[#This Row],[M]]-TabTRADER[[#This Row],[L_Sp]])/TabTRADER[[#This Row],[L_Sp]],0)</f>
        <v>0.26178010471204188</v>
      </c>
      <c r="AZ74" s="729">
        <f ca="1">TabTRADER[[#This Row],[L_Sn]]*(TabTRADER[[#This Row],[M]]-TabTRADER[[#This Row],[L_Sp]])*(1-Commission)*TabTRADER[[#This Row],[Scale]]</f>
        <v>-5984.4</v>
      </c>
      <c r="BA74" s="692">
        <f ca="1">TabTRADER[[#This Row],[L_Sn]]*(TabTRADER[[#This Row],[Agiotage]]-TabTRADER[[#This Row],[M]])/(TabTRADER[[#This Row],[L_Bn]]*TabTRADER[[#This Row],[M]])</f>
        <v>-0.29998570177822947</v>
      </c>
      <c r="BB74" s="635">
        <f ca="1">IFERROR((TabTRADER[[#This Row],[M]]-TabTRADER[[#This Row],[A]])/TabTRADER[[#This Row],[A]],0)</f>
        <v>-0.35815245017335956</v>
      </c>
      <c r="BC74" s="638" t="str">
        <f ca="1">TEXT(_xlfn.XLOOKUP(TabTRADER[[#This Row],[ClickTick]],TabCalc[Ticker],TabCalc[NAfter]),"#,#0")&amp;" : "&amp;TEXT(_xlfn.XLOOKUP(TabTRADER[[#This Row],[ClickTick]],TabCalc[Ticker],TabCalc[NAfter])*(TabTRADER[[#This Row],[M]]-TabTRADER[[#This Row],[A]])*(1-Commission)*TabTRADER[[#This Row],[Scale]],"#,#0$")</f>
        <v>120,000 : -94,169$</v>
      </c>
      <c r="BD74" s="684">
        <f ca="1">_xlfn.XLOOKUP(TabTRADER[[#This Row],[ClickTick]],TabCalc[[#This Row],[Ticker]],TabCalc[[#This Row],[GL]])*(1-Commission)</f>
        <v>-273876.95368600002</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-1.2924383984945387E-4</v>
      </c>
      <c r="BO74" s="687">
        <f ca="1">(TabTRADER[[#This Row],[M]]-TabTRADER[[#This Row],[Agiotage]])/(TabTRADER[[#This Row],[M]]-TabTRADER[[#This Row],[A]])-1</f>
        <v>-2.7920216896108778</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+16,216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9.8%</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3,086/17,000=50,895</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15,684$</v>
      </c>
      <c r="G75" s="225" t="str">
        <f ca="1">IFERROR(TRUNC(_xlfn.XLOOKUP(TabTRADER[[#This Row],[ClickTick]],TabCalc[Ticker],ListLastSalep),2)&amp;"x"&amp;_xlfn.XLOOKUP(TabTRADER[[#This Row],[ClickTick]],TabCalc[Ticker],ListLastSalen)&amp;"=   "&amp;TEXT(-_xlfn.XLOOKUP(TabTRADER[[#This Row],[ClickTick]],TabCalc[Ticker],ListReverseB),"#,#0")&amp;"$","")</f>
        <v>15.86x5000=   3,150$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75" s="226" t="str">
        <f ca="1">IFERROR(TRUNC(TabCalc[[#This Row],[L_S1p]],2)&amp;"x"&amp;TabCalc[[#This Row],[L_S1n]]&amp;"=   "&amp;TEXT(TabCalc[[#This Row],[ReverseB1]],"#,#0"),"")</f>
        <v>15.21x2000=   -2,560</v>
      </c>
      <c r="J75" s="295">
        <f ca="1">_xlfn.XLOOKUP(TabTRADER[[#This Row],[ClickTick]],TabCalc[Ticker],ListGravity)</f>
        <v>0.97772771376591883</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159952.99999999997</v>
      </c>
      <c r="M75" s="323">
        <f ca="1">_xlfn.XLOOKUP(TabTRADER[[#This Row],[ClickTick]],TabCalc[Ticker],TabCalc[Agiotage])</f>
        <v>0.20727782625951161</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0.10894418291862806</v>
      </c>
      <c r="S75" s="683">
        <f ca="1">_xlfn.XLOOKUP(TabTRADER[[#This Row],[ClickTick]],TabCalc[Ticker],TabCalc[Rev(MinStock)])*(1-Commission)</f>
        <v>16174.037879999991</v>
      </c>
      <c r="T75" s="782">
        <f ca="1">_xlfn.XLOOKUP(TabTRADER[[#This Row],[ClickTick]],TabCalc[Ticker],TabCalc[Agiotage])</f>
        <v>0.20727782625951161</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340/340=&gt;-0.1% / 0.1%</v>
      </c>
      <c r="V75" s="739" t="str">
        <f ca="1">_xlfn.XLOOKUP(TabTRADER[[#This Row],[ClickTick]],[1]!RTData[Ticker_Symbol],[1]!RTData[Currency])</f>
        <v>EUR</v>
      </c>
      <c r="W75" s="749">
        <f ca="1">_xlfn.XLOOKUP(TabTRADER[[#This Row],[ClickTick]],TabCalc[Ticker],TabCalc[M])</f>
        <v>16.489999999999998</v>
      </c>
      <c r="X75" s="1343"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^44/280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3141.8099999999949</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27119.804699999968</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0.10741310621218722</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3.560497271073372E-2</v>
      </c>
      <c r="AL75" s="825" cm="1">
        <f t="array" aca="1" ref="AL75" ca="1">_xlfn.IFS(   TabTRADER[[#This Row],[Traps]]=SellMorePercentGain,                     MIN(TabTRADER[[#This Row],[L_Sn]],TabTRADER[[#This Row],[N]])*(TabTRADER[[#This Row],[M]]-TabTRADER[[#This Row],[L_Sp]])*(1-Commission)*TabTRADER[[#This Row],[Scale]],                    TRUE,"")</f>
        <v>3141.8099999999949</v>
      </c>
      <c r="AM75" s="1175">
        <f ca="1">_xlfn.XLOOKUP(TabTRADER[[#This Row],[ClickTick]],TabCalc[Ticker],TabCalc[Ann%RevLB])</f>
        <v>0.66474416696112038</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0.10481310621218722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30032.827162694841</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10,010x1.59</v>
      </c>
      <c r="AU75" s="765" cm="1">
        <f t="array" aca="1" ref="AU75" ca="1">_xlfn.IFS(TabTRADER[[#This Row],[Traps]]=ReSaleGain,"",         TabTRADER[[#This Row],[Traps]]=MDown, (TabTRADER[[#This Row],[M]]-TabTRADER[[#This Row],[A]])/TabTRADER[[#This Row],[A]]*ComFactor,             TRUE, IFERROR((TabTRADER[[#This Row],[M]]-TabTRADER[[#This Row],[A]])/TabTRADER[[#This Row],[A]]*ComFactor,""))</f>
        <v>0.10713383213603553</v>
      </c>
      <c r="AV75" s="762" cm="1">
        <f t="array" aca="1" ref="AV75" ca="1">_xlfn.IFS(               TabTRADER[[#This Row],[Traps]]=NoStock,(TabTRADER[[#This Row],[L_Sp]]-TabTRADER[[#This Row],[M]])/TabTRADER[[#This Row],[M]]-Commission,             TabTRADER[[#This Row],[A]]&lt;&gt;0,(TabTRADER[[#This Row],[A]]-TabTRADER[[#This Row],[M]])/TabTRADER[[#This Row],[M]]-Commission)</f>
        <v>-9.9594613491242365E-2</v>
      </c>
      <c r="AW75" s="324">
        <f ca="1">_xlfn.XLOOKUP(TabTRADER[[#This Row],[ClickTick]],TabCalc[Ticker],TabCalc[L_Sn])</f>
        <v>5000</v>
      </c>
      <c r="AX75" s="728">
        <f ca="1">_xlfn.XLOOKUP(TabTRADER[[#This Row],[ClickTick]],TabCalc[Ticker],TabCalc[L_Sp])</f>
        <v>15.86</v>
      </c>
      <c r="AY75" s="764">
        <f ca="1">-IFERROR((TabTRADER[[#This Row],[M]]-TabTRADER[[#This Row],[L_Sp]])/TabTRADER[[#This Row],[L_Sp]],0)</f>
        <v>-3.9722572509457696E-2</v>
      </c>
      <c r="AZ75" s="729">
        <f ca="1">TabTRADER[[#This Row],[L_Sn]]*(TabTRADER[[#This Row],[M]]-TabTRADER[[#This Row],[L_Sp]])*(1-Commission)*TabTRADER[[#This Row],[Scale]]</f>
        <v>3141.8099999999949</v>
      </c>
      <c r="BA75" s="692">
        <f ca="1">TabTRADER[[#This Row],[L_Sn]]*(TabTRADER[[#This Row],[Agiotage]]-TabTRADER[[#This Row],[M]])/(TabTRADER[[#This Row],[L_Bn]]*TabTRADER[[#This Row],[M]])</f>
        <v>-0.49322182286302202</v>
      </c>
      <c r="BB75" s="635">
        <f ca="1">IFERROR((TabTRADER[[#This Row],[M]]-TabTRADER[[#This Row],[A]])/TabTRADER[[#This Row],[A]],0)</f>
        <v>0.10741310621218722</v>
      </c>
      <c r="BC75" s="638" t="str">
        <f ca="1">TEXT(_xlfn.XLOOKUP(TabTRADER[[#This Row],[ClickTick]],TabCalc[Ticker],TabCalc[NAfter]),"#,#0")&amp;" : "&amp;TEXT(_xlfn.XLOOKUP(TabTRADER[[#This Row],[ClickTick]],TabCalc[Ticker],TabCalc[NAfter])*(TabTRADER[[#This Row],[M]]-TabTRADER[[#This Row],[A]])*(1-Commission)*TabTRADER[[#This Row],[Scale]],"#,#0$")</f>
        <v>17,000 : 27,120$</v>
      </c>
      <c r="BD75" s="684">
        <f ca="1">_xlfn.XLOOKUP(TabTRADER[[#This Row],[ClickTick]],TabCalc[[#This Row],[Ticker]],TabCalc[[#This Row],[GL]])*(1-Commission)</f>
        <v>43414.364406400076</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3.8204972710733719E-2</v>
      </c>
      <c r="BJ75" s="679">
        <f ca="1">TabTRADER[[#This Row],[L_Sn]]*TabTRADER[[#This Row],[L_Sp]]+TabTRADER[[#This Row],[SellMore]]*TabTRADER[[#This Row],[M]]</f>
        <v>194565.09999999998</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16.227281067556294</v>
      </c>
      <c r="BN75" s="687">
        <f ca="1">((_xlfn.XLOOKUP(TabTRADER[[#This Row],[ClickTick]],TabCalc[Ticker],TabCalc[NAfter])+TabTRADER[[#This Row],[L_Sn]])*(TabTRADER[[#This Row],[Agiotage]]-TabTRADER[[#This Row],[M]]))/(TabTRADER[[#This Row],[L_Sn]]*_xlfn.XLOOKUP(TabTRADER[[#This Row],[ClickTick]],TabCalc[Ticker],TabCalc[NAfter]))</f>
        <v>-4.2143516214387146E-3</v>
      </c>
      <c r="BO75" s="687">
        <f ca="1">(TabTRADER[[#This Row],[M]]-TabTRADER[[#This Row],[Agiotage]])/(TabTRADER[[#This Row],[M]]-TabTRADER[[#This Row],[A]])-1</f>
        <v>9.1802569630418223</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+2,078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14,620</v>
      </c>
      <c r="F76" s="226" t="str">
        <f ca="1">TRUNC(TabCalc[[#This Row],[L_B1p]],2)&amp;"x"&amp;TabCalc[[#This Row],[L_B1n]]&amp;"=   "&amp;TEXT(TabCalc[[#This Row],[ReverseS1]],"#,#0")&amp;"$"</f>
        <v>-480.9x10000=   -1,950$</v>
      </c>
      <c r="G76" s="225" t="str">
        <f ca="1">IFERROR(TRUNC(_xlfn.XLOOKUP(TabTRADER[[#This Row],[ClickTick]],TabCalc[Ticker],ListLastSalep),2)&amp;"x"&amp;_xlfn.XLOOKUP(TabTRADER[[#This Row],[ClickTick]],TabCalc[Ticker],ListLastSalen)&amp;"=   "&amp;TEXT(-_xlfn.XLOOKUP(TabTRADER[[#This Row],[ClickTick]],TabCalc[Ticker],ListReverseB),"#,#0")&amp;"$","")</f>
        <v>495.6x10000=   -3,420$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7.4% = 146</v>
      </c>
      <c r="I76" s="226" t="str">
        <f ca="1">IFERROR(TRUNC(TabCalc[[#This Row],[L_S1p]],2)&amp;"x"&amp;TabCalc[[#This Row],[L_S1n]]&amp;"=   "&amp;TEXT(TabCalc[[#This Row],[ReverseB1]],"#,#0"),"")</f>
        <v>544.2x18000=   14,904</v>
      </c>
      <c r="J76" s="295">
        <f ca="1">_xlfn.XLOOKUP(TabTRADER[[#This Row],[ClickTick]],TabCalc[Ticker],ListGravity)</f>
        <v>1.3572821846553966</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48723.840000000004</v>
      </c>
      <c r="M76" s="323">
        <f ca="1">_xlfn.XLOOKUP(TabTRADER[[#This Row],[ClickTick]],TabCalc[Ticker],TabCalc[Agiotage])</f>
        <v>0.15127421790290552</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2.3037183211015246E-2</v>
      </c>
      <c r="S76" s="683">
        <f ca="1">_xlfn.XLOOKUP(TabTRADER[[#This Row],[ClickTick]],TabCalc[Ticker],TabCalc[Rev(MinStock)])*(1-Commission)</f>
        <v>2072.597199999997</v>
      </c>
      <c r="T76" s="782">
        <f ca="1">_xlfn.XLOOKUP(TabTRADER[[#This Row],[ClickTick]],TabCalc[Ticker],TabCalc[Agiotage])</f>
        <v>0.15127421790290552</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-1,980/-1,980=&gt;-1.5% / -1.7%</v>
      </c>
      <c r="V76" s="739" t="str">
        <f ca="1">_xlfn.XLOOKUP(TabTRADER[[#This Row],[ClickTick]],[1]!RTData[Ticker_Symbol],[1]!RTData[Currency])</f>
        <v>GBp</v>
      </c>
      <c r="W76" s="749">
        <f ca="1">_xlfn.XLOOKUP(TabTRADER[[#This Row],[ClickTick]],TabCalc[Ticker],TabCalc[M])</f>
        <v>461.4</v>
      </c>
      <c r="X76" s="1343"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^30/138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3411.1080000000047</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3411.1080000000047</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6.9007263922518242E-2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0.140565863660432</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127.66719999998594</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9.2317126081035723E-4</v>
      </c>
      <c r="AV76" s="762" cm="1">
        <f t="array" aca="1" ref="AV76" ca="1">_xlfn.IFS(               TabTRADER[[#This Row],[Traps]]=NoStock,(TabTRADER[[#This Row],[L_Sp]]-TabTRADER[[#This Row],[M]])/TabTRADER[[#This Row],[M]]-Commission,             TabTRADER[[#This Row],[A]]&lt;&gt;0,(TabTRADER[[#This Row],[A]]-TabTRADER[[#This Row],[M]])/TabTRADER[[#This Row],[M]]-Commission)</f>
        <v>-3.5247218610026435E-3</v>
      </c>
      <c r="AW76" s="324">
        <f ca="1">_xlfn.XLOOKUP(TabTRADER[[#This Row],[ClickTick]],TabCalc[Ticker],TabCalc[L_Sn])</f>
        <v>10000</v>
      </c>
      <c r="AX76" s="728">
        <f ca="1">_xlfn.XLOOKUP(TabTRADER[[#This Row],[ClickTick]],TabCalc[Ticker],TabCalc[L_Sp])</f>
        <v>495.6</v>
      </c>
      <c r="AY76" s="764">
        <f ca="1">-IFERROR((TabTRADER[[#This Row],[M]]-TabTRADER[[#This Row],[L_Sp]])/TabTRADER[[#This Row],[L_Sp]],0)</f>
        <v>6.9007263922518242E-2</v>
      </c>
      <c r="AZ76" s="729">
        <f ca="1">TabTRADER[[#This Row],[L_Sn]]*(TabTRADER[[#This Row],[M]]-TabTRADER[[#This Row],[L_Sp]])*(1-Commission)*TabTRADER[[#This Row],[Scale]]</f>
        <v>-3411.1080000000047</v>
      </c>
      <c r="BA76" s="692">
        <f ca="1">TabTRADER[[#This Row],[L_Sn]]*(TabTRADER[[#This Row],[Agiotage]]-TabTRADER[[#This Row],[M]])/(TabTRADER[[#This Row],[L_Bn]]*TabTRADER[[#This Row],[M]])</f>
        <v>-0.49983607041839739</v>
      </c>
      <c r="BB76" s="635">
        <f ca="1">IFERROR((TabTRADER[[#This Row],[M]]-TabTRADER[[#This Row],[A]])/TabTRADER[[#This Row],[A]],0)</f>
        <v>9.2557776299414206E-4</v>
      </c>
      <c r="BC76" s="638" t="str">
        <f ca="1">TEXT(_xlfn.XLOOKUP(TabTRADER[[#This Row],[ClickTick]],TabCalc[Ticker],TabCalc[NAfter]),"#,#0")&amp;" : "&amp;TEXT(_xlfn.XLOOKUP(TabTRADER[[#This Row],[ClickTick]],TabCalc[Ticker],TabCalc[NAfter])*(TabTRADER[[#This Row],[M]]-TabTRADER[[#This Row],[A]])*(1-Commission)*TabTRADER[[#This Row],[Scale]],"#,#0$")</f>
        <v>30,000 : 128$</v>
      </c>
      <c r="BD76" s="684">
        <f ca="1">_xlfn.XLOOKUP(TabTRADER[[#This Row],[ClickTick]],TabCalc[[#This Row],[Ticker]],TabCalc[[#This Row],[GL]])*(1-Commission)</f>
        <v>30390.182552200004</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14184000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156">
        <f ca="1">TabTRADER[[#This Row],[ReBuy]]/(TabTRADER[[#This Row],[L_Sn]]+TabTRADER[[#This Row],[SellMore]])</f>
        <v>472.8</v>
      </c>
      <c r="BN76" s="687">
        <f ca="1">((_xlfn.XLOOKUP(TabTRADER[[#This Row],[ClickTick]],TabCalc[Ticker],TabCalc[NAfter])+TabTRADER[[#This Row],[L_Sn]])*(TabTRADER[[#This Row],[Agiotage]]-TabTRADER[[#This Row],[M]]))/(TabTRADER[[#This Row],[L_Sn]]*_xlfn.XLOOKUP(TabTRADER[[#This Row],[ClickTick]],TabCalc[Ticker],TabCalc[NAfter]))</f>
        <v>-6.1499830104279618E-2</v>
      </c>
      <c r="BO76" s="687">
        <f ca="1">(TabTRADER[[#This Row],[M]]-TabTRADER[[#This Row],[Agiotage]])/(TabTRADER[[#This Row],[M]]-TabTRADER[[#This Row],[A]])-1</f>
        <v>1080.051701051909</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3,510$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77" s="226" t="str">
        <f ca="1">IFERROR(TRUNC(TabCalc[[#This Row],[L_S1p]],2)&amp;"x"&amp;TabCalc[[#This Row],[L_S1n]]&amp;"=   "&amp;TEXT(TabCalc[[#This Row],[ReverseB1]],"#,#0"),"")</f>
        <v>11.41x2000=   -3,560</v>
      </c>
      <c r="J77" s="295">
        <f ca="1">_xlfn.XLOOKUP(TabTRADER[[#This Row],[ClickTick]],TabCalc[Ticker],ListGravity)</f>
        <v>0.92987111448066728</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6.9210674470169585E-5</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0.42826204656199246</v>
      </c>
      <c r="S77" s="683">
        <f ca="1">_xlfn.XLOOKUP(TabTRADER[[#This Row],[ClickTick]],TabCalc[Ticker],TabCalc[Rev(MinStock)])*(1-Commission)</f>
        <v>0</v>
      </c>
      <c r="T77" s="782">
        <f ca="1">_xlfn.XLOOKUP(TabTRADER[[#This Row],[ClickTick]],TabCalc[Ticker],TabCalc[Agiotage])</f>
        <v>6.9210674470169585E-5</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-0.7%</v>
      </c>
      <c r="V77" s="739" t="str">
        <f ca="1">_xlfn.XLOOKUP(TabTRADER[[#This Row],[ClickTick]],[1]!RTData[Ticker_Symbol],[1]!RTData[Currency])</f>
        <v>USD</v>
      </c>
      <c r="W77" s="749">
        <f ca="1">_xlfn.XLOOKUP(TabTRADER[[#This Row],[ClickTick]],TabCalc[Ticker],TabCalc[M])</f>
        <v>13.19</v>
      </c>
      <c r="X77" s="1343"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0.56681741456734291</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-1.0%</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-9.1303563305534505E-2</v>
      </c>
      <c r="AW77" s="324">
        <f ca="1">_xlfn.XLOOKUP(TabTRADER[[#This Row],[ClickTick]],TabCalc[Ticker],TabCalc[L_Sn])</f>
        <v>3000</v>
      </c>
      <c r="AX77" s="728">
        <f ca="1">_xlfn.XLOOKUP(TabTRADER[[#This Row],[ClickTick]],TabCalc[Ticker],TabCalc[L_Sp])</f>
        <v>12.02</v>
      </c>
      <c r="AY77" s="764">
        <f ca="1">-IFERROR((TabTRADER[[#This Row],[M]]-TabTRADER[[#This Row],[L_Sp]])/TabTRADER[[#This Row],[L_Sp]],0)</f>
        <v>-9.7337770382695504E-2</v>
      </c>
      <c r="AZ77" s="729">
        <f ca="1">TabTRADER[[#This Row],[L_Sn]]*(TabTRADER[[#This Row],[M]]-TabTRADER[[#This Row],[L_Sp]])*(1-Commission)*TabTRADER[[#This Row],[Scale]]</f>
        <v>3500.8739999999998</v>
      </c>
      <c r="BA77" s="692">
        <f ca="1">TabTRADER[[#This Row],[L_Sn]]*(TabTRADER[[#This Row],[Agiotage]]-TabTRADER[[#This Row],[M]])/(TabTRADER[[#This Row],[L_Bn]]*TabTRADER[[#This Row],[M]])</f>
        <v>-0.29999842583757835</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-5.2472080720455949E-6</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50.3%</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54,320$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46.6% = 0</v>
      </c>
      <c r="I78" s="226" t="str">
        <f ca="1">IFERROR(TRUNC(TabCalc[[#This Row],[L_S1p]],2)&amp;"x"&amp;TabCalc[[#This Row],[L_S1n]]&amp;"=   "&amp;TEXT(TabCalc[[#This Row],[ReverseB1]],"#,#0"),"")</f>
        <v>23.05x2000=   -70,402</v>
      </c>
      <c r="J78" s="295">
        <f ca="1">_xlfn.XLOOKUP(TabTRADER[[#This Row],[ClickTick]],TabCalc[Ticker],ListGravity)</f>
        <v>1.1103005492619293</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0.14082448702358652</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1.0131306150656529</v>
      </c>
      <c r="S78" s="683">
        <f ca="1">_xlfn.XLOOKUP(TabTRADER[[#This Row],[ClickTick]],TabCalc[Ticker],TabCalc[Rev(MinStock)])*(1-Commission)</f>
        <v>0</v>
      </c>
      <c r="T78" s="782">
        <f ca="1">_xlfn.XLOOKUP(TabTRADER[[#This Row],[ClickTick]],TabCalc[Ticker],TabCalc[Agiotage])</f>
        <v>0.14082448702358652</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0.5%</v>
      </c>
      <c r="V78" s="739" t="str">
        <f ca="1">_xlfn.XLOOKUP(TabTRADER[[#This Row],[ClickTick]],[1]!RTData[Ticker_Symbol],[1]!RTData[Currency])</f>
        <v>EUR</v>
      </c>
      <c r="W78" s="749">
        <f ca="1">_xlfn.XLOOKUP(TabTRADER[[#This Row],[ClickTick]],TabCalc[Ticker],TabCalc[M])</f>
        <v>58.26</v>
      </c>
      <c r="X78" s="1343"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1.1997599388935363</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0x58.26</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-0.46878606247854443</v>
      </c>
      <c r="AW78" s="324">
        <f ca="1">_xlfn.XLOOKUP(TabTRADER[[#This Row],[ClickTick]],TabCalc[Ticker],TabCalc[L_Sn])</f>
        <v>2000</v>
      </c>
      <c r="AX78" s="728">
        <f ca="1">_xlfn.XLOOKUP(TabTRADER[[#This Row],[ClickTick]],TabCalc[Ticker],TabCalc[L_Sp])</f>
        <v>31.1</v>
      </c>
      <c r="AY78" s="764">
        <f ca="1">-IFERROR((TabTRADER[[#This Row],[M]]-TabTRADER[[#This Row],[L_Sp]])/TabTRADER[[#This Row],[L_Sp]],0)</f>
        <v>-0.87331189710610913</v>
      </c>
      <c r="AZ78" s="729">
        <f ca="1">TabTRADER[[#This Row],[L_Sn]]*(TabTRADER[[#This Row],[M]]-TabTRADER[[#This Row],[L_Sp]])*(1-Commission)*TabTRADER[[#This Row],[Scale]]</f>
        <v>54178.767999999989</v>
      </c>
      <c r="BA78" s="692">
        <f ca="1">TabTRADER[[#This Row],[L_Sn]]*(TabTRADER[[#This Row],[Agiotage]]-TabTRADER[[#This Row],[M]])/(TabTRADER[[#This Row],[L_Bn]]*TabTRADER[[#This Row],[M]])</f>
        <v>-0.99758282720522506</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-2.4171727947749355E-3</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-9,615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-21.2%</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-3,118$</v>
      </c>
      <c r="G79" s="225" t="str">
        <f ca="1">IFERROR(TRUNC(_xlfn.XLOOKUP(TabTRADER[[#This Row],[ClickTick]],TabCalc[Ticker],ListLastSalep),2)&amp;"x"&amp;_xlfn.XLOOKUP(TabTRADER[[#This Row],[ClickTick]],TabCalc[Ticker],ListLastSalen)&amp;"=   "&amp;TEXT(-_xlfn.XLOOKUP(TabTRADER[[#This Row],[ClickTick]],TabCalc[Ticker],ListReverseB),"#,#0")&amp;"$","")</f>
        <v>192.01x200=   -8,180$</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27.1% = 122</v>
      </c>
      <c r="I79" s="226" t="str">
        <f ca="1">IFERROR(TRUNC(TabCalc[[#This Row],[L_S1p]],2)&amp;"x"&amp;TabCalc[[#This Row],[L_S1n]]&amp;"=   "&amp;TEXT(TabCalc[[#This Row],[ReverseB1]],"#,#0"),"")</f>
        <v>189.91x600=   23,280</v>
      </c>
      <c r="J79" s="295">
        <f ca="1">_xlfn.XLOOKUP(TabTRADER[[#This Row],[ClickTick]],TabCalc[Ticker],ListGravity)</f>
        <v>1.3729773013036859</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52888.500000000007</v>
      </c>
      <c r="M79" s="323">
        <f ca="1">_xlfn.XLOOKUP(TabTRADER[[#This Row],[ClickTick]],TabCalc[Ticker],TabCalc[Agiotage])</f>
        <v>1.5818336471835091E-5</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-0.17498362087792085</v>
      </c>
      <c r="S79" s="683">
        <f ca="1">_xlfn.XLOOKUP(TabTRADER[[#This Row],[ClickTick]],TabCalc[Ticker],TabCalc[Rev(MinStock)])*(1-Commission)</f>
        <v>-9590.0009999999947</v>
      </c>
      <c r="T79" s="782">
        <f ca="1">_xlfn.XLOOKUP(TabTRADER[[#This Row],[ClickTick]],TabCalc[Ticker],TabCalc[Agiotage])</f>
        <v>1.5818336471835091E-5</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180/180=&gt;0.5% / -2.3%</v>
      </c>
      <c r="V79" s="739" t="str">
        <f ca="1">_xlfn.XLOOKUP(TabTRADER[[#This Row],[ClickTick]],[1]!RTData[Ticker_Symbol],[1]!RTData[Currency])</f>
        <v>USD</v>
      </c>
      <c r="W79" s="749">
        <f ca="1">_xlfn.XLOOKUP(TabTRADER[[#This Row],[ClickTick]],TabCalc[Ticker],TabCalc[M])</f>
        <v>151.11000000000001</v>
      </c>
      <c r="X79" s="1343"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^15/136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9590.0009999999947</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135999</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0.16485102306501917</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0.20949714777314526</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-2.4228501352327503</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0.21209714777314526</v>
      </c>
      <c r="AP79" s="825" cm="1">
        <f t="array" aca="1" ref="AP79" ca="1">_xlfn.IFS(         TabTRADER[[#This Row],[Traps]]=MDown,TabTRADER[[#This Row],[L_Bn]]*TabTRADER[[#This Row],[M]]*(-(TabTRADER[[#This Row],[L_Bp]]+TabTRADER[[#This Row],[M]])/TabTRADER[[#This Row],[M]])*(1-Commission)*TabTRADER[[#This Row],[Scale]],                               TRUE,"")</f>
        <v>9590.0009999999947</v>
      </c>
      <c r="AQ79" s="1186" cm="1">
        <f t="array" aca="1" ref="AQ79" ca="1">_xlfn.IFS(   TabTRADER[[#This Row],[Traps]]=MUp,TabTRADER[[#This Row],[TakeGain_A]]-Commission,        TabTRADER[[#This Row],[Traps]]=MDown,(TabTRADER[[#This Row],[A]]-TabTRADER[[#This Row],[M]])/TabTRADER[[#This Row],[M]]-Commission,                              TRUE,"")</f>
        <v>0.19479115728792107</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26775.202999999976</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-32.049999999999997</v>
      </c>
      <c r="AU79" s="765" cm="1">
        <f t="array" aca="1" ref="AU79" ca="1">_xlfn.IFS(TabTRADER[[#This Row],[Traps]]=ReSaleGain,"",         TabTRADER[[#This Row],[Traps]]=MDown, (TabTRADER[[#This Row],[M]]-TabTRADER[[#This Row],[A]])/TabTRADER[[#This Row],[A]]*ComFactor,             TRUE, IFERROR((TabTRADER[[#This Row],[M]]-TabTRADER[[#This Row],[A]])/TabTRADER[[#This Row],[A]]*ComFactor,""))</f>
        <v>-0.16442241040505012</v>
      </c>
      <c r="AV79" s="762" cm="1">
        <f t="array" aca="1" ref="AV79" ca="1">_xlfn.IFS(               TabTRADER[[#This Row],[Traps]]=NoStock,(TabTRADER[[#This Row],[L_Sp]]-TabTRADER[[#This Row],[M]])/TabTRADER[[#This Row],[M]]-Commission,             TabTRADER[[#This Row],[A]]&lt;&gt;0,(TabTRADER[[#This Row],[A]]-TabTRADER[[#This Row],[M]])/TabTRADER[[#This Row],[M]]-Commission)</f>
        <v>0.19479115728792107</v>
      </c>
      <c r="AW79" s="324">
        <f ca="1">_xlfn.XLOOKUP(TabTRADER[[#This Row],[ClickTick]],TabCalc[Ticker],TabCalc[L_Sn])</f>
        <v>200</v>
      </c>
      <c r="AX79" s="728">
        <f ca="1">_xlfn.XLOOKUP(TabTRADER[[#This Row],[ClickTick]],TabCalc[Ticker],TabCalc[L_Sp])</f>
        <v>192.01</v>
      </c>
      <c r="AY79" s="764">
        <f ca="1">-IFERROR((TabTRADER[[#This Row],[M]]-TabTRADER[[#This Row],[L_Sp]])/TabTRADER[[#This Row],[L_Sp]],0)</f>
        <v>0.21300973907608967</v>
      </c>
      <c r="AZ79" s="729">
        <f ca="1">TabTRADER[[#This Row],[L_Sn]]*(TabTRADER[[#This Row],[M]]-TabTRADER[[#This Row],[L_Sp]])*(1-Commission)*TabTRADER[[#This Row],[Scale]]</f>
        <v>-8158.7319999999954</v>
      </c>
      <c r="BA79" s="692">
        <f ca="1">TabTRADER[[#This Row],[L_Sn]]*(TabTRADER[[#This Row],[Agiotage]]-TabTRADER[[#This Row],[M]])/(TabTRADER[[#This Row],[L_Bn]]*TabTRADER[[#This Row],[M]])</f>
        <v>-0.66666659687937491</v>
      </c>
      <c r="BB79" s="635">
        <f ca="1">IFERROR((TabTRADER[[#This Row],[M]]-TabTRADER[[#This Row],[A]])/TabTRADER[[#This Row],[A]],0)</f>
        <v>-0.16485102306501917</v>
      </c>
      <c r="BC79" s="638" t="str">
        <f ca="1">TEXT(_xlfn.XLOOKUP(TabTRADER[[#This Row],[ClickTick]],TabCalc[Ticker],TabCalc[NAfter]),"#,#0")&amp;" : "&amp;TEXT(_xlfn.XLOOKUP(TabTRADER[[#This Row],[ClickTick]],TabCalc[Ticker],TabCalc[NAfter])*(TabTRADER[[#This Row],[M]]-TabTRADER[[#This Row],[A]])*(1-Commission)*TabTRADER[[#This Row],[Scale]],"#,#0$")</f>
        <v>900 : -26,775$</v>
      </c>
      <c r="BD79" s="684">
        <f ca="1">_xlfn.XLOOKUP(TabTRADER[[#This Row],[ClickTick]],TabCalc[[#This Row],[Ticker]],TabCalc[[#This Row],[GL]])*(1-Commission)</f>
        <v>14910.980390000019</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0.21209714777314526</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-0.92344990333238841</v>
      </c>
      <c r="BO79" s="687">
        <f ca="1">(TabTRADER[[#This Row],[M]]-TabTRADER[[#This Row],[Agiotage]])/(TabTRADER[[#This Row],[M]]-TabTRADER[[#This Row],[A]])-1</f>
        <v>-6.066082539150579</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15,858$</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80" s="226" t="str">
        <f ca="1">IFERROR(TRUNC(TabCalc[[#This Row],[L_S1p]],2)&amp;"x"&amp;TabCalc[[#This Row],[L_S1n]]&amp;"=   "&amp;TEXT(TabCalc[[#This Row],[ReverseB1]],"#,#0"),"")</f>
        <v>495.03x100=   -29,545</v>
      </c>
      <c r="J80" s="295">
        <f ca="1">_xlfn.XLOOKUP(TabTRADER[[#This Row],[ClickTick]],TabCalc[Ticker],ListGravity)</f>
        <v>1.0143736716931484</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2.8609005735359916E-4</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0.40754609807844183</v>
      </c>
      <c r="S80" s="683">
        <f ca="1">_xlfn.XLOOKUP(TabTRADER[[#This Row],[ClickTick]],TabCalc[Ticker],TabCalc[Rev(MinStock)])*(1-Commission)</f>
        <v>0</v>
      </c>
      <c r="T80" s="782">
        <f ca="1">_xlfn.XLOOKUP(TabTRADER[[#This Row],[ClickTick]],TabCalc[Ticker],TabCalc[Agiotage])</f>
        <v>2.8609005735359916E-4</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-1.9%</v>
      </c>
      <c r="V80" s="739" t="str">
        <f ca="1">_xlfn.XLOOKUP(TabTRADER[[#This Row],[ClickTick]],[1]!RTData[Ticker_Symbol],[1]!RTData[Currency])</f>
        <v>USD</v>
      </c>
      <c r="W80" s="749">
        <f ca="1">_xlfn.XLOOKUP(TabTRADER[[#This Row],[ClickTick]],TabCalc[Ticker],TabCalc[M])</f>
        <v>790.48</v>
      </c>
      <c r="X80" s="1343"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0.35610824103941519</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0x790.48</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-0.20321228620584963</v>
      </c>
      <c r="AW80" s="324">
        <f ca="1">_xlfn.XLOOKUP(TabTRADER[[#This Row],[ClickTick]],TabCalc[Ticker],TabCalc[L_Sn])</f>
        <v>100</v>
      </c>
      <c r="AX80" s="728">
        <f ca="1">_xlfn.XLOOKUP(TabTRADER[[#This Row],[ClickTick]],TabCalc[Ticker],TabCalc[L_Sp])</f>
        <v>631.9</v>
      </c>
      <c r="AY80" s="764">
        <f ca="1">-IFERROR((TabTRADER[[#This Row],[M]]-TabTRADER[[#This Row],[L_Sp]])/TabTRADER[[#This Row],[L_Sp]],0)</f>
        <v>-0.25095742997309706</v>
      </c>
      <c r="AZ80" s="729">
        <f ca="1">TabTRADER[[#This Row],[L_Sn]]*(TabTRADER[[#This Row],[M]]-TabTRADER[[#This Row],[L_Sp]])*(1-Commission)*TabTRADER[[#This Row],[Scale]]</f>
        <v>15816.769200000002</v>
      </c>
      <c r="BA80" s="692">
        <f ca="1">TabTRADER[[#This Row],[L_Sn]]*(TabTRADER[[#This Row],[Agiotage]]-TabTRADER[[#This Row],[M]])/(TabTRADER[[#This Row],[L_Bn]]*TabTRADER[[#This Row],[M]])</f>
        <v>-0.99999963808058734</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-3.6191941266139338E-7</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-52,383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-537.6%</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-21,720$</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2.4752475247524752</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10266.65</v>
      </c>
      <c r="M81" s="323">
        <f ca="1">_xlfn.XLOOKUP(TabTRADER[[#This Row],[ClickTick]],TabCalc[Ticker],TabCalc[Agiotage])</f>
        <v>2.335548082497526E-3</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-0.8431677018633541</v>
      </c>
      <c r="S81" s="683">
        <f ca="1">_xlfn.XLOOKUP(TabTRADER[[#This Row],[ClickTick]],TabCalc[Ticker],TabCalc[Rev(MinStock)])*(1-Commission)</f>
        <v>-52247.013654000002</v>
      </c>
      <c r="T81" s="782">
        <f ca="1">_xlfn.XLOOKUP(TabTRADER[[#This Row],[ClickTick]],TabCalc[Ticker],TabCalc[Agiotage])</f>
        <v>2.335548082497526E-3</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-2,173/-2,173=&gt;8.3% / -4.7%</v>
      </c>
      <c r="V81" s="739" t="str">
        <f ca="1">_xlfn.XLOOKUP(TabTRADER[[#This Row],[ClickTick]],[1]!RTData[Ticker_Symbol],[1]!RTData[Currency])</f>
        <v>USD</v>
      </c>
      <c r="W81" s="749">
        <f ca="1">_xlfn.XLOOKUP(TabTRADER[[#This Row],[ClickTick]],TabCalc[Ticker],TabCalc[M])</f>
        <v>1.01</v>
      </c>
      <c r="X81" s="1343"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-321/16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52247.013654000002</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15673.18</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0.95340755061909899</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5.3736376237623764</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-1.0151851928789548</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5.3762376237623766</v>
      </c>
      <c r="AP81" s="825" cm="1">
        <f t="array" aca="1" ref="AP81" ca="1">_xlfn.IFS(         TabTRADER[[#This Row],[Traps]]=MDown,TabTRADER[[#This Row],[L_Bn]]*TabTRADER[[#This Row],[M]]*(-(TabTRADER[[#This Row],[L_Bp]]+TabTRADER[[#This Row],[M]])/TabTRADER[[#This Row],[M]])*(1-Commission)*TabTRADER[[#This Row],[Scale]],                               TRUE,"")</f>
        <v>52247.013653999995</v>
      </c>
      <c r="AQ81" s="1186" cm="1">
        <f t="array" aca="1" ref="AQ81" ca="1">_xlfn.IFS(   TabTRADER[[#This Row],[Traps]]=MUp,TabTRADER[[#This Row],[TakeGain_A]]-Commission,        TabTRADER[[#This Row],[Traps]]=MDown,(TabTRADER[[#This Row],[A]]-TabTRADER[[#This Row],[M]])/TabTRADER[[#This Row],[M]]-Commission,                              TRUE,"")</f>
        <v>20.460105079632847</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319881.79928399995</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-5.43</v>
      </c>
      <c r="AU81" s="765" cm="1">
        <f t="array" aca="1" ref="AU81" ca="1">_xlfn.IFS(TabTRADER[[#This Row],[Traps]]=ReSaleGain,"",         TabTRADER[[#This Row],[Traps]]=MDown, (TabTRADER[[#This Row],[M]]-TabTRADER[[#This Row],[A]])/TabTRADER[[#This Row],[A]]*ComFactor,             TRUE, IFERROR((TabTRADER[[#This Row],[M]]-TabTRADER[[#This Row],[A]])/TabTRADER[[#This Row],[A]]*ComFactor,""))</f>
        <v>-0.95092869098748933</v>
      </c>
      <c r="AV81" s="762" cm="1">
        <f t="array" aca="1" ref="AV81" ca="1">_xlfn.IFS(               TabTRADER[[#This Row],[Traps]]=NoStock,(TabTRADER[[#This Row],[L_Sp]]-TabTRADER[[#This Row],[M]])/TabTRADER[[#This Row],[M]]-Commission,             TabTRADER[[#This Row],[A]]&lt;&gt;0,(TabTRADER[[#This Row],[A]]-TabTRADER[[#This Row],[M]])/TabTRADER[[#This Row],[M]]-Commission)</f>
        <v>20.460105079632847</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-0.95340755061909899</v>
      </c>
      <c r="BC81" s="638" t="str">
        <f ca="1">TEXT(_xlfn.XLOOKUP(TabTRADER[[#This Row],[ClickTick]],TabCalc[Ticker],TabCalc[NAfter]),"#,#0")&amp;" : "&amp;TEXT(_xlfn.XLOOKUP(TabTRADER[[#This Row],[ClickTick]],TabCalc[Ticker],TabCalc[NAfter])*(TabTRADER[[#This Row],[M]]-TabTRADER[[#This Row],[A]])*(1-Commission)*TabTRADER[[#This Row],[Scale]],"#,#0$")</f>
        <v>15,518 : -319,882$</v>
      </c>
      <c r="BD81" s="684">
        <f ca="1">_xlfn.XLOOKUP(TabTRADER[[#This Row],[ClickTick]],TabCalc[[#This Row],[Ticker]],TabCalc[[#This Row],[GL]])*(1-Commission)</f>
        <v>-319881.79928399995</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5.3762376237623766</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-1.048756387402024</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+2,565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6,161</v>
      </c>
      <c r="F82" s="226" t="str">
        <f ca="1">TRUNC(TabCalc[[#This Row],[L_B1p]],2)&amp;"x"&amp;TabCalc[[#This Row],[L_B1n]]&amp;"=   "&amp;TEXT(TabCalc[[#This Row],[ReverseS1]],"#,#0")&amp;"$"</f>
        <v>-33.84x1200=   -1,206$</v>
      </c>
      <c r="G82" s="225" t="str">
        <f ca="1">IFERROR(TRUNC(_xlfn.XLOOKUP(TabTRADER[[#This Row],[ClickTick]],TabCalc[Ticker],ListLastSalep),2)&amp;"x"&amp;_xlfn.XLOOKUP(TabTRADER[[#This Row],[ClickTick]],TabCalc[Ticker],ListLastSalen)&amp;"=   "&amp;TEXT(-_xlfn.XLOOKUP(TabTRADER[[#This Row],[ClickTick]],TabCalc[Ticker],ListReverseB),"#,#0")&amp;"$","")</f>
        <v>33.64x1200=   -974$</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6,161</v>
      </c>
      <c r="I82" s="226" t="str">
        <f ca="1">IFERROR(TRUNC(TabCalc[[#This Row],[L_S1p]],2)&amp;"x"&amp;TabCalc[[#This Row],[L_S1n]]&amp;"=   "&amp;TEXT(TabCalc[[#This Row],[ReverseB1]],"#,#0"),"")</f>
        <v>28.54x2000=   -8,590</v>
      </c>
      <c r="J82" s="295">
        <f ca="1">_xlfn.XLOOKUP(TabTRADER[[#This Row],[ClickTick]],TabCalc[Ticker],ListGravity)</f>
        <v>1.0377243794731232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3.330641905530884E-6</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6.9634561884719962E-2</v>
      </c>
      <c r="S82" s="683">
        <f ca="1">_xlfn.XLOOKUP(TabTRADER[[#This Row],[ClickTick]],TabCalc[Ticker],TabCalc[Rev(MinStock)])*(1-Commission)</f>
        <v>2558.4506880000031</v>
      </c>
      <c r="T82" s="782">
        <f ca="1">_xlfn.XLOOKUP(TabTRADER[[#This Row],[ClickTick]],TabCalc[Ticker],TabCalc[Agiotage])</f>
        <v>3.330641905530884E-6</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342/342=&gt;2.7% / -0.6%</v>
      </c>
      <c r="V82" s="739" t="str">
        <f ca="1">_xlfn.XLOOKUP(TabTRADER[[#This Row],[ClickTick]],[1]!RTData[Ticker_Symbol],[1]!RTData[Currency])</f>
        <v>USD</v>
      </c>
      <c r="W82" s="749">
        <f ca="1">_xlfn.XLOOKUP(TabTRADER[[#This Row],[ClickTick]],TabCalc[Ticker],TabCalc[M])</f>
        <v>32.835000000000001</v>
      </c>
      <c r="X82" s="1343"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-18/39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971.29804199999523</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971.29804199999523</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2.4119132659316114E-2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8.644290440861789E-2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2558.4506880000031</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6.9453512023819691E-2</v>
      </c>
      <c r="AV82" s="762" cm="1">
        <f t="array" aca="1" ref="AV82" ca="1">_xlfn.IFS(               TabTRADER[[#This Row],[Traps]]=NoStock,(TabTRADER[[#This Row],[L_Sp]]-TabTRADER[[#This Row],[M]])/TabTRADER[[#This Row],[M]]-Commission,             TabTRADER[[#This Row],[A]]&lt;&gt;0,(TabTRADER[[#This Row],[A]]-TabTRADER[[#This Row],[M]])/TabTRADER[[#This Row],[M]]-Commission)</f>
        <v>-6.7701263895233829E-2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2.4119132659316114E-2</v>
      </c>
      <c r="AZ82" s="729">
        <f ca="1">TabTRADER[[#This Row],[L_Sn]]*(TabTRADER[[#This Row],[M]]-TabTRADER[[#This Row],[L_Sp]])*(1-Commission)*TabTRADER[[#This Row],[Scale]]</f>
        <v>-971.29804199999523</v>
      </c>
      <c r="BA82" s="692">
        <f ca="1">TabTRADER[[#This Row],[L_Sn]]*(TabTRADER[[#This Row],[Agiotage]]-TabTRADER[[#This Row],[M]])/(TabTRADER[[#This Row],[L_Bn]]*TabTRADER[[#This Row],[M]])</f>
        <v>-0.99999989856427884</v>
      </c>
      <c r="BB82" s="635">
        <f ca="1">IFERROR((TabTRADER[[#This Row],[M]]-TabTRADER[[#This Row],[A]])/TabTRADER[[#This Row],[A]],0)</f>
        <v>6.9634561884719962E-2</v>
      </c>
      <c r="BC82" s="638" t="str">
        <f ca="1">TEXT(_xlfn.XLOOKUP(TabTRADER[[#This Row],[ClickTick]],TabCalc[Ticker],TabCalc[NAfter]),"#,#0")&amp;" : "&amp;TEXT(_xlfn.XLOOKUP(TabTRADER[[#This Row],[ClickTick]],TabCalc[Ticker],TabCalc[NAfter])*(TabTRADER[[#This Row],[M]]-TabTRADER[[#This Row],[A]])*(1-Commission)*TabTRADER[[#This Row],[Scale]],"#,#0$")</f>
        <v>1,200 : 2,558$</v>
      </c>
      <c r="BD82" s="684">
        <f ca="1">_xlfn.XLOOKUP(TabTRADER[[#This Row],[ClickTick]],TabCalc[[#This Row],[Ticker]],TabCalc[[#This Row],[GL]])*(1-Commission)</f>
        <v>-18350.614030000004</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79777.829999999987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33.240762499999995</v>
      </c>
      <c r="BN82" s="687">
        <f ca="1">((_xlfn.XLOOKUP(TabTRADER[[#This Row],[ClickTick]],TabCalc[Ticker],TabCalc[NAfter])+TabTRADER[[#This Row],[L_Sn]])*(TabTRADER[[#This Row],[Agiotage]]-TabTRADER[[#This Row],[M]]))/(TabTRADER[[#This Row],[L_Sn]]*_xlfn.XLOOKUP(TabTRADER[[#This Row],[ClickTick]],TabCalc[Ticker],TabCalc[NAfter]))</f>
        <v>-5.4724994448930163E-2</v>
      </c>
      <c r="BO82" s="687">
        <f ca="1">(TabTRADER[[#This Row],[M]]-TabTRADER[[#This Row],[Agiotage]])/(TabTRADER[[#This Row],[M]]-TabTRADER[[#This Row],[A]])-1</f>
        <v>14.360683322117355</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-2,016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-216$</v>
      </c>
      <c r="G83" s="225" t="str">
        <f ca="1">IFERROR(TRUNC(_xlfn.XLOOKUP(TabTRADER[[#This Row],[ClickTick]],TabCalc[Ticker],ListLastSalep),2)&amp;"x"&amp;_xlfn.XLOOKUP(TabTRADER[[#This Row],[ClickTick]],TabCalc[Ticker],ListLastSalen)&amp;"=   "&amp;TEXT(-_xlfn.XLOOKUP(TabTRADER[[#This Row],[ClickTick]],TabCalc[Ticker],ListReverseB),"#,#0")&amp;"$","")</f>
        <v>592.68x100=   -4,695$</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8.6% = 106</v>
      </c>
      <c r="I83" s="226" t="str">
        <f ca="1">IFERROR(TRUNC(TabCalc[[#This Row],[L_S1p]],2)&amp;"x"&amp;TabCalc[[#This Row],[L_S1n]]&amp;"=   "&amp;TEXT(TabCalc[[#This Row],[ReverseB1]],"#,#0"),"")</f>
        <v>546.67x100=   94</v>
      </c>
      <c r="J83" s="295">
        <f ca="1">_xlfn.XLOOKUP(TabTRADER[[#This Row],[ClickTick]],TabCalc[Ticker],ListGravity)</f>
        <v>1.2006041449068219</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2.2444521480915932E-4</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-3.5625298202830884E-2</v>
      </c>
      <c r="S83" s="683">
        <f ca="1">_xlfn.XLOOKUP(TabTRADER[[#This Row],[ClickTick]],TabCalc[Ticker],TabCalc[Rev(MinStock)])*(1-Commission)</f>
        <v>-2010.7583999999968</v>
      </c>
      <c r="T83" s="782">
        <f ca="1">_xlfn.XLOOKUP(TabTRADER[[#This Row],[ClickTick]],TabCalc[Ticker],TabCalc[Agiotage])</f>
        <v>2.2444521480915932E-4</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-2,062/-2,062=&gt;-0.4% / -1.8%</v>
      </c>
      <c r="V83" s="739" t="str">
        <f ca="1">_xlfn.XLOOKUP(TabTRADER[[#This Row],[ClickTick]],[1]!RTData[Ticker_Symbol],[1]!RTData[Currency])</f>
        <v>USD</v>
      </c>
      <c r="W83" s="749">
        <f ca="1">_xlfn.XLOOKUP(TabTRADER[[#This Row],[ClickTick]],TabCalc[Ticker],TabCalc[M])</f>
        <v>545.73</v>
      </c>
      <c r="X83" s="1343"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2010.7583999999968</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109146</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1.9088703154489087E-2</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3.4341344620966358E-2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-0.23750198801887257</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3.6941344620966356E-2</v>
      </c>
      <c r="AP83" s="825" cm="1">
        <f t="array" aca="1" ref="AP83" ca="1">_xlfn.IFS(         TabTRADER[[#This Row],[Traps]]=MDown,TabTRADER[[#This Row],[L_Bn]]*TabTRADER[[#This Row],[M]]*(-(TabTRADER[[#This Row],[L_Bp]]+TabTRADER[[#This Row],[M]])/TabTRADER[[#This Row],[M]])*(1-Commission)*TabTRADER[[#This Row],[Scale]],                               TRUE,"")</f>
        <v>2010.7583999999968</v>
      </c>
      <c r="AQ83" s="1186" cm="1">
        <f t="array" aca="1" ref="AQ83" ca="1">_xlfn.IFS(   TabTRADER[[#This Row],[Traps]]=MUp,TabTRADER[[#This Row],[TakeGain_A]]-Commission,        TabTRADER[[#This Row],[Traps]]=MDown,(TabTRADER[[#This Row],[A]]-TabTRADER[[#This Row],[M]])/TabTRADER[[#This Row],[M]]-Commission,                              TRUE,"")</f>
        <v>1.6860172612830529E-2</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2118.4776000000006</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-20.16</v>
      </c>
      <c r="AU83" s="765" cm="1">
        <f t="array" aca="1" ref="AU83" ca="1">_xlfn.IFS(TabTRADER[[#This Row],[Traps]]=ReSaleGain,"",         TabTRADER[[#This Row],[Traps]]=MDown, (TabTRADER[[#This Row],[M]]-TabTRADER[[#This Row],[A]])/TabTRADER[[#This Row],[A]]*ComFactor,             TRUE, IFERROR((TabTRADER[[#This Row],[M]]-TabTRADER[[#This Row],[A]])/TabTRADER[[#This Row],[A]]*ComFactor,""))</f>
        <v>-1.9039072526287414E-2</v>
      </c>
      <c r="AV83" s="762" cm="1">
        <f t="array" aca="1" ref="AV83" ca="1">_xlfn.IFS(               TabTRADER[[#This Row],[Traps]]=NoStock,(TabTRADER[[#This Row],[L_Sp]]-TabTRADER[[#This Row],[M]])/TabTRADER[[#This Row],[M]]-Commission,             TabTRADER[[#This Row],[A]]&lt;&gt;0,(TabTRADER[[#This Row],[A]]-TabTRADER[[#This Row],[M]])/TabTRADER[[#This Row],[M]]-Commission)</f>
        <v>1.6860172612830529E-2</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7.9216440575015076E-2</v>
      </c>
      <c r="AZ83" s="729">
        <f ca="1">TabTRADER[[#This Row],[L_Sn]]*(TabTRADER[[#This Row],[M]]-TabTRADER[[#This Row],[L_Sp]])*(1-Commission)*TabTRADER[[#This Row],[Scale]]</f>
        <v>-4682.7929999999924</v>
      </c>
      <c r="BA83" s="692">
        <f ca="1">TabTRADER[[#This Row],[L_Sn]]*(TabTRADER[[#This Row],[Agiotage]]-TabTRADER[[#This Row],[M]])/(TabTRADER[[#This Row],[L_Bn]]*TabTRADER[[#This Row],[M]])</f>
        <v>-0.9999995887248001</v>
      </c>
      <c r="BB83" s="635">
        <f ca="1">IFERROR((TabTRADER[[#This Row],[M]]-TabTRADER[[#This Row],[A]])/TabTRADER[[#This Row],[A]],0)</f>
        <v>-1.9088703154489087E-2</v>
      </c>
      <c r="BC83" s="638" t="str">
        <f ca="1">TEXT(_xlfn.XLOOKUP(TabTRADER[[#This Row],[ClickTick]],TabCalc[Ticker],TabCalc[NAfter]),"#,#0")&amp;" : "&amp;TEXT(_xlfn.XLOOKUP(TabTRADER[[#This Row],[ClickTick]],TabCalc[Ticker],TabCalc[NAfter])*(TabTRADER[[#This Row],[M]]-TabTRADER[[#This Row],[A]])*(1-Commission)*TabTRADER[[#This Row],[Scale]],"#,#0$")</f>
        <v>200 : -2,118$</v>
      </c>
      <c r="BD83" s="684">
        <f ca="1">_xlfn.XLOOKUP(TabTRADER[[#This Row],[ClickTick]],TabCalc[[#This Row],[Ticker]],TabCalc[[#This Row],[GL]])*(1-Commission)</f>
        <v>46374.870026599987</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3.6941344620966356E-2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-8.1859466333217767</v>
      </c>
      <c r="BO83" s="687">
        <f ca="1">(TabTRADER[[#This Row],[M]]-TabTRADER[[#This Row],[Agiotage]])/(TabTRADER[[#This Row],[M]]-TabTRADER[[#This Row],[A]])-1</f>
        <v>-52.386984515516474</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-12,505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10,596$</v>
      </c>
      <c r="G84" s="225" t="str">
        <f ca="1">IFERROR(TRUNC(_xlfn.XLOOKUP(TabTRADER[[#This Row],[ClickTick]],TabCalc[Ticker],ListLastSalep),2)&amp;"x"&amp;_xlfn.XLOOKUP(TabTRADER[[#This Row],[ClickTick]],TabCalc[Ticker],ListLastSalen)&amp;"=   "&amp;TEXT(-_xlfn.XLOOKUP(TabTRADER[[#This Row],[ClickTick]],TabCalc[Ticker],ListReverseB),"#,#0")&amp;"$","")</f>
        <v>13.35x5000=   -31,935$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91.6% = 783</v>
      </c>
      <c r="I84" s="226" t="str">
        <f ca="1">IFERROR(TRUNC(TabCalc[[#This Row],[L_S1p]],2)&amp;"x"&amp;TabCalc[[#This Row],[L_S1n]]&amp;"=   "&amp;TEXT(TabCalc[[#This Row],[ReverseB1]],"#,#0"),"")</f>
        <v>14.95x2700=   21,546</v>
      </c>
      <c r="J84" s="295">
        <f ca="1">_xlfn.XLOOKUP(TabTRADER[[#This Row],[ClickTick]],TabCalc[Ticker],ListGravity)</f>
        <v>1.8095408895265426</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26486</v>
      </c>
      <c r="M84" s="323">
        <f ca="1">_xlfn.XLOOKUP(TabTRADER[[#This Row],[ClickTick]],TabCalc[Ticker],TabCalc[Agiotage])</f>
        <v>9.0168926976243643E-5</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-0.28504021007713765</v>
      </c>
      <c r="S84" s="683">
        <f ca="1">_xlfn.XLOOKUP(TabTRADER[[#This Row],[ClickTick]],TabCalc[Ticker],TabCalc[Rev(MinStock)])*(1-Commission)</f>
        <v>-12472.088039999999</v>
      </c>
      <c r="T84" s="782">
        <f ca="1">_xlfn.XLOOKUP(TabTRADER[[#This Row],[ClickTick]],TabCalc[Ticker],TabCalc[Agiotage])</f>
        <v>9.0168926976243643E-5</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325/325=&gt;-2.4% / -1.3%</v>
      </c>
      <c r="V84" s="739" t="str">
        <f ca="1">_xlfn.XLOOKUP(TabTRADER[[#This Row],[ClickTick]],[1]!RTData[Ticker_Symbol],[1]!RTData[Currency])</f>
        <v>USD</v>
      </c>
      <c r="W84" s="749">
        <f ca="1">_xlfn.XLOOKUP(TabTRADER[[#This Row],[ClickTick]],TabCalc[Ticker],TabCalc[M])</f>
        <v>6.97</v>
      </c>
      <c r="X84" s="1343"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-89/45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12472.088039999999</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45305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0.16946840845178857</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0.39608005738880914</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-0.32576024008815735</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0.39868005738880913</v>
      </c>
      <c r="AP84" s="825" cm="1">
        <f t="array" aca="1" ref="AP84" ca="1">_xlfn.IFS(         TabTRADER[[#This Row],[Traps]]=MDown,TabTRADER[[#This Row],[L_Bn]]*TabTRADER[[#This Row],[M]]*(-(TabTRADER[[#This Row],[L_Bp]]+TabTRADER[[#This Row],[M]])/TabTRADER[[#This Row],[M]])*(1-Commission)*TabTRADER[[#This Row],[Scale]],                               TRUE,"")</f>
        <v>12472.088039999999</v>
      </c>
      <c r="AQ84" s="1186" cm="1">
        <f t="array" aca="1" ref="AQ84" ca="1">_xlfn.IFS(   TabTRADER[[#This Row],[Traps]]=MUp,TabTRADER[[#This Row],[TakeGain_A]]-Commission,        TabTRADER[[#This Row],[Traps]]=MDown,(TabTRADER[[#This Row],[A]]-TabTRADER[[#This Row],[M]])/TabTRADER[[#This Row],[M]]-Commission,                              TRUE,"")</f>
        <v>0.20144811830923726</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9220.3645599999927</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-2.77</v>
      </c>
      <c r="AU84" s="765" cm="1">
        <f t="array" aca="1" ref="AU84" ca="1">_xlfn.IFS(TabTRADER[[#This Row],[Traps]]=ReSaleGain,"",         TabTRADER[[#This Row],[Traps]]=MDown, (TabTRADER[[#This Row],[M]]-TabTRADER[[#This Row],[A]])/TabTRADER[[#This Row],[A]]*ComFactor,             TRUE, IFERROR((TabTRADER[[#This Row],[M]]-TabTRADER[[#This Row],[A]])/TabTRADER[[#This Row],[A]]*ComFactor,""))</f>
        <v>-0.1690277905898139</v>
      </c>
      <c r="AV84" s="762" cm="1">
        <f t="array" aca="1" ref="AV84" ca="1">_xlfn.IFS(               TabTRADER[[#This Row],[Traps]]=NoStock,(TabTRADER[[#This Row],[L_Sp]]-TabTRADER[[#This Row],[M]])/TabTRADER[[#This Row],[M]]-Commission,             TabTRADER[[#This Row],[A]]&lt;&gt;0,(TabTRADER[[#This Row],[A]]-TabTRADER[[#This Row],[M]])/TabTRADER[[#This Row],[M]]-Commission)</f>
        <v>0.20144811830923726</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0.47817623717900726</v>
      </c>
      <c r="AZ84" s="729">
        <f ca="1">TabTRADER[[#This Row],[L_Sn]]*(TabTRADER[[#This Row],[M]]-TabTRADER[[#This Row],[L_Sp]])*(1-Commission)*TabTRADER[[#This Row],[Scale]]</f>
        <v>-31851.968999999994</v>
      </c>
      <c r="BA84" s="692">
        <f ca="1">TabTRADER[[#This Row],[L_Sn]]*(TabTRADER[[#This Row],[Agiotage]]-TabTRADER[[#This Row],[M]])/(TabTRADER[[#This Row],[L_Bn]]*TabTRADER[[#This Row],[M]])</f>
        <v>-1.1110967369795988</v>
      </c>
      <c r="BB84" s="635">
        <f ca="1">IFERROR((TabTRADER[[#This Row],[M]]-TabTRADER[[#This Row],[A]])/TabTRADER[[#This Row],[A]],0)</f>
        <v>-0.16946840845178857</v>
      </c>
      <c r="BC84" s="638" t="str">
        <f ca="1">TEXT(_xlfn.XLOOKUP(TabTRADER[[#This Row],[ClickTick]],TabCalc[Ticker],TabCalc[NAfter]),"#,#0")&amp;" : "&amp;TEXT(_xlfn.XLOOKUP(TabTRADER[[#This Row],[ClickTick]],TabCalc[Ticker],TabCalc[NAfter])*(TabTRADER[[#This Row],[M]]-TabTRADER[[#This Row],[A]])*(1-Commission)*TabTRADER[[#This Row],[Scale]],"#,#0$")</f>
        <v>6,500 : -9,220$</v>
      </c>
      <c r="BD84" s="684">
        <f ca="1">_xlfn.XLOOKUP(TabTRADER[[#This Row],[ClickTick]],TabCalc[[#This Row],[Ticker]],TabCalc[[#This Row],[GL]])*(1-Commission)</f>
        <v>-88672.749859999996</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0.39868005738880913</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-2.4662757863796853E-3</v>
      </c>
      <c r="BO84" s="687">
        <f ca="1">(TabTRADER[[#This Row],[M]]-TabTRADER[[#This Row],[Agiotage]])/(TabTRADER[[#This Row],[M]]-TabTRADER[[#This Row],[A]])-1</f>
        <v>-5.9007414112300083</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25.3%</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11,300$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21.5% = 0</v>
      </c>
      <c r="I85" s="226" t="str">
        <f ca="1">IFERROR(TRUNC(TabCalc[[#This Row],[L_S1p]],2)&amp;"x"&amp;TabCalc[[#This Row],[L_S1n]]&amp;"=   "&amp;TEXT(TabCalc[[#This Row],[ReverseB1]],"#,#0"),"")</f>
        <v>99.4x1000=   -31,860</v>
      </c>
      <c r="J85" s="295">
        <f ca="1">_xlfn.XLOOKUP(TabTRADER[[#This Row],[ClickTick]],TabCalc[Ticker],ListGravity)</f>
        <v>0.97100411397226882</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1.0841290013074536E-3</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0.33889591578603767</v>
      </c>
      <c r="S85" s="683">
        <f ca="1">_xlfn.XLOOKUP(TabTRADER[[#This Row],[ClickTick]],TabCalc[Ticker],TabCalc[Rev(MinStock)])*(1-Commission)</f>
        <v>0</v>
      </c>
      <c r="T85" s="782">
        <f ca="1">_xlfn.XLOOKUP(TabTRADER[[#This Row],[ClickTick]],TabCalc[Ticker],TabCalc[Agiotage])</f>
        <v>1.0841290013074536E-3</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-0.5%</v>
      </c>
      <c r="V85" s="739" t="str">
        <f ca="1">_xlfn.XLOOKUP(TabTRADER[[#This Row],[ClickTick]],[1]!RTData[Ticker_Symbol],[1]!RTData[Currency])</f>
        <v>USD</v>
      </c>
      <c r="W85" s="749">
        <f ca="1">_xlfn.XLOOKUP(TabTRADER[[#This Row],[ClickTick]],TabCalc[Ticker],TabCalc[M])</f>
        <v>131.26</v>
      </c>
      <c r="X85" s="1343"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0.38730961804118591</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0x131.26</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-0.217817888160902</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-0.27423903388489523</v>
      </c>
      <c r="AZ85" s="729">
        <f ca="1">TabTRADER[[#This Row],[L_Sn]]*(TabTRADER[[#This Row],[M]]-TabTRADER[[#This Row],[L_Sp]])*(1-Commission)*TabTRADER[[#This Row],[Scale]]</f>
        <v>11270.420519999998</v>
      </c>
      <c r="BA85" s="692">
        <f ca="1">TabTRADER[[#This Row],[L_Sn]]*(TabTRADER[[#This Row],[Agiotage]]-TabTRADER[[#This Row],[M]])/(TabTRADER[[#This Row],[L_Bn]]*TabTRADER[[#This Row],[M]])</f>
        <v>-0.39999669623952067</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-8.2594011984182814E-6</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+198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4,956$</v>
      </c>
      <c r="G86" s="225" t="str">
        <f ca="1">IFERROR(TRUNC(_xlfn.XLOOKUP(TabTRADER[[#This Row],[ClickTick]],TabCalc[Ticker],ListLastSalep),2)&amp;"x"&amp;_xlfn.XLOOKUP(TabTRADER[[#This Row],[ClickTick]],TabCalc[Ticker],ListLastSalen)&amp;"=   "&amp;TEXT(-_xlfn.XLOOKUP(TabTRADER[[#This Row],[ClickTick]],TabCalc[Ticker],ListReverseB),"#,#0")&amp;"$","")</f>
        <v>12.03x2000=   3,760$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13.5% = 0</v>
      </c>
      <c r="I86" s="226" t="str">
        <f ca="1">IFERROR(TRUNC(TabCalc[[#This Row],[L_S1p]],2)&amp;"x"&amp;TabCalc[[#This Row],[L_S1n]]&amp;"=   "&amp;TEXT(TabCalc[[#This Row],[ReverseB1]],"#,#0"),"")</f>
        <v>11.84x2000=   -4,130</v>
      </c>
      <c r="J86" s="295">
        <f ca="1">_xlfn.XLOOKUP(TabTRADER[[#This Row],[ClickTick]],TabCalc[Ticker],ListGravity)</f>
        <v>1.1015255212077641</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0.10826173304693219</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1.2004365223717783E-2</v>
      </c>
      <c r="S86" s="683">
        <f ca="1">_xlfn.XLOOKUP(TabTRADER[[#This Row],[ClickTick]],TabCalc[Ticker],TabCalc[Rev(MinStock)])*(1-Commission)</f>
        <v>197.4852000000011</v>
      </c>
      <c r="T86" s="782">
        <f ca="1">_xlfn.XLOOKUP(TabTRADER[[#This Row],[ClickTick]],TabCalc[Ticker],TabCalc[Agiotage])</f>
        <v>0.10826173304693219</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-138/-138=&gt;1.6% / -0.8%</v>
      </c>
      <c r="V86" s="739" t="str">
        <f ca="1">_xlfn.XLOOKUP(TabTRADER[[#This Row],[ClickTick]],[1]!RTData[Ticker_Symbol],[1]!RTData[Currency])</f>
        <v>EUR</v>
      </c>
      <c r="W86" s="749">
        <f ca="1">_xlfn.XLOOKUP(TabTRADER[[#This Row],[ClickTick]],TabCalc[Ticker],TabCalc[M])</f>
        <v>13.91</v>
      </c>
      <c r="X86" s="1343"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197.4852000000011</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197.4852000000011</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1.2004365223717783E-2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7.324697424641359E-2</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199.85588446708007</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-1.4461969805895106E-2</v>
      </c>
      <c r="AW86" s="324">
        <f ca="1">_xlfn.XLOOKUP(TabTRADER[[#This Row],[ClickTick]],TabCalc[Ticker],TabCalc[L_Sn])</f>
        <v>2000</v>
      </c>
      <c r="AX86" s="728">
        <f ca="1">_xlfn.XLOOKUP(TabTRADER[[#This Row],[ClickTick]],TabCalc[Ticker],TabCalc[L_Sp])</f>
        <v>12.03</v>
      </c>
      <c r="AY86" s="764">
        <f ca="1">-IFERROR((TabTRADER[[#This Row],[M]]-TabTRADER[[#This Row],[L_Sp]])/TabTRADER[[#This Row],[L_Sp]],0)</f>
        <v>-0.1562759767248546</v>
      </c>
      <c r="AZ86" s="729">
        <f ca="1">TabTRADER[[#This Row],[L_Sn]]*(TabTRADER[[#This Row],[M]]-TabTRADER[[#This Row],[L_Sp]])*(1-Commission)*TabTRADER[[#This Row],[Scale]]</f>
        <v>3750.2240000000011</v>
      </c>
      <c r="BA86" s="692">
        <f ca="1">TabTRADER[[#This Row],[L_Sn]]*(TabTRADER[[#This Row],[Agiotage]]-TabTRADER[[#This Row],[M]])/(TabTRADER[[#This Row],[L_Bn]]*TabTRADER[[#This Row],[M]])</f>
        <v>-1.6536949756713475</v>
      </c>
      <c r="BB86" s="635">
        <f ca="1">IFERROR((TabTRADER[[#This Row],[M]]-TabTRADER[[#This Row],[A]])/TabTRADER[[#This Row],[A]],0)</f>
        <v>1.2004365223717783E-2</v>
      </c>
      <c r="BC86" s="638" t="str">
        <f ca="1">TEXT(_xlfn.XLOOKUP(TabTRADER[[#This Row],[ClickTick]],TabCalc[Ticker],TabCalc[NAfter]),"#,#0")&amp;" : "&amp;TEXT(_xlfn.XLOOKUP(TabTRADER[[#This Row],[ClickTick]],TabCalc[Ticker],TabCalc[NAfter])*(TabTRADER[[#This Row],[M]]-TabTRADER[[#This Row],[A]])*(1-Commission)*TabTRADER[[#This Row],[Scale]],"#,#0$")</f>
        <v>1,200 : 197$</v>
      </c>
      <c r="BD86" s="684">
        <f ca="1">_xlfn.XLOOKUP(TabTRADER[[#This Row],[ClickTick]],TabCalc[[#This Row],[Ticker]],TabCalc[[#This Row],[GL]])*(1-Commission)</f>
        <v>6147.1756800000112</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40752</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12.734999999999999</v>
      </c>
      <c r="BN86" s="687">
        <f ca="1">((_xlfn.XLOOKUP(TabTRADER[[#This Row],[ClickTick]],TabCalc[Ticker],TabCalc[NAfter])+TabTRADER[[#This Row],[L_Sn]])*(TabTRADER[[#This Row],[Agiotage]]-TabTRADER[[#This Row],[M]]))/(TabTRADER[[#This Row],[L_Sn]]*_xlfn.XLOOKUP(TabTRADER[[#This Row],[ClickTick]],TabCalc[Ticker],TabCalc[NAfter]))</f>
        <v>-1.8402317689270756E-2</v>
      </c>
      <c r="BO86" s="687">
        <f ca="1">(TabTRADER[[#This Row],[M]]-TabTRADER[[#This Row],[Agiotage]])/(TabTRADER[[#This Row],[M]]-TabTRADER[[#This Row],[A]])-1</f>
        <v>82.646898587593881</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-4,470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-4,788$</v>
      </c>
      <c r="G87" s="225" t="str">
        <f ca="1">IFERROR(TRUNC(_xlfn.XLOOKUP(TabTRADER[[#This Row],[ClickTick]],TabCalc[Ticker],ListLastSalep),2)&amp;"x"&amp;_xlfn.XLOOKUP(TabTRADER[[#This Row],[ClickTick]],TabCalc[Ticker],ListLastSalen)&amp;"=   "&amp;TEXT(-_xlfn.XLOOKUP(TabTRADER[[#This Row],[ClickTick]],TabCalc[Ticker],ListReverseB),"#,#0")&amp;"$","")</f>
        <v>51.86x1000=   -9,090$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21.3% = 550</v>
      </c>
      <c r="I87" s="226" t="str">
        <f ca="1">IFERROR(TRUNC(TabCalc[[#This Row],[L_S1p]],2)&amp;"x"&amp;TabCalc[[#This Row],[L_S1n]]&amp;"=   "&amp;TEXT(TabCalc[[#This Row],[ReverseB1]],"#,#0"),"")</f>
        <v>62.9x2000=   40,260</v>
      </c>
      <c r="J87" s="295">
        <f ca="1">_xlfn.XLOOKUP(TabTRADER[[#This Row],[ClickTick]],TabCalc[Ticker],ListGravity)</f>
        <v>1.1670105213935</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124033.00000000001</v>
      </c>
      <c r="M87" s="323">
        <f ca="1">_xlfn.XLOOKUP(TabTRADER[[#This Row],[ClickTick]],TabCalc[Ticker],TabCalc[Agiotage])</f>
        <v>1.2908707883083764E-3</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-9.4623200677392008E-2</v>
      </c>
      <c r="S87" s="683">
        <f ca="1">_xlfn.XLOOKUP(TabTRADER[[#This Row],[ClickTick]],TabCalc[Ticker],TabCalc[Rev(MinStock)])*(1-Commission)</f>
        <v>-4458.3779999999988</v>
      </c>
      <c r="T87" s="782">
        <f ca="1">_xlfn.XLOOKUP(TabTRADER[[#This Row],[ClickTick]],TabCalc[Ticker],TabCalc[Agiotage])</f>
        <v>1.2908707883083764E-3</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2,980/2,980=&gt;2.2% / 1.8%</v>
      </c>
      <c r="V87" s="739" t="str">
        <f ca="1">_xlfn.XLOOKUP(TabTRADER[[#This Row],[ClickTick]],[1]!RTData[Ticker_Symbol],[1]!RTData[Currency])</f>
        <v>USD</v>
      </c>
      <c r="W87" s="749">
        <f ca="1">_xlfn.XLOOKUP(TabTRADER[[#This Row],[ClickTick]],TabCalc[Ticker],TabCalc[M])</f>
        <v>42.77</v>
      </c>
      <c r="X87" s="1343"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-63/171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4458.3779999999988</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171080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0.21283862593684755</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0.10191250876782788</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-0.13903817242392297</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0.10451250876782789</v>
      </c>
      <c r="AP87" s="825" cm="1">
        <f t="array" aca="1" ref="AP87" ca="1">_xlfn.IFS(         TabTRADER[[#This Row],[Traps]]=MDown,TabTRADER[[#This Row],[L_Bn]]*TabTRADER[[#This Row],[M]]*(-(TabTRADER[[#This Row],[L_Bp]]+TabTRADER[[#This Row],[M]])/TabTRADER[[#This Row],[M]])*(1-Commission)*TabTRADER[[#This Row],[Scale]],                               TRUE,"")</f>
        <v>4458.3779999999988</v>
      </c>
      <c r="AQ87" s="1186" cm="1">
        <f t="array" aca="1" ref="AQ87" ca="1">_xlfn.IFS(   TabTRADER[[#This Row],[Traps]]=MUp,TabTRADER[[#This Row],[TakeGain_A]]-Commission,        TabTRADER[[#This Row],[Traps]]=MDown,(TabTRADER[[#This Row],[A]]-TabTRADER[[#This Row],[M]])/TabTRADER[[#This Row],[M]]-Commission,                              TRUE,"")</f>
        <v>0.26778753799392085</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46137.629459999975</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-4.47</v>
      </c>
      <c r="AU87" s="765" cm="1">
        <f t="array" aca="1" ref="AU87" ca="1">_xlfn.IFS(TabTRADER[[#This Row],[Traps]]=ReSaleGain,"",         TabTRADER[[#This Row],[Traps]]=MDown, (TabTRADER[[#This Row],[M]]-TabTRADER[[#This Row],[A]])/TabTRADER[[#This Row],[A]]*ComFactor,             TRUE, IFERROR((TabTRADER[[#This Row],[M]]-TabTRADER[[#This Row],[A]])/TabTRADER[[#This Row],[A]]*ComFactor,""))</f>
        <v>-0.21228524550941175</v>
      </c>
      <c r="AV87" s="762" cm="1">
        <f t="array" aca="1" ref="AV87" ca="1">_xlfn.IFS(               TabTRADER[[#This Row],[Traps]]=NoStock,(TabTRADER[[#This Row],[L_Sp]]-TabTRADER[[#This Row],[M]])/TabTRADER[[#This Row],[M]]-Commission,             TabTRADER[[#This Row],[A]]&lt;&gt;0,(TabTRADER[[#This Row],[A]]-TabTRADER[[#This Row],[M]])/TabTRADER[[#This Row],[M]]-Commission)</f>
        <v>0.26778753799392085</v>
      </c>
      <c r="AW87" s="324">
        <f ca="1">_xlfn.XLOOKUP(TabTRADER[[#This Row],[ClickTick]],TabCalc[Ticker],TabCalc[L_Sn])</f>
        <v>1000</v>
      </c>
      <c r="AX87" s="728">
        <f ca="1">_xlfn.XLOOKUP(TabTRADER[[#This Row],[ClickTick]],TabCalc[Ticker],TabCalc[L_Sp])</f>
        <v>51.86</v>
      </c>
      <c r="AY87" s="764">
        <f ca="1">-IFERROR((TabTRADER[[#This Row],[M]]-TabTRADER[[#This Row],[L_Sp]])/TabTRADER[[#This Row],[L_Sp]],0)</f>
        <v>0.17527959892016962</v>
      </c>
      <c r="AZ87" s="729">
        <f ca="1">TabTRADER[[#This Row],[L_Sn]]*(TabTRADER[[#This Row],[M]]-TabTRADER[[#This Row],[L_Sp]])*(1-Commission)*TabTRADER[[#This Row],[Scale]]</f>
        <v>-9066.3659999999963</v>
      </c>
      <c r="BA87" s="692">
        <f ca="1">TabTRADER[[#This Row],[L_Sn]]*(TabTRADER[[#This Row],[Agiotage]]-TabTRADER[[#This Row],[M]])/(TabTRADER[[#This Row],[L_Bn]]*TabTRADER[[#This Row],[M]])</f>
        <v>-0.99996981831217435</v>
      </c>
      <c r="BB87" s="635">
        <f ca="1">IFERROR((TabTRADER[[#This Row],[M]]-TabTRADER[[#This Row],[A]])/TabTRADER[[#This Row],[A]],0)</f>
        <v>-0.21283862593684755</v>
      </c>
      <c r="BC87" s="638" t="str">
        <f ca="1">TEXT(_xlfn.XLOOKUP(TabTRADER[[#This Row],[ClickTick]],TabCalc[Ticker],TabCalc[NAfter]),"#,#0")&amp;" : "&amp;TEXT(_xlfn.XLOOKUP(TabTRADER[[#This Row],[ClickTick]],TabCalc[Ticker],TabCalc[NAfter])*(TabTRADER[[#This Row],[M]]-TabTRADER[[#This Row],[A]])*(1-Commission)*TabTRADER[[#This Row],[Scale]],"#,#0$")</f>
        <v>4,000 : -46,138$</v>
      </c>
      <c r="BD87" s="684">
        <f ca="1">_xlfn.XLOOKUP(TabTRADER[[#This Row],[ClickTick]],TabCalc[[#This Row],[Ticker]],TabCalc[[#This Row],[GL]])*(1-Commission)</f>
        <v>-63074.405052399998</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0.10451250876782789</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-5.3460886411514613E-2</v>
      </c>
      <c r="BO87" s="687">
        <f ca="1">(TabTRADER[[#This Row],[M]]-TabTRADER[[#This Row],[Agiotage]])/(TabTRADER[[#This Row],[M]]-TabTRADER[[#This Row],[A]])-1</f>
        <v>-4.6982836773145102</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+192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1,033</v>
      </c>
      <c r="F88" s="226" t="str">
        <f ca="1">TRUNC(TabCalc[[#This Row],[L_B1p]],2)&amp;"x"&amp;TabCalc[[#This Row],[L_B1n]]&amp;"=   "&amp;TEXT(TabCalc[[#This Row],[ReverseS1]],"#,#0")&amp;"$"</f>
        <v>-27.92x2000=   -4,584$</v>
      </c>
      <c r="G88" s="225" t="str">
        <f ca="1">IFERROR(TRUNC(_xlfn.XLOOKUP(TabTRADER[[#This Row],[ClickTick]],TabCalc[Ticker],ListLastSalep),2)&amp;"x"&amp;_xlfn.XLOOKUP(TabTRADER[[#This Row],[ClickTick]],TabCalc[Ticker],ListLastSalen)&amp;"=   "&amp;TEXT(-_xlfn.XLOOKUP(TabTRADER[[#This Row],[ClickTick]],TabCalc[Ticker],ListReverseB),"#,#0")&amp;"$","")</f>
        <v>29.9x2010=   -9,733$</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19.3% = 1,033</v>
      </c>
      <c r="I88" s="226" t="str">
        <f ca="1">IFERROR(TRUNC(TabCalc[[#This Row],[L_S1p]],2)&amp;"x"&amp;TabCalc[[#This Row],[L_S1n]]&amp;"=   "&amp;TEXT(TabCalc[[#This Row],[ReverseB1]],"#,#0"),"")</f>
        <v>28.22x1990=   6,298</v>
      </c>
      <c r="J88" s="295">
        <f ca="1">_xlfn.XLOOKUP(TabTRADER[[#This Row],[ClickTick]],TabCalc[Ticker],ListGravity)</f>
        <v>1.1473224261771748</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7518</v>
      </c>
      <c r="M88" s="323">
        <f ca="1">_xlfn.XLOOKUP(TabTRADER[[#This Row],[ClickTick]],TabCalc[Ticker],TabCalc[Agiotage])</f>
        <v>2.3622780176557525E-4</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4.8115477145147332E-3</v>
      </c>
      <c r="S88" s="683">
        <f ca="1">_xlfn.XLOOKUP(TabTRADER[[#This Row],[ClickTick]],TabCalc[Ticker],TabCalc[Rev(MinStock)])*(1-Commission)</f>
        <v>191.50079999999591</v>
      </c>
      <c r="T88" s="782">
        <f ca="1">_xlfn.XLOOKUP(TabTRADER[[#This Row],[ClickTick]],TabCalc[Ticker],TabCalc[Agiotage])</f>
        <v>2.3622780176557525E-4</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-976/-976=&gt;-0.2% / -2.8%</v>
      </c>
      <c r="V88" s="739" t="str">
        <f ca="1">_xlfn.XLOOKUP(TabTRADER[[#This Row],[ClickTick]],[1]!RTData[Ticker_Symbol],[1]!RTData[Currency])</f>
        <v>USD</v>
      </c>
      <c r="W88" s="749">
        <f ca="1">_xlfn.XLOOKUP(TabTRADER[[#This Row],[ClickTick]],TabCalc[Ticker],TabCalc[M])</f>
        <v>25.06</v>
      </c>
      <c r="X88" s="1343"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191.50079999999591</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191.50079999999591</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4.8115477145147332E-3</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4.7982193274939168E-3</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192.42221523656366</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-7.3885075818035696E-3</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0.16193457337587205</v>
      </c>
      <c r="AZ88" s="729">
        <f ca="1">TabTRADER[[#This Row],[L_Sn]]*(TabTRADER[[#This Row],[M]]-TabTRADER[[#This Row],[L_Sp]])*(1-Commission)*TabTRADER[[#This Row],[Scale]]</f>
        <v>-9707.5166628000025</v>
      </c>
      <c r="BA88" s="692">
        <f ca="1">TabTRADER[[#This Row],[L_Sn]]*(TabTRADER[[#This Row],[Agiotage]]-TabTRADER[[#This Row],[M]])/(TabTRADER[[#This Row],[L_Bn]]*TabTRADER[[#This Row],[M]])</f>
        <v>-1.256238157973824</v>
      </c>
      <c r="BB88" s="635">
        <f ca="1">IFERROR((TabTRADER[[#This Row],[M]]-TabTRADER[[#This Row],[A]])/TabTRADER[[#This Row],[A]],0)</f>
        <v>4.8115477145147332E-3</v>
      </c>
      <c r="BC88" s="638" t="str">
        <f ca="1">TEXT(_xlfn.XLOOKUP(TabTRADER[[#This Row],[ClickTick]],TabCalc[Ticker],TabCalc[NAfter]),"#,#0")&amp;" : "&amp;TEXT(_xlfn.XLOOKUP(TabTRADER[[#This Row],[ClickTick]],TabCalc[Ticker],TabCalc[NAfter])*(TabTRADER[[#This Row],[M]]-TabTRADER[[#This Row],[A]])*(1-Commission)*TabTRADER[[#This Row],[Scale]],"#,#0$")</f>
        <v>1,600 : 192$</v>
      </c>
      <c r="BD88" s="684">
        <f ca="1">_xlfn.XLOOKUP(TabTRADER[[#This Row],[ClickTick]],TabCalc[[#This Row],[Ticker]],TabCalc[[#This Row],[GL]])*(1-Commission)</f>
        <v>-7836.6495972000012</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100199.42199999999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27.756072576177282</v>
      </c>
      <c r="BN88" s="687">
        <f ca="1">((_xlfn.XLOOKUP(TabTRADER[[#This Row],[ClickTick]],TabCalc[Ticker],TabCalc[NAfter])+TabTRADER[[#This Row],[L_Sn]])*(TabTRADER[[#This Row],[Agiotage]]-TabTRADER[[#This Row],[M]]))/(TabTRADER[[#This Row],[L_Sn]]*_xlfn.XLOOKUP(TabTRADER[[#This Row],[ClickTick]],TabCalc[Ticker],TabCalc[NAfter]))</f>
        <v>-2.8129896522896648E-2</v>
      </c>
      <c r="BO88" s="687">
        <f ca="1">(TabTRADER[[#This Row],[M]]-TabTRADER[[#This Row],[Agiotage]])/(TabTRADER[[#This Row],[M]]-TabTRADER[[#This Row],[A]])-1</f>
        <v>207.83136476832308</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+8,190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15.7%</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7,937/43,000=31,825</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24,250$</v>
      </c>
      <c r="G89" s="225" t="str">
        <f ca="1">IFERROR(TRUNC(_xlfn.XLOOKUP(TabTRADER[[#This Row],[ClickTick]],TabCalc[Ticker],ListLastSalep),2)&amp;"x"&amp;_xlfn.XLOOKUP(TabTRADER[[#This Row],[ClickTick]],TabCalc[Ticker],ListLastSalen)&amp;"=   "&amp;TEXT(-_xlfn.XLOOKUP(TabTRADER[[#This Row],[ClickTick]],TabCalc[Ticker],ListReverseB),"#,#0")&amp;"$","")</f>
        <v>3.95x5000=   275$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89" s="226" t="str">
        <f ca="1">IFERROR(TRUNC(TabCalc[[#This Row],[L_S1p]],2)&amp;"x"&amp;TabCalc[[#This Row],[L_S1n]]&amp;"=   "&amp;TEXT(TabCalc[[#This Row],[ReverseB1]],"#,#0"),"")</f>
        <v>5.83x3000=   5,470</v>
      </c>
      <c r="J89" s="295">
        <f ca="1">_xlfn.XLOOKUP(TabTRADER[[#This Row],[ClickTick]],TabCalc[Ticker],ListGravity)</f>
        <v>0.98599750623441407</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144360</v>
      </c>
      <c r="M89" s="323">
        <f ca="1">_xlfn.XLOOKUP(TabTRADER[[#This Row],[ClickTick]],TabCalc[Ticker],TabCalc[Agiotage])</f>
        <v>1.0834344622670705E-4</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0.18639053254437868</v>
      </c>
      <c r="S89" s="683">
        <f ca="1">_xlfn.XLOOKUP(TabTRADER[[#This Row],[ClickTick]],TabCalc[Ticker],TabCalc[Rev(MinStock)])*(1-Commission)</f>
        <v>8168.7059999999974</v>
      </c>
      <c r="T89" s="782">
        <f ca="1">_xlfn.XLOOKUP(TabTRADER[[#This Row],[ClickTick]],TabCalc[Ticker],TabCalc[Agiotage])</f>
        <v>1.0834344622670705E-4</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0.0%</v>
      </c>
      <c r="V89" s="739" t="str">
        <f ca="1">_xlfn.XLOOKUP(TabTRADER[[#This Row],[ClickTick]],[1]!RTData[Ticker_Symbol],[1]!RTData[Currency])</f>
        <v>USD</v>
      </c>
      <c r="W89" s="749">
        <f ca="1">_xlfn.XLOOKUP(TabTRADER[[#This Row],[ClickTick]],TabCalc[Ticker],TabCalc[M])</f>
        <v>4.01</v>
      </c>
      <c r="X89" s="1343"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^30/172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274.28499999999855</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30680.023999999983</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0.21712430295757734</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1.111571072319195E-2</v>
      </c>
      <c r="AL89" s="825" cm="1">
        <f t="array" aca="1" ref="AL89" ca="1">_xlfn.IFS(   TabTRADER[[#This Row],[Traps]]=SellMorePercentGain,                     MIN(TabTRADER[[#This Row],[L_Sn]],TabTRADER[[#This Row],[N]])*(TabTRADER[[#This Row],[M]]-TabTRADER[[#This Row],[L_Sp]])*(1-Commission)*TabTRADER[[#This Row],[Scale]],                    TRUE,"")</f>
        <v>274.28499999999855</v>
      </c>
      <c r="AM89" s="1341">
        <f ca="1">_xlfn.XLOOKUP(TabTRADER[[#This Row],[ClickTick]],TabCalc[Ticker],TabCalc[Ann%RevLB])</f>
        <v>1.1982248520710057</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0.21452430295757735</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37341.402825721721</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13,000x0.71</v>
      </c>
      <c r="AU89" s="765" cm="1">
        <f t="array" aca="1" ref="AU89" ca="1">_xlfn.IFS(TabTRADER[[#This Row],[Traps]]=ReSaleGain,"",         TabTRADER[[#This Row],[Traps]]=MDown, (TabTRADER[[#This Row],[M]]-TabTRADER[[#This Row],[A]])/TabTRADER[[#This Row],[A]]*ComFactor,             TRUE, IFERROR((TabTRADER[[#This Row],[M]]-TabTRADER[[#This Row],[A]])/TabTRADER[[#This Row],[A]]*ComFactor,""))</f>
        <v>0.21655977976988763</v>
      </c>
      <c r="AV89" s="762" cm="1">
        <f t="array" aca="1" ref="AV89" ca="1">_xlfn.IFS(               TabTRADER[[#This Row],[Traps]]=NoStock,(TabTRADER[[#This Row],[L_Sp]]-TabTRADER[[#This Row],[M]])/TabTRADER[[#This Row],[M]]-Commission,             TabTRADER[[#This Row],[A]]&lt;&gt;0,(TabTRADER[[#This Row],[A]]-TabTRADER[[#This Row],[M]])/TabTRADER[[#This Row],[M]]-Commission)</f>
        <v>-0.18099123122426483</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-1.3906447534766046E-2</v>
      </c>
      <c r="AZ89" s="729">
        <f ca="1">TabTRADER[[#This Row],[L_Sn]]*(TabTRADER[[#This Row],[M]]-TabTRADER[[#This Row],[L_Sp]])*(1-Commission)*TabTRADER[[#This Row],[Scale]]</f>
        <v>274.28499999999855</v>
      </c>
      <c r="BA89" s="692">
        <f ca="1">TabTRADER[[#This Row],[L_Sn]]*(TabTRADER[[#This Row],[Agiotage]]-TabTRADER[[#This Row],[M]])/(TabTRADER[[#This Row],[L_Bn]]*TabTRADER[[#This Row],[M]])</f>
        <v>-0.38460499295547412</v>
      </c>
      <c r="BB89" s="635">
        <f ca="1">IFERROR((TabTRADER[[#This Row],[M]]-TabTRADER[[#This Row],[A]])/TabTRADER[[#This Row],[A]],0)</f>
        <v>0.21712430295757734</v>
      </c>
      <c r="BC89" s="638" t="str">
        <f ca="1">TEXT(_xlfn.XLOOKUP(TabTRADER[[#This Row],[ClickTick]],TabCalc[Ticker],TabCalc[NAfter]),"#,#0")&amp;" : "&amp;TEXT(_xlfn.XLOOKUP(TabTRADER[[#This Row],[ClickTick]],TabCalc[Ticker],TabCalc[NAfter])*(TabTRADER[[#This Row],[M]]-TabTRADER[[#This Row],[A]])*(1-Commission)*TabTRADER[[#This Row],[Scale]],"#,#0$")</f>
        <v>43,000 : 30,680$</v>
      </c>
      <c r="BD89" s="684">
        <f ca="1">_xlfn.XLOOKUP(TabTRADER[[#This Row],[ClickTick]],TabCalc[[#This Row],[Ticker]],TabCalc[[#This Row],[GL]])*(1-Commission)</f>
        <v>30301.111740000004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1.371571072319195E-2</v>
      </c>
      <c r="BJ89" s="679">
        <f ca="1">TabTRADER[[#This Row],[L_Sn]]*TabTRADER[[#This Row],[L_Sp]]+TabTRADER[[#This Row],[SellMore]]*TabTRADER[[#This Row],[M]]</f>
        <v>31805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3.975625</v>
      </c>
      <c r="BN89" s="687">
        <f ca="1">((_xlfn.XLOOKUP(TabTRADER[[#This Row],[ClickTick]],TabCalc[Ticker],TabCalc[NAfter])+TabTRADER[[#This Row],[L_Sn]])*(TabTRADER[[#This Row],[Agiotage]]-TabTRADER[[#This Row],[M]]))/(TabTRADER[[#This Row],[L_Sn]]*_xlfn.XLOOKUP(TabTRADER[[#This Row],[ClickTick]],TabCalc[Ticker],TabCalc[NAfter]))</f>
        <v>-8.9523162564921442E-4</v>
      </c>
      <c r="BO89" s="687">
        <f ca="1">(TabTRADER[[#This Row],[M]]-TabTRADER[[#This Row],[Agiotage]])/(TabTRADER[[#This Row],[M]]-TabTRADER[[#This Row],[A]])-1</f>
        <v>4.605505241606382</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11,855$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90" s="226" t="str">
        <f ca="1">IFERROR(TRUNC(TabCalc[[#This Row],[L_S1p]],2)&amp;"x"&amp;TabCalc[[#This Row],[L_S1n]]&amp;"=   "&amp;TEXT(TabCalc[[#This Row],[ReverseB1]],"#,#0"),"")</f>
        <v>33.25x1300=   -6,474</v>
      </c>
      <c r="J90" s="295">
        <f ca="1">_xlfn.XLOOKUP(TabTRADER[[#This Row],[ClickTick]],TabCalc[Ticker],ListGravity)</f>
        <v>1.0833225215799112</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0.65011551878952545</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3.9166492249062879E-2</v>
      </c>
      <c r="S90" s="683">
        <f ca="1">_xlfn.XLOOKUP(TabTRADER[[#This Row],[ClickTick]],TabCalc[Ticker],TabCalc[Rev(MinStock)])*(1-Commission)</f>
        <v>0</v>
      </c>
      <c r="T90" s="782">
        <f ca="1">_xlfn.XLOOKUP(TabTRADER[[#This Row],[ClickTick]],TabCalc[Ticker],TabCalc[Agiotage])</f>
        <v>0.65011551878952545</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0.6%</v>
      </c>
      <c r="V90" s="739" t="str">
        <f ca="1">_xlfn.XLOOKUP(TabTRADER[[#This Row],[ClickTick]],[1]!RTData[Ticker_Symbol],[1]!RTData[Currency])</f>
        <v>USD</v>
      </c>
      <c r="W90" s="749">
        <f ca="1">_xlfn.XLOOKUP(TabTRADER[[#This Row],[ClickTick]],TabCalc[Ticker],TabCalc[M])</f>
        <v>38.229999999999997</v>
      </c>
      <c r="X90" s="1343"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4.3788624874728684E-2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0x38.23</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-6.4619356526288141E-2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-6.6120081430045316E-2</v>
      </c>
      <c r="AZ90" s="729">
        <f ca="1">TabTRADER[[#This Row],[L_Sn]]*(TabTRADER[[#This Row],[M]]-TabTRADER[[#This Row],[L_Sp]])*(1-Commission)*TabTRADER[[#This Row],[Scale]]</f>
        <v>11824.176999999976</v>
      </c>
      <c r="BA90" s="692">
        <f ca="1">TabTRADER[[#This Row],[L_Sn]]*(TabTRADER[[#This Row],[Agiotage]]-TabTRADER[[#This Row],[M]])/(TabTRADER[[#This Row],[L_Bn]]*TabTRADER[[#This Row],[M]])</f>
        <v>-2.1369448351061919</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-1.7005375851151583E-2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-9,876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-27.2%</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204$</v>
      </c>
      <c r="G91" s="225" t="str">
        <f ca="1">IFERROR(TRUNC(_xlfn.XLOOKUP(TabTRADER[[#This Row],[ClickTick]],TabCalc[Ticker],ListLastSalep),2)&amp;"x"&amp;_xlfn.XLOOKUP(TabTRADER[[#This Row],[ClickTick]],TabCalc[Ticker],ListLastSalen)&amp;"=   "&amp;TEXT(-_xlfn.XLOOKUP(TabTRADER[[#This Row],[ClickTick]],TabCalc[Ticker],ListReverseB),"#,#0")&amp;"$","")</f>
        <v>61.26x2000=   -1,560$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 = 6,410</v>
      </c>
      <c r="I91" s="226" t="str">
        <f ca="1">IFERROR(TRUNC(TabCalc[[#This Row],[L_S1p]],2)&amp;"x"&amp;TabCalc[[#This Row],[L_S1n]]&amp;"=   "&amp;TEXT(TabCalc[[#This Row],[ReverseB1]],"#,#0"),"")</f>
        <v>67.82x1500=   11,010</v>
      </c>
      <c r="J91" s="295">
        <f ca="1">_xlfn.XLOOKUP(TabTRADER[[#This Row],[ClickTick]],TabCalc[Ticker],ListGravity)</f>
        <v>1.4633806216931218</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9072</v>
      </c>
      <c r="M91" s="323">
        <f ca="1">_xlfn.XLOOKUP(TabTRADER[[#This Row],[ClickTick]],TabCalc[Ticker],TabCalc[Agiotage])</f>
        <v>2.7026738112069636E-3</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-0.21393293475435407</v>
      </c>
      <c r="S91" s="683">
        <f ca="1">_xlfn.XLOOKUP(TabTRADER[[#This Row],[ClickTick]],TabCalc[Ticker],TabCalc[Rev(MinStock)])*(1-Commission)</f>
        <v>-9850.3223999999991</v>
      </c>
      <c r="T91" s="782">
        <f ca="1">_xlfn.XLOOKUP(TabTRADER[[#This Row],[ClickTick]],TabCalc[Ticker],TabCalc[Agiotage])</f>
        <v>2.7026738112069636E-3</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-330/-330=&gt;-7.6% / -2.9%</v>
      </c>
      <c r="V91" s="739" t="str">
        <f ca="1">_xlfn.XLOOKUP(TabTRADER[[#This Row],[ClickTick]],[1]!RTData[Ticker_Symbol],[1]!RTData[Currency])</f>
        <v>USD</v>
      </c>
      <c r="W91" s="749">
        <f ca="1">_xlfn.XLOOKUP(TabTRADER[[#This Row],[ClickTick]],TabCalc[Ticker],TabCalc[M])</f>
        <v>60.48</v>
      </c>
      <c r="X91" s="1343"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-171/36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9850.3223999999991</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36288</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0.21393293475435407</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0.26955608465608472</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-1.3053535001960588</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0.27215608465608471</v>
      </c>
      <c r="AP91" s="825" cm="1">
        <f t="array" aca="1" ref="AP91" ca="1">_xlfn.IFS(         TabTRADER[[#This Row],[Traps]]=MDown,TabTRADER[[#This Row],[L_Bn]]*TabTRADER[[#This Row],[M]]*(-(TabTRADER[[#This Row],[L_Bp]]+TabTRADER[[#This Row],[M]])/TabTRADER[[#This Row],[M]])*(1-Commission)*TabTRADER[[#This Row],[Scale]],                               TRUE,"")</f>
        <v>9850.3224000000009</v>
      </c>
      <c r="AQ91" s="1186" cm="1">
        <f t="array" aca="1" ref="AQ91" ca="1">_xlfn.IFS(   TabTRADER[[#This Row],[Traps]]=MUp,TabTRADER[[#This Row],[TakeGain_A]]-Commission,        TabTRADER[[#This Row],[Traps]]=MDown,(TabTRADER[[#This Row],[A]]-TabTRADER[[#This Row],[M]])/TabTRADER[[#This Row],[M]]-Commission,                              TRUE,"")</f>
        <v>0.26955608465608472</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9850.3223999999991</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-16.46</v>
      </c>
      <c r="AU91" s="765" cm="1">
        <f t="array" aca="1" ref="AU91" ca="1">_xlfn.IFS(TabTRADER[[#This Row],[Traps]]=ReSaleGain,"",         TabTRADER[[#This Row],[Traps]]=MDown, (TabTRADER[[#This Row],[M]]-TabTRADER[[#This Row],[A]])/TabTRADER[[#This Row],[A]]*ComFactor,             TRUE, IFERROR((TabTRADER[[#This Row],[M]]-TabTRADER[[#This Row],[A]])/TabTRADER[[#This Row],[A]]*ComFactor,""))</f>
        <v>-0.21337670912399273</v>
      </c>
      <c r="AV91" s="762" cm="1">
        <f t="array" aca="1" ref="AV91" ca="1">_xlfn.IFS(               TabTRADER[[#This Row],[Traps]]=NoStock,(TabTRADER[[#This Row],[L_Sp]]-TabTRADER[[#This Row],[M]])/TabTRADER[[#This Row],[M]]-Commission,             TabTRADER[[#This Row],[A]]&lt;&gt;0,(TabTRADER[[#This Row],[A]]-TabTRADER[[#This Row],[M]])/TabTRADER[[#This Row],[M]]-Commission)</f>
        <v>0.26955608465608472</v>
      </c>
      <c r="AW91" s="324">
        <f ca="1">_xlfn.XLOOKUP(TabTRADER[[#This Row],[ClickTick]],TabCalc[Ticker],TabCalc[L_Sn])</f>
        <v>2000</v>
      </c>
      <c r="AX91" s="728">
        <f ca="1">_xlfn.XLOOKUP(TabTRADER[[#This Row],[ClickTick]],TabCalc[Ticker],TabCalc[L_Sp])</f>
        <v>61.26</v>
      </c>
      <c r="AY91" s="764">
        <f ca="1">-IFERROR((TabTRADER[[#This Row],[M]]-TabTRADER[[#This Row],[L_Sp]])/TabTRADER[[#This Row],[L_Sp]],0)</f>
        <v>1.2732615083251733E-2</v>
      </c>
      <c r="AZ91" s="729">
        <f ca="1">TabTRADER[[#This Row],[L_Sn]]*(TabTRADER[[#This Row],[M]]-TabTRADER[[#This Row],[L_Sp]])*(1-Commission)*TabTRADER[[#This Row],[Scale]]</f>
        <v>-1555.9440000000022</v>
      </c>
      <c r="BA91" s="692">
        <f ca="1">TabTRADER[[#This Row],[L_Sn]]*(TabTRADER[[#This Row],[Agiotage]]-TabTRADER[[#This Row],[M]])/(TabTRADER[[#This Row],[L_Bn]]*TabTRADER[[#This Row],[M]])</f>
        <v>-3.3331843764433855</v>
      </c>
      <c r="BB91" s="635">
        <f ca="1">IFERROR((TabTRADER[[#This Row],[M]]-TabTRADER[[#This Row],[A]])/TabTRADER[[#This Row],[A]],0)</f>
        <v>-0.21393293475435407</v>
      </c>
      <c r="BC91" s="638" t="str">
        <f ca="1">TEXT(_xlfn.XLOOKUP(TabTRADER[[#This Row],[ClickTick]],TabCalc[Ticker],TabCalc[NAfter]),"#,#0")&amp;" : "&amp;TEXT(_xlfn.XLOOKUP(TabTRADER[[#This Row],[ClickTick]],TabCalc[Ticker],TabCalc[NAfter])*(TabTRADER[[#This Row],[M]]-TabTRADER[[#This Row],[A]])*(1-Commission)*TabTRADER[[#This Row],[Scale]],"#,#0$")</f>
        <v>600 : -9,850$</v>
      </c>
      <c r="BD91" s="684">
        <f ca="1">_xlfn.XLOOKUP(TabTRADER[[#This Row],[ClickTick]],TabCalc[[#This Row],[Ticker]],TabCalc[[#This Row],[GL]])*(1-Commission)</f>
        <v>-170913.36686000001</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0.27215608465608471</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-0.13103414420674236</v>
      </c>
      <c r="BO91" s="687">
        <f ca="1">(TabTRADER[[#This Row],[M]]-TabTRADER[[#This Row],[Agiotage]])/(TabTRADER[[#This Row],[M]]-TabTRADER[[#This Row],[A]])-1</f>
        <v>-4.6741978934501081</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-2,511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428</v>
      </c>
      <c r="F92" s="226" t="str">
        <f ca="1">TRUNC(TabCalc[[#This Row],[L_B1p]],2)&amp;"x"&amp;TabCalc[[#This Row],[L_B1n]]&amp;"=   "&amp;TEXT(TabCalc[[#This Row],[ReverseS1]],"#,#0")&amp;"$"</f>
        <v>-152.18x1000=   40,690$</v>
      </c>
      <c r="G92" s="225" t="str">
        <f ca="1">IFERROR(TRUNC(_xlfn.XLOOKUP(TabTRADER[[#This Row],[ClickTick]],TabCalc[Ticker],ListLastSalep),2)&amp;"x"&amp;_xlfn.XLOOKUP(TabTRADER[[#This Row],[ClickTick]],TabCalc[Ticker],ListLastSalen)&amp;"=   "&amp;TEXT(-_xlfn.XLOOKUP(TabTRADER[[#This Row],[ClickTick]],TabCalc[Ticker],ListReverseB),"#,#0")&amp;"$","")</f>
        <v>204.54x1000=   -11,670$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428</v>
      </c>
      <c r="I92" s="226" t="str">
        <f ca="1">IFERROR(TRUNC(TabCalc[[#This Row],[L_S1p]],2)&amp;"x"&amp;TabCalc[[#This Row],[L_S1n]]&amp;"=   "&amp;TEXT(TabCalc[[#This Row],[ReverseB1]],"#,#0"),"")</f>
        <v>194.28x250=   352</v>
      </c>
      <c r="J92" s="295">
        <f ca="1">_xlfn.XLOOKUP(TabTRADER[[#This Row],[ClickTick]],TabCalc[Ticker],ListGravity)</f>
        <v>1.190537927101156</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1.8178756496513504E-5</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-4.159212880143115E-2</v>
      </c>
      <c r="S92" s="683">
        <f ca="1">_xlfn.XLOOKUP(TabTRADER[[#This Row],[ClickTick]],TabCalc[Ticker],TabCalc[Rev(MinStock)])*(1-Commission)</f>
        <v>-2504.4714000000013</v>
      </c>
      <c r="T92" s="782">
        <f ca="1">_xlfn.XLOOKUP(TabTRADER[[#This Row],[ClickTick]],TabCalc[Ticker],TabCalc[Agiotage])</f>
        <v>1.8178756496513504E-5</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-4,965/-4,965=&gt;0.3% / -1.9%</v>
      </c>
      <c r="V92" s="739" t="str">
        <f ca="1">_xlfn.XLOOKUP(TabTRADER[[#This Row],[ClickTick]],[1]!RTData[Ticker_Symbol],[1]!RTData[Currency])</f>
        <v>USD</v>
      </c>
      <c r="W92" s="749">
        <f ca="1">_xlfn.XLOOKUP(TabTRADER[[#This Row],[ClickTick]],TabCalc[Ticker],TabCalc[M])</f>
        <v>192.87</v>
      </c>
      <c r="X92" s="1343"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^282/289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2504.4714000000013</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289305</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-0.20182259290633259</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4.0797106859542721E-2</v>
      </c>
      <c r="AL92" s="825" t="str" cm="1">
        <f t="array" aca="1" ref="AL92" ca="1">_xlfn.IFS(   TabTRADER[[#This Row],[Traps]]=SellMorePercentGain,                     MIN(TabTRADER[[#This Row],[L_Sn]],TabTRADER[[#This Row],[N]])*(TabTRADER[[#This Row],[M]]-TabTRADER[[#This Row],[L_Sp]])*(1-Commission)*TabTRADER[[#This Row],[Scale]],                    TRUE,"")</f>
        <v/>
      </c>
      <c r="AM92" s="1341">
        <f ca="1">_xlfn.XLOOKUP(TabTRADER[[#This Row],[ClickTick]],TabCalc[Ticker],TabCalc[Ann%RevLB])</f>
        <v>-0.3743291592128804</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4.339710685954272E-2</v>
      </c>
      <c r="AP92" s="825" cm="1">
        <f t="array" aca="1" ref="AP92" ca="1">_xlfn.IFS(         TabTRADER[[#This Row],[Traps]]=MDown,TabTRADER[[#This Row],[L_Bn]]*TabTRADER[[#This Row],[M]]*(-(TabTRADER[[#This Row],[L_Bp]]+TabTRADER[[#This Row],[M]])/TabTRADER[[#This Row],[M]])*(1-Commission)*TabTRADER[[#This Row],[Scale]],                               TRUE,"")</f>
        <v>2504.4714000000013</v>
      </c>
      <c r="AQ92" s="1186" cm="1">
        <f t="array" aca="1" ref="AQ92" ca="1">_xlfn.IFS(   TabTRADER[[#This Row],[Traps]]=MUp,TabTRADER[[#This Row],[TakeGain_A]]-Commission,        TabTRADER[[#This Row],[Traps]]=MDown,(TabTRADER[[#This Row],[A]]-TabTRADER[[#This Row],[M]])/TabTRADER[[#This Row],[M]]-Commission,                              TRUE,"")</f>
        <v>-0.17053043673631635</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-48456.798901000002</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-8.3699999999999992</v>
      </c>
      <c r="AU92" s="765" cm="1">
        <f t="array" aca="1" ref="AU92" ca="1">_xlfn.IFS(TabTRADER[[#This Row],[Traps]]=ReSaleGain,"",         TabTRADER[[#This Row],[Traps]]=MDown, (TabTRADER[[#This Row],[M]]-TabTRADER[[#This Row],[A]])/TabTRADER[[#This Row],[A]]*ComFactor,             TRUE, IFERROR((TabTRADER[[#This Row],[M]]-TabTRADER[[#This Row],[A]])/TabTRADER[[#This Row],[A]]*ComFactor,""))</f>
        <v>0.20129785416477611</v>
      </c>
      <c r="AV92" s="762" cm="1">
        <f t="array" aca="1" ref="AV92" ca="1">_xlfn.IFS(               TabTRADER[[#This Row],[Traps]]=NoStock,(TabTRADER[[#This Row],[L_Sp]]-TabTRADER[[#This Row],[M]])/TabTRADER[[#This Row],[M]]-Commission,             TabTRADER[[#This Row],[A]]&lt;&gt;0,(TabTRADER[[#This Row],[A]]-TabTRADER[[#This Row],[M]])/TabTRADER[[#This Row],[M]]-Commission)</f>
        <v>-0.17053043673631635</v>
      </c>
      <c r="AW92" s="324">
        <f ca="1">_xlfn.XLOOKUP(TabTRADER[[#This Row],[ClickTick]],TabCalc[Ticker],TabCalc[L_Sn])</f>
        <v>1000</v>
      </c>
      <c r="AX92" s="728">
        <f ca="1">_xlfn.XLOOKUP(TabTRADER[[#This Row],[ClickTick]],TabCalc[Ticker],TabCalc[L_Sp])</f>
        <v>204.54</v>
      </c>
      <c r="AY92" s="764">
        <f ca="1">-IFERROR((TabTRADER[[#This Row],[M]]-TabTRADER[[#This Row],[L_Sp]])/TabTRADER[[#This Row],[L_Sp]],0)</f>
        <v>5.7054854796127839E-2</v>
      </c>
      <c r="AZ92" s="729">
        <f ca="1">TabTRADER[[#This Row],[L_Sn]]*(TabTRADER[[#This Row],[M]]-TabTRADER[[#This Row],[L_Sp]])*(1-Commission)*TabTRADER[[#This Row],[Scale]]</f>
        <v>-11639.657999999987</v>
      </c>
      <c r="BA92" s="692">
        <f ca="1">TabTRADER[[#This Row],[L_Sn]]*(TabTRADER[[#This Row],[Agiotage]]-TabTRADER[[#This Row],[M]])/(TabTRADER[[#This Row],[L_Bn]]*TabTRADER[[#This Row],[M]])</f>
        <v>-3.3333330191535491</v>
      </c>
      <c r="BB92" s="635">
        <f ca="1">IFERROR((TabTRADER[[#This Row],[M]]-TabTRADER[[#This Row],[A]])/TabTRADER[[#This Row],[A]],0)</f>
        <v>0.20182259290633259</v>
      </c>
      <c r="BC92" s="638" t="str">
        <f ca="1">TEXT(_xlfn.XLOOKUP(TabTRADER[[#This Row],[ClickTick]],TabCalc[Ticker],TabCalc[NAfter]),"#,#0")&amp;" : "&amp;TEXT(_xlfn.XLOOKUP(TabTRADER[[#This Row],[ClickTick]],TabCalc[Ticker],TabCalc[NAfter])*(TabTRADER[[#This Row],[M]]-TabTRADER[[#This Row],[A]])*(1-Commission)*TabTRADER[[#This Row],[Scale]],"#,#0$")</f>
        <v>1,500 : 48,457$</v>
      </c>
      <c r="BD92" s="684">
        <f ca="1">_xlfn.XLOOKUP(TabTRADER[[#This Row],[ClickTick]],TabCalc[[#This Row],[Ticker]],TabCalc[[#This Row],[GL]])*(1-Commission)</f>
        <v>281736.42379520001</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4.339710685954272E-2</v>
      </c>
      <c r="BJ92" s="679">
        <f ca="1">TabTRADER[[#This Row],[L_Sn]]*TabTRADER[[#This Row],[L_Sp]]+TabTRADER[[#This Row],[SellMore]]*TabTRADER[[#This Row],[M]]</f>
        <v>397410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198.70500000000001</v>
      </c>
      <c r="BN92" s="687">
        <f ca="1">((_xlfn.XLOOKUP(TabTRADER[[#This Row],[ClickTick]],TabCalc[Ticker],TabCalc[NAfter])+TabTRADER[[#This Row],[L_Sn]])*(TabTRADER[[#This Row],[Agiotage]]-TabTRADER[[#This Row],[M]]))/(TabTRADER[[#This Row],[L_Sn]]*_xlfn.XLOOKUP(TabTRADER[[#This Row],[ClickTick]],TabCalc[Ticker],TabCalc[NAfter]))</f>
        <v>-0.32144996970207246</v>
      </c>
      <c r="BO92" s="687">
        <f ca="1">(TabTRADER[[#This Row],[M]]-TabTRADER[[#This Row],[Agiotage]])/(TabTRADER[[#This Row],[M]]-TabTRADER[[#This Row],[A]])-1</f>
        <v>4.9548460968767687</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43"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0.87337097808564734</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+369,155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47.3%</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1,044/77,100=10,576</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0.89662921348314617</v>
      </c>
      <c r="S94" s="683">
        <f ca="1">_xlfn.XLOOKUP(TabTRADER[[#This Row],[ClickTick]],TabCalc[Ticker],TabCalc[Rev(MinStock)])*(1-Commission)</f>
        <v>368194.99752000003</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-6,014/-6,014=&gt;-0.3% / 0.4%</v>
      </c>
      <c r="V94" s="739" t="str">
        <f ca="1">_xlfn.XLOOKUP(TabTRADER[[#This Row],[ClickTick]],[1]!RTData[Ticker_Symbol],[1]!RTData[Currency])</f>
        <v>USD</v>
      </c>
      <c r="W94" s="749">
        <f ca="1">_xlfn.XLOOKUP(TabTRADER[[#This Row],[ClickTick]],TabCalc[Ticker],TabCalc[M])</f>
        <v>10.128</v>
      </c>
      <c r="X94" s="1343"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^369/781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368194.99752000003</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368194.99752000003</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0.89662921348314617</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41">
        <f ca="1">_xlfn.XLOOKUP(TabTRADER[[#This Row],[ClickTick]],TabCalc[Ticker],TabCalc[Ann%RevLB])</f>
        <v>0.25376298494806027</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698329.38855478656</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-0.47534881516587679</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0.89662921348314617</v>
      </c>
      <c r="BC94" s="638" t="str">
        <f ca="1">TEXT(_xlfn.XLOOKUP(TabTRADER[[#This Row],[ClickTick]],TabCalc[Ticker],TabCalc[NAfter]),"#,#0")&amp;" : "&amp;TEXT(_xlfn.XLOOKUP(TabTRADER[[#This Row],[ClickTick]],TabCalc[Ticker],TabCalc[NAfter])*(TabTRADER[[#This Row],[M]]-TabTRADER[[#This Row],[A]])*(1-Commission)*TabTRADER[[#This Row],[Scale]],"#,#0$")</f>
        <v>77,100 : 368,195$</v>
      </c>
      <c r="BD94" s="684">
        <f ca="1">_xlfn.XLOOKUP(TabTRADER[[#This Row],[ClickTick]],TabCalc[[#This Row],[Ticker]],TabCalc[[#This Row],[GL]])*(1-Commission)</f>
        <v>368194.99752000003</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780868.8</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10.128</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0.9064327485380117</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+29,532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34/200=29,507</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12,960$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95" s="226" t="str">
        <f ca="1">IFERROR(TRUNC(TabCalc[[#This Row],[L_S1p]],2)&amp;"x"&amp;TabCalc[[#This Row],[L_S1n]]&amp;"=   "&amp;TEXT(TabCalc[[#This Row],[ReverseB1]],"#,#0"),"")</f>
        <v>0x0=   0</v>
      </c>
      <c r="J95" s="295">
        <f ca="1">_xlfn.XLOOKUP(TabTRADER[[#This Row],[ClickTick]],TabCalc[Ticker],ListGravity)</f>
        <v>1.0809080330502641</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0.1427007365316057</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0.20402354436676151</v>
      </c>
      <c r="S95" s="683">
        <f ca="1">_xlfn.XLOOKUP(TabTRADER[[#This Row],[ClickTick]],TabCalc[Ticker],TabCalc[Rev(MinStock)])*(1-Commission)</f>
        <v>29455.216799999991</v>
      </c>
      <c r="T95" s="782">
        <f ca="1">_xlfn.XLOOKUP(TabTRADER[[#This Row],[ClickTick]],TabCalc[Ticker],TabCalc[Agiotage])</f>
        <v>0.1427007365316057</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-1,580/-1,580=&gt;-2.7% / -0.3%</v>
      </c>
      <c r="V95" s="739" t="str">
        <f ca="1">_xlfn.XLOOKUP(TabTRADER[[#This Row],[ClickTick]],[1]!RTData[Ticker_Symbol],[1]!RTData[Currency])</f>
        <v>EUR</v>
      </c>
      <c r="W95" s="749">
        <f ca="1">_xlfn.XLOOKUP(TabTRADER[[#This Row],[ClickTick]],TabCalc[Ticker],TabCalc[M])</f>
        <v>871.4</v>
      </c>
      <c r="X95" s="1343"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^61/174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8617.5359999999855</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29455.216799999991</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0.20402354436676151</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4.6975395914620077E-2</v>
      </c>
      <c r="AL95" s="825" cm="1">
        <f t="array" aca="1" ref="AL95" ca="1">_xlfn.IFS(   TabTRADER[[#This Row],[Traps]]=SellMorePercentGain,                     MIN(TabTRADER[[#This Row],[L_Sn]],TabTRADER[[#This Row],[N]])*(TabTRADER[[#This Row],[M]]-TabTRADER[[#This Row],[L_Sp]])*(1-Commission)*TabTRADER[[#This Row],[Scale]],                    TRUE,"")</f>
        <v>8617.5359999999855</v>
      </c>
      <c r="AM95" s="1175">
        <f ca="1">_xlfn.XLOOKUP(TabTRADER[[#This Row],[ClickTick]],TabCalc[Ticker],TabCalc[Ann%RevLB])</f>
        <v>0.23924585007177246</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0.20142354436676152</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35464.774531627372</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200x147.66</v>
      </c>
      <c r="AU95" s="765" cm="1">
        <f t="array" aca="1" ref="AU95" ca="1">_xlfn.IFS(TabTRADER[[#This Row],[Traps]]=ReSaleGain,"",         TabTRADER[[#This Row],[Traps]]=MDown, (TabTRADER[[#This Row],[M]]-TabTRADER[[#This Row],[A]])/TabTRADER[[#This Row],[A]]*ComFactor,             TRUE, IFERROR((TabTRADER[[#This Row],[M]]-TabTRADER[[#This Row],[A]])/TabTRADER[[#This Row],[A]]*ComFactor,""))</f>
        <v>0.20349308315140793</v>
      </c>
      <c r="AV95" s="763" cm="1">
        <f t="array" aca="1" ref="AV95" ca="1">_xlfn.IFS(               TabTRADER[[#This Row],[Traps]]=NoStock,(TabTRADER[[#This Row],[L_Sp]]-TabTRADER[[#This Row],[M]])/TabTRADER[[#This Row],[M]]-Commission,             TabTRADER[[#This Row],[A]]&lt;&gt;0,(TabTRADER[[#This Row],[A]]-TabTRADER[[#This Row],[M]])/TabTRADER[[#This Row],[M]]-Commission)</f>
        <v>-0.17205145742483355</v>
      </c>
      <c r="AW95" s="324">
        <f ca="1">_xlfn.XLOOKUP(TabTRADER[[#This Row],[ClickTick]],TabCalc[Ticker],TabCalc[L_Sn])</f>
        <v>300</v>
      </c>
      <c r="AX95" s="728">
        <f ca="1">_xlfn.XLOOKUP(TabTRADER[[#This Row],[ClickTick]],TabCalc[Ticker],TabCalc[L_Sp])</f>
        <v>828.2</v>
      </c>
      <c r="AY95" s="764">
        <f ca="1">-IFERROR((TabTRADER[[#This Row],[M]]-TabTRADER[[#This Row],[L_Sp]])/TabTRADER[[#This Row],[L_Sp]],0)</f>
        <v>-5.2161313692344759E-2</v>
      </c>
      <c r="AZ95" s="729">
        <f ca="1">TabTRADER[[#This Row],[L_Sn]]*(TabTRADER[[#This Row],[M]]-TabTRADER[[#This Row],[L_Sp]])*(1-Commission)*TabTRADER[[#This Row],[Scale]]</f>
        <v>12926.30399999998</v>
      </c>
      <c r="BA95" s="692">
        <f ca="1">TabTRADER[[#This Row],[L_Sn]]*(TabTRADER[[#This Row],[Agiotage]]-TabTRADER[[#This Row],[M]])/(TabTRADER[[#This Row],[L_Bn]]*TabTRADER[[#This Row],[M]])</f>
        <v>-0.59990174381234906</v>
      </c>
      <c r="BB95" s="635">
        <f ca="1">IFERROR((TabTRADER[[#This Row],[M]]-TabTRADER[[#This Row],[A]])/TabTRADER[[#This Row],[A]],0)</f>
        <v>0.20402354436676151</v>
      </c>
      <c r="BC95" s="638" t="str">
        <f ca="1">TEXT(_xlfn.XLOOKUP(TabTRADER[[#This Row],[ClickTick]],TabCalc[Ticker],TabCalc[NAfter]),"#,#0")&amp;" : "&amp;TEXT(_xlfn.XLOOKUP(TabTRADER[[#This Row],[ClickTick]],TabCalc[Ticker],TabCalc[NAfter])*(TabTRADER[[#This Row],[M]]-TabTRADER[[#This Row],[A]])*(1-Commission)*TabTRADER[[#This Row],[Scale]],"#,#0$")</f>
        <v>200 : 29,455$</v>
      </c>
      <c r="BD95" s="684">
        <f ca="1">_xlfn.XLOOKUP(TabTRADER[[#This Row],[ClickTick]],TabCalc[[#This Row],[Ticker]],TabCalc[[#This Row],[GL]])*(1-Commission)</f>
        <v>60711.737999999998</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4.9575395914620075E-2</v>
      </c>
      <c r="BJ95" s="679">
        <f ca="1">TabTRADER[[#This Row],[L_Sn]]*TabTRADER[[#This Row],[L_Sp]]+TabTRADER[[#This Row],[SellMore]]*TabTRADER[[#This Row],[M]]</f>
        <v>422740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845.48</v>
      </c>
      <c r="BN95" s="687">
        <f ca="1">((_xlfn.XLOOKUP(TabTRADER[[#This Row],[ClickTick]],TabCalc[Ticker],TabCalc[NAfter])+TabTRADER[[#This Row],[L_Sn]])*(TabTRADER[[#This Row],[Agiotage]]-TabTRADER[[#This Row],[M]]))/(TabTRADER[[#This Row],[L_Sn]]*_xlfn.XLOOKUP(TabTRADER[[#This Row],[ClickTick]],TabCalc[Ticker],TabCalc[NAfter]))</f>
        <v>-7.2604774938622363</v>
      </c>
      <c r="BO95" s="687">
        <f ca="1">(TabTRADER[[#This Row],[M]]-TabTRADER[[#This Row],[Agiotage]])/(TabTRADER[[#This Row],[M]]-TabTRADER[[#This Row],[A]])-1</f>
        <v>4.9004286825373731</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+1,850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5,376</v>
      </c>
      <c r="F96" s="1122"/>
      <c r="G96" s="225"/>
      <c r="H96" s="493"/>
      <c r="I96" s="1123"/>
      <c r="J96" s="295">
        <f ca="1">_xlfn.XLOOKUP(TabTRADER[[#This Row],[ClickTick]],TabCalc[Ticker],ListGravity)</f>
        <v>1.1138637261356155</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7.1240551570914536E-4</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5000</v>
      </c>
      <c r="Q96" s="1125">
        <f ca="1">_xlfn.XLOOKUP(TabTRADER[[#This Row],[ClickTick]],TabCalc[Ticker],TabCalc[L_Bp])</f>
        <v>-14.82</v>
      </c>
      <c r="R96" s="1126">
        <f ca="1">(TabTRADER[[#This Row],[M]]+TabTRADER[[#This Row],[L_Bp]])/ABS(TabTRADER[[#This Row],[L_Bp]])</f>
        <v>2.4966261808367019E-2</v>
      </c>
      <c r="S96" s="683">
        <f ca="1">_xlfn.XLOOKUP(TabTRADER[[#This Row],[ClickTick]],TabCalc[Ticker],TabCalc[Rev(MinStock)])*(1-Commission)</f>
        <v>1845.189999999996</v>
      </c>
      <c r="T96" s="1127">
        <f ca="1">_xlfn.XLOOKUP(TabTRADER[[#This Row],[ClickTick]],TabCalc[Ticker],TabCalc[Agiotage])</f>
        <v>7.1240551570914536E-4</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-90/-90=&gt;0.2% / -0.4%</v>
      </c>
      <c r="V96" s="1129" t="str">
        <f ca="1">_xlfn.XLOOKUP(TabTRADER[[#This Row],[ClickTick]],[1]!RTData[Ticker_Symbol],[1]!RTData[Currency])</f>
        <v>EUR</v>
      </c>
      <c r="W96" s="749">
        <f ca="1">_xlfn.XLOOKUP(TabTRADER[[#This Row],[ClickTick]],TabCalc[Ticker],TabCalc[M])</f>
        <v>15.19</v>
      </c>
      <c r="X96" s="1344"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18000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^303/273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177" t="str" cm="1">
        <f t="array" aca="1" ref="AF96" ca="1">_xlfn.IFS(       TabTRADER[[#This Row],[Traps]]=RePurchaseGain,TEXT(TabTRADER[[#This Row],[L_Sn]],"#,#0")&amp;" x "&amp;TEXT(TabTRADER[[#This Row],[L_Sp]],"#,#0.#0"),     TabTRADER[[#This Row],[Traps]]=ReSaleGain,TEXT(TabTRADER[[#This Row],[L_Bn]],"#0,#0")&amp;" x "&amp;TEXT(TabTRADER[[#This Row],[L_Bp]],"#,#0.#0"),               TRUE,"")</f>
        <v>3,000 x 16.12</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2782.7460000000042</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2782.7460000000042</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5.7692307692307779E-2</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0.1182612401448964</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15312.544601400012</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133" cm="1">
        <f t="array" aca="1" ref="AU96" ca="1">_xlfn.IFS(TabTRADER[[#This Row],[Traps]]=ReSaleGain,"",         TabTRADER[[#This Row],[Traps]]=MDown, (TabTRADER[[#This Row],[M]]-TabTRADER[[#This Row],[A]])/TabTRADER[[#This Row],[A]]*ComFactor,             TRUE, IFERROR((TabTRADER[[#This Row],[M]]-TabTRADER[[#This Row],[A]])/TabTRADER[[#This Row],[A]]*ComFactor,""))</f>
        <v>5.9335415297621034E-2</v>
      </c>
      <c r="AV96" s="762" cm="1">
        <f t="array" aca="1" ref="AV96" ca="1">_xlfn.IFS(               TabTRADER[[#This Row],[Traps]]=NoStock,(TabTRADER[[#This Row],[L_Sp]]-TabTRADER[[#This Row],[M]])/TabTRADER[[#This Row],[M]]-Commission,             TabTRADER[[#This Row],[A]]&lt;&gt;0,(TabTRADER[[#This Row],[A]]-TabTRADER[[#This Row],[M]])/TabTRADER[[#This Row],[M]]-Commission)</f>
        <v>-5.8749736668861137E-2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5.7692307692307779E-2</v>
      </c>
      <c r="AZ96" s="1135">
        <f ca="1">TabTRADER[[#This Row],[L_Sn]]*(TabTRADER[[#This Row],[M]]-TabTRADER[[#This Row],[L_Sp]])*(1-Commission)*TabTRADER[[#This Row],[Scale]]</f>
        <v>-2782.7460000000042</v>
      </c>
      <c r="BA96" s="692">
        <f ca="1">TabTRADER[[#This Row],[L_Sn]]*(TabTRADER[[#This Row],[Agiotage]]-TabTRADER[[#This Row],[M]])/(TabTRADER[[#This Row],[L_Bn]]*TabTRADER[[#This Row],[M]])</f>
        <v>-0.59997186021662763</v>
      </c>
      <c r="BB96" s="1136">
        <f ca="1">IFERROR((TabTRADER[[#This Row],[M]]-TabTRADER[[#This Row],[A]])/TabTRADER[[#This Row],[A]],0)</f>
        <v>5.9490089530400074E-2</v>
      </c>
      <c r="BC96" s="638" t="str">
        <f ca="1">TEXT(_xlfn.XLOOKUP(TabTRADER[[#This Row],[ClickTick]],TabCalc[Ticker],TabCalc[NAfter]),"#,#0")&amp;" : "&amp;TEXT(_xlfn.XLOOKUP(TabTRADER[[#This Row],[ClickTick]],TabCalc[Ticker],TabCalc[NAfter])*(TabTRADER[[#This Row],[M]]-TabTRADER[[#This Row],[A]])*(1-Commission)*TabTRADER[[#This Row],[Scale]],"#,#0$")</f>
        <v>18,000 : 15,313$</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124310</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15.53875</v>
      </c>
      <c r="BN96" s="687">
        <f ca="1">((_xlfn.XLOOKUP(TabTRADER[[#This Row],[ClickTick]],TabCalc[Ticker],TabCalc[NAfter])+TabTRADER[[#This Row],[L_Sn]])*(TabTRADER[[#This Row],[Agiotage]]-TabTRADER[[#This Row],[M]]))/(TabTRADER[[#This Row],[L_Sn]]*_xlfn.XLOOKUP(TabTRADER[[#This Row],[ClickTick]],TabCalc[Ticker],TabCalc[NAfter]))</f>
        <v>-5.9069451756327794E-3</v>
      </c>
      <c r="BO96" s="687">
        <f ca="1">(TabTRADER[[#This Row],[M]]-TabTRADER[[#This Row],[Agiotage]])/(TabTRADER[[#This Row],[M]]-TabTRADER[[#This Row],[A]])-1</f>
        <v>16.808687265235001</v>
      </c>
      <c r="BP96" s="1277">
        <f ca="1">_xlfn.XMATCH(TabTRADER[[#This Row],[ClickTick]]&amp;1, TabConsolid[#Headers])</f>
        <v>284</v>
      </c>
    </row>
    <row r="97" spans="1:68" ht="28" thickBot="1" x14ac:dyDescent="0.4">
      <c r="A97" s="224" t="s">
        <v>1086</v>
      </c>
      <c r="B97" s="1333"/>
      <c r="C97" s="1334"/>
      <c r="D97" s="671"/>
      <c r="E97" s="752"/>
      <c r="F97" s="1333"/>
      <c r="G97" s="1335"/>
      <c r="H97" s="1334"/>
      <c r="I97" s="1336"/>
      <c r="J97" s="1334"/>
      <c r="K97" s="1334"/>
      <c r="L97" s="672"/>
      <c r="M97" s="1334"/>
      <c r="N97" s="1337"/>
      <c r="O97" s="703"/>
      <c r="P97" s="857"/>
      <c r="Q97" s="855"/>
      <c r="R97" s="1338"/>
      <c r="S97" s="702">
        <f ca="1">SUBTOTAL(109,TabTRADER[Sale_Back_$])</f>
        <v>249128.17854620176</v>
      </c>
      <c r="T97" s="786"/>
      <c r="U97" s="697">
        <f ca="1">SUBTOTAL(109,TabTRADER[SncOpenYest%])</f>
        <v>0</v>
      </c>
      <c r="V97" s="740"/>
      <c r="W97" s="1069"/>
      <c r="X97" s="1344"/>
      <c r="Y97" s="804"/>
      <c r="Z97" s="866"/>
      <c r="AA97" s="1"/>
      <c r="AB97" s="1"/>
      <c r="AC97" s="767"/>
      <c r="AD97" s="844"/>
      <c r="AE97" s="1174"/>
      <c r="AF97" s="1174"/>
      <c r="AG97" s="738">
        <f ca="1">SUBTOTAL(109,TabTRADER[Sell/Buy_nL])</f>
        <v>483592.72121625999</v>
      </c>
      <c r="AH97" s="761">
        <f ca="1">SUBTOTAL(109,TabTRADER[GL_nM])</f>
        <v>524620.97777519992</v>
      </c>
      <c r="AI97" s="932">
        <f ca="1">SUBTOTAL(109,TabTRADER[GL_R/M_NA])</f>
        <v>12532414.532167191</v>
      </c>
      <c r="AJ97" s="761"/>
      <c r="AK97" s="929"/>
      <c r="AL97" s="932">
        <f ca="1">SUBTOTAL(109,TabTRADER[vs.LS$])</f>
        <v>79649.626136999985</v>
      </c>
      <c r="AM97" s="1285"/>
      <c r="AN97" s="1285"/>
      <c r="AO97" s="761"/>
      <c r="AP97" s="932">
        <f ca="1">SUBTOTAL(109,TabTRADER[vs.LB$])</f>
        <v>444971.35163819999</v>
      </c>
      <c r="AQ97" s="761"/>
      <c r="AR97" s="761"/>
      <c r="AS97" s="761"/>
      <c r="AT97" s="738"/>
      <c r="AU97" s="819">
        <f ca="1">SUBTOTAL(109,TabTRADER[SellMore(/A)])</f>
        <v>-1.107826305448103</v>
      </c>
      <c r="AV97" s="820">
        <f ca="1">SUBTOTAL(109,TabTRADER[BuyMore])</f>
        <v>51.898723097653097</v>
      </c>
      <c r="AW97" s="1337"/>
      <c r="AX97" s="682"/>
      <c r="AY97" s="1339"/>
      <c r="AZ97" s="730">
        <f ca="1">SUBTOTAL(109,TabTRADER[Buy_Back])</f>
        <v>-8407.2156583600226</v>
      </c>
      <c r="BA97" s="693">
        <f ca="1">SUBTOTAL(104,TabTRADER[Rev_B@Y])</f>
        <v>6.8384526267689694</v>
      </c>
      <c r="BB97" s="1334"/>
      <c r="BC97" s="674"/>
      <c r="BD97" s="685">
        <f ca="1">SUBTOTAL(109,TabTRADER[GL_Total])</f>
        <v>11346181.099262642</v>
      </c>
      <c r="BE97" s="685"/>
      <c r="BF97" s="673"/>
      <c r="BG97" s="1340">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-1.107826305448103</v>
      </c>
      <c r="AW98" s="808">
        <f ca="1">SUM(TabTRADER[BuyMore])</f>
        <v>51.898723097653097</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79649.626136999985</v>
      </c>
      <c r="AM99" s="93"/>
      <c r="AN99" s="93"/>
      <c r="AO99" s="93"/>
      <c r="AP99" s="93"/>
      <c r="AR99" s="93">
        <f ca="1">SUM(AR3:AR96)</f>
        <v>5186385.2143198634</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524620.97777519992</v>
      </c>
      <c r="AI100" s="948">
        <f ca="1">SUM(TabTRADER[GL_R/M_NA])</f>
        <v>12532414.532167191</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t="e">
        <f>AO114/[1]DataRT!$B$99</f>
        <v>#DIV/0!</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06" priority="145" operator="containsText" text="x0">
      <formula>NOT(ISERROR(SEARCH("x0",G3)))</formula>
    </cfRule>
    <cfRule type="containsText" dxfId="805" priority="168" operator="containsText" text=" -">
      <formula>NOT(ISERROR(SEARCH(" -",G3)))</formula>
    </cfRule>
  </conditionalFormatting>
  <conditionalFormatting sqref="I3:I96">
    <cfRule type="containsText" dxfId="80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03" priority="162" operator="containsText" text=" 0">
      <formula>NOT(ISERROR(SEARCH(" 0",B3)))</formula>
    </cfRule>
  </conditionalFormatting>
  <conditionalFormatting sqref="B3:B96">
    <cfRule type="containsText" dxfId="802" priority="163" operator="containsText" text=" -">
      <formula>NOT(ISERROR(SEARCH(" -",B3)))</formula>
    </cfRule>
  </conditionalFormatting>
  <conditionalFormatting sqref="H3:I96">
    <cfRule type="containsText" dxfId="801" priority="158" operator="containsText" text="Free">
      <formula>NOT(ISERROR(SEARCH("Free",H3)))</formula>
    </cfRule>
    <cfRule type="containsText" dxfId="800" priority="159" operator="containsText" text="Buy">
      <formula>NOT(ISERROR(SEARCH("Buy",H3)))</formula>
    </cfRule>
    <cfRule type="containsText" dxfId="799" priority="160" operator="containsText" text="Refill">
      <formula>NOT(ISERROR(SEARCH("Refill",H3)))</formula>
    </cfRule>
    <cfRule type="containsText" dxfId="798" priority="161" operator="containsText" text="S_more">
      <formula>NOT(ISERROR(SEARCH("S_more",H3)))</formula>
    </cfRule>
  </conditionalFormatting>
  <conditionalFormatting sqref="D98 C2:C96">
    <cfRule type="containsText" dxfId="797" priority="154" operator="containsText" text="Free">
      <formula>NOT(ISERROR(SEARCH("Free",C2)))</formula>
    </cfRule>
    <cfRule type="containsText" dxfId="796" priority="155" operator="containsText" text="Sell">
      <formula>NOT(ISERROR(SEARCH("Sell",C2)))</formula>
    </cfRule>
    <cfRule type="containsText" dxfId="795" priority="156" operator="containsText" text="Re-Sell">
      <formula>NOT(ISERROR(SEARCH("Re-Sell",C2)))</formula>
    </cfRule>
    <cfRule type="containsText" dxfId="794" priority="157" operator="containsText" text="B_more">
      <formula>NOT(ISERROR(SEARCH("B_more",C2)))</formula>
    </cfRule>
  </conditionalFormatting>
  <conditionalFormatting sqref="N98 E3:E96">
    <cfRule type="containsText" dxfId="793" priority="142" operator="containsText" text="Free">
      <formula>NOT(ISERROR(SEARCH("Free",E3)))</formula>
    </cfRule>
    <cfRule type="containsText" dxfId="792" priority="149" operator="containsText" text="M&lt;min">
      <formula>NOT(ISERROR(SEARCH("M&lt;min",E3)))</formula>
    </cfRule>
    <cfRule type="containsText" dxfId="791" priority="150" operator="containsText" text="A&lt;M">
      <formula>NOT(ISERROR(SEARCH("A&lt;M",E3)))</formula>
    </cfRule>
    <cfRule type="containsText" dxfId="790" priority="151" operator="containsText" text="M&gt;Last Sale">
      <formula>NOT(ISERROR(SEARCH("M&gt;Last Sale",E3)))</formula>
    </cfRule>
    <cfRule type="containsText" dxfId="789" priority="152" operator="containsText" text="M&gt;Y">
      <formula>NOT(ISERROR(SEARCH("M&gt;Y",E3)))</formula>
    </cfRule>
  </conditionalFormatting>
  <conditionalFormatting sqref="C3:C96">
    <cfRule type="expression" dxfId="788" priority="146">
      <formula>#REF!=0</formula>
    </cfRule>
  </conditionalFormatting>
  <conditionalFormatting sqref="N98 E3:E96">
    <cfRule type="containsText" dxfId="787" priority="148" operator="containsText" text="A&gt;M">
      <formula>NOT(ISERROR(SEARCH("A&gt;M",E3)))</formula>
    </cfRule>
  </conditionalFormatting>
  <conditionalFormatting sqref="BG2:BK96">
    <cfRule type="containsText" dxfId="786" priority="135" operator="containsText" text="Trade">
      <formula>NOT(ISERROR(SEARCH("Trade",BG2)))</formula>
    </cfRule>
  </conditionalFormatting>
  <conditionalFormatting sqref="D3:E96">
    <cfRule type="expression" dxfId="785" priority="182">
      <formula>#REF!=0</formula>
    </cfRule>
    <cfRule type="expression" dxfId="78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83" priority="131" operator="greaterThan">
      <formula>0</formula>
    </cfRule>
    <cfRule type="cellIs" dxfId="782" priority="132" operator="lessThan">
      <formula>0</formula>
    </cfRule>
  </conditionalFormatting>
  <conditionalFormatting sqref="BF3:BF96">
    <cfRule type="containsText" dxfId="781" priority="122" operator="containsText" text="Pile">
      <formula>NOT(ISERROR(SEARCH("Pile",BF3)))</formula>
    </cfRule>
  </conditionalFormatting>
  <conditionalFormatting sqref="BM97:BP97">
    <cfRule type="expression" dxfId="780" priority="119">
      <formula>$BG98&gt;=$BF98</formula>
    </cfRule>
  </conditionalFormatting>
  <conditionalFormatting sqref="BM2:BO3 BN4:BO94 BM4:BM96 BP2:BP94">
    <cfRule type="expression" dxfId="779" priority="1068">
      <formula>$BM3&gt;=$BL3</formula>
    </cfRule>
  </conditionalFormatting>
  <conditionalFormatting sqref="U97">
    <cfRule type="cellIs" dxfId="778" priority="117" operator="lessThan">
      <formula>"/ -"</formula>
    </cfRule>
  </conditionalFormatting>
  <conditionalFormatting sqref="S2:S97">
    <cfRule type="cellIs" dxfId="777" priority="115" operator="lessThan">
      <formula>-1000</formula>
    </cfRule>
    <cfRule type="cellIs" dxfId="776" priority="116" operator="greaterThan">
      <formula>1000</formula>
    </cfRule>
  </conditionalFormatting>
  <conditionalFormatting sqref="O3:O96">
    <cfRule type="containsText" dxfId="775" priority="112" operator="containsText" text="Pile">
      <formula>NOT(ISERROR(SEARCH("Pile",O3)))</formula>
    </cfRule>
  </conditionalFormatting>
  <conditionalFormatting sqref="AD2:AD97">
    <cfRule type="containsText" dxfId="774" priority="104" operator="containsText" text="Trade">
      <formula>NOT(ISERROR(SEARCH("Trade",AD2)))</formula>
    </cfRule>
    <cfRule type="containsText" dxfId="773" priority="111" operator="containsText" text="Pile^">
      <formula>NOT(ISERROR(SEARCH("Pile^",AD2)))</formula>
    </cfRule>
  </conditionalFormatting>
  <conditionalFormatting sqref="BA3:BA96">
    <cfRule type="cellIs" dxfId="772" priority="106" operator="lessThan">
      <formula>0</formula>
    </cfRule>
    <cfRule type="expression" dxfId="771" priority="1351">
      <formula>AND($BA3&gt;50%,$BA3&lt;100%)</formula>
    </cfRule>
    <cfRule type="cellIs" dxfId="770" priority="1352" operator="greaterThan">
      <formula>1</formula>
    </cfRule>
  </conditionalFormatting>
  <conditionalFormatting sqref="U3:U96">
    <cfRule type="containsText" dxfId="769" priority="99" operator="containsText" text="/ -">
      <formula>NOT(ISERROR(SEARCH("/ -",U3)))</formula>
    </cfRule>
  </conditionalFormatting>
  <conditionalFormatting sqref="BL2:BL96">
    <cfRule type="containsText" dxfId="768" priority="85" operator="containsText" text="Trade">
      <formula>NOT(ISERROR(SEARCH("Trade",BL2)))</formula>
    </cfRule>
  </conditionalFormatting>
  <conditionalFormatting sqref="AD101">
    <cfRule type="containsText" dxfId="767" priority="79" operator="containsText" text="More">
      <formula>NOT(ISERROR(SEARCH("More",AD101)))</formula>
    </cfRule>
    <cfRule type="containsText" dxfId="766" priority="80" operator="containsText" text="Up">
      <formula>NOT(ISERROR(SEARCH("Up",AD101)))</formula>
    </cfRule>
    <cfRule type="containsText" dxfId="765" priority="81" operator="containsText" text="Down">
      <formula>NOT(ISERROR(SEARCH("Down",AD101)))</formula>
    </cfRule>
  </conditionalFormatting>
  <conditionalFormatting sqref="AD101">
    <cfRule type="containsText" dxfId="764" priority="82" operator="containsText" text="Buy">
      <formula>NOT(ISERROR(SEARCH("Buy",AD101)))</formula>
    </cfRule>
    <cfRule type="containsText" dxfId="763" priority="83" operator="containsText" text="Sell">
      <formula>NOT(ISERROR(SEARCH("Sell",AD101)))</formula>
    </cfRule>
  </conditionalFormatting>
  <conditionalFormatting sqref="AD102">
    <cfRule type="containsText" dxfId="762" priority="69" operator="containsText" text="More">
      <formula>NOT(ISERROR(SEARCH("More",AD102)))</formula>
    </cfRule>
    <cfRule type="containsText" dxfId="761" priority="70" operator="containsText" text="Up">
      <formula>NOT(ISERROR(SEARCH("Up",AD102)))</formula>
    </cfRule>
    <cfRule type="containsText" dxfId="760" priority="71" operator="containsText" text="Down">
      <formula>NOT(ISERROR(SEARCH("Down",AD102)))</formula>
    </cfRule>
  </conditionalFormatting>
  <conditionalFormatting sqref="AD102">
    <cfRule type="containsText" dxfId="759" priority="72" operator="containsText" text="Buy">
      <formula>NOT(ISERROR(SEARCH("Buy",AD102)))</formula>
    </cfRule>
    <cfRule type="containsText" dxfId="758" priority="73" operator="containsText" text="Sell">
      <formula>NOT(ISERROR(SEARCH("Sell",AD102)))</formula>
    </cfRule>
  </conditionalFormatting>
  <conditionalFormatting sqref="AD105">
    <cfRule type="containsText" dxfId="757" priority="64" operator="containsText" text="More">
      <formula>NOT(ISERROR(SEARCH("More",AD105)))</formula>
    </cfRule>
    <cfRule type="containsText" dxfId="756" priority="65" operator="containsText" text="Up">
      <formula>NOT(ISERROR(SEARCH("Up",AD105)))</formula>
    </cfRule>
    <cfRule type="containsText" dxfId="755" priority="66" operator="containsText" text="Down">
      <formula>NOT(ISERROR(SEARCH("Down",AD105)))</formula>
    </cfRule>
  </conditionalFormatting>
  <conditionalFormatting sqref="AD105">
    <cfRule type="containsText" dxfId="754" priority="67" operator="containsText" text="Buy">
      <formula>NOT(ISERROR(SEARCH("Buy",AD105)))</formula>
    </cfRule>
    <cfRule type="containsText" dxfId="753" priority="68" operator="containsText" text="Sell">
      <formula>NOT(ISERROR(SEARCH("Sell",AD105)))</formula>
    </cfRule>
  </conditionalFormatting>
  <conditionalFormatting sqref="AD106">
    <cfRule type="containsText" dxfId="752" priority="59" operator="containsText" text="More">
      <formula>NOT(ISERROR(SEARCH("More",AD106)))</formula>
    </cfRule>
    <cfRule type="containsText" dxfId="751" priority="60" operator="containsText" text="Up">
      <formula>NOT(ISERROR(SEARCH("Up",AD106)))</formula>
    </cfRule>
    <cfRule type="containsText" dxfId="750" priority="61" operator="containsText" text="Down">
      <formula>NOT(ISERROR(SEARCH("Down",AD106)))</formula>
    </cfRule>
  </conditionalFormatting>
  <conditionalFormatting sqref="AD106">
    <cfRule type="containsText" dxfId="749" priority="62" operator="containsText" text="Buy">
      <formula>NOT(ISERROR(SEARCH("Buy",AD106)))</formula>
    </cfRule>
    <cfRule type="containsText" dxfId="748" priority="63" operator="containsText" text="Sell">
      <formula>NOT(ISERROR(SEARCH("Sell",AD106)))</formula>
    </cfRule>
  </conditionalFormatting>
  <conditionalFormatting sqref="AV3:AV96">
    <cfRule type="containsText" dxfId="747" priority="54" operator="containsText" text="More">
      <formula>NOT(ISERROR(SEARCH("More",AV3)))</formula>
    </cfRule>
    <cfRule type="containsText" dxfId="746" priority="55" operator="containsText" text="Up">
      <formula>NOT(ISERROR(SEARCH("Up",AV3)))</formula>
    </cfRule>
    <cfRule type="containsText" dxfId="745" priority="56" operator="containsText" text="Down">
      <formula>NOT(ISERROR(SEARCH("Down",AV3)))</formula>
    </cfRule>
  </conditionalFormatting>
  <conditionalFormatting sqref="AV3:AV96">
    <cfRule type="containsText" dxfId="744" priority="57" operator="containsText" text="Buy">
      <formula>NOT(ISERROR(SEARCH("Buy",AV3)))</formula>
    </cfRule>
    <cfRule type="containsText" dxfId="743" priority="58" operator="containsText" text="Sell">
      <formula>NOT(ISERROR(SEARCH("Sell",AV3)))</formula>
    </cfRule>
  </conditionalFormatting>
  <conditionalFormatting sqref="Y3:Y96">
    <cfRule type="expression" dxfId="742" priority="22">
      <formula>AND(Y3&lt;&gt;0,Y3&lt;MIN(W3,AA3))</formula>
    </cfRule>
    <cfRule type="expression" dxfId="741" priority="45">
      <formula>AND(Y3&lt;&gt;0,Y3&lt;W3,Y3&gt;AA3)</formula>
    </cfRule>
  </conditionalFormatting>
  <conditionalFormatting sqref="T3:T96">
    <cfRule type="expression" dxfId="740" priority="1829" stopIfTrue="1">
      <formula>$T3&gt;MAX(ABS($AA3),$W3)</formula>
    </cfRule>
    <cfRule type="expression" dxfId="739" priority="1830" stopIfTrue="1">
      <formula>$T3&gt;AND(MAX(ABS($AA3),$W3),ABS($AA3)&lt;$W3)</formula>
    </cfRule>
  </conditionalFormatting>
  <conditionalFormatting sqref="T3:T96">
    <cfRule type="expression" dxfId="738" priority="1831" stopIfTrue="1">
      <formula>AND($T3&lt;=MIN(ABS($AA3),$W3),ABS($AA3)&gt;$W3,$W3&lt;=0)</formula>
    </cfRule>
    <cfRule type="expression" dxfId="737" priority="1832" stopIfTrue="1">
      <formula>AND($T3&lt;=MIN(ABS($AA3),$W3),ABS($AA3)&lt;$W3,$W3&lt;=0)</formula>
    </cfRule>
  </conditionalFormatting>
  <conditionalFormatting sqref="W3:W96">
    <cfRule type="expression" dxfId="736" priority="1833">
      <formula>W3&gt;MAX(AA3,Y3)</formula>
    </cfRule>
    <cfRule type="expression" dxfId="735" priority="1834">
      <formula>AND(W3&gt;MAX(Y3,AA3), AA3&lt;Y3)</formula>
    </cfRule>
    <cfRule type="expression" dxfId="734" priority="1835" stopIfTrue="1">
      <formula>AND(W3&gt;MAX(Y3,AA3), AA3&gt;Y3)</formula>
    </cfRule>
    <cfRule type="expression" dxfId="733" priority="1836">
      <formula>AND(W3&lt;MIN(Y3,AA3),AA3&lt;Y3)</formula>
    </cfRule>
    <cfRule type="expression" dxfId="732" priority="1837">
      <formula>AND(AA3&gt;MAX(Y3,W3),Y3&lt;W3)</formula>
    </cfRule>
  </conditionalFormatting>
  <conditionalFormatting sqref="AT3:AT96">
    <cfRule type="containsText" dxfId="731" priority="26" operator="containsText" text="No">
      <formula>NOT(ISERROR(SEARCH("No",AT3)))</formula>
    </cfRule>
    <cfRule type="containsText" dxfId="730" priority="27" operator="containsText" text="M&lt;">
      <formula>NOT(ISERROR(SEARCH("M&lt;",AT3)))</formula>
    </cfRule>
    <cfRule type="containsText" dxfId="729" priority="28" operator="containsText" text="M&gt;">
      <formula>NOT(ISERROR(SEARCH("M&gt;",AT3)))</formula>
    </cfRule>
  </conditionalFormatting>
  <conditionalFormatting sqref="AA3:AA96">
    <cfRule type="expression" dxfId="728" priority="24">
      <formula>$AA3&lt;MIN($W3,$Y3)</formula>
    </cfRule>
  </conditionalFormatting>
  <conditionalFormatting sqref="AK2:AK97">
    <cfRule type="containsText" dxfId="727" priority="21" operator="containsText" text="Don't">
      <formula>NOT(ISERROR(SEARCH("Don't",AK2)))</formula>
    </cfRule>
  </conditionalFormatting>
  <conditionalFormatting sqref="AN2:AN97">
    <cfRule type="cellIs" dxfId="726" priority="19" operator="lessThan">
      <formula>0.5</formula>
    </cfRule>
  </conditionalFormatting>
  <conditionalFormatting sqref="AM2:AM96">
    <cfRule type="cellIs" dxfId="725" priority="18" operator="lessThan">
      <formula>0</formula>
    </cfRule>
  </conditionalFormatting>
  <conditionalFormatting sqref="X2:X97">
    <cfRule type="containsText" dxfId="724" priority="15" operator="containsText" text="WBA">
      <formula>NOT(ISERROR(SEARCH("WBA",X2)))</formula>
    </cfRule>
  </conditionalFormatting>
  <conditionalFormatting sqref="BN95:BP95">
    <cfRule type="expression" dxfId="723" priority="2349">
      <formula>$BM97&gt;=$BL97</formula>
    </cfRule>
  </conditionalFormatting>
  <conditionalFormatting sqref="AP3:AR96 AJ3:AL96">
    <cfRule type="expression" dxfId="722" priority="2358">
      <formula>$AE3=$AD$102</formula>
    </cfRule>
  </conditionalFormatting>
  <conditionalFormatting sqref="AI79:AJ96 AJ3:AJ78">
    <cfRule type="expression" dxfId="721" priority="2360">
      <formula>$AE3=$AD$105</formula>
    </cfRule>
  </conditionalFormatting>
  <conditionalFormatting sqref="AP3:AR96 AI79:AL96 AJ3:AL78">
    <cfRule type="expression" dxfId="720" priority="2361">
      <formula>$AE3=$AD$106</formula>
    </cfRule>
  </conditionalFormatting>
  <conditionalFormatting sqref="X96">
    <cfRule type="expression" dxfId="719" priority="14">
      <formula>AND(ROW()&gt;2, ROW()=SelRowNum)</formula>
    </cfRule>
  </conditionalFormatting>
  <conditionalFormatting sqref="X96">
    <cfRule type="expression" dxfId="718" priority="13">
      <formula>AND(ROW()&gt;2, ROW()=SelRowNum)</formula>
    </cfRule>
  </conditionalFormatting>
  <conditionalFormatting sqref="AX96">
    <cfRule type="expression" dxfId="717" priority="12">
      <formula>AND(ROW()&gt;2, ROW()=SelRowNum)</formula>
    </cfRule>
  </conditionalFormatting>
  <conditionalFormatting sqref="AK96">
    <cfRule type="expression" dxfId="716" priority="11">
      <formula>AND(ROW()&gt;2, ROW()=SelRowNum)</formula>
    </cfRule>
  </conditionalFormatting>
  <conditionalFormatting sqref="AE96">
    <cfRule type="expression" dxfId="715" priority="9">
      <formula>AND(ROW()&gt;2, ROW()=SelRowNum)</formula>
    </cfRule>
  </conditionalFormatting>
  <conditionalFormatting sqref="AM96">
    <cfRule type="expression" dxfId="7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7" workbookViewId="0">
      <selection activeCell="Z112" sqref="Z112"/>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125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45978</v>
      </c>
      <c r="B11" s="441" t="s">
        <v>136</v>
      </c>
      <c r="C11" s="441" t="s">
        <v>131</v>
      </c>
      <c r="D11" s="943" t="s">
        <v>138</v>
      </c>
      <c r="E11" s="57" t="s">
        <v>48</v>
      </c>
      <c r="F11" s="58">
        <v>2000</v>
      </c>
      <c r="G11" s="437"/>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20,000xM@59.6, A@ 59.4, Y@ 61.5, L_Bp@ -58.45x2000, L_Sp@ 61.2x21, Cl@ 60, Low@ 59.5, High@ 60.3, Agio=43%</v>
      </c>
      <c r="I11" s="444" t="str" cm="1">
        <f t="array" aca="1" ref="I11" ca="1">IF(D11&lt;&gt;"",IFERROR(_xlfn.IFS(AND(C11="Limit",G11&lt;=0), "Enter Limit price",   AND(B11=Sell,_xlfn.XLOOKUP(J11,TabCalc[Ticker],TabCalc[NAfter])&lt;Mail!F11),"No enough stock"),""),"")</f>
        <v/>
      </c>
      <c r="J11" s="34" t="str">
        <f t="shared" ref="J11:J13" si="1">IF(OR(D11="MVE",D11="SAF",D11="JB"),   D11&amp;E11,         IF(E11&lt;&gt;"",E11,""))</f>
        <v>VONN</v>
      </c>
    </row>
    <row r="12" spans="1:10" ht="23" thickBot="1" x14ac:dyDescent="0.35">
      <c r="A12" s="427">
        <f t="shared" ca="1" si="0"/>
        <v>45978</v>
      </c>
      <c r="B12" s="441" t="s">
        <v>130</v>
      </c>
      <c r="C12" s="441" t="s">
        <v>131</v>
      </c>
      <c r="D12" s="943" t="s">
        <v>138</v>
      </c>
      <c r="E12" s="57" t="s">
        <v>22</v>
      </c>
      <c r="F12" s="58">
        <v>20000</v>
      </c>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110,000xM@381.1, A@ 264.61, Y@ 464.0942, L_Bp@ -249.01x20000, L_Sp@ 380.01x20000, Cl@ 387.5, Low@ 380.4, High@ 389.3, Agio=11%</v>
      </c>
      <c r="I12" s="444" t="str" cm="1">
        <f t="array" aca="1" ref="I12" ca="1">IF(D12&lt;&gt;"",IFERROR(_xlfn.IFS(AND(C12="Limit",G12&lt;=0), "Enter Limit price",   AND(B12=Sell,_xlfn.XLOOKUP(J12,TabCalc[Ticker],TabCalc[NAfter])&lt;Mail!F12),"No enough stock"),""),"")</f>
        <v/>
      </c>
      <c r="J12" s="34" t="str">
        <f t="shared" si="1"/>
        <v>IAG</v>
      </c>
    </row>
    <row r="13" spans="1:10" ht="23" thickBot="1" x14ac:dyDescent="0.35">
      <c r="A13" s="427">
        <f t="shared" ca="1" si="0"/>
        <v>45978</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45978</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45978</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VONN, IAG</v>
      </c>
      <c r="I25" s="444"/>
      <c r="J25" s="34"/>
    </row>
    <row r="26" spans="1:10" ht="23" thickBot="1" x14ac:dyDescent="0.35">
      <c r="A26" s="34"/>
      <c r="B26" s="34"/>
      <c r="C26" s="34"/>
      <c r="D26" s="59" t="s">
        <v>149</v>
      </c>
      <c r="E26" s="412" t="str">
        <f>F3</f>
        <v>Dear Albi,</v>
      </c>
      <c r="F26" s="411"/>
      <c r="G26" s="413"/>
      <c r="H26" s="430" t="str">
        <f>E26</f>
        <v>Dear Albi,</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 for account "&amp;_xlfn.IFS(D11=D$5,Acct2,D11="MVE",AcctMVE,D11="SAF",AcctSAF,D11="JB",AcctJB),""),"")</f>
        <v>Please BUY today VONN 2,000 shares at market for account .002</v>
      </c>
      <c r="F29" s="411" t="str">
        <f>IFERROR(RIGHT(E29,LEN(E29)-6),"")</f>
        <v xml:space="preserve"> BUY today VONN 2,000 shares at market for account .002</v>
      </c>
      <c r="G29" s="413"/>
      <c r="H29" s="430" t="str">
        <f>E29</f>
        <v>Please BUY today VONN 2,000 shares at market for account .002</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Please SELL today IAG 20,000 shares at market for account .002</v>
      </c>
      <c r="F30" s="411" t="str">
        <f t="shared" ref="F30:F33" si="3">IFERROR(RIGHT(E30,LEN(E30)-6),"")</f>
        <v xml:space="preserve"> SELL today IAG 20,000 shares at market for account .002</v>
      </c>
      <c r="G30" s="413"/>
      <c r="H30" s="430" t="str">
        <f>IF(E30="",E34,E30)</f>
        <v>Please SELL today IAG 20,000 shares at market for account .002</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Please inform about the execution.</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Thanks in advance!</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Best regards,</v>
      </c>
      <c r="I34" s="34"/>
      <c r="J34" s="34"/>
    </row>
    <row r="35" spans="1:10" x14ac:dyDescent="0.3">
      <c r="A35" s="34"/>
      <c r="B35" s="34"/>
      <c r="C35" s="34"/>
      <c r="D35" s="40"/>
      <c r="E35" s="416" t="s">
        <v>154</v>
      </c>
      <c r="F35" s="417"/>
      <c r="G35" s="418"/>
      <c r="H35" s="430" t="str" cm="1">
        <f t="array" ref="H35">IFERROR(_xlfn.IFS(H34="",E35,H34=E35,E36,H34=E36,E37,H34=E37,E38),"")</f>
        <v>Kosta</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disablePrompts="1"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6.0391304210526356E-5</v>
      </c>
      <c r="C4" s="1138">
        <v>9.9999999999999995E-7</v>
      </c>
      <c r="D4" s="1139">
        <v>-212.01869578947367</v>
      </c>
      <c r="E4" s="1142">
        <f ca="1">F4*(_xlfn.XLOOKUP(E$3,TabCalc[Ticker],TabCalc[M])+G4)</f>
        <v>-2.1477999999999931E-7</v>
      </c>
      <c r="F4" s="1138">
        <v>9.9999999999999995E-7</v>
      </c>
      <c r="G4" s="1139">
        <v>-13.074779999999999</v>
      </c>
      <c r="H4" s="1142">
        <f ca="1">I4*(_xlfn.XLOOKUP(H$3,TabCalc[Ticker],TabCalc[M])+J4)</f>
        <v>-3.2370279032926844E-6</v>
      </c>
      <c r="I4" s="1138">
        <v>9.9999999999999995E-7</v>
      </c>
      <c r="J4" s="1139">
        <v>-49.237027903292685</v>
      </c>
      <c r="K4" s="1142">
        <f ca="1">L4*(_xlfn.XLOOKUP(K$3,TabCalc[Ticker],TabCalc[M])+M4)</f>
        <v>3.1531434999999983E-5</v>
      </c>
      <c r="L4" s="1138">
        <v>9.9999999999999995E-7</v>
      </c>
      <c r="M4" s="1139">
        <v>-203.15856500000001</v>
      </c>
      <c r="N4" s="1142">
        <f ca="1">O4*(_xlfn.XLOOKUP(N$3,TabCalc[Ticker],TabCalc[M])+P4)</f>
        <v>-4.7896483844415689E-7</v>
      </c>
      <c r="O4" s="1138">
        <v>9.9999999999999995E-7</v>
      </c>
      <c r="P4" s="1139">
        <v>-1.1669648384441569</v>
      </c>
      <c r="Q4" s="1142">
        <f ca="1">R4*(_xlfn.XLOOKUP(Q$3,TabCalc[Ticker],TabCalc[M])+S4)</f>
        <v>2.1205999999999994E-4</v>
      </c>
      <c r="R4" s="1138">
        <v>9.9999999999999995E-7</v>
      </c>
      <c r="S4" s="1139">
        <v>-659.34</v>
      </c>
      <c r="T4" s="1142">
        <f ca="1">U4*(_xlfn.XLOOKUP(T$3,TabCalc[Ticker],TabCalc[M])+V4)</f>
        <v>7.1726979182499973E-5</v>
      </c>
      <c r="U4" s="1304">
        <v>9.9999999999999995E-7</v>
      </c>
      <c r="V4" s="1140">
        <v>-270.73302081750001</v>
      </c>
      <c r="W4" s="1142">
        <f ca="1">X4*(_xlfn.XLOOKUP(W$3,TabCalc[Ticker],TabCalc[M])+Y4)</f>
        <v>1.9259999999999988E-5</v>
      </c>
      <c r="X4" s="1138">
        <v>9.9999999999999995E-7</v>
      </c>
      <c r="Y4" s="1139">
        <v>-69.84</v>
      </c>
      <c r="Z4" s="1142">
        <f ca="1">AA4*(_xlfn.XLOOKUP(Z$3,TabCalc[Ticker],TabCalc[M])+AB4)</f>
        <v>8.8599999999999965E-7</v>
      </c>
      <c r="AA4" s="1138">
        <v>9.9999999999999995E-7</v>
      </c>
      <c r="AB4" s="1139">
        <v>-2.1440000000000001</v>
      </c>
      <c r="AC4" s="1142">
        <f ca="1">AD4*(_xlfn.XLOOKUP(AC$3,TabCalc[Ticker],TabCalc[M])+AE4)</f>
        <v>-1.0309599999999999E-5</v>
      </c>
      <c r="AD4" s="1138">
        <v>9.9999999999999995E-7</v>
      </c>
      <c r="AE4" s="1139">
        <v>-12.7196</v>
      </c>
      <c r="AF4" s="1142">
        <f ca="1">AG4*(_xlfn.XLOOKUP(AF$3,TabCalc[Ticker],TabCalc[M])+AH4)</f>
        <v>1.1880952380952294E-6</v>
      </c>
      <c r="AG4" s="1138">
        <v>9.9999999999999995E-7</v>
      </c>
      <c r="AH4" s="1139">
        <v>-99.111904761904768</v>
      </c>
      <c r="AI4" s="1142">
        <f ca="1">AJ4*(_xlfn.XLOOKUP(AI$3,TabCalc[Ticker],TabCalc[M])+AK4)</f>
        <v>1.0799999999999997E-5</v>
      </c>
      <c r="AJ4" s="1138">
        <v>9.9999999999999995E-7</v>
      </c>
      <c r="AK4" s="1139">
        <v>-67.2</v>
      </c>
      <c r="AL4" s="1142">
        <f ca="1">AM4*(_xlfn.XLOOKUP(AL$3,TabCalc[Ticker],TabCalc[M])+AN4)</f>
        <v>2.1813810000000002E-5</v>
      </c>
      <c r="AM4" s="1138">
        <v>9.9999999999999995E-7</v>
      </c>
      <c r="AN4" s="1139">
        <v>-56.056190000000001</v>
      </c>
      <c r="AO4" s="1142">
        <f ca="1">AP4*(_xlfn.XLOOKUP(AO$3,TabCalc[Ticker],TabCalc[M])+AQ4)</f>
        <v>-8.1705882352941158E-7</v>
      </c>
      <c r="AP4" s="1138">
        <v>9.9999999999999995E-7</v>
      </c>
      <c r="AQ4" s="1139">
        <v>-2.9870588235294115</v>
      </c>
      <c r="AR4" s="1142">
        <f ca="1">AS4*(_xlfn.XLOOKUP(AR$3,TabCalc[Ticker],TabCalc[M])+AT4)</f>
        <v>-8.774000000000001E-6</v>
      </c>
      <c r="AS4" s="1138">
        <v>9.9999999999999995E-7</v>
      </c>
      <c r="AT4" s="1139">
        <v>-114.574</v>
      </c>
      <c r="AU4" s="1142">
        <f ca="1">AV4*(_xlfn.XLOOKUP(AU$3,TabCalc[Ticker],TabCalc[M])+AW4)</f>
        <v>-6.2625000000000023E-6</v>
      </c>
      <c r="AV4" s="1138">
        <v>9.9999999999999995E-7</v>
      </c>
      <c r="AW4" s="1139">
        <v>-30.072500000000002</v>
      </c>
      <c r="AX4" s="1142">
        <f ca="1">AY4*(_xlfn.XLOOKUP(AX$3,TabCalc[Ticker],TabCalc[M])+AZ4)</f>
        <v>2.0913333333333239E-6</v>
      </c>
      <c r="AY4" s="1138">
        <v>9.9999999999999995E-7</v>
      </c>
      <c r="AZ4" s="1139">
        <v>-119.45866666666667</v>
      </c>
      <c r="BA4" s="1142">
        <f ca="1">BB4*(_xlfn.XLOOKUP(BA$3,TabCalc[Ticker],TabCalc[M])+BC4)</f>
        <v>-2.9374999999999998E-6</v>
      </c>
      <c r="BB4" s="1138">
        <v>9.9999999999999995E-7</v>
      </c>
      <c r="BC4" s="1139">
        <v>-15.842499999999999</v>
      </c>
      <c r="BD4" s="1142">
        <f ca="1">BE4*(_xlfn.XLOOKUP(BD$3,TabCalc[Ticker],TabCalc[M])+BF4)</f>
        <v>-8.0380000000000067E-7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2.3884E-5</v>
      </c>
      <c r="BK4" s="1138">
        <v>9.9999999999999995E-7</v>
      </c>
      <c r="BL4" s="1139">
        <v>-46.676000000000002</v>
      </c>
      <c r="BM4" s="1142">
        <f ca="1">BN4*(_xlfn.XLOOKUP(BM$3,TabCalc[Ticker],TabCalc[M])+BO4)</f>
        <v>2.4439313043478244E-6</v>
      </c>
      <c r="BN4" s="1138">
        <v>9.9999999999999995E-7</v>
      </c>
      <c r="BO4" s="1139">
        <v>-20.386068695652174</v>
      </c>
      <c r="BP4" s="1142">
        <f ca="1">BQ4*(_xlfn.XLOOKUP(BP$3,TabCalc[Ticker],TabCalc[M])+BR4)</f>
        <v>-1.5849999999999973E-6</v>
      </c>
      <c r="BQ4" s="1138">
        <v>9.9999999999999995E-7</v>
      </c>
      <c r="BR4" s="1139">
        <v>-26.097999999999999</v>
      </c>
      <c r="BS4" s="1142">
        <f ca="1">BT4*(_xlfn.XLOOKUP(BS$3,TabCalc[Ticker],TabCalc[M])+BU4)</f>
        <v>1.1648729090909091E-4</v>
      </c>
      <c r="BT4" s="1138">
        <v>9.9999999999999995E-7</v>
      </c>
      <c r="BU4" s="1139">
        <v>-264.61270909090911</v>
      </c>
      <c r="BV4" s="1142">
        <f ca="1">BW4*(_xlfn.XLOOKUP(BV$3,TabCalc[Ticker],TabCalc[M])+BX4)</f>
        <v>-1.3942857142858144E-7</v>
      </c>
      <c r="BW4" s="1138">
        <v>9.9999999999999995E-7</v>
      </c>
      <c r="BX4" s="1139">
        <v>-66.849428571428575</v>
      </c>
      <c r="BY4" s="1142">
        <f ca="1">BZ4*(_xlfn.XLOOKUP(BY$3,TabCalc[Ticker],TabCalc[M])+CA4)</f>
        <v>1.011E-5</v>
      </c>
      <c r="BZ4" s="1138">
        <v>9.9999999999999995E-7</v>
      </c>
      <c r="CA4" s="1139"/>
      <c r="CB4" s="1142">
        <f ca="1">CC4*(_xlfn.XLOOKUP(CB$3,TabCalc[Ticker],TabCalc[M])+CD4)</f>
        <v>2.9217000000000003E-6</v>
      </c>
      <c r="CC4" s="1138">
        <v>9.9999999999999995E-7</v>
      </c>
      <c r="CD4" s="1139">
        <v>-5.0682999999999998</v>
      </c>
      <c r="CE4" s="1142">
        <f ca="1">CF4*(_xlfn.XLOOKUP(CE$3,TabCalc[Ticker],TabCalc[M])+CG4)</f>
        <v>-4.6875336666666666E-5</v>
      </c>
      <c r="CF4" s="1138">
        <v>9.9999999999999995E-7</v>
      </c>
      <c r="CG4" s="1139">
        <v>-71.645336666666665</v>
      </c>
      <c r="CH4" s="1142">
        <f ca="1">CI4*(_xlfn.XLOOKUP(CH$3,TabCalc[Ticker],TabCalc[M])+CJ4)</f>
        <v>1.7619902040816326E-4</v>
      </c>
      <c r="CI4" s="1138">
        <v>9.9999999999999995E-7</v>
      </c>
      <c r="CJ4" s="1139">
        <v>-333.98097959183673</v>
      </c>
      <c r="CK4" s="1142">
        <f ca="1">CL4*(_xlfn.XLOOKUP(CK$3,TabCalc[Ticker],TabCalc[M])+CM4)</f>
        <v>1.284955699999999E-5</v>
      </c>
      <c r="CL4" s="1138">
        <v>9.9999999999999995E-7</v>
      </c>
      <c r="CM4" s="1139">
        <v>-71.000443000000004</v>
      </c>
      <c r="CN4" s="1142">
        <f ca="1">CO4*(_xlfn.XLOOKUP(CN$3,TabCalc[Ticker],TabCalc[M])+CP4)</f>
        <v>2.5412395500000002E-5</v>
      </c>
      <c r="CO4" s="1138">
        <v>9.9999999999999995E-7</v>
      </c>
      <c r="CP4" s="1139">
        <v>-62.387604499999995</v>
      </c>
      <c r="CQ4" s="1142">
        <f ca="1">CR4*(_xlfn.XLOOKUP(CQ$3,TabCalc[Ticker],TabCalc[M])+CS4)</f>
        <v>-1.6764999999999871E-5</v>
      </c>
      <c r="CR4" s="1138">
        <v>9.9999999999999995E-7</v>
      </c>
      <c r="CS4" s="1139">
        <v>-1128.9349999999999</v>
      </c>
      <c r="CT4" s="1142">
        <f ca="1">CU4*(_xlfn.XLOOKUP(CT$3,TabCalc[Ticker],TabCalc[M])+CV4)</f>
        <v>-6.8950833427082155E-6</v>
      </c>
      <c r="CU4" s="1138">
        <v>9.9999999999999995E-7</v>
      </c>
      <c r="CV4" s="1139">
        <v>-9.4350833427082161</v>
      </c>
      <c r="CW4" s="1142">
        <f ca="1">CX4*(_xlfn.XLOOKUP(CW$3,TabCalc[Ticker],TabCalc[M])+CY4)</f>
        <v>9.2574999999999956E-6</v>
      </c>
      <c r="CX4" s="1138">
        <v>9.9999999999999995E-7</v>
      </c>
      <c r="CY4" s="1139">
        <v>-29.252500000000001</v>
      </c>
      <c r="CZ4" s="1142">
        <f ca="1">DA4*(_xlfn.XLOOKUP(CZ$3,TabCalc[Ticker],TabCalc[M])+DB4)</f>
        <v>1.6599999999999991E-6</v>
      </c>
      <c r="DA4" s="1138">
        <v>9.9999999999999995E-7</v>
      </c>
      <c r="DB4" s="1139">
        <v>-5.19</v>
      </c>
      <c r="DC4" s="1142">
        <f ca="1">DD4*(_xlfn.XLOOKUP(DC$3,TabCalc[Ticker],TabCalc[M])+DE4)</f>
        <v>-1.3252001481481477E-6</v>
      </c>
      <c r="DD4" s="1138">
        <v>9.9999999999999995E-7</v>
      </c>
      <c r="DE4" s="1139">
        <v>-5.725200148148148</v>
      </c>
      <c r="DF4" s="1142">
        <f ca="1">DG4*(_xlfn.XLOOKUP(DF$3,TabCalc[Ticker],TabCalc[M])+DH4)</f>
        <v>-3.5634001999999994E-7</v>
      </c>
      <c r="DG4" s="1138">
        <v>9.9999999999999995E-7</v>
      </c>
      <c r="DH4" s="1139">
        <v>-1.0663400199999999</v>
      </c>
      <c r="DI4" s="1142">
        <f ca="1">DJ4*(_xlfn.XLOOKUP(DI$3,TabCalc[Ticker],TabCalc[M])+DK4)</f>
        <v>1.3466503333333328E-5</v>
      </c>
      <c r="DJ4" s="1138">
        <v>9.9999999999999995E-7</v>
      </c>
      <c r="DK4" s="1139">
        <v>-28.473496666666669</v>
      </c>
      <c r="DL4" s="1142">
        <f ca="1">DM4*(_xlfn.XLOOKUP(DL$3,TabCalc[Ticker],TabCalc[M])+DN4)</f>
        <v>1.7010000000000001E-5</v>
      </c>
      <c r="DM4" s="1138">
        <v>9.9999999999999995E-7</v>
      </c>
      <c r="DN4" s="1139">
        <v>-28.37</v>
      </c>
      <c r="DO4" s="1142">
        <f ca="1">DP4*(_xlfn.XLOOKUP(DO$3,TabCalc[Ticker],TabCalc[M])+DQ4)</f>
        <v>-3.0333013157894725E-5</v>
      </c>
      <c r="DP4" s="1138">
        <v>9.9999999999999995E-7</v>
      </c>
      <c r="DQ4" s="1139">
        <v>-240.53301315789471</v>
      </c>
      <c r="DR4" s="1142">
        <f ca="1">DS4*(_xlfn.XLOOKUP(DR$3,TabCalc[Ticker],TabCalc[M])+DT4)</f>
        <v>-1.8249344000000018E-6</v>
      </c>
      <c r="DS4" s="1138">
        <v>9.9999999999999995E-7</v>
      </c>
      <c r="DT4" s="1139">
        <v>-16.814934400000002</v>
      </c>
      <c r="DU4" s="1142">
        <f ca="1">DV4*(_xlfn.XLOOKUP(DU$3,TabCalc[Ticker],TabCalc[M])+DW4)</f>
        <v>-2.0246618124999999E-5</v>
      </c>
      <c r="DV4" s="1138">
        <v>9.9999999999999995E-7</v>
      </c>
      <c r="DW4" s="1139">
        <v>-29.196618125000001</v>
      </c>
      <c r="DX4" s="1142">
        <f ca="1">DY4*(_xlfn.XLOOKUP(DX$3,TabCalc[Ticker],TabCalc[M])+DZ4)</f>
        <v>6.7840000000000028E-5</v>
      </c>
      <c r="DY4" s="1138">
        <v>9.9999999999999995E-7</v>
      </c>
      <c r="DZ4" s="1139">
        <v>-336.51</v>
      </c>
      <c r="EA4" s="1142">
        <f ca="1">EB4*(_xlfn.XLOOKUP(EA$3,TabCalc[Ticker],TabCalc[M])+EC4)</f>
        <v>8.0917182083333354E-5</v>
      </c>
      <c r="EB4" s="1138">
        <v>9.9999999999999995E-7</v>
      </c>
      <c r="EC4" s="1139">
        <v>-203.95281791666665</v>
      </c>
      <c r="ED4" s="1142">
        <f ca="1">EE4*(_xlfn.XLOOKUP(ED$3,TabCalc[Ticker],TabCalc[M])+EF4)</f>
        <v>-1.1799349999999999E-5</v>
      </c>
      <c r="EE4" s="1138">
        <v>9.9999999999999995E-7</v>
      </c>
      <c r="EF4" s="1139">
        <v>-41.599350000000001</v>
      </c>
      <c r="EG4" s="1142">
        <f ca="1">EH4*(_xlfn.XLOOKUP(EG$3,TabCalc[Ticker],TabCalc[M])+EI4)</f>
        <v>-3.0200000000000003E-6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1.9649999999999998E-6</v>
      </c>
      <c r="EN4" s="1138">
        <v>9.9999999999999995E-7</v>
      </c>
      <c r="EO4" s="1139">
        <v>-26.074999999999999</v>
      </c>
      <c r="EP4" s="1142">
        <f ca="1">EQ4*(_xlfn.XLOOKUP(EP$3,TabCalc[Ticker],TabCalc[M])+ER4)</f>
        <v>1.905000000000001E-7</v>
      </c>
      <c r="EQ4" s="1138">
        <v>9.9999999999999995E-7</v>
      </c>
      <c r="ER4" s="1139">
        <v>-59.409500000000001</v>
      </c>
      <c r="ES4" s="1142">
        <f ca="1">ET4*(_xlfn.XLOOKUP(ES$3,TabCalc[Ticker],TabCalc[M])+EU4)</f>
        <v>1.2599999999999998E-6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6.3599999999999992E-6</v>
      </c>
      <c r="EZ4" s="1138">
        <v>9.9999999999999995E-7</v>
      </c>
      <c r="FA4" s="1139">
        <v>-112.93</v>
      </c>
      <c r="FB4" s="1142">
        <f ca="1">FC4*(_xlfn.XLOOKUP(FB$3,TabCalc[Ticker],TabCalc[M])+FD4)</f>
        <v>-2.0767999999999993E-6</v>
      </c>
      <c r="FC4" s="1138">
        <v>9.9999999999999995E-7</v>
      </c>
      <c r="FD4" s="1139">
        <v>-8.2667999999999999</v>
      </c>
      <c r="FE4" s="1142">
        <f ca="1">FF4*(_xlfn.XLOOKUP(FE$3,TabCalc[Ticker],TabCalc[M])+FG4)</f>
        <v>-5.7620751895841592E-7</v>
      </c>
      <c r="FF4" s="1138">
        <v>9.9999999999999995E-7</v>
      </c>
      <c r="FG4" s="1139">
        <v>-1.2642075189584159</v>
      </c>
      <c r="FH4" s="1142">
        <f ca="1">FI4*(_xlfn.XLOOKUP(FH$3,TabCalc[Ticker],TabCalc[M])+FJ4)</f>
        <v>-2.8000000000000023E-7</v>
      </c>
      <c r="FI4" s="1138">
        <v>9.9999999999999995E-7</v>
      </c>
      <c r="FJ4" s="1139">
        <v>-2.4500000000000002</v>
      </c>
      <c r="FK4" s="1142">
        <f ca="1">FL4*(_xlfn.XLOOKUP(FK$3,TabCalc[Ticker],TabCalc[M])+FM4)</f>
        <v>-9.8275000000000037E-6</v>
      </c>
      <c r="FL4" s="1138">
        <v>9.9999999999999995E-7</v>
      </c>
      <c r="FM4" s="1139">
        <v>-33.637500000000003</v>
      </c>
      <c r="FN4" s="1142">
        <f ca="1">FO4*(_xlfn.XLOOKUP(FN$3,TabCalc[Ticker],TabCalc[M])+FP4)</f>
        <v>4.1299999999999986E-6</v>
      </c>
      <c r="FO4" s="1138">
        <v>9.9999999999999995E-7</v>
      </c>
      <c r="FP4" s="1139">
        <v>-11.06</v>
      </c>
      <c r="FQ4" s="1142">
        <f ca="1">FR4*(_xlfn.XLOOKUP(FQ$3,TabCalc[Ticker],TabCalc[M])+FS4)</f>
        <v>3.0614777777777761E-6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2.599285714285713E-6</v>
      </c>
      <c r="FX4" s="1138">
        <v>9.9999999999999995E-7</v>
      </c>
      <c r="FY4" s="1139">
        <v>-55.660714285714285</v>
      </c>
      <c r="FZ4" s="1142">
        <f ca="1">GA4*(_xlfn.XLOOKUP(FZ$3,TabCalc[Ticker],TabCalc[M])+GB4)</f>
        <v>1.7951515151515149E-6</v>
      </c>
      <c r="GA4" s="1138">
        <v>9.9999999999999995E-7</v>
      </c>
      <c r="GB4" s="1139">
        <v>-12.114848484848485</v>
      </c>
      <c r="GC4" s="1142">
        <f ca="1">GD4*(_xlfn.XLOOKUP(GC$3,TabCalc[Ticker],TabCalc[M])+GE4)</f>
        <v>1.2285000000000004E-5</v>
      </c>
      <c r="GD4" s="1138">
        <v>9.9999999999999995E-7</v>
      </c>
      <c r="GE4" s="1139">
        <v>-33.094999999999999</v>
      </c>
      <c r="GF4" s="1142">
        <f ca="1">GG4*(_xlfn.XLOOKUP(GF$3,TabCalc[Ticker],TabCalc[M])+GH4)</f>
        <v>-4.5069027431421458E-5</v>
      </c>
      <c r="GG4" s="1138">
        <v>9.9999999999999995E-7</v>
      </c>
      <c r="GH4" s="1139">
        <v>-255.26902743142145</v>
      </c>
      <c r="GI4" s="1142">
        <f ca="1">GJ4*(_xlfn.XLOOKUP(GI$3,TabCalc[Ticker],TabCalc[M])+GK4)</f>
        <v>-1.2140633928571428E-5</v>
      </c>
      <c r="GJ4" s="1138">
        <v>9.9999999999999995E-7</v>
      </c>
      <c r="GK4" s="1139">
        <v>-41.94063392857143</v>
      </c>
      <c r="GL4" s="1142">
        <f ca="1">GM4*(_xlfn.XLOOKUP(GL$3,TabCalc[Ticker],TabCalc[M])+GN4)</f>
        <v>7.2555830857142891E-5</v>
      </c>
      <c r="GM4" s="1138">
        <v>9.9999999999999995E-7</v>
      </c>
      <c r="GN4" s="1139">
        <v>-199.85416914285713</v>
      </c>
      <c r="GO4" s="1142">
        <f ca="1">GP4*(_xlfn.XLOOKUP(GO$3,TabCalc[Ticker],TabCalc[M])+GQ4)</f>
        <v>2.9990000000000009E-5</v>
      </c>
      <c r="GP4" s="1138">
        <v>9.9999999999999995E-7</v>
      </c>
      <c r="GQ4" s="1139">
        <v>-204.7</v>
      </c>
      <c r="GR4" s="1142">
        <f ca="1">GS4*(_xlfn.XLOOKUP(GR$3,TabCalc[Ticker],TabCalc[M])+GT4)</f>
        <v>2.1702704799999992E-4</v>
      </c>
      <c r="GS4" s="1138">
        <v>9.9999999999999995E-7</v>
      </c>
      <c r="GT4" s="1139">
        <v>-654.37295200000005</v>
      </c>
      <c r="GU4" s="1142">
        <f ca="1">GV4*(_xlfn.XLOOKUP(GU$3,TabCalc[Ticker],TabCalc[M])+GW4)</f>
        <v>-1.1131954545454547E-6</v>
      </c>
      <c r="GV4" s="1138">
        <v>9.9999999999999995E-7</v>
      </c>
      <c r="GW4" s="1139">
        <v>-3.2831954545454547</v>
      </c>
      <c r="GX4" s="1142">
        <f ca="1">GY4*(_xlfn.XLOOKUP(GX$3,TabCalc[Ticker],TabCalc[M])+GZ4)</f>
        <v>-4.7400833333333449E-6</v>
      </c>
      <c r="GY4" s="1138">
        <v>9.9999999999999995E-7</v>
      </c>
      <c r="GZ4" s="1139">
        <v>-110.54008333333334</v>
      </c>
      <c r="HA4" s="1142">
        <f ca="1">HB4*(_xlfn.XLOOKUP(HA$3,TabCalc[Ticker],TabCalc[M])+HC4)</f>
        <v>7.0560000000000002E-5</v>
      </c>
      <c r="HB4" s="1138">
        <v>9.9999999999999995E-7</v>
      </c>
      <c r="HC4" s="1139"/>
      <c r="HD4" s="1142">
        <f ca="1">HE4*(_xlfn.XLOOKUP(HD$3,TabCalc[Ticker],TabCalc[M])+HF4)</f>
        <v>3.8109999999999999E-4</v>
      </c>
      <c r="HE4" s="1138">
        <v>9.9999999999999995E-7</v>
      </c>
      <c r="HF4" s="1139"/>
      <c r="HG4" s="1142">
        <f ca="1">HH4*(_xlfn.XLOOKUP(HG$3,TabCalc[Ticker],TabCalc[M])+HI4)</f>
        <v>-3.69641151E-5</v>
      </c>
      <c r="HH4" s="1138">
        <v>9.9999999999999995E-7</v>
      </c>
      <c r="HI4" s="1139">
        <v>-61.734115100000004</v>
      </c>
      <c r="HJ4" s="1142">
        <f ca="1">HK4*(_xlfn.XLOOKUP(HJ$3,TabCalc[Ticker],TabCalc[M])+HL4)</f>
        <v>-7.8678333333333333E-7</v>
      </c>
      <c r="HK4" s="1138">
        <v>9.9999999999999995E-7</v>
      </c>
      <c r="HL4" s="1139">
        <v>-2.1967833333333333</v>
      </c>
      <c r="HM4" s="1142">
        <f ca="1">HN4*(_xlfn.XLOOKUP(HM$3,TabCalc[Ticker],TabCalc[M])+HO4)</f>
        <v>1.5994411764705863E-6</v>
      </c>
      <c r="HN4" s="1138">
        <v>9.9999999999999995E-7</v>
      </c>
      <c r="HO4" s="1139">
        <v>-14.890558823529412</v>
      </c>
      <c r="HP4" s="1142">
        <f ca="1">HQ4*(_xlfn.XLOOKUP(HP$3,TabCalc[Ticker],TabCalc[M])+HR4)</f>
        <v>4.2666666666661967E-7</v>
      </c>
      <c r="HQ4" s="1138">
        <v>9.9999999999999995E-7</v>
      </c>
      <c r="HR4" s="1139">
        <v>-460.97333333333336</v>
      </c>
      <c r="HS4" s="1142">
        <f ca="1">HT4*(_xlfn.XLOOKUP(HS$3,TabCalc[Ticker],TabCalc[M])+HU4)</f>
        <v>1.3189999999999999E-5</v>
      </c>
      <c r="HT4" s="1138">
        <v>9.9999999999999995E-7</v>
      </c>
      <c r="HU4" s="1139"/>
      <c r="HV4" s="1142">
        <f ca="1">HW4*(_xlfn.XLOOKUP(HV$3,TabCalc[Ticker],TabCalc[M])+HX4)</f>
        <v>5.8259999999999994E-5</v>
      </c>
      <c r="HW4" s="1141">
        <v>9.9999999999999995E-7</v>
      </c>
      <c r="HX4" s="1139"/>
      <c r="HY4" s="1142">
        <f ca="1">HZ4*(_xlfn.XLOOKUP(HY$3,TabCalc[Ticker],TabCalc[M])+IA4)</f>
        <v>-2.9827777777777754E-5</v>
      </c>
      <c r="HZ4" s="1138">
        <v>9.9999999999999995E-7</v>
      </c>
      <c r="IA4" s="1139">
        <v>-180.93777777777777</v>
      </c>
      <c r="IB4" s="1142">
        <f ca="1">IC4*(_xlfn.XLOOKUP(IB$3,TabCalc[Ticker],TabCalc[M])+ID4)</f>
        <v>7.9047999999999998E-4</v>
      </c>
      <c r="IC4" s="1138">
        <v>9.9999999999999995E-7</v>
      </c>
      <c r="ID4" s="1139"/>
      <c r="IE4" s="1142">
        <f ca="1">IF4*(_xlfn.XLOOKUP(IE$3,TabCalc[Ticker],TabCalc[M])+IG4)</f>
        <v>-2.0667332130429174E-5</v>
      </c>
      <c r="IF4" s="1138">
        <v>9.9999999999999995E-7</v>
      </c>
      <c r="IG4" s="1139">
        <v>-21.677332130429178</v>
      </c>
      <c r="IH4" s="1142">
        <f ca="1">II4*(_xlfn.XLOOKUP(IH$3,TabCalc[Ticker],TabCalc[M])+IJ4)</f>
        <v>2.1376000000000026E-6</v>
      </c>
      <c r="II4" s="1138">
        <v>9.9999999999999995E-7</v>
      </c>
      <c r="IJ4" s="1139">
        <v>-30.697399999999998</v>
      </c>
      <c r="IK4" s="1142">
        <f ca="1">IL4*(_xlfn.XLOOKUP(IK$3,TabCalc[Ticker],TabCalc[M])+IM4)</f>
        <v>-1.0620000000000003E-5</v>
      </c>
      <c r="IL4" s="1138">
        <v>9.9999999999999995E-7</v>
      </c>
      <c r="IM4" s="1139">
        <v>-556.35</v>
      </c>
      <c r="IN4" s="1142">
        <f ca="1">IO4*(_xlfn.XLOOKUP(IN$3,TabCalc[Ticker],TabCalc[M])+IP4)</f>
        <v>-1.4222153846153834E-6</v>
      </c>
      <c r="IO4" s="1138">
        <v>9.9999999999999995E-7</v>
      </c>
      <c r="IP4" s="1139">
        <v>-8.3922153846153833</v>
      </c>
      <c r="IQ4" s="1142">
        <f ca="1">IR4*(_xlfn.XLOOKUP(IQ$3,TabCalc[Ticker],TabCalc[M]))</f>
        <v>1.3125999999999999E-4</v>
      </c>
      <c r="IR4" s="1138">
        <v>9.9999999999999995E-7</v>
      </c>
      <c r="IS4" s="1139"/>
      <c r="IT4" s="1142">
        <f ca="1">IU4*(_xlfn.XLOOKUP(IT$3,TabCalc[Ticker],TabCalc[M])+IV4)</f>
        <v>1.6500000000000091E-7</v>
      </c>
      <c r="IU4" s="1138">
        <v>9.9999999999999995E-7</v>
      </c>
      <c r="IV4" s="1139">
        <v>-13.744999999999999</v>
      </c>
      <c r="IW4" s="1142">
        <f ca="1">IX4*(_xlfn.XLOOKUP(IW$3,TabCalc[Ticker],TabCalc[M])+IY4)</f>
        <v>-1.1564474999999994E-5</v>
      </c>
      <c r="IX4" s="1138">
        <v>9.9999999999999995E-7</v>
      </c>
      <c r="IY4" s="1139">
        <v>-54.334474999999998</v>
      </c>
      <c r="IZ4" s="1142">
        <f ca="1">JA4*(_xlfn.XLOOKUP(IZ$3,TabCalc[Ticker],TabCalc[M])+JB4)</f>
        <v>1.1999999999999745E-7</v>
      </c>
      <c r="JA4" s="1138">
        <v>9.9999999999999995E-7</v>
      </c>
      <c r="JB4" s="1139">
        <v>-24.94</v>
      </c>
      <c r="JC4" s="1142">
        <f ca="1">JD4*(_xlfn.XLOOKUP(JC$3,TabCalc[Ticker],TabCalc[M])+JE4)</f>
        <v>7.1534883720930192E-7</v>
      </c>
      <c r="JD4" s="1138">
        <v>9.9999999999999995E-7</v>
      </c>
      <c r="JE4" s="1139">
        <v>-3.2946511627906978</v>
      </c>
      <c r="JF4" s="1142">
        <f ca="1">JG4*(_xlfn.XLOOKUP(JF$3,TabCalc[Ticker],TabCalc[M])+JH4)</f>
        <v>3.8229999999999998E-5</v>
      </c>
      <c r="JG4" s="1138">
        <v>9.9999999999999995E-7</v>
      </c>
      <c r="JH4" s="1139"/>
      <c r="JI4" s="1142">
        <f ca="1">JJ4*(_xlfn.XLOOKUP(JI$3,TabCalc[Ticker],TabCalc[M])+JK4)</f>
        <v>-1.6460000000000002E-5</v>
      </c>
      <c r="JJ4" s="1138">
        <v>9.9999999999999995E-7</v>
      </c>
      <c r="JK4" s="1139">
        <v>-76.94</v>
      </c>
      <c r="JL4" s="1142">
        <f ca="1">JM4*(_xlfn.XLOOKUP(JL$3,TabCalc[Ticker],TabCalc[M])+JN4)</f>
        <v>3.2388743333333338E-5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4.7879999999999997E-6</v>
      </c>
      <c r="JS4" s="1143">
        <v>9.9999999999999995E-7</v>
      </c>
      <c r="JT4" s="1139">
        <v>-5.34</v>
      </c>
      <c r="JU4" s="1142">
        <f ca="1">JV4*(_xlfn.XLOOKUP(JU$3,TabCalc[Ticker],TabCalc[M])+JW4)</f>
        <v>1.4765999999999995E-4</v>
      </c>
      <c r="JV4" s="83">
        <v>9.9999999999999995E-7</v>
      </c>
      <c r="JW4" s="1139">
        <v>-723.74</v>
      </c>
      <c r="JX4" s="1142">
        <f ca="1">JY4*(_xlfn.XLOOKUP(JX$3,TabCalc[Ticker],TabCalc[M])+JZ4)</f>
        <v>8.5291450000000063E-7</v>
      </c>
      <c r="JY4" s="1138">
        <v>9.9999999999999995E-7</v>
      </c>
      <c r="JZ4" s="1139">
        <v>-14.337085499999999</v>
      </c>
    </row>
    <row r="5" spans="1:301" ht="22" customHeight="1" x14ac:dyDescent="0.3">
      <c r="A5">
        <v>2</v>
      </c>
      <c r="B5" s="1142">
        <f ca="1">C5*(_xlfn.XLOOKUP(B$3,TabCalc[Ticker],TabCalc[M])+D5)</f>
        <v>38330.000000000015</v>
      </c>
      <c r="C5" s="1145">
        <v>500</v>
      </c>
      <c r="D5" s="1139">
        <v>-195.75</v>
      </c>
      <c r="E5" s="1142">
        <f ca="1">F5*(_xlfn.XLOOKUP(E$3,TabCalc[Ticker],TabCalc[M])+G5)</f>
        <v>-448.0000000000004</v>
      </c>
      <c r="F5" s="1145">
        <v>2800</v>
      </c>
      <c r="G5" s="1139">
        <v>-13.02</v>
      </c>
      <c r="H5" s="1142">
        <f ca="1">I5*(_xlfn.XLOOKUP(H$3,TabCalc[Ticker],TabCalc[M])+J5)</f>
        <v>132104.00000000003</v>
      </c>
      <c r="I5" s="1145">
        <v>23590</v>
      </c>
      <c r="J5" s="1139">
        <v>-40.4</v>
      </c>
      <c r="K5" s="1142">
        <f ca="1">L5*(_xlfn.XLOOKUP(K$3,TabCalc[Ticker],TabCalc[M])+M5)</f>
        <v>12227.999999999996</v>
      </c>
      <c r="L5" s="1145">
        <v>200</v>
      </c>
      <c r="M5" s="1139">
        <v>-173.55</v>
      </c>
      <c r="N5" s="1142">
        <f ca="1">O5*(_xlfn.XLOOKUP(N$3,TabCalc[Ticker],TabCalc[M])+P5)</f>
        <v>-3630.0000000000014</v>
      </c>
      <c r="O5" s="1145">
        <v>15000</v>
      </c>
      <c r="P5" s="1139">
        <v>-0.93</v>
      </c>
      <c r="Q5" s="1142">
        <f ca="1">R5*(_xlfn.XLOOKUP(Q$3,TabCalc[Ticker],TabCalc[M])+S5)</f>
        <v>136050</v>
      </c>
      <c r="R5" s="1145">
        <v>500</v>
      </c>
      <c r="S5" s="1139">
        <v>-599.29999999999995</v>
      </c>
      <c r="T5" s="1142">
        <f ca="1">U5*(_xlfn.XLOOKUP(T$3,TabCalc[Ticker],TabCalc[M])+V5)</f>
        <v>26416.491672999997</v>
      </c>
      <c r="U5" s="1145">
        <v>190</v>
      </c>
      <c r="V5" s="1139">
        <v>-203.42583329999999</v>
      </c>
      <c r="W5" s="1142">
        <f ca="1">X5*(_xlfn.XLOOKUP(W$3,TabCalc[Ticker],TabCalc[M])+Y5)</f>
        <v>9629.9999999999964</v>
      </c>
      <c r="X5" s="1145">
        <v>500</v>
      </c>
      <c r="Y5" s="1139">
        <v>-69.84</v>
      </c>
      <c r="Z5" s="1142">
        <f ca="1">AA5*(_xlfn.XLOOKUP(Z$3,TabCalc[Ticker],TabCalc[M])+AB5)</f>
        <v>11999.999999999998</v>
      </c>
      <c r="AA5" s="1145">
        <v>10000</v>
      </c>
      <c r="AB5" s="1139">
        <v>-1.83</v>
      </c>
      <c r="AC5" s="1142">
        <f ca="1">AD5*(_xlfn.XLOOKUP(AC$3,TabCalc[Ticker],TabCalc[M])+AE5)</f>
        <v>-128870</v>
      </c>
      <c r="AD5" s="1145">
        <v>12500</v>
      </c>
      <c r="AE5" s="1139">
        <v>-12.7196</v>
      </c>
      <c r="AF5" s="1142">
        <f ca="1">AG5*(_xlfn.XLOOKUP(AF$3,TabCalc[Ticker],TabCalc[M])+AH5)</f>
        <v>187.75</v>
      </c>
      <c r="AG5" s="1145">
        <v>5</v>
      </c>
      <c r="AH5" s="1139">
        <v>-62.75</v>
      </c>
      <c r="AI5" s="1142">
        <f ca="1">AJ5*(_xlfn.XLOOKUP(AI$3,TabCalc[Ticker],TabCalc[M])+AK5)</f>
        <v>10799.999999999996</v>
      </c>
      <c r="AJ5" s="1145">
        <v>1000</v>
      </c>
      <c r="AK5" s="1139">
        <v>-67.2</v>
      </c>
      <c r="AL5" s="1142">
        <f ca="1">AM5*(_xlfn.XLOOKUP(AL$3,TabCalc[Ticker],TabCalc[M])+AN5)</f>
        <v>21.813810000000004</v>
      </c>
      <c r="AM5" s="1145">
        <v>1</v>
      </c>
      <c r="AN5" s="1139">
        <v>-56.056190000000001</v>
      </c>
      <c r="AO5" s="1142">
        <f ca="1">AP5*(_xlfn.XLOOKUP(AO$3,TabCalc[Ticker],TabCalc[M])+AQ5)</f>
        <v>5200</v>
      </c>
      <c r="AP5" s="1145">
        <v>20000</v>
      </c>
      <c r="AQ5" s="1139">
        <v>-1.91</v>
      </c>
      <c r="AR5" s="1142">
        <f ca="1">AS5*(_xlfn.XLOOKUP(AR$3,TabCalc[Ticker],TabCalc[M])+AT5)</f>
        <v>-696.0000000000008</v>
      </c>
      <c r="AS5" s="1145">
        <v>200</v>
      </c>
      <c r="AT5" s="1139">
        <v>-109.28</v>
      </c>
      <c r="AU5" s="1142">
        <f ca="1">AV5*(_xlfn.XLOOKUP(AU$3,TabCalc[Ticker],TabCalc[M])+AW5)</f>
        <v>-5660.0000000000036</v>
      </c>
      <c r="AV5" s="1145">
        <v>2000</v>
      </c>
      <c r="AW5" s="1139">
        <v>-26.64</v>
      </c>
      <c r="AX5" s="1142">
        <f ca="1">AY5*(_xlfn.XLOOKUP(AX$3,TabCalc[Ticker],TabCalc[M])+AZ5)</f>
        <v>4017.9999999999864</v>
      </c>
      <c r="AY5" s="1145">
        <v>1400</v>
      </c>
      <c r="AZ5" s="1139">
        <v>-118.68</v>
      </c>
      <c r="BA5" s="1142">
        <f ca="1">BB5*(_xlfn.XLOOKUP(BA$3,TabCalc[Ticker],TabCalc[M])+BC5)</f>
        <v>-6300.0000000000045</v>
      </c>
      <c r="BB5" s="1145">
        <v>4000</v>
      </c>
      <c r="BC5" s="1139">
        <v>-14.48</v>
      </c>
      <c r="BD5" s="1142">
        <f ca="1">BE5*(_xlfn.XLOOKUP(BD$3,TabCalc[Ticker],TabCalc[M])+BF5)</f>
        <v>225.50000000000009</v>
      </c>
      <c r="BE5" s="1145">
        <v>550</v>
      </c>
      <c r="BF5" s="1139">
        <v>-14.78</v>
      </c>
      <c r="BG5" s="1142">
        <f ca="1">BH5*(_xlfn.XLOOKUP(BG$3,TabCalc[Ticker],TabCalc[M])+BI5)</f>
        <v>-18225.599999999999</v>
      </c>
      <c r="BH5" s="1145">
        <v>12000</v>
      </c>
      <c r="BI5" s="1139">
        <v>-1.72</v>
      </c>
      <c r="BJ5" s="1142">
        <f ca="1">BK5*(_xlfn.XLOOKUP(BJ$3,TabCalc[Ticker],TabCalc[M])+BL5)</f>
        <v>238.84</v>
      </c>
      <c r="BK5" s="1145">
        <v>10</v>
      </c>
      <c r="BL5" s="1139">
        <v>-46.676000000000002</v>
      </c>
      <c r="BM5" s="1142">
        <f ca="1">BN5*(_xlfn.XLOOKUP(BM$3,TabCalc[Ticker],TabCalc[M])+BO5)</f>
        <v>14139.999999999996</v>
      </c>
      <c r="BN5" s="1145">
        <v>2000</v>
      </c>
      <c r="BO5" s="1139">
        <v>-15.76</v>
      </c>
      <c r="BP5" s="1142">
        <f ca="1">BQ5*(_xlfn.XLOOKUP(BP$3,TabCalc[Ticker],TabCalc[M])+BR5)</f>
        <v>-4907.9999999999873</v>
      </c>
      <c r="BQ5" s="1145">
        <v>4000</v>
      </c>
      <c r="BR5" s="1139">
        <v>-25.74</v>
      </c>
      <c r="BS5" s="1142">
        <f ca="1">BT5*(_xlfn.XLOOKUP(BS$3,TabCalc[Ticker],TabCalc[M])+BU5)</f>
        <v>6227400</v>
      </c>
      <c r="BT5" s="1145">
        <v>30000</v>
      </c>
      <c r="BU5" s="1139">
        <v>-173.52</v>
      </c>
      <c r="BV5" s="1142">
        <f ca="1">BW5*(_xlfn.XLOOKUP(BV$3,TabCalc[Ticker],TabCalc[M])+BX5)</f>
        <v>6039.9999999999918</v>
      </c>
      <c r="BW5" s="1145">
        <v>2000</v>
      </c>
      <c r="BX5" s="1139">
        <v>-63.69</v>
      </c>
      <c r="BY5" s="1142">
        <f ca="1">BZ5*(_xlfn.XLOOKUP(BY$3,TabCalc[Ticker],TabCalc[M])+CA5)</f>
        <v>0</v>
      </c>
      <c r="BZ5" s="1145"/>
      <c r="CA5" s="1139"/>
      <c r="CB5" s="1142">
        <f ca="1">CC5*(_xlfn.XLOOKUP(CB$3,TabCalc[Ticker],TabCalc[M])+CD5)</f>
        <v>29.217000000000006</v>
      </c>
      <c r="CC5" s="1145">
        <v>10</v>
      </c>
      <c r="CD5" s="1139">
        <v>-5.0682999999999998</v>
      </c>
      <c r="CE5" s="1142">
        <f ca="1">CF5*(_xlfn.XLOOKUP(CE$3,TabCalc[Ticker],TabCalc[M])+CG5)</f>
        <v>-34270.000000000007</v>
      </c>
      <c r="CF5" s="1145">
        <v>2300</v>
      </c>
      <c r="CG5" s="1139">
        <v>-39.67</v>
      </c>
      <c r="CH5" s="1142">
        <f ca="1">CI5*(_xlfn.XLOOKUP(CH$3,TabCalc[Ticker],TabCalc[M])+CJ5)</f>
        <v>1031985</v>
      </c>
      <c r="CI5" s="1145">
        <v>2550</v>
      </c>
      <c r="CJ5" s="1139">
        <v>-105.48</v>
      </c>
      <c r="CK5" s="1142">
        <f ca="1">CL5*(_xlfn.XLOOKUP(CK$3,TabCalc[Ticker],TabCalc[M])+CM5)</f>
        <v>5139.8227999999963</v>
      </c>
      <c r="CL5" s="1145">
        <v>400</v>
      </c>
      <c r="CM5" s="1139">
        <v>-71.000443000000004</v>
      </c>
      <c r="CN5" s="1142">
        <f ca="1">CO5*(_xlfn.XLOOKUP(CN$3,TabCalc[Ticker],TabCalc[M])+CP5)</f>
        <v>151860</v>
      </c>
      <c r="CO5" s="1145">
        <v>3000</v>
      </c>
      <c r="CP5" s="1139">
        <v>-37.18</v>
      </c>
      <c r="CQ5" s="1142">
        <f ca="1">CR5*(_xlfn.XLOOKUP(CQ$3,TabCalc[Ticker],TabCalc[M])+CS5)</f>
        <v>7644.9999999999818</v>
      </c>
      <c r="CR5" s="1145">
        <v>500</v>
      </c>
      <c r="CS5" s="1139">
        <v>-1096.8800000000001</v>
      </c>
      <c r="CT5" s="1142">
        <f ca="1">CU5*(_xlfn.XLOOKUP(CT$3,TabCalc[Ticker],TabCalc[M])+CV5)</f>
        <v>-7150.0000000000009</v>
      </c>
      <c r="CU5" s="1145">
        <v>2500</v>
      </c>
      <c r="CV5" s="1139">
        <v>-5.4</v>
      </c>
      <c r="CW5" s="1142">
        <f ca="1">CX5*(_xlfn.XLOOKUP(CW$3,TabCalc[Ticker],TabCalc[M])+CY5)</f>
        <v>7774.9999999999982</v>
      </c>
      <c r="CX5" s="1145">
        <v>500</v>
      </c>
      <c r="CY5" s="1139">
        <v>-22.96</v>
      </c>
      <c r="CZ5" s="1142">
        <f ca="1">DA5*(_xlfn.XLOOKUP(CZ$3,TabCalc[Ticker],TabCalc[M])+DB5)</f>
        <v>6639.9999999999973</v>
      </c>
      <c r="DA5" s="1145">
        <v>4000</v>
      </c>
      <c r="DB5" s="1139">
        <v>-5.19</v>
      </c>
      <c r="DC5" s="1142">
        <f ca="1">DD5*(_xlfn.XLOOKUP(DC$3,TabCalc[Ticker],TabCalc[M])+DE5)</f>
        <v>4294.0000000000018</v>
      </c>
      <c r="DD5" s="1145">
        <v>5000</v>
      </c>
      <c r="DE5" s="1139">
        <v>-3.5411999999999999</v>
      </c>
      <c r="DF5" s="1142">
        <f ca="1">DG5*(_xlfn.XLOOKUP(DF$3,TabCalc[Ticker],TabCalc[M])+DH5)</f>
        <v>-420.84000000000003</v>
      </c>
      <c r="DG5" s="1145">
        <v>3006</v>
      </c>
      <c r="DH5" s="1139">
        <v>-0.85</v>
      </c>
      <c r="DI5" s="1142">
        <f ca="1">DJ5*(_xlfn.XLOOKUP(DI$3,TabCalc[Ticker],TabCalc[M])+DK5)</f>
        <v>13610</v>
      </c>
      <c r="DJ5" s="1145">
        <v>1000</v>
      </c>
      <c r="DK5" s="1139">
        <v>-28.33</v>
      </c>
      <c r="DL5" s="1142">
        <f ca="1">DM5*(_xlfn.XLOOKUP(DL$3,TabCalc[Ticker],TabCalc[M])+DN5)</f>
        <v>850.50000000000011</v>
      </c>
      <c r="DM5" s="1145">
        <v>50</v>
      </c>
      <c r="DN5" s="1139">
        <v>-28.37</v>
      </c>
      <c r="DO5" s="1142">
        <f ca="1">DP5*(_xlfn.XLOOKUP(DO$3,TabCalc[Ticker],TabCalc[M])+DQ5)</f>
        <v>-17350.000000000022</v>
      </c>
      <c r="DP5" s="1145">
        <v>1000</v>
      </c>
      <c r="DQ5" s="1139">
        <v>-227.55</v>
      </c>
      <c r="DR5" s="1142">
        <f ca="1">DS5*(_xlfn.XLOOKUP(DR$3,TabCalc[Ticker],TabCalc[M])+DT5)</f>
        <v>3286.7999999999993</v>
      </c>
      <c r="DS5" s="1145">
        <v>4000</v>
      </c>
      <c r="DT5" s="1139">
        <v>-14.1683</v>
      </c>
      <c r="DU5" s="1142">
        <f ca="1">DV5*(_xlfn.XLOOKUP(DU$3,TabCalc[Ticker],TabCalc[M])+DW5)</f>
        <v>-666.00000000000387</v>
      </c>
      <c r="DV5" s="1145">
        <v>4000</v>
      </c>
      <c r="DW5" s="1139">
        <v>-9.1165000000000003</v>
      </c>
      <c r="DX5" s="1142">
        <f ca="1">DY5*(_xlfn.XLOOKUP(DX$3,TabCalc[Ticker],TabCalc[M])+DZ5)</f>
        <v>67.840000000000032</v>
      </c>
      <c r="DY5" s="1145">
        <v>1</v>
      </c>
      <c r="DZ5" s="1139">
        <v>-336.51</v>
      </c>
      <c r="EA5" s="1142">
        <f ca="1">EB5*(_xlfn.XLOOKUP(EA$3,TabCalc[Ticker],TabCalc[M])+EC5)</f>
        <v>132550</v>
      </c>
      <c r="EB5" s="1145">
        <v>1000</v>
      </c>
      <c r="EC5" s="1139">
        <v>-152.32</v>
      </c>
      <c r="ED5" s="1142">
        <f ca="1">EE5*(_xlfn.XLOOKUP(ED$3,TabCalc[Ticker],TabCalc[M])+EF5)</f>
        <v>-2604.2449999999985</v>
      </c>
      <c r="EE5" s="1145">
        <v>350</v>
      </c>
      <c r="EF5" s="1139">
        <v>-37.240699999999997</v>
      </c>
      <c r="EG5" s="1142">
        <f ca="1">EH5*(_xlfn.XLOOKUP(EG$3,TabCalc[Ticker],TabCalc[M])+EI5)</f>
        <v>-21849.700000000004</v>
      </c>
      <c r="EH5" s="1145">
        <v>7235</v>
      </c>
      <c r="EI5" s="1139">
        <v>-9.3000000000000007</v>
      </c>
      <c r="EJ5" s="1142" t="e">
        <f ca="1">EK5*(_xlfn.XLOOKUP(EJ$3,TabCalc[Ticker],TabCalc[M])+EL5)</f>
        <v>#N/A</v>
      </c>
      <c r="EK5" s="1145">
        <v>240</v>
      </c>
      <c r="EL5" s="1139">
        <v>-109.65132</v>
      </c>
      <c r="EM5" s="1142">
        <f ca="1">EN5*(_xlfn.XLOOKUP(EM$3,TabCalc[Ticker],TabCalc[M])+EO5)</f>
        <v>5835.0000000000009</v>
      </c>
      <c r="EN5" s="1145">
        <v>1500</v>
      </c>
      <c r="EO5" s="1139">
        <v>-24.15</v>
      </c>
      <c r="EP5" s="1142">
        <f ca="1">EQ5*(_xlfn.XLOOKUP(EP$3,TabCalc[Ticker],TabCalc[M])+ER5)</f>
        <v>2299.9999999999973</v>
      </c>
      <c r="EQ5" s="1145">
        <v>2000</v>
      </c>
      <c r="ER5" s="1139">
        <v>-58.45</v>
      </c>
      <c r="ES5" s="1142">
        <f ca="1">ET5*(_xlfn.XLOOKUP(ES$3,TabCalc[Ticker],TabCalc[M])+EU5)</f>
        <v>6299.9999999999991</v>
      </c>
      <c r="ET5" s="1145">
        <v>5000</v>
      </c>
      <c r="EU5" s="1139">
        <v>-9.4600000000000009</v>
      </c>
      <c r="EV5" s="1142">
        <f ca="1">EW5*(_xlfn.XLOOKUP(EV$3,TabCalc[Ticker],TabCalc[M])+EX5)</f>
        <v>5760.2999999999993</v>
      </c>
      <c r="EW5" s="1145">
        <v>3000</v>
      </c>
      <c r="EX5" s="1146">
        <v>-10.059900000000001</v>
      </c>
      <c r="EY5" s="1142">
        <f ca="1">EZ5*(_xlfn.XLOOKUP(EY$3,TabCalc[Ticker],TabCalc[M])+FA5)</f>
        <v>2640.0000000000005</v>
      </c>
      <c r="EZ5" s="1145">
        <v>200</v>
      </c>
      <c r="FA5" s="1146">
        <v>-106.09</v>
      </c>
      <c r="FB5" s="1142">
        <f ca="1">FC5*(_xlfn.XLOOKUP(FB$3,TabCalc[Ticker],TabCalc[M])+FD5)</f>
        <v>-2349.9999999999986</v>
      </c>
      <c r="FC5" s="1145">
        <v>5000</v>
      </c>
      <c r="FD5" s="1146">
        <v>-6.66</v>
      </c>
      <c r="FE5" s="1142">
        <f ca="1">FF5*(_xlfn.XLOOKUP(FE$3,TabCalc[Ticker],TabCalc[M])+FG5)</f>
        <v>-5405.7300000000023</v>
      </c>
      <c r="FF5" s="1145">
        <v>20000</v>
      </c>
      <c r="FG5" s="1139">
        <v>-0.95828650000000004</v>
      </c>
      <c r="FH5" s="1142">
        <f ca="1">FI5*(_xlfn.XLOOKUP(FH$3,TabCalc[Ticker],TabCalc[M])+FJ5)</f>
        <v>-2800.0000000000023</v>
      </c>
      <c r="FI5" s="1145">
        <v>10000</v>
      </c>
      <c r="FJ5" s="1139">
        <v>-2.4500000000000002</v>
      </c>
      <c r="FK5" s="1142">
        <f ca="1">FL5*(_xlfn.XLOOKUP(FK$3,TabCalc[Ticker],TabCalc[M])+FM5)</f>
        <v>-9615</v>
      </c>
      <c r="FL5" s="1145">
        <v>1500</v>
      </c>
      <c r="FM5" s="1139">
        <v>-30.22</v>
      </c>
      <c r="FN5" s="1142">
        <f ca="1">FO5*(_xlfn.XLOOKUP(FN$3,TabCalc[Ticker],TabCalc[M])+FP5)</f>
        <v>41.29999999999999</v>
      </c>
      <c r="FO5" s="1145">
        <v>10</v>
      </c>
      <c r="FP5" s="1139">
        <v>-11.06</v>
      </c>
      <c r="FQ5" s="1142">
        <f ca="1">FR5*(_xlfn.XLOOKUP(FQ$3,TabCalc[Ticker],TabCalc[M])+FS5)</f>
        <v>7799.9999999999973</v>
      </c>
      <c r="FR5" s="1145">
        <v>2000</v>
      </c>
      <c r="FS5" s="1139">
        <v>-12.59</v>
      </c>
      <c r="FT5" s="1142">
        <f ca="1">FU5*(_xlfn.XLOOKUP(FT$3,TabCalc[Ticker],TabCalc[M])+FV5)</f>
        <v>-15188</v>
      </c>
      <c r="FU5" s="1145">
        <v>10000</v>
      </c>
      <c r="FV5" s="1139">
        <v>-1.72</v>
      </c>
      <c r="FW5" s="1142">
        <f ca="1">FX5*(_xlfn.XLOOKUP(FW$3,TabCalc[Ticker],TabCalc[M])+FY5)</f>
        <v>186.69999999999993</v>
      </c>
      <c r="FX5" s="1145">
        <v>10</v>
      </c>
      <c r="FY5" s="1139">
        <v>-39.590000000000003</v>
      </c>
      <c r="FZ5" s="1142">
        <f ca="1">GA5*(_xlfn.XLOOKUP(FZ$3,TabCalc[Ticker],TabCalc[M])+GB5)</f>
        <v>18240.000000000007</v>
      </c>
      <c r="GA5" s="1145">
        <v>6000</v>
      </c>
      <c r="GB5" s="1139">
        <v>-10.87</v>
      </c>
      <c r="GC5" s="1142">
        <f ca="1">GD5*(_xlfn.XLOOKUP(GC$3,TabCalc[Ticker],TabCalc[M])+GE5)</f>
        <v>12.285000000000004</v>
      </c>
      <c r="GD5" s="1145">
        <v>1</v>
      </c>
      <c r="GE5" s="1139">
        <v>-33.094999999999999</v>
      </c>
      <c r="GF5" s="1142">
        <f ca="1">GG5*(_xlfn.XLOOKUP(GF$3,TabCalc[Ticker],TabCalc[M])+GH5)</f>
        <v>-8140.0000000000036</v>
      </c>
      <c r="GG5" s="1145">
        <v>200</v>
      </c>
      <c r="GH5" s="1139">
        <v>-250.9</v>
      </c>
      <c r="GI5" s="1142">
        <f ca="1">GJ5*(_xlfn.XLOOKUP(GI$3,TabCalc[Ticker],TabCalc[M])+GK5)</f>
        <v>-297.37499999999989</v>
      </c>
      <c r="GJ5" s="1145">
        <v>39</v>
      </c>
      <c r="GK5" s="1139">
        <v>-37.424999999999997</v>
      </c>
      <c r="GL5" s="1142">
        <f ca="1">GM5*(_xlfn.XLOOKUP(GL$3,TabCalc[Ticker],TabCalc[M])+GN5)</f>
        <v>21346.900000000005</v>
      </c>
      <c r="GM5" s="1145">
        <v>290</v>
      </c>
      <c r="GN5" s="1139">
        <v>-198.8</v>
      </c>
      <c r="GO5" s="1142">
        <f ca="1">GP5*(_xlfn.XLOOKUP(GO$3,TabCalc[Ticker],TabCalc[M])+GQ5)</f>
        <v>24519.999999999996</v>
      </c>
      <c r="GP5" s="1145">
        <v>500</v>
      </c>
      <c r="GQ5" s="1139">
        <v>-185.65</v>
      </c>
      <c r="GR5" s="1142">
        <f ca="1">GS5*(_xlfn.XLOOKUP(GR$3,TabCalc[Ticker],TabCalc[M])+GT5)</f>
        <v>19340.299999999996</v>
      </c>
      <c r="GS5" s="1145">
        <v>70</v>
      </c>
      <c r="GT5" s="1139">
        <v>-595.11</v>
      </c>
      <c r="GU5" s="1142">
        <f ca="1">GV5*(_xlfn.XLOOKUP(GU$3,TabCalc[Ticker],TabCalc[M])+GW5)</f>
        <v>5060.9999999999973</v>
      </c>
      <c r="GV5" s="1145">
        <v>21000</v>
      </c>
      <c r="GW5" s="1139">
        <v>-1.929</v>
      </c>
      <c r="GX5" s="1142">
        <f ca="1">GY5*(_xlfn.XLOOKUP(GX$3,TabCalc[Ticker],TabCalc[M])+GZ5)</f>
        <v>-1882.7000000000016</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-42127.80000000001</v>
      </c>
      <c r="HH5" s="1145">
        <v>3000</v>
      </c>
      <c r="HI5" s="1139">
        <v>-38.812600000000003</v>
      </c>
      <c r="HJ5" s="1142">
        <f ca="1">HK5*(_xlfn.XLOOKUP(HJ$3,TabCalc[Ticker],TabCalc[M])+HL5)</f>
        <v>15919.999999999996</v>
      </c>
      <c r="HK5" s="1145">
        <v>40000</v>
      </c>
      <c r="HL5" s="1139">
        <v>-1.012</v>
      </c>
      <c r="HM5" s="1142">
        <f ca="1">HN5*(_xlfn.XLOOKUP(HM$3,TabCalc[Ticker],TabCalc[M])+HO5)</f>
        <v>16216.199999999992</v>
      </c>
      <c r="HN5" s="1145">
        <v>10010</v>
      </c>
      <c r="HO5" s="1139">
        <v>-14.87</v>
      </c>
      <c r="HP5" s="1142">
        <f ca="1">HQ5*(_xlfn.XLOOKUP(HP$3,TabCalc[Ticker],TabCalc[M])+HR5)</f>
        <v>207799.99999999974</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-3117.999999999995</v>
      </c>
      <c r="HZ5" s="1145">
        <v>200</v>
      </c>
      <c r="IA5" s="1139">
        <v>-166.7</v>
      </c>
      <c r="IB5" s="1142">
        <f ca="1">IC5*(_xlfn.XLOOKUP(IB$3,TabCalc[Ticker],TabCalc[M])+ID5)</f>
        <v>0</v>
      </c>
      <c r="IC5" s="1145"/>
      <c r="ID5" s="1139"/>
      <c r="IE5" s="1142">
        <f ca="1">IF5*(_xlfn.XLOOKUP(IE$3,TabCalc[Ticker],TabCalc[M])+IG5)</f>
        <v>-52383.210000000006</v>
      </c>
      <c r="IF5" s="1145">
        <v>9647</v>
      </c>
      <c r="IG5" s="1139">
        <v>-6.44</v>
      </c>
      <c r="IH5" s="1142">
        <f ca="1">II5*(_xlfn.XLOOKUP(IH$3,TabCalc[Ticker],TabCalc[M])+IJ5)</f>
        <v>2565.1200000000031</v>
      </c>
      <c r="II5" s="1145">
        <v>1200</v>
      </c>
      <c r="IJ5" s="1139">
        <v>-30.697399999999998</v>
      </c>
      <c r="IK5" s="1142">
        <f ca="1">IL5*(_xlfn.XLOOKUP(IK$3,TabCalc[Ticker],TabCalc[M])+IM5)</f>
        <v>-107.99999999999272</v>
      </c>
      <c r="IL5" s="1145">
        <v>100</v>
      </c>
      <c r="IM5" s="1139">
        <v>-546.80999999999995</v>
      </c>
      <c r="IN5" s="1142">
        <f ca="1">IO5*(_xlfn.XLOOKUP(IN$3,TabCalc[Ticker],TabCalc[M])+IP5)</f>
        <v>3260.1999999999994</v>
      </c>
      <c r="IO5" s="1145">
        <v>2000</v>
      </c>
      <c r="IP5" s="1139">
        <v>-5.3399000000000001</v>
      </c>
      <c r="IQ5" s="1142">
        <f ca="1">IR5*(_xlfn.XLOOKUP(IQ$3,TabCalc[Ticker],TabCalc[M]))</f>
        <v>0</v>
      </c>
      <c r="IR5" s="1145"/>
      <c r="IS5" s="1139"/>
      <c r="IT5" s="1142">
        <f ca="1">IU5*(_xlfn.XLOOKUP(IT$3,TabCalc[Ticker],TabCalc[M])+IV5)</f>
        <v>198.00000000000111</v>
      </c>
      <c r="IU5" s="1145">
        <v>1200</v>
      </c>
      <c r="IV5" s="1139">
        <v>-13.744999999999999</v>
      </c>
      <c r="IW5" s="1142">
        <f ca="1">IX5*(_xlfn.XLOOKUP(IW$3,TabCalc[Ticker],TabCalc[M])+IY5)</f>
        <v>-4469.9999999999991</v>
      </c>
      <c r="IX5" s="1145">
        <v>1000</v>
      </c>
      <c r="IY5" s="1139">
        <v>-47.24</v>
      </c>
      <c r="IZ5" s="1142">
        <f ca="1">JA5*(_xlfn.XLOOKUP(IZ$3,TabCalc[Ticker],TabCalc[M])+JB5)</f>
        <v>191.99999999999591</v>
      </c>
      <c r="JA5" s="1145">
        <v>1600</v>
      </c>
      <c r="JB5" s="1139">
        <v>-24.94</v>
      </c>
      <c r="JC5" s="1142">
        <f ca="1">JD5*(_xlfn.XLOOKUP(JC$3,TabCalc[Ticker],TabCalc[M])+JE5)</f>
        <v>24249.999999999993</v>
      </c>
      <c r="JD5" s="1145">
        <v>25000</v>
      </c>
      <c r="JE5" s="1139">
        <v>-3.04</v>
      </c>
      <c r="JF5" s="1142">
        <f ca="1">JG5*(_xlfn.XLOOKUP(JF$3,TabCalc[Ticker],TabCalc[M])+JH5)</f>
        <v>0</v>
      </c>
      <c r="JG5" s="1145"/>
      <c r="JH5" s="1139"/>
      <c r="JI5" s="1142">
        <f ca="1">JJ5*(_xlfn.XLOOKUP(JI$3,TabCalc[Ticker],TabCalc[M])+JK5)</f>
        <v>-9876</v>
      </c>
      <c r="JJ5" s="1145">
        <v>600</v>
      </c>
      <c r="JK5" s="1139">
        <v>-76.94</v>
      </c>
      <c r="JL5" s="1142">
        <f ca="1">JM5*(_xlfn.XLOOKUP(JL$3,TabCalc[Ticker],TabCalc[M])+JN5)</f>
        <v>7861.4999999999991</v>
      </c>
      <c r="JM5" s="1145">
        <v>150</v>
      </c>
      <c r="JN5" s="1139">
        <v>-140.46</v>
      </c>
      <c r="JO5" s="1142">
        <f ca="1">JP5*(_xlfn.XLOOKUP(JO$3,TabCalc[Ticker],TabCalc[M])+JQ5)</f>
        <v>238.82794000000004</v>
      </c>
      <c r="JP5" s="1145">
        <v>10</v>
      </c>
      <c r="JQ5" s="1139">
        <v>-30.957205999999999</v>
      </c>
      <c r="JR5" s="1142">
        <f ca="1">JS5*(_xlfn.XLOOKUP(JR$3,TabCalc[Ticker],TabCalc[M])+JT5)</f>
        <v>369154.80000000005</v>
      </c>
      <c r="JS5" s="1147">
        <v>77100</v>
      </c>
      <c r="JT5" s="1139">
        <v>-5.34</v>
      </c>
      <c r="JU5" s="1142">
        <f ca="1">JV5*(_xlfn.XLOOKUP(JU$3,TabCalc[Ticker],TabCalc[M])+JW5)</f>
        <v>29531.999999999993</v>
      </c>
      <c r="JV5" s="82">
        <v>200</v>
      </c>
      <c r="JW5" s="1139">
        <v>-723.74</v>
      </c>
      <c r="JX5" s="1142">
        <f ca="1">JY5*(_xlfn.XLOOKUP(JX$3,TabCalc[Ticker],TabCalc[M])+JZ5)</f>
        <v>12554.999999999996</v>
      </c>
      <c r="JY5" s="1145">
        <v>3000</v>
      </c>
      <c r="JZ5" s="1139">
        <v>-11.005000000000001</v>
      </c>
    </row>
    <row r="6" spans="1:301" ht="22" customHeight="1" x14ac:dyDescent="0.3">
      <c r="A6">
        <v>3</v>
      </c>
      <c r="B6" s="1142">
        <f ca="1">C6*(_xlfn.XLOOKUP(B$3,TabCalc[Ticker],TabCalc[M])+D6)</f>
        <v>22725.000000000007</v>
      </c>
      <c r="C6" s="1145">
        <v>300</v>
      </c>
      <c r="D6" s="1139">
        <v>-196.66</v>
      </c>
      <c r="E6" s="1142">
        <f ca="1">F6*(_xlfn.XLOOKUP(E$3,TabCalc[Ticker],TabCalc[M])+G6)</f>
        <v>-361.79999999999944</v>
      </c>
      <c r="F6" s="1145">
        <v>2010</v>
      </c>
      <c r="G6" s="1139">
        <v>-13.04</v>
      </c>
      <c r="H6" s="1142">
        <f ca="1">I6*(_xlfn.XLOOKUP(H$3,TabCalc[Ticker],TabCalc[M])+J6)</f>
        <v>89203.119300000064</v>
      </c>
      <c r="I6" s="1145">
        <v>19410</v>
      </c>
      <c r="J6" s="1139">
        <v>-41.404269999999997</v>
      </c>
      <c r="K6" s="1142">
        <f ca="1">L6*(_xlfn.XLOOKUP(K$3,TabCalc[Ticker],TabCalc[M])+M6)</f>
        <v>45770.239999999991</v>
      </c>
      <c r="L6" s="1145">
        <v>800</v>
      </c>
      <c r="M6" s="1139">
        <v>-177.47720000000001</v>
      </c>
      <c r="N6" s="1142">
        <f ca="1">O6*(_xlfn.XLOOKUP(N$3,TabCalc[Ticker],TabCalc[M])+P6)</f>
        <v>-6138.6000000000013</v>
      </c>
      <c r="O6" s="1145">
        <v>19675</v>
      </c>
      <c r="P6" s="1139">
        <v>-1</v>
      </c>
      <c r="Q6" s="1142">
        <f ca="1">R6*(_xlfn.XLOOKUP(Q$3,TabCalc[Ticker],TabCalc[M])+S6)</f>
        <v>80655</v>
      </c>
      <c r="R6" s="1145">
        <v>300</v>
      </c>
      <c r="S6" s="1139">
        <v>-602.54999999999995</v>
      </c>
      <c r="T6" s="1142">
        <f ca="1">U6*(_xlfn.XLOOKUP(T$3,TabCalc[Ticker],TabCalc[M])+V6)</f>
        <v>2274.2999999999965</v>
      </c>
      <c r="U6" s="1145">
        <v>210</v>
      </c>
      <c r="V6" s="1139">
        <v>-331.63</v>
      </c>
      <c r="W6" s="1142">
        <f ca="1">X6*(_xlfn.XLOOKUP(W$3,TabCalc[Ticker],TabCalc[M])+Y6)</f>
        <v>0</v>
      </c>
      <c r="X6" s="1145"/>
      <c r="Y6" s="1139"/>
      <c r="Z6" s="1142">
        <f ca="1">AA6*(_xlfn.XLOOKUP(Z$3,TabCalc[Ticker],TabCalc[M])+AB6)</f>
        <v>4639.9999999999991</v>
      </c>
      <c r="AA6" s="1145">
        <v>4000</v>
      </c>
      <c r="AB6" s="1139">
        <v>-1.87</v>
      </c>
      <c r="AC6" s="1142">
        <f ca="1">AD6*(_xlfn.XLOOKUP(AC$3,TabCalc[Ticker],TabCalc[M])+AE6)</f>
        <v>0</v>
      </c>
      <c r="AD6" s="1145"/>
      <c r="AE6" s="1139"/>
      <c r="AF6" s="1142">
        <f ca="1">AG6*(_xlfn.XLOOKUP(AF$3,TabCalc[Ticker],TabCalc[M])+AH6)</f>
        <v>-63.000000000000966</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-5800.0000000000009</v>
      </c>
      <c r="AP6" s="1145">
        <v>20000</v>
      </c>
      <c r="AQ6" s="1139">
        <v>-2.46</v>
      </c>
      <c r="AR6" s="1142">
        <f ca="1">AS6*(_xlfn.XLOOKUP(AR$3,TabCalc[Ticker],TabCalc[M])+AT6)</f>
        <v>-8077.9999999999973</v>
      </c>
      <c r="AS6" s="1145">
        <v>800</v>
      </c>
      <c r="AT6" s="1139">
        <v>-115.89749999999999</v>
      </c>
      <c r="AU6" s="1142">
        <f ca="1">AV6*(_xlfn.XLOOKUP(AU$3,TabCalc[Ticker],TabCalc[M])+AW6)</f>
        <v>-3570.0000000000005</v>
      </c>
      <c r="AV6" s="1145">
        <v>500</v>
      </c>
      <c r="AW6" s="1139">
        <v>-30.95</v>
      </c>
      <c r="AX6" s="1142">
        <f ca="1">AY6*(_xlfn.XLOOKUP(AX$3,TabCalc[Ticker],TabCalc[M])+AZ6)</f>
        <v>2255.9999999999945</v>
      </c>
      <c r="AY6" s="1145">
        <v>1600</v>
      </c>
      <c r="AZ6" s="1139">
        <v>-120.14</v>
      </c>
      <c r="BA6" s="1142">
        <f ca="1">BB6*(_xlfn.XLOOKUP(BA$3,TabCalc[Ticker],TabCalc[M])+BC6)</f>
        <v>-11325</v>
      </c>
      <c r="BB6" s="1145">
        <v>2000</v>
      </c>
      <c r="BC6" s="1139">
        <v>-18.567499999999999</v>
      </c>
      <c r="BD6" s="1142">
        <f ca="1">BE6*(_xlfn.XLOOKUP(BD$3,TabCalc[Ticker],TabCalc[M])+BF6)</f>
        <v>-12282.499999999995</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10168.167999999994</v>
      </c>
      <c r="BN6" s="1145">
        <v>4000</v>
      </c>
      <c r="BO6" s="1139">
        <v>-20.287958</v>
      </c>
      <c r="BP6" s="1142">
        <f ca="1">BQ6*(_xlfn.XLOOKUP(BP$3,TabCalc[Ticker],TabCalc[M])+BR6)</f>
        <v>-3016.9999999999995</v>
      </c>
      <c r="BQ6" s="1145">
        <v>1000</v>
      </c>
      <c r="BR6" s="1139">
        <v>-27.53</v>
      </c>
      <c r="BS6" s="1142">
        <f ca="1">BT6*(_xlfn.XLOOKUP(BS$3,TabCalc[Ticker],TabCalc[M])+BU6)</f>
        <v>2641760.0000000005</v>
      </c>
      <c r="BT6" s="1145">
        <v>20000</v>
      </c>
      <c r="BU6" s="1139">
        <v>-249.012</v>
      </c>
      <c r="BV6" s="1142">
        <f ca="1">BW6*(_xlfn.XLOOKUP(BV$3,TabCalc[Ticker],TabCalc[M])+BX6)</f>
        <v>-285.0000000000108</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-49740.000000000007</v>
      </c>
      <c r="CF6" s="1145">
        <v>3000</v>
      </c>
      <c r="CG6" s="1139">
        <v>-41.35</v>
      </c>
      <c r="CH6" s="1142">
        <f ca="1">CI6*(_xlfn.XLOOKUP(CH$3,TabCalc[Ticker],TabCalc[M])+CJ6)</f>
        <v>19762.5</v>
      </c>
      <c r="CI6" s="1145">
        <v>150</v>
      </c>
      <c r="CJ6" s="1139">
        <v>-378.43</v>
      </c>
      <c r="CK6" s="1142">
        <f ca="1">CL6*(_xlfn.XLOOKUP(CK$3,TabCalc[Ticker],TabCalc[M])+CM6)</f>
        <v>0</v>
      </c>
      <c r="CL6" s="1145"/>
      <c r="CM6" s="1139"/>
      <c r="CN6" s="1142">
        <f ca="1">CO6*(_xlfn.XLOOKUP(CN$3,TabCalc[Ticker],TabCalc[M])+CP6)</f>
        <v>88199.999999999985</v>
      </c>
      <c r="CO6" s="1145">
        <v>2000</v>
      </c>
      <c r="CP6" s="1139">
        <v>-43.7</v>
      </c>
      <c r="CQ6" s="1142">
        <f ca="1">CR6*(_xlfn.XLOOKUP(CQ$3,TabCalc[Ticker],TabCalc[M])+CS6)</f>
        <v>4305.0000000000637</v>
      </c>
      <c r="CR6" s="1145">
        <v>500</v>
      </c>
      <c r="CS6" s="1139">
        <v>-1103.56</v>
      </c>
      <c r="CT6" s="1142">
        <f ca="1">CU6*(_xlfn.XLOOKUP(CT$3,TabCalc[Ticker],TabCalc[M])+CV6)</f>
        <v>-176721.18749999997</v>
      </c>
      <c r="CU6" s="1145">
        <v>24167</v>
      </c>
      <c r="CV6" s="1139">
        <v>-9.8524999999999991</v>
      </c>
      <c r="CW6" s="1142">
        <f ca="1">CX6*(_xlfn.XLOOKUP(CW$3,TabCalc[Ticker],TabCalc[M])+CY6)</f>
        <v>14089.999999999996</v>
      </c>
      <c r="CX6" s="1145">
        <v>1000</v>
      </c>
      <c r="CY6" s="1139">
        <v>-24.42</v>
      </c>
      <c r="CZ6" s="1142">
        <f ca="1">DA6*(_xlfn.XLOOKUP(CZ$3,TabCalc[Ticker],TabCalc[M])+DB6)</f>
        <v>0</v>
      </c>
      <c r="DA6" s="1145"/>
      <c r="DB6" s="1139"/>
      <c r="DC6" s="1142">
        <f ca="1">DD6*(_xlfn.XLOOKUP(DC$3,TabCalc[Ticker],TabCalc[M])+DE6)</f>
        <v>4340.0000000000036</v>
      </c>
      <c r="DD6" s="1145">
        <v>7000</v>
      </c>
      <c r="DE6" s="1139">
        <v>-3.78</v>
      </c>
      <c r="DF6" s="1142">
        <f ca="1">DG6*(_xlfn.XLOOKUP(DF$3,TabCalc[Ticker],TabCalc[M])+DH6)</f>
        <v>-226.64720000000005</v>
      </c>
      <c r="DG6" s="1145">
        <v>988</v>
      </c>
      <c r="DH6" s="1139">
        <v>-0.93940000000000001</v>
      </c>
      <c r="DI6" s="1142">
        <f ca="1">DJ6*(_xlfn.XLOOKUP(DI$3,TabCalc[Ticker],TabCalc[M])+DK6)</f>
        <v>26789.509999999991</v>
      </c>
      <c r="DJ6" s="1145">
        <v>2000</v>
      </c>
      <c r="DK6" s="1139">
        <v>-28.545245000000001</v>
      </c>
      <c r="DL6" s="1142">
        <f ca="1">DM6*(_xlfn.XLOOKUP(DL$3,TabCalc[Ticker],TabCalc[M])+DN6)</f>
        <v>0</v>
      </c>
      <c r="DM6" s="1145"/>
      <c r="DN6" s="1139"/>
      <c r="DO6" s="1142">
        <f ca="1">DP6*(_xlfn.XLOOKUP(DO$3,TabCalc[Ticker],TabCalc[M])+DQ6)</f>
        <v>-11075.000000000004</v>
      </c>
      <c r="DP6" s="1145">
        <v>500</v>
      </c>
      <c r="DQ6" s="1139">
        <v>-232.35</v>
      </c>
      <c r="DR6" s="1142">
        <f ca="1">DS6*(_xlfn.XLOOKUP(DR$3,TabCalc[Ticker],TabCalc[M])+DT6)</f>
        <v>399.99999999999858</v>
      </c>
      <c r="DS6" s="1145">
        <v>4000</v>
      </c>
      <c r="DT6" s="1139">
        <v>-14.89</v>
      </c>
      <c r="DU6" s="1142">
        <f ca="1">DV6*(_xlfn.XLOOKUP(DU$3,TabCalc[Ticker],TabCalc[M])+DW6)</f>
        <v>-900.00000000000216</v>
      </c>
      <c r="DV6" s="1145">
        <v>3000</v>
      </c>
      <c r="DW6" s="1139">
        <v>-9.25</v>
      </c>
      <c r="DX6" s="1142">
        <f ca="1">DY6*(_xlfn.XLOOKUP(DX$3,TabCalc[Ticker],TabCalc[M])+DZ6)</f>
        <v>0</v>
      </c>
      <c r="DY6" s="1145"/>
      <c r="DZ6" s="1139"/>
      <c r="EA6" s="1142">
        <f ca="1">EB6*(_xlfn.XLOOKUP(EA$3,TabCalc[Ticker],TabCalc[M])+EC6)</f>
        <v>172017.00000000003</v>
      </c>
      <c r="EB6" s="1145">
        <v>1350</v>
      </c>
      <c r="EC6" s="1139">
        <v>-157.44999999999999</v>
      </c>
      <c r="ED6" s="1142">
        <f ca="1">EE6*(_xlfn.XLOOKUP(ED$3,TabCalc[Ticker],TabCalc[M])+EF6)</f>
        <v>-1585.0899999999995</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59.999999999998721</v>
      </c>
      <c r="EN6" s="1145">
        <v>1500</v>
      </c>
      <c r="EO6" s="1139">
        <v>-28</v>
      </c>
      <c r="EP6" s="1142">
        <f ca="1">EQ6*(_xlfn.XLOOKUP(EP$3,TabCalc[Ticker],TabCalc[M])+ER6)</f>
        <v>1600.0000000000086</v>
      </c>
      <c r="EQ6" s="1145">
        <v>2000</v>
      </c>
      <c r="ER6" s="1139">
        <v>-58.8</v>
      </c>
      <c r="ES6" s="1142">
        <f ca="1">ET6*(_xlfn.XLOOKUP(ES$3,TabCalc[Ticker],TabCalc[M])+EU6)</f>
        <v>0</v>
      </c>
      <c r="ET6" s="1145"/>
      <c r="EU6" s="1139"/>
      <c r="EV6" s="1142">
        <f ca="1">EW6*(_xlfn.XLOOKUP(EV$3,TabCalc[Ticker],TabCalc[M])+EX6)</f>
        <v>0</v>
      </c>
      <c r="EW6" s="1145"/>
      <c r="EX6" s="1148"/>
      <c r="EY6" s="1142">
        <f ca="1">EZ6*(_xlfn.XLOOKUP(EY$3,TabCalc[Ticker],TabCalc[M])+FA6)</f>
        <v>540.00000000000341</v>
      </c>
      <c r="EZ6" s="1145">
        <v>300</v>
      </c>
      <c r="FA6" s="1148">
        <v>-117.49</v>
      </c>
      <c r="FB6" s="1142">
        <f ca="1">FC6*(_xlfn.XLOOKUP(FB$3,TabCalc[Ticker],TabCalc[M])+FD6)</f>
        <v>-2919.9999999999995</v>
      </c>
      <c r="FC6" s="1145">
        <v>800</v>
      </c>
      <c r="FD6" s="1148">
        <v>-9.84</v>
      </c>
      <c r="FE6" s="1142">
        <f ca="1">FF6*(_xlfn.XLOOKUP(FE$3,TabCalc[Ticker],TabCalc[M])+FG6)</f>
        <v>-6440.0000000000009</v>
      </c>
      <c r="FF6" s="1145">
        <v>20000</v>
      </c>
      <c r="FG6" s="1139">
        <v>-1.01</v>
      </c>
      <c r="FH6" s="1142">
        <f ca="1">FI6*(_xlfn.XLOOKUP(FH$3,TabCalc[Ticker],TabCalc[M])+FJ6)</f>
        <v>0</v>
      </c>
      <c r="FI6" s="1145"/>
      <c r="FJ6" s="1139"/>
      <c r="FK6" s="1142">
        <f ca="1">FL6*(_xlfn.XLOOKUP(FK$3,TabCalc[Ticker],TabCalc[M])+FM6)</f>
        <v>-3775.0000000000005</v>
      </c>
      <c r="FL6" s="1145">
        <v>500</v>
      </c>
      <c r="FM6" s="1139">
        <v>-31.36</v>
      </c>
      <c r="FN6" s="1142">
        <f ca="1">FO6*(_xlfn.XLOOKUP(FN$3,TabCalc[Ticker],TabCalc[M])+FP6)</f>
        <v>0</v>
      </c>
      <c r="FO6" s="1145"/>
      <c r="FP6" s="1139"/>
      <c r="FQ6" s="1142">
        <f ca="1">FR6*(_xlfn.XLOOKUP(FQ$3,TabCalc[Ticker],TabCalc[M])+FS6)</f>
        <v>30645.599999999988</v>
      </c>
      <c r="FR6" s="1145">
        <v>8000</v>
      </c>
      <c r="FS6" s="1139">
        <v>-12.6593</v>
      </c>
      <c r="FT6" s="1142">
        <f ca="1">FU6*(_xlfn.XLOOKUP(FT$3,TabCalc[Ticker],TabCalc[M])+FV6)</f>
        <v>-13457.599999999999</v>
      </c>
      <c r="FU6" s="1145">
        <v>2000</v>
      </c>
      <c r="FV6" s="1139">
        <v>-6.93</v>
      </c>
      <c r="FW6" s="1142">
        <f ca="1">FX6*(_xlfn.XLOOKUP(FW$3,TabCalc[Ticker],TabCalc[M])+FY6)</f>
        <v>4239.9999999999945</v>
      </c>
      <c r="FX6" s="1145">
        <v>1000</v>
      </c>
      <c r="FY6" s="1139">
        <v>-54.02</v>
      </c>
      <c r="FZ6" s="1142">
        <f ca="1">GA6*(_xlfn.XLOOKUP(FZ$3,TabCalc[Ticker],TabCalc[M])+GB6)</f>
        <v>14304.000000000002</v>
      </c>
      <c r="GA6" s="1145">
        <v>4800</v>
      </c>
      <c r="GB6" s="1139">
        <v>-10.93</v>
      </c>
      <c r="GC6" s="1142">
        <f ca="1">GD6*(_xlfn.XLOOKUP(GC$3,TabCalc[Ticker],TabCalc[M])+GE6)</f>
        <v>0</v>
      </c>
      <c r="GD6" s="1145"/>
      <c r="GE6" s="1139"/>
      <c r="GF6" s="1142">
        <f ca="1">GG6*(_xlfn.XLOOKUP(GF$3,TabCalc[Ticker],TabCalc[M])+GH6)</f>
        <v>-9880.0000000000073</v>
      </c>
      <c r="GG6" s="1145">
        <v>200</v>
      </c>
      <c r="GH6" s="1139">
        <v>-259.60000000000002</v>
      </c>
      <c r="GI6" s="1142">
        <f ca="1">GJ6*(_xlfn.XLOOKUP(GI$3,TabCalc[Ticker],TabCalc[M])+GK6)</f>
        <v>-72.899999999999977</v>
      </c>
      <c r="GJ6" s="1145">
        <v>9</v>
      </c>
      <c r="GK6" s="1139">
        <v>-37.9</v>
      </c>
      <c r="GL6" s="1142">
        <f ca="1">GM6*(_xlfn.XLOOKUP(GL$3,TabCalc[Ticker],TabCalc[M])+GN6)</f>
        <v>4047.6408000000015</v>
      </c>
      <c r="GM6" s="1145">
        <v>60</v>
      </c>
      <c r="GN6" s="1139">
        <v>-204.94932</v>
      </c>
      <c r="GO6" s="1142">
        <f ca="1">GP6*(_xlfn.XLOOKUP(GO$3,TabCalc[Ticker],TabCalc[M])+GQ6)</f>
        <v>10299.999999999996</v>
      </c>
      <c r="GP6" s="1145">
        <v>250</v>
      </c>
      <c r="GQ6" s="1139">
        <v>-193.49</v>
      </c>
      <c r="GR6" s="1142">
        <f ca="1">GS6*(_xlfn.XLOOKUP(GR$3,TabCalc[Ticker],TabCalc[M])+GT6)</f>
        <v>10494.999999999998</v>
      </c>
      <c r="GS6" s="1145">
        <v>50</v>
      </c>
      <c r="GT6" s="1139">
        <v>-661.5</v>
      </c>
      <c r="GU6" s="1142">
        <f ca="1">GV6*(_xlfn.XLOOKUP(GU$3,TabCalc[Ticker],TabCalc[M])+GW6)</f>
        <v>-13032.500000000002</v>
      </c>
      <c r="GV6" s="1145">
        <v>25000</v>
      </c>
      <c r="GW6" s="1139">
        <v>-2.6913</v>
      </c>
      <c r="GX6" s="1142">
        <f ca="1">GY6*(_xlfn.XLOOKUP(GX$3,TabCalc[Ticker],TabCalc[M])+GZ6)</f>
        <v>-3805.4000000000037</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-47771.700000000012</v>
      </c>
      <c r="HH6" s="1145">
        <v>1000</v>
      </c>
      <c r="HI6" s="1139">
        <v>-72.541700000000006</v>
      </c>
      <c r="HJ6" s="1142">
        <f ca="1">HK6*(_xlfn.XLOOKUP(HJ$3,TabCalc[Ticker],TabCalc[M])+HL6)</f>
        <v>-10600</v>
      </c>
      <c r="HK6" s="1145">
        <v>20000</v>
      </c>
      <c r="HL6" s="1139">
        <v>-1.94</v>
      </c>
      <c r="HM6" s="1142">
        <f ca="1">HN6*(_xlfn.XLOOKUP(HM$3,TabCalc[Ticker],TabCalc[M])+HO6)</f>
        <v>10974.29999999999</v>
      </c>
      <c r="HN6" s="1145">
        <v>6990</v>
      </c>
      <c r="HO6" s="1139">
        <v>-14.92</v>
      </c>
      <c r="HP6" s="1142">
        <f ca="1">HQ6*(_xlfn.XLOOKUP(HP$3,TabCalc[Ticker],TabCalc[M])+HR6)</f>
        <v>-195000</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-9614.9999999999945</v>
      </c>
      <c r="HZ6" s="1145">
        <v>300</v>
      </c>
      <c r="IA6" s="1139">
        <v>-183.16</v>
      </c>
      <c r="IB6" s="1142">
        <f ca="1">IC6*(_xlfn.XLOOKUP(IB$3,TabCalc[Ticker],TabCalc[M])+ID6)</f>
        <v>0</v>
      </c>
      <c r="IC6" s="1144"/>
      <c r="ID6" s="1139"/>
      <c r="IE6" s="1142">
        <f ca="1">IF6*(_xlfn.XLOOKUP(IE$3,TabCalc[Ticker],TabCalc[M])+IG6)</f>
        <v>-21719.74</v>
      </c>
      <c r="IF6" s="1145">
        <v>518</v>
      </c>
      <c r="IG6" s="1139">
        <v>-42.94</v>
      </c>
      <c r="IH6" s="1142">
        <f ca="1">II6*(_xlfn.XLOOKUP(IH$3,TabCalc[Ticker],TabCalc[M])+IJ6)</f>
        <v>0</v>
      </c>
      <c r="II6" s="1145"/>
      <c r="IJ6" s="1139"/>
      <c r="IK6" s="1142">
        <f ca="1">IL6*(_xlfn.XLOOKUP(IK$3,TabCalc[Ticker],TabCalc[M])+IM6)</f>
        <v>-2015.9999999999968</v>
      </c>
      <c r="IL6" s="1145">
        <v>100</v>
      </c>
      <c r="IM6" s="1139">
        <v>-565.89</v>
      </c>
      <c r="IN6" s="1142">
        <f ca="1">IO6*(_xlfn.XLOOKUP(IN$3,TabCalc[Ticker],TabCalc[M])+IP6)</f>
        <v>-12504.599999999999</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-4788</v>
      </c>
      <c r="IX6" s="1145">
        <v>900</v>
      </c>
      <c r="IY6" s="1139">
        <v>-48.09</v>
      </c>
      <c r="IZ6" s="1142">
        <f ca="1">JA6*(_xlfn.XLOOKUP(IZ$3,TabCalc[Ticker],TabCalc[M])+JB6)</f>
        <v>0</v>
      </c>
      <c r="JA6" s="1145"/>
      <c r="JB6" s="1139"/>
      <c r="JC6" s="1142">
        <f ca="1">JD6*(_xlfn.XLOOKUP(JC$3,TabCalc[Ticker],TabCalc[M])+JE6)</f>
        <v>8189.9999999999982</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2542.6150000000007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919.99999999999818</v>
      </c>
      <c r="JY6" s="1145">
        <v>2000</v>
      </c>
      <c r="JZ6" s="1139">
        <v>-14.73</v>
      </c>
    </row>
    <row r="7" spans="1:301" ht="22" customHeight="1" x14ac:dyDescent="0.3">
      <c r="A7">
        <v>4</v>
      </c>
      <c r="B7" s="1142">
        <f ca="1">C7*(_xlfn.XLOOKUP(B$3,TabCalc[Ticker],TabCalc[M])+D7)</f>
        <v>37495.000000000022</v>
      </c>
      <c r="C7" s="1145">
        <v>500</v>
      </c>
      <c r="D7" s="1139">
        <v>-197.42</v>
      </c>
      <c r="E7" s="1142">
        <f ca="1">F7*(_xlfn.XLOOKUP(E$3,TabCalc[Ticker],TabCalc[M])+G7)</f>
        <v>-264.10000000000014</v>
      </c>
      <c r="F7" s="1145">
        <v>190</v>
      </c>
      <c r="G7" s="1139">
        <v>-14.25</v>
      </c>
      <c r="H7" s="1142">
        <f ca="1">I7*(_xlfn.XLOOKUP(H$3,TabCalc[Ticker],TabCalc[M])+J7)</f>
        <v>3999.9999999999859</v>
      </c>
      <c r="I7" s="1145">
        <v>10000</v>
      </c>
      <c r="J7" s="1139">
        <v>-45.6</v>
      </c>
      <c r="K7" s="1142">
        <f ca="1">L7*(_xlfn.XLOOKUP(K$3,TabCalc[Ticker],TabCalc[M])+M7)</f>
        <v>102513.19999999998</v>
      </c>
      <c r="L7" s="1145">
        <v>2000</v>
      </c>
      <c r="M7" s="1139">
        <v>-183.43340000000001</v>
      </c>
      <c r="N7" s="1142">
        <f ca="1">O7*(_xlfn.XLOOKUP(N$3,TabCalc[Ticker],TabCalc[M])+P7)</f>
        <v>-9159.510000000002</v>
      </c>
      <c r="O7" s="1145">
        <v>20000</v>
      </c>
      <c r="P7" s="1139">
        <v>-1.1459755</v>
      </c>
      <c r="Q7" s="1142">
        <f ca="1">R7*(_xlfn.XLOOKUP(Q$3,TabCalc[Ticker],TabCalc[M])+S7)</f>
        <v>53520.000000000007</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1079.9999999999982</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-4750.0000000000009</v>
      </c>
      <c r="AP7" s="1145">
        <v>5000</v>
      </c>
      <c r="AQ7" s="1139">
        <v>-3.12</v>
      </c>
      <c r="AR7" s="1142">
        <f ca="1">AS7*(_xlfn.XLOOKUP(AR$3,TabCalc[Ticker],TabCalc[M])+AT7)</f>
        <v>0</v>
      </c>
      <c r="AS7" s="1145"/>
      <c r="AT7" s="1139"/>
      <c r="AU7" s="1142">
        <f ca="1">AV7*(_xlfn.XLOOKUP(AU$3,TabCalc[Ticker],TabCalc[M])+AW7)</f>
        <v>-3765.0000000000005</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323.99999999999949</v>
      </c>
      <c r="BN7" s="1145">
        <v>200</v>
      </c>
      <c r="BO7" s="1139">
        <v>-21.21</v>
      </c>
      <c r="BP7" s="1142">
        <f ca="1">BQ7*(_xlfn.XLOOKUP(BP$3,TabCalc[Ticker],TabCalc[M])+BR7)</f>
        <v>0</v>
      </c>
      <c r="BQ7" s="1145"/>
      <c r="BR7" s="1139"/>
      <c r="BS7" s="1142">
        <f ca="1">BT7*(_xlfn.XLOOKUP(BS$3,TabCalc[Ticker],TabCalc[M])+BU7)</f>
        <v>1932442.0000000009</v>
      </c>
      <c r="BT7" s="1145">
        <v>20000</v>
      </c>
      <c r="BU7" s="1139">
        <v>-284.47789999999998</v>
      </c>
      <c r="BV7" s="1142">
        <f ca="1">BW7*(_xlfn.XLOOKUP(BV$3,TabCalc[Ticker],TabCalc[M])+BX7)</f>
        <v>-310.20000000000863</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-22360.000000000004</v>
      </c>
      <c r="CF7" s="1145">
        <v>1000</v>
      </c>
      <c r="CG7" s="1139">
        <v>-47.13</v>
      </c>
      <c r="CH7" s="1142">
        <f ca="1">CI7*(_xlfn.XLOOKUP(CH$3,TabCalc[Ticker],TabCalc[M])+CJ7)</f>
        <v>19713.000000000004</v>
      </c>
      <c r="CI7" s="1145">
        <v>150</v>
      </c>
      <c r="CJ7" s="1139">
        <v>-378.76</v>
      </c>
      <c r="CK7" s="1142">
        <f ca="1">CL7*(_xlfn.XLOOKUP(CK$3,TabCalc[Ticker],TabCalc[M])+CM7)</f>
        <v>0</v>
      </c>
      <c r="CL7" s="1145"/>
      <c r="CM7" s="1139"/>
      <c r="CN7" s="1142">
        <f ca="1">CO7*(_xlfn.XLOOKUP(CN$3,TabCalc[Ticker],TabCalc[M])+CP7)</f>
        <v>37820</v>
      </c>
      <c r="CO7" s="1145">
        <v>1000</v>
      </c>
      <c r="CP7" s="1139">
        <v>-49.98</v>
      </c>
      <c r="CQ7" s="1142">
        <f ca="1">CR7*(_xlfn.XLOOKUP(CQ$3,TabCalc[Ticker],TabCalc[M])+CS7)</f>
        <v>-6863.9999999999645</v>
      </c>
      <c r="CR7" s="1145">
        <v>1300</v>
      </c>
      <c r="CS7" s="1139">
        <v>-1117.45</v>
      </c>
      <c r="CT7" s="1142">
        <f ca="1">CU7*(_xlfn.XLOOKUP(CT$3,TabCalc[Ticker],TabCalc[M])+CV7)</f>
        <v>0</v>
      </c>
      <c r="CU7" s="1145"/>
      <c r="CV7" s="1139"/>
      <c r="CW7" s="1142">
        <f ca="1">CX7*(_xlfn.XLOOKUP(CW$3,TabCalc[Ticker],TabCalc[M])+CY7)</f>
        <v>10979.999999999996</v>
      </c>
      <c r="CX7" s="1145">
        <v>1000</v>
      </c>
      <c r="CY7" s="1139">
        <v>-27.53</v>
      </c>
      <c r="CZ7" s="1142">
        <f ca="1">DA7*(_xlfn.XLOOKUP(CZ$3,TabCalc[Ticker],TabCalc[M])+DB7)</f>
        <v>0</v>
      </c>
      <c r="DA7" s="1145"/>
      <c r="DB7" s="1139"/>
      <c r="DC7" s="1142">
        <f ca="1">DD7*(_xlfn.XLOOKUP(DC$3,TabCalc[Ticker],TabCalc[M])+DE7)</f>
        <v>-1799.9999999999993</v>
      </c>
      <c r="DD7" s="1145">
        <v>2500</v>
      </c>
      <c r="DE7" s="1139">
        <v>-5.12</v>
      </c>
      <c r="DF7" s="1142">
        <f ca="1">DG7*(_xlfn.XLOOKUP(DF$3,TabCalc[Ticker],TabCalc[M])+DH7)</f>
        <v>-2915.9130000000005</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-11102.75</v>
      </c>
      <c r="DP7" s="1145">
        <v>499</v>
      </c>
      <c r="DQ7" s="1139">
        <v>-232.45</v>
      </c>
      <c r="DR7" s="1142">
        <f ca="1">DS7*(_xlfn.XLOOKUP(DR$3,TabCalc[Ticker],TabCalc[M])+DT7)</f>
        <v>-552.71999999999753</v>
      </c>
      <c r="DS7" s="1145">
        <v>2632</v>
      </c>
      <c r="DT7" s="1139">
        <v>-15.2</v>
      </c>
      <c r="DU7" s="1142">
        <f ca="1">DV7*(_xlfn.XLOOKUP(DU$3,TabCalc[Ticker],TabCalc[M])+DW7)</f>
        <v>-2126.6</v>
      </c>
      <c r="DV7" s="1145">
        <v>2000</v>
      </c>
      <c r="DW7" s="1139">
        <v>-10.013299999999999</v>
      </c>
      <c r="DX7" s="1142">
        <f ca="1">DY7*(_xlfn.XLOOKUP(DX$3,TabCalc[Ticker],TabCalc[M])+DZ7)</f>
        <v>0</v>
      </c>
      <c r="DY7" s="1145"/>
      <c r="DZ7" s="1139"/>
      <c r="EA7" s="1142">
        <f ca="1">EB7*(_xlfn.XLOOKUP(EA$3,TabCalc[Ticker],TabCalc[M])+EC7)</f>
        <v>13701.474000000002</v>
      </c>
      <c r="EB7" s="1145">
        <v>150</v>
      </c>
      <c r="EC7" s="1139">
        <v>-193.52683999999999</v>
      </c>
      <c r="ED7" s="1142">
        <f ca="1">EE7*(_xlfn.XLOOKUP(ED$3,TabCalc[Ticker],TabCalc[M])+EF7)</f>
        <v>-4501.2000000000007</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710.00000000000091</v>
      </c>
      <c r="EQ7" s="1145">
        <v>1000</v>
      </c>
      <c r="ER7" s="1139">
        <v>-58.89</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-15498.000000000002</v>
      </c>
      <c r="FC7" s="1145">
        <v>4200</v>
      </c>
      <c r="FD7" s="1146">
        <v>-9.8800000000000008</v>
      </c>
      <c r="FE7" s="1142">
        <f ca="1">FF7*(_xlfn.XLOOKUP(FE$3,TabCalc[Ticker],TabCalc[M])+FG7)</f>
        <v>-7640.0000000000027</v>
      </c>
      <c r="FF7" s="1145">
        <v>20000</v>
      </c>
      <c r="FG7" s="1139">
        <v>-1.07</v>
      </c>
      <c r="FH7" s="1142">
        <f ca="1">FI7*(_xlfn.XLOOKUP(FH$3,TabCalc[Ticker],TabCalc[M])+FJ7)</f>
        <v>0</v>
      </c>
      <c r="FI7" s="1145"/>
      <c r="FJ7" s="1139"/>
      <c r="FK7" s="1142">
        <f ca="1">FL7*(_xlfn.XLOOKUP(FK$3,TabCalc[Ticker],TabCalc[M])+FM7)</f>
        <v>-36560.000000000015</v>
      </c>
      <c r="FL7" s="1145">
        <v>4000</v>
      </c>
      <c r="FM7" s="1139">
        <v>-32.950000000000003</v>
      </c>
      <c r="FN7" s="1142">
        <f ca="1">FO7*(_xlfn.XLOOKUP(FN$3,TabCalc[Ticker],TabCalc[M])+FP7)</f>
        <v>0</v>
      </c>
      <c r="FO7" s="1145"/>
      <c r="FP7" s="1139"/>
      <c r="FQ7" s="1142">
        <f ca="1">FR7*(_xlfn.XLOOKUP(FQ$3,TabCalc[Ticker],TabCalc[M])+FS7)</f>
        <v>28239.999999999982</v>
      </c>
      <c r="FR7" s="1145">
        <v>8000</v>
      </c>
      <c r="FS7" s="1139">
        <v>-12.96</v>
      </c>
      <c r="FT7" s="1142">
        <f ca="1">FU7*(_xlfn.XLOOKUP(FT$3,TabCalc[Ticker],TabCalc[M])+FV7)</f>
        <v>0</v>
      </c>
      <c r="FU7" s="1145"/>
      <c r="FV7" s="1139"/>
      <c r="FW7" s="1142">
        <f ca="1">FX7*(_xlfn.XLOOKUP(FW$3,TabCalc[Ticker],TabCalc[M])+FY7)</f>
        <v>8259.9999999999909</v>
      </c>
      <c r="FX7" s="1145">
        <v>2000</v>
      </c>
      <c r="FY7" s="1139">
        <v>-54.13</v>
      </c>
      <c r="FZ7" s="1142">
        <f ca="1">GA7*(_xlfn.XLOOKUP(FZ$3,TabCalc[Ticker],TabCalc[M])+GB7)</f>
        <v>4320.0000000000036</v>
      </c>
      <c r="GA7" s="1145">
        <v>6000</v>
      </c>
      <c r="GB7" s="1139">
        <v>-13.19</v>
      </c>
      <c r="GC7" s="1142">
        <f ca="1">GD7*(_xlfn.XLOOKUP(GC$3,TabCalc[Ticker],TabCalc[M])+GE7)</f>
        <v>0</v>
      </c>
      <c r="GD7" s="1145"/>
      <c r="GE7" s="1139"/>
      <c r="GF7" s="1142">
        <f ca="1">GG7*(_xlfn.XLOOKUP(GF$3,TabCalc[Ticker],TabCalc[M])+GH7)</f>
        <v>-52.680000000000007</v>
      </c>
      <c r="GG7" s="1145">
        <v>1</v>
      </c>
      <c r="GH7" s="1139">
        <v>-262.88</v>
      </c>
      <c r="GI7" s="1142">
        <f ca="1">GJ7*(_xlfn.XLOOKUP(GI$3,TabCalc[Ticker],TabCalc[M])+GK7)</f>
        <v>-6200.0000000000009</v>
      </c>
      <c r="GJ7" s="1145">
        <v>500</v>
      </c>
      <c r="GK7" s="1139">
        <v>-42.2</v>
      </c>
      <c r="GL7" s="1142">
        <f ca="1">GM7*(_xlfn.XLOOKUP(GL$3,TabCalc[Ticker],TabCalc[M])+GN7)</f>
        <v>0</v>
      </c>
      <c r="GM7" s="1145"/>
      <c r="GN7" s="1139"/>
      <c r="GO7" s="1142">
        <f ca="1">GP7*(_xlfn.XLOOKUP(GO$3,TabCalc[Ticker],TabCalc[M])+GQ7)</f>
        <v>10719.999999999998</v>
      </c>
      <c r="GP7" s="1145">
        <v>500</v>
      </c>
      <c r="GQ7" s="1139">
        <v>-213.25</v>
      </c>
      <c r="GR7" s="1142">
        <f ca="1">GS7*(_xlfn.XLOOKUP(GR$3,TabCalc[Ticker],TabCalc[M])+GT7)</f>
        <v>24421.462</v>
      </c>
      <c r="GS7" s="1145">
        <v>130</v>
      </c>
      <c r="GT7" s="1139">
        <v>-683.54259999999999</v>
      </c>
      <c r="GU7" s="1142">
        <f ca="1">GV7*(_xlfn.XLOOKUP(GU$3,TabCalc[Ticker],TabCalc[M])+GW7)</f>
        <v>-32800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-36985.105500000005</v>
      </c>
      <c r="HH7" s="1145">
        <v>399</v>
      </c>
      <c r="HI7" s="1139">
        <v>-117.4645</v>
      </c>
      <c r="HJ7" s="1142">
        <f ca="1">HK7*(_xlfn.XLOOKUP(HJ$3,TabCalc[Ticker],TabCalc[M])+HL7)</f>
        <v>-30000.000000000004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-14111.999999999989</v>
      </c>
      <c r="HZ7" s="1145">
        <v>400</v>
      </c>
      <c r="IA7" s="1139">
        <v>-186.39</v>
      </c>
      <c r="IB7" s="1142">
        <f ca="1">IC7*(_xlfn.XLOOKUP(IB$3,TabCalc[Ticker],TabCalc[M])+ID7)</f>
        <v>0</v>
      </c>
      <c r="IC7" s="1144"/>
      <c r="ID7" s="1139"/>
      <c r="IE7" s="1142">
        <f ca="1">IF7*(_xlfn.XLOOKUP(IE$3,TabCalc[Ticker],TabCalc[M])+IG7)</f>
        <v>-246612.71</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-17389.899999999998</v>
      </c>
      <c r="IX7" s="1145">
        <v>1100</v>
      </c>
      <c r="IY7" s="1139">
        <v>-58.579000000000001</v>
      </c>
      <c r="IZ7" s="1142">
        <f ca="1">JA7*(_xlfn.XLOOKUP(IZ$3,TabCalc[Ticker],TabCalc[M])+JB7)</f>
        <v>0</v>
      </c>
      <c r="JA7" s="1145"/>
      <c r="JB7" s="1139"/>
      <c r="JC7" s="1142">
        <f ca="1">JD7*(_xlfn.XLOOKUP(JC$3,TabCalc[Ticker],TabCalc[M])+JE7)</f>
        <v>929.99999999999886</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40690</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1849.9999999999961</v>
      </c>
      <c r="JY7" s="1145">
        <v>5000</v>
      </c>
      <c r="JZ7" s="1139">
        <v>-14.82</v>
      </c>
    </row>
    <row r="8" spans="1:301" x14ac:dyDescent="0.3">
      <c r="A8">
        <v>5</v>
      </c>
      <c r="B8" s="1142">
        <f ca="1">C8*(_xlfn.XLOOKUP(B$3,TabCalc[Ticker],TabCalc[M])+D8)</f>
        <v>21513.000000000011</v>
      </c>
      <c r="C8" s="1145">
        <v>300</v>
      </c>
      <c r="D8" s="1139">
        <v>-200.7</v>
      </c>
      <c r="E8" s="1142">
        <f ca="1">F8*(_xlfn.XLOOKUP(E$3,TabCalc[Ticker],TabCalc[M])+G8)</f>
        <v>0</v>
      </c>
      <c r="F8" s="1145"/>
      <c r="G8" s="1139"/>
      <c r="H8" s="1142">
        <f ca="1">I8*(_xlfn.XLOOKUP(H$3,TabCalc[Ticker],TabCalc[M])+J8)</f>
        <v>2000.0000000000284</v>
      </c>
      <c r="I8" s="1145">
        <v>10000</v>
      </c>
      <c r="J8" s="1139">
        <v>-45.8</v>
      </c>
      <c r="K8" s="1142">
        <f ca="1">L8*(_xlfn.XLOOKUP(K$3,TabCalc[Ticker],TabCalc[M])+M8)</f>
        <v>74115</v>
      </c>
      <c r="L8" s="1145">
        <v>1500</v>
      </c>
      <c r="M8" s="1139">
        <v>-185.28</v>
      </c>
      <c r="N8" s="1142">
        <f ca="1">O8*(_xlfn.XLOOKUP(N$3,TabCalc[Ticker],TabCalc[M])+P8)</f>
        <v>-4620</v>
      </c>
      <c r="O8" s="1145">
        <v>10000</v>
      </c>
      <c r="P8" s="1139">
        <v>-1.1499999999999999</v>
      </c>
      <c r="Q8" s="1142">
        <f ca="1">R8*(_xlfn.XLOOKUP(Q$3,TabCalc[Ticker],TabCalc[M])+S8)</f>
        <v>124599.99999999997</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-22350.000000000004</v>
      </c>
      <c r="AP8" s="1145">
        <v>15000</v>
      </c>
      <c r="AQ8" s="1139">
        <v>-3.66</v>
      </c>
      <c r="AR8" s="1142">
        <f ca="1">AS8*(_xlfn.XLOOKUP(AR$3,TabCalc[Ticker],TabCalc[M])+AT8)</f>
        <v>0</v>
      </c>
      <c r="AS8" s="1145"/>
      <c r="AT8" s="1139"/>
      <c r="AU8" s="1142">
        <f ca="1">AV8*(_xlfn.XLOOKUP(AU$3,TabCalc[Ticker],TabCalc[M])+AW8)</f>
        <v>-4570.0000000000018</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359.99999999999875</v>
      </c>
      <c r="BN8" s="1145">
        <v>1800</v>
      </c>
      <c r="BO8" s="1139">
        <v>-22.63</v>
      </c>
      <c r="BP8" s="1142">
        <f ca="1">BQ8*(_xlfn.XLOOKUP(BP$3,TabCalc[Ticker],TabCalc[M])+BR8)</f>
        <v>0</v>
      </c>
      <c r="BQ8" s="1145"/>
      <c r="BR8" s="1139"/>
      <c r="BS8" s="1142">
        <f ca="1">BT8*(_xlfn.XLOOKUP(BS$3,TabCalc[Ticker],TabCalc[M])+BU8)</f>
        <v>1230000</v>
      </c>
      <c r="BT8" s="1145">
        <v>20000</v>
      </c>
      <c r="BU8" s="1139">
        <v>-319.60000000000002</v>
      </c>
      <c r="BV8" s="1142">
        <f ca="1">BW8*(_xlfn.XLOOKUP(BV$3,TabCalc[Ticker],TabCalc[M])+BX8)</f>
        <v>-3379.0000000000191</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-94560</v>
      </c>
      <c r="CF8" s="1145">
        <v>2000</v>
      </c>
      <c r="CG8" s="1139">
        <v>-72.05</v>
      </c>
      <c r="CH8" s="1142">
        <f ca="1">CI8*(_xlfn.XLOOKUP(CH$3,TabCalc[Ticker],TabCalc[M])+CJ8)</f>
        <v>22968.000000000007</v>
      </c>
      <c r="CI8" s="1145">
        <v>200</v>
      </c>
      <c r="CJ8" s="1139">
        <v>-395.34</v>
      </c>
      <c r="CK8" s="1142">
        <f ca="1">CL8*(_xlfn.XLOOKUP(CK$3,TabCalc[Ticker],TabCalc[M])+CM8)</f>
        <v>0</v>
      </c>
      <c r="CL8" s="1145"/>
      <c r="CM8" s="1139"/>
      <c r="CN8" s="1142">
        <f ca="1">CO8*(_xlfn.XLOOKUP(CN$3,TabCalc[Ticker],TabCalc[M])+CP8)</f>
        <v>74339.999999999985</v>
      </c>
      <c r="CO8" s="1145">
        <v>2000</v>
      </c>
      <c r="CP8" s="1139">
        <v>-50.63</v>
      </c>
      <c r="CQ8" s="1142">
        <f ca="1">CR8*(_xlfn.XLOOKUP(CQ$3,TabCalc[Ticker],TabCalc[M])+CS8)</f>
        <v>-9903.9999999999964</v>
      </c>
      <c r="CR8" s="1145">
        <v>200</v>
      </c>
      <c r="CS8" s="1139">
        <v>-1161.69</v>
      </c>
      <c r="CT8" s="1142">
        <f ca="1">CU8*(_xlfn.XLOOKUP(CT$3,TabCalc[Ticker],TabCalc[M])+CV8)</f>
        <v>0</v>
      </c>
      <c r="CU8" s="1145"/>
      <c r="CV8" s="1139"/>
      <c r="CW8" s="1142">
        <f ca="1">CX8*(_xlfn.XLOOKUP(CW$3,TabCalc[Ticker],TabCalc[M])+CY8)</f>
        <v>4184.9999999999991</v>
      </c>
      <c r="CX8" s="1145">
        <v>1500</v>
      </c>
      <c r="CY8" s="1139">
        <v>-35.72</v>
      </c>
      <c r="CZ8" s="1142">
        <f ca="1">DA8*(_xlfn.XLOOKUP(CZ$3,TabCalc[Ticker],TabCalc[M])+DB8)</f>
        <v>0</v>
      </c>
      <c r="DA8" s="1145"/>
      <c r="DB8" s="1139"/>
      <c r="DC8" s="1142">
        <f ca="1">DD8*(_xlfn.XLOOKUP(DC$3,TabCalc[Ticker],TabCalc[M])+DE8)</f>
        <v>-65123.006666666646</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-39550.000000000015</v>
      </c>
      <c r="DP8" s="1145">
        <v>1000</v>
      </c>
      <c r="DQ8" s="1139">
        <v>-249.75</v>
      </c>
      <c r="DR8" s="1142">
        <f ca="1">DS8*(_xlfn.XLOOKUP(DR$3,TabCalc[Ticker],TabCalc[M])+DT8)</f>
        <v>-1379.9999999999973</v>
      </c>
      <c r="DS8" s="1145">
        <v>3000</v>
      </c>
      <c r="DT8" s="1139">
        <v>-15.45</v>
      </c>
      <c r="DU8" s="1142">
        <f ca="1">DV8*(_xlfn.XLOOKUP(DU$3,TabCalc[Ticker],TabCalc[M])+DW8)</f>
        <v>-320253.29000000004</v>
      </c>
      <c r="DV8" s="1145">
        <v>7000</v>
      </c>
      <c r="DW8" s="1139">
        <v>-54.700470000000003</v>
      </c>
      <c r="DX8" s="1142">
        <f ca="1">DY8*(_xlfn.XLOOKUP(DX$3,TabCalc[Ticker],TabCalc[M])+DZ8)</f>
        <v>0</v>
      </c>
      <c r="DY8" s="1144"/>
      <c r="DZ8" s="1139"/>
      <c r="EA8" s="1142">
        <f ca="1">EB8*(_xlfn.XLOOKUP(EA$3,TabCalc[Ticker],TabCalc[M])+EC8)</f>
        <v>49620.000000000007</v>
      </c>
      <c r="EB8" s="1145">
        <v>1000</v>
      </c>
      <c r="EC8" s="1139">
        <v>-235.25</v>
      </c>
      <c r="ED8" s="1142">
        <f ca="1">EE8*(_xlfn.XLOOKUP(ED$3,TabCalc[Ticker],TabCalc[M])+EF8)</f>
        <v>-26707.514999999992</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1000</v>
      </c>
      <c r="EQ8" s="1145">
        <v>2000</v>
      </c>
      <c r="ER8" s="1139">
        <v>-59.1</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-1135.6120000000003</v>
      </c>
      <c r="FF8" s="1145">
        <v>2942</v>
      </c>
      <c r="FG8" s="1139">
        <v>-1.0740000000000001</v>
      </c>
      <c r="FH8" s="1142">
        <f ca="1">FI8*(_xlfn.XLOOKUP(FH$3,TabCalc[Ticker],TabCalc[M])+FJ8)</f>
        <v>0</v>
      </c>
      <c r="FI8" s="1145"/>
      <c r="FJ8" s="1139"/>
      <c r="FK8" s="1142">
        <f ca="1">FL8*(_xlfn.XLOOKUP(FK$3,TabCalc[Ticker],TabCalc[M])+FM8)</f>
        <v>-44720.000000000015</v>
      </c>
      <c r="FL8" s="1145">
        <v>4000</v>
      </c>
      <c r="FM8" s="1139">
        <v>-34.99</v>
      </c>
      <c r="FN8" s="1142">
        <f ca="1">FO8*(_xlfn.XLOOKUP(FN$3,TabCalc[Ticker],TabCalc[M])+FP8)</f>
        <v>0</v>
      </c>
      <c r="FO8" s="1145"/>
      <c r="FP8" s="1139"/>
      <c r="FQ8" s="1142">
        <f ca="1">FR8*(_xlfn.XLOOKUP(FQ$3,TabCalc[Ticker],TabCalc[M])+FS8)</f>
        <v>11839.999999999996</v>
      </c>
      <c r="FR8" s="1145">
        <v>4000</v>
      </c>
      <c r="FS8" s="1139">
        <v>-13.53</v>
      </c>
      <c r="FT8" s="1142">
        <f ca="1">FU8*(_xlfn.XLOOKUP(FT$3,TabCalc[Ticker],TabCalc[M])+FV8)</f>
        <v>0</v>
      </c>
      <c r="FU8" s="1145"/>
      <c r="FV8" s="1139"/>
      <c r="FW8" s="1142">
        <f ca="1">FX8*(_xlfn.XLOOKUP(FW$3,TabCalc[Ticker],TabCalc[M])+FY8)</f>
        <v>7159.9999999999964</v>
      </c>
      <c r="FX8" s="1145">
        <v>2000</v>
      </c>
      <c r="FY8" s="1139">
        <v>-54.68</v>
      </c>
      <c r="FZ8" s="1142">
        <f ca="1">GA8*(_xlfn.XLOOKUP(FZ$3,TabCalc[Ticker],TabCalc[M])+GB8)</f>
        <v>-1319.9999999999984</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-228.48000000000002</v>
      </c>
      <c r="GJ8" s="1145">
        <v>12</v>
      </c>
      <c r="GK8" s="1139">
        <v>-48.84</v>
      </c>
      <c r="GL8" s="1142">
        <f ca="1">GM8*(_xlfn.XLOOKUP(GL$3,TabCalc[Ticker],TabCalc[M])+GN8)</f>
        <v>0</v>
      </c>
      <c r="GM8" s="1144"/>
      <c r="GN8" s="1139"/>
      <c r="GO8" s="1142">
        <f ca="1">GP8*(_xlfn.XLOOKUP(GO$3,TabCalc[Ticker],TabCalc[M])+GQ8)</f>
        <v>-554.99999999999977</v>
      </c>
      <c r="GP8" s="1145">
        <v>250</v>
      </c>
      <c r="GQ8" s="1139">
        <v>-236.91</v>
      </c>
      <c r="GR8" s="1142">
        <f ca="1">GS8*(_xlfn.XLOOKUP(GR$3,TabCalc[Ticker],TabCalc[M])+GT8)</f>
        <v>0</v>
      </c>
      <c r="GS8" s="1144"/>
      <c r="GT8" s="1139"/>
      <c r="GU8" s="1142">
        <f ca="1">GV8*(_xlfn.XLOOKUP(GU$3,TabCalc[Ticker],TabCalc[M])+GW8)</f>
        <v>-25060</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-9490.9699999999993</v>
      </c>
      <c r="HH8" s="1145">
        <v>101</v>
      </c>
      <c r="HI8" s="1139">
        <v>-118.74</v>
      </c>
      <c r="HJ8" s="1142">
        <f ca="1">HK8*(_xlfn.XLOOKUP(HJ$3,TabCalc[Ticker],TabCalc[M])+HL8)</f>
        <v>-24234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-19610</v>
      </c>
      <c r="IX8" s="1145">
        <v>1000</v>
      </c>
      <c r="IY8" s="1139">
        <v>-62.38</v>
      </c>
      <c r="IZ8" s="1142">
        <f ca="1">JA8*(_xlfn.XLOOKUP(IZ$3,TabCalc[Ticker],TabCalc[M])+JB8)</f>
        <v>0</v>
      </c>
      <c r="JA8" s="1144"/>
      <c r="JB8" s="1139"/>
      <c r="JC8" s="1142">
        <f ca="1">JD8*(_xlfn.XLOOKUP(JC$3,TabCalc[Ticker],TabCalc[M])+JE8)</f>
        <v>-2610.0000000000014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-2511.0000000000014</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1099.9999999999943</v>
      </c>
      <c r="JY8" s="1145">
        <v>5000</v>
      </c>
      <c r="JZ8" s="1146">
        <v>-14.97</v>
      </c>
    </row>
    <row r="9" spans="1:301" x14ac:dyDescent="0.3">
      <c r="A9">
        <v>6</v>
      </c>
      <c r="B9" s="1142">
        <f ca="1">C9*(_xlfn.XLOOKUP(B$3,TabCalc[Ticker],TabCalc[M])+D9)</f>
        <v>211977.3900000001</v>
      </c>
      <c r="C9" s="1145">
        <v>3000</v>
      </c>
      <c r="D9" s="1139">
        <v>-201.75086999999999</v>
      </c>
      <c r="E9" s="1142">
        <f ca="1">F9*(_xlfn.XLOOKUP(E$3,TabCalc[Ticker],TabCalc[M])+G9)</f>
        <v>0</v>
      </c>
      <c r="F9" s="1145"/>
      <c r="G9" s="1139"/>
      <c r="H9" s="1142">
        <f ca="1">I9*(_xlfn.XLOOKUP(H$3,TabCalc[Ticker],TabCalc[M])+J9)</f>
        <v>0</v>
      </c>
      <c r="I9" s="1145">
        <v>20000</v>
      </c>
      <c r="J9" s="1139">
        <v>-46</v>
      </c>
      <c r="K9" s="1142">
        <f ca="1">L9*(_xlfn.XLOOKUP(K$3,TabCalc[Ticker],TabCalc[M])+M9)</f>
        <v>20935.000000000004</v>
      </c>
      <c r="L9" s="1145">
        <v>500</v>
      </c>
      <c r="M9" s="1139">
        <v>-192.82</v>
      </c>
      <c r="N9" s="1142">
        <f ca="1">O9*(_xlfn.XLOOKUP(N$3,TabCalc[Ticker],TabCalc[M])+P9)</f>
        <v>-1174445.2387637172</v>
      </c>
      <c r="O9" s="1145">
        <v>2448050</v>
      </c>
      <c r="P9" s="1139">
        <v>-1.1677472432195899</v>
      </c>
      <c r="Q9" s="1142">
        <f ca="1">R9*(_xlfn.XLOOKUP(Q$3,TabCalc[Ticker],TabCalc[M])+S9)</f>
        <v>71580</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-24750</v>
      </c>
      <c r="AP9" s="1145">
        <v>15000</v>
      </c>
      <c r="AQ9" s="1139">
        <v>-3.82</v>
      </c>
      <c r="AR9" s="1142">
        <f ca="1">AS9*(_xlfn.XLOOKUP(AR$3,TabCalc[Ticker],TabCalc[M])+AT9)</f>
        <v>0</v>
      </c>
      <c r="AS9" s="1145"/>
      <c r="AT9" s="1139"/>
      <c r="AU9" s="1142">
        <f ca="1">AV9*(_xlfn.XLOOKUP(AU$3,TabCalc[Ticker],TabCalc[M])+AW9)</f>
        <v>-7485.0000000000009</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-2508.0000000000041</v>
      </c>
      <c r="BN9" s="1145">
        <v>1200</v>
      </c>
      <c r="BO9" s="1139">
        <v>-24.92</v>
      </c>
      <c r="BP9" s="1142">
        <f ca="1">BQ9*(_xlfn.XLOOKUP(BP$3,TabCalc[Ticker],TabCalc[M])+BR9)</f>
        <v>0</v>
      </c>
      <c r="BQ9" s="1144"/>
      <c r="BR9" s="1139"/>
      <c r="BS9" s="1142">
        <f ca="1">BT9*(_xlfn.XLOOKUP(BS$3,TabCalc[Ticker],TabCalc[M])+BU9)</f>
        <v>441000.00000000023</v>
      </c>
      <c r="BT9" s="1145">
        <v>10000</v>
      </c>
      <c r="BU9" s="1139">
        <v>-337</v>
      </c>
      <c r="BV9" s="1142">
        <f ca="1">BW9*(_xlfn.XLOOKUP(BV$3,TabCalc[Ticker],TabCalc[M])+BX9)</f>
        <v>-3041.8000000000138</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-97201.000000000015</v>
      </c>
      <c r="CF9" s="1145">
        <v>1000</v>
      </c>
      <c r="CG9" s="1139">
        <v>-121.971</v>
      </c>
      <c r="CH9" s="1142">
        <f ca="1">CI9*(_xlfn.XLOOKUP(CH$3,TabCalc[Ticker],TabCalc[M])+CJ9)</f>
        <v>113332</v>
      </c>
      <c r="CI9" s="1145">
        <v>1000</v>
      </c>
      <c r="CJ9" s="1139">
        <v>-396.84800000000001</v>
      </c>
      <c r="CK9" s="1142">
        <f ca="1">CL9*(_xlfn.XLOOKUP(CK$3,TabCalc[Ticker],TabCalc[M])+CM9)</f>
        <v>0</v>
      </c>
      <c r="CL9" s="1145"/>
      <c r="CM9" s="1139"/>
      <c r="CN9" s="1142">
        <f ca="1">CO9*(_xlfn.XLOOKUP(CN$3,TabCalc[Ticker],TabCalc[M])+CP9)</f>
        <v>71940.249999999985</v>
      </c>
      <c r="CO9" s="1145">
        <v>2000</v>
      </c>
      <c r="CP9" s="1139">
        <v>-51.829875000000001</v>
      </c>
      <c r="CQ9" s="1142">
        <f ca="1">CR9*(_xlfn.XLOOKUP(CQ$3,TabCalc[Ticker],TabCalc[M])+CS9)</f>
        <v>-6749.0000000000009</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-1344.9999999999998</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-20325.000000000004</v>
      </c>
      <c r="DP9" s="1145">
        <v>500</v>
      </c>
      <c r="DQ9" s="1139">
        <v>-250.85</v>
      </c>
      <c r="DR9" s="1142">
        <f ca="1">DS9*(_xlfn.XLOOKUP(DR$3,TabCalc[Ticker],TabCalc[M])+DT9)</f>
        <v>-4260</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21740.000000000007</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799.99999999999716</v>
      </c>
      <c r="EQ9" s="1145">
        <v>2000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-1960.0000000000007</v>
      </c>
      <c r="FF9" s="1145">
        <v>5000</v>
      </c>
      <c r="FG9" s="1139">
        <v>-1.08</v>
      </c>
      <c r="FH9" s="1142">
        <f ca="1">FI9*(_xlfn.XLOOKUP(FH$3,TabCalc[Ticker],TabCalc[M])+FJ9)</f>
        <v>0</v>
      </c>
      <c r="FI9" s="1145"/>
      <c r="FJ9" s="1139"/>
      <c r="FK9" s="1142">
        <f ca="1">FL9*(_xlfn.XLOOKUP(FK$3,TabCalc[Ticker],TabCalc[M])+FM9)</f>
        <v>-23259.999999999996</v>
      </c>
      <c r="FL9" s="1145">
        <v>2000</v>
      </c>
      <c r="FM9" s="1139">
        <v>-35.44</v>
      </c>
      <c r="FN9" s="1142">
        <f ca="1">FO9*(_xlfn.XLOOKUP(FN$3,TabCalc[Ticker],TabCalc[M])+FP9)</f>
        <v>0</v>
      </c>
      <c r="FO9" s="1144"/>
      <c r="FP9" s="1139"/>
      <c r="FQ9" s="1142">
        <f ca="1">FR9*(_xlfn.XLOOKUP(FQ$3,TabCalc[Ticker],TabCalc[M])+FS9)</f>
        <v>5122.9999999999973</v>
      </c>
      <c r="FR9" s="1145">
        <v>2000</v>
      </c>
      <c r="FS9" s="1139">
        <v>-13.9285</v>
      </c>
      <c r="FT9" s="1142">
        <f ca="1">FU9*(_xlfn.XLOOKUP(FT$3,TabCalc[Ticker],TabCalc[M])+FV9)</f>
        <v>0</v>
      </c>
      <c r="FU9" s="1145"/>
      <c r="FV9" s="1139"/>
      <c r="FW9" s="1142">
        <f ca="1">FX9*(_xlfn.XLOOKUP(FW$3,TabCalc[Ticker],TabCalc[M])+FY9)</f>
        <v>-1651.7000000000107</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-36970.000000000007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-48445</v>
      </c>
      <c r="HH9" s="1145">
        <v>500</v>
      </c>
      <c r="HI9" s="1139">
        <v>-121.66</v>
      </c>
      <c r="HJ9" s="1142">
        <f ca="1">HK9*(_xlfn.XLOOKUP(HJ$3,TabCalc[Ticker],TabCalc[M])+HL9)</f>
        <v>-8700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-1072.5390000000025</v>
      </c>
      <c r="JY9" s="1145">
        <v>3000</v>
      </c>
      <c r="JZ9" s="1146">
        <v>-15.547513</v>
      </c>
    </row>
    <row r="10" spans="1:301" x14ac:dyDescent="0.3">
      <c r="A10">
        <v>7</v>
      </c>
      <c r="B10" s="1142">
        <f ca="1">C10*(_xlfn.XLOOKUP(B$3,TabCalc[Ticker],TabCalc[M])+D10)</f>
        <v>65680.000000000029</v>
      </c>
      <c r="C10" s="1145">
        <v>1000</v>
      </c>
      <c r="D10" s="1139">
        <v>-206.73</v>
      </c>
      <c r="E10" s="1142">
        <f ca="1">F10*(_xlfn.XLOOKUP(E$3,TabCalc[Ticker],TabCalc[M])+G10)</f>
        <v>0</v>
      </c>
      <c r="F10" s="1145"/>
      <c r="G10" s="1139"/>
      <c r="H10" s="1142">
        <f ca="1">I10*(_xlfn.XLOOKUP(H$3,TabCalc[Ticker],TabCalc[M])+J10)</f>
        <v>-3500</v>
      </c>
      <c r="I10" s="1145">
        <v>7000</v>
      </c>
      <c r="J10" s="1139">
        <v>-46.5</v>
      </c>
      <c r="K10" s="1142">
        <f ca="1">L10*(_xlfn.XLOOKUP(K$3,TabCalc[Ticker],TabCalc[M])+M10)</f>
        <v>30592.5</v>
      </c>
      <c r="L10" s="1145">
        <v>1000</v>
      </c>
      <c r="M10" s="1139">
        <v>-204.0975</v>
      </c>
      <c r="N10" s="1142">
        <f ca="1">O10*(_xlfn.XLOOKUP(N$3,TabCalc[Ticker],TabCalc[M])+P10)</f>
        <v>-7680</v>
      </c>
      <c r="O10" s="1145">
        <v>15000</v>
      </c>
      <c r="P10" s="1139">
        <v>-1.2</v>
      </c>
      <c r="Q10" s="1142">
        <f ca="1">R10*(_xlfn.XLOOKUP(Q$3,TabCalc[Ticker],TabCalc[M])+S10)</f>
        <v>23844.999999999993</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-17000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341000.00000000023</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-244500</v>
      </c>
      <c r="CF10" s="1145">
        <v>2500</v>
      </c>
      <c r="CG10" s="1139">
        <v>-122.57</v>
      </c>
      <c r="CH10" s="1142">
        <f ca="1">CI10*(_xlfn.XLOOKUP(CH$3,TabCalc[Ticker],TabCalc[M])+CJ10)</f>
        <v>219999.40000000002</v>
      </c>
      <c r="CI10" s="1145">
        <v>2000</v>
      </c>
      <c r="CJ10" s="1139">
        <v>-400.18029999999999</v>
      </c>
      <c r="CK10" s="1142">
        <f ca="1">CL10*(_xlfn.XLOOKUP(CK$3,TabCalc[Ticker],TabCalc[M])+CM10)</f>
        <v>0</v>
      </c>
      <c r="CL10" s="1145"/>
      <c r="CM10" s="1139"/>
      <c r="CN10" s="1142">
        <f ca="1">CO10*(_xlfn.XLOOKUP(CN$3,TabCalc[Ticker],TabCalc[M])+CP10)</f>
        <v>31830</v>
      </c>
      <c r="CO10" s="1145">
        <v>1000</v>
      </c>
      <c r="CP10" s="1139">
        <v>-55.97</v>
      </c>
      <c r="CQ10" s="1142">
        <f ca="1">CR10*(_xlfn.XLOOKUP(CQ$3,TabCalc[Ticker],TabCalc[M])+CS10)</f>
        <v>-38727.999999999971</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-15862.699999999997</v>
      </c>
      <c r="DP10" s="1145">
        <v>301</v>
      </c>
      <c r="DQ10" s="1139">
        <v>-262.89999999999998</v>
      </c>
      <c r="DR10" s="1142">
        <f ca="1">DS10*(_xlfn.XLOOKUP(DR$3,TabCalc[Ticker],TabCalc[M])+DT10)</f>
        <v>-11437.44</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-1225.9999999999764</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399.99999999999858</v>
      </c>
      <c r="EQ10" s="1145">
        <v>1000</v>
      </c>
      <c r="ER10" s="1139">
        <v>-59.2</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-4925.1262739999993</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19199.999999999989</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-19650</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-36800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26025.000000000007</v>
      </c>
      <c r="C11" s="1145">
        <v>500</v>
      </c>
      <c r="D11" s="1139">
        <v>-220.36</v>
      </c>
      <c r="E11" s="1142">
        <f ca="1">F11*(_xlfn.XLOOKUP(E$3,TabCalc[Ticker],TabCalc[M])+G11)</f>
        <v>0</v>
      </c>
      <c r="F11" s="1145"/>
      <c r="G11" s="1139"/>
      <c r="H11" s="1142">
        <f ca="1">I11*(_xlfn.XLOOKUP(H$3,TabCalc[Ticker],TabCalc[M])+J11)</f>
        <v>-196000.00000000009</v>
      </c>
      <c r="I11" s="1145">
        <v>100000</v>
      </c>
      <c r="J11" s="1139">
        <v>-47.96</v>
      </c>
      <c r="K11" s="1142">
        <f ca="1">L11*(_xlfn.XLOOKUP(K$3,TabCalc[Ticker],TabCalc[M])+M11)</f>
        <v>22805.279999999992</v>
      </c>
      <c r="L11" s="1145">
        <v>800</v>
      </c>
      <c r="M11" s="1139">
        <v>-206.18340000000001</v>
      </c>
      <c r="N11" s="1142">
        <f ca="1">O11*(_xlfn.XLOOKUP(N$3,TabCalc[Ticker],TabCalc[M])+P11)</f>
        <v>-6107.692500000001</v>
      </c>
      <c r="O11" s="1145">
        <v>2275</v>
      </c>
      <c r="P11" s="1139">
        <v>-3.3727</v>
      </c>
      <c r="Q11" s="1142">
        <f ca="1">R11*(_xlfn.XLOOKUP(Q$3,TabCalc[Ticker],TabCalc[M])+S11)</f>
        <v>45179.999999999993</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-19873.04</v>
      </c>
      <c r="CF11" s="1145">
        <v>200</v>
      </c>
      <c r="CG11" s="1139">
        <v>-124.1352</v>
      </c>
      <c r="CH11" s="1142">
        <f ca="1">CI11*(_xlfn.XLOOKUP(CH$3,TabCalc[Ticker],TabCalc[M])+CJ11)</f>
        <v>32139</v>
      </c>
      <c r="CI11" s="1145">
        <v>300</v>
      </c>
      <c r="CJ11" s="1139">
        <v>-403.05</v>
      </c>
      <c r="CK11" s="1142">
        <f ca="1">CL11*(_xlfn.XLOOKUP(CK$3,TabCalc[Ticker],TabCalc[M])+CM11)</f>
        <v>0</v>
      </c>
      <c r="CL11" s="1145"/>
      <c r="CM11" s="1139"/>
      <c r="CN11" s="1142">
        <f ca="1">CO11*(_xlfn.XLOOKUP(CN$3,TabCalc[Ticker],TabCalc[M])+CP11)</f>
        <v>17840.000000000004</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-31679.999999999996</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600.00000000000853</v>
      </c>
      <c r="EQ11" s="1145">
        <v>6000</v>
      </c>
      <c r="ER11" s="1139">
        <v>-59.5</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-4120.0000000000018</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3892.5999999999981</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115368.00000000006</v>
      </c>
      <c r="C12" s="1145">
        <v>2400</v>
      </c>
      <c r="D12" s="1139">
        <v>-224.34</v>
      </c>
      <c r="E12" s="1142">
        <f ca="1">F12*(_xlfn.XLOOKUP(E$3,TabCalc[Ticker],TabCalc[M])+G12)</f>
        <v>0</v>
      </c>
      <c r="F12" s="1145"/>
      <c r="G12" s="1139"/>
      <c r="H12" s="1142">
        <f ca="1">I12*(_xlfn.XLOOKUP(H$3,TabCalc[Ticker],TabCalc[M])+J12)</f>
        <v>-300000</v>
      </c>
      <c r="I12" s="1145">
        <v>150000</v>
      </c>
      <c r="J12" s="1139">
        <v>-48</v>
      </c>
      <c r="K12" s="1142">
        <f ca="1">L12*(_xlfn.XLOOKUP(K$3,TabCalc[Ticker],TabCalc[M])+M12)</f>
        <v>10855.000000000004</v>
      </c>
      <c r="L12" s="1145">
        <v>500</v>
      </c>
      <c r="M12" s="1139">
        <v>-212.98</v>
      </c>
      <c r="N12" s="1142">
        <f ca="1">O12*(_xlfn.XLOOKUP(N$3,TabCalc[Ticker],TabCalc[M])+P12)</f>
        <v>0</v>
      </c>
      <c r="O12" s="1145"/>
      <c r="P12" s="1139"/>
      <c r="Q12" s="1142">
        <f ca="1">R12*(_xlfn.XLOOKUP(Q$3,TabCalc[Ticker],TabCalc[M])+S12)</f>
        <v>67230</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101030.00000000003</v>
      </c>
      <c r="CI12" s="1145">
        <v>1000</v>
      </c>
      <c r="CJ12" s="1139">
        <v>-409.15</v>
      </c>
      <c r="CK12" s="1142">
        <f ca="1">CL12*(_xlfn.XLOOKUP(CK$3,TabCalc[Ticker],TabCalc[M])+CM12)</f>
        <v>0</v>
      </c>
      <c r="CL12" s="1145"/>
      <c r="CM12" s="1139"/>
      <c r="CN12" s="1142">
        <f ca="1">CO12*(_xlfn.XLOOKUP(CN$3,TabCalc[Ticker],TabCalc[M])+CP12)</f>
        <v>8200.9999999999927</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-199.99999999999574</v>
      </c>
      <c r="EQ12" s="1145">
        <v>1000</v>
      </c>
      <c r="ER12" s="1139">
        <v>-59.8</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-190404.94199999998</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3471.9999999999977</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12513.000000000011</v>
      </c>
      <c r="C13" s="1145">
        <v>300</v>
      </c>
      <c r="D13" s="1139">
        <v>-230.7</v>
      </c>
      <c r="E13" s="1142">
        <f ca="1">F13*(_xlfn.XLOOKUP(E$3,TabCalc[Ticker],TabCalc[M])+G13)</f>
        <v>0</v>
      </c>
      <c r="F13" s="1145"/>
      <c r="G13" s="1139"/>
      <c r="H13" s="1142">
        <f ca="1">I13*(_xlfn.XLOOKUP(H$3,TabCalc[Ticker],TabCalc[M])+J13)</f>
        <v>-300000</v>
      </c>
      <c r="I13" s="1145">
        <v>150000</v>
      </c>
      <c r="J13" s="1139">
        <v>-48</v>
      </c>
      <c r="K13" s="1142">
        <f ca="1">L13*(_xlfn.XLOOKUP(K$3,TabCalc[Ticker],TabCalc[M])+M13)</f>
        <v>39339.999999999978</v>
      </c>
      <c r="L13" s="1145">
        <v>2000</v>
      </c>
      <c r="M13" s="1139">
        <v>-215.02</v>
      </c>
      <c r="N13" s="1142">
        <f ca="1">O13*(_xlfn.XLOOKUP(N$3,TabCalc[Ticker],TabCalc[M])+P13)</f>
        <v>0</v>
      </c>
      <c r="O13" s="1145"/>
      <c r="P13" s="1139"/>
      <c r="Q13" s="1142">
        <f ca="1">R13*(_xlfn.XLOOKUP(Q$3,TabCalc[Ticker],TabCalc[M])+S13)</f>
        <v>54150</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28089</v>
      </c>
      <c r="CI13" s="1145">
        <v>300</v>
      </c>
      <c r="CJ13" s="1139">
        <v>-416.55</v>
      </c>
      <c r="CK13" s="1142">
        <f ca="1">CL13*(_xlfn.XLOOKUP(CK$3,TabCalc[Ticker],TabCalc[M])+CM13)</f>
        <v>0</v>
      </c>
      <c r="CL13" s="1145"/>
      <c r="CM13" s="1139"/>
      <c r="CN13" s="1142">
        <f ca="1">CO13*(_xlfn.XLOOKUP(CN$3,TabCalc[Ticker],TabCalc[M])+CP13)</f>
        <v>7920.0000000000018</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-500</v>
      </c>
      <c r="EQ13" s="1145">
        <v>1000</v>
      </c>
      <c r="ER13" s="1139">
        <v>-60.1</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-13610.000000000002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7692.0000000000073</v>
      </c>
      <c r="C14" s="1145">
        <v>200</v>
      </c>
      <c r="D14" s="1139">
        <v>-233.95</v>
      </c>
      <c r="E14" s="1142">
        <f ca="1">F14*(_xlfn.XLOOKUP(E$3,TabCalc[Ticker],TabCalc[M])+G14)</f>
        <v>0</v>
      </c>
      <c r="F14" s="1145"/>
      <c r="G14" s="1139"/>
      <c r="H14" s="1142">
        <f ca="1">I14*(_xlfn.XLOOKUP(H$3,TabCalc[Ticker],TabCalc[M])+J14)</f>
        <v>-150000</v>
      </c>
      <c r="I14" s="1145">
        <v>50000</v>
      </c>
      <c r="J14" s="1139">
        <v>-49</v>
      </c>
      <c r="K14" s="1142">
        <f ca="1">L14*(_xlfn.XLOOKUP(K$3,TabCalc[Ticker],TabCalc[M])+M14)</f>
        <v>9620.0000000000036</v>
      </c>
      <c r="L14" s="1145">
        <v>500</v>
      </c>
      <c r="M14" s="1139">
        <v>-215.45</v>
      </c>
      <c r="N14" s="1142">
        <f ca="1">O14*(_xlfn.XLOOKUP(N$3,TabCalc[Ticker],TabCalc[M])+P14)</f>
        <v>0</v>
      </c>
      <c r="O14" s="1145"/>
      <c r="P14" s="1139"/>
      <c r="Q14" s="1142">
        <f ca="1">R14*(_xlfn.XLOOKUP(Q$3,TabCalc[Ticker],TabCalc[M])+S14)</f>
        <v>35179.999999999993</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138279.99999999997</v>
      </c>
      <c r="CI14" s="1145">
        <v>2000</v>
      </c>
      <c r="CJ14" s="1139">
        <v>-441.04</v>
      </c>
      <c r="CK14" s="1142">
        <f ca="1">CL14*(_xlfn.XLOOKUP(CK$3,TabCalc[Ticker],TabCalc[M])+CM14)</f>
        <v>0</v>
      </c>
      <c r="CL14" s="1144"/>
      <c r="CM14" s="1139"/>
      <c r="CN14" s="1142">
        <f ca="1">CO14*(_xlfn.XLOOKUP(CN$3,TabCalc[Ticker],TabCalc[M])+CP14)</f>
        <v>6920.0000000000018</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-2899.9999999999914</v>
      </c>
      <c r="EQ14" s="1145">
        <v>2000</v>
      </c>
      <c r="ER14" s="1139">
        <v>-61.05</v>
      </c>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-55343.386800000007</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9621.0000000000073</v>
      </c>
      <c r="C15" s="1145">
        <v>300</v>
      </c>
      <c r="D15" s="1139">
        <v>-240.34</v>
      </c>
      <c r="E15" s="1142">
        <f ca="1">F15*(_xlfn.XLOOKUP(E$3,TabCalc[Ticker],TabCalc[M])+G15)</f>
        <v>0</v>
      </c>
      <c r="F15" s="1145"/>
      <c r="G15" s="1139"/>
      <c r="H15" s="1142">
        <f ca="1">I15*(_xlfn.XLOOKUP(H$3,TabCalc[Ticker],TabCalc[M])+J15)</f>
        <v>-652190.00000000023</v>
      </c>
      <c r="I15" s="1145">
        <v>100000</v>
      </c>
      <c r="J15" s="1139">
        <v>-52.521900000000002</v>
      </c>
      <c r="K15" s="1142">
        <f ca="1">L15*(_xlfn.XLOOKUP(K$3,TabCalc[Ticker],TabCalc[M])+M15)</f>
        <v>2027.9999999999973</v>
      </c>
      <c r="L15" s="1145">
        <v>200</v>
      </c>
      <c r="M15" s="1139">
        <v>-224.55</v>
      </c>
      <c r="N15" s="1142">
        <f ca="1">O15*(_xlfn.XLOOKUP(N$3,TabCalc[Ticker],TabCalc[M])+P15)</f>
        <v>0</v>
      </c>
      <c r="O15" s="1145"/>
      <c r="P15" s="1139"/>
      <c r="Q15" s="1142">
        <f ca="1">R15*(_xlfn.XLOOKUP(Q$3,TabCalc[Ticker],TabCalc[M])+S15)</f>
        <v>16479.999999999996</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-547.50000000000512</v>
      </c>
      <c r="CI15" s="1145">
        <v>150</v>
      </c>
      <c r="CJ15" s="1139">
        <v>-513.83000000000004</v>
      </c>
      <c r="CK15" s="1142">
        <f ca="1">CL15*(_xlfn.XLOOKUP(CK$3,TabCalc[Ticker],TabCalc[M])+CM15)</f>
        <v>0</v>
      </c>
      <c r="CL15" s="1144"/>
      <c r="CM15" s="1139"/>
      <c r="CN15" s="1142">
        <f ca="1">CO15*(_xlfn.XLOOKUP(CN$3,TabCalc[Ticker],TabCalc[M])+CP15)</f>
        <v>8596.6599999999853</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4778.0000000000027</v>
      </c>
      <c r="C16" s="1145">
        <v>200</v>
      </c>
      <c r="D16" s="1139">
        <v>-248.52</v>
      </c>
      <c r="E16" s="1142">
        <f ca="1">F16*(_xlfn.XLOOKUP(E$3,TabCalc[Ticker],TabCalc[M])+G16)</f>
        <v>0</v>
      </c>
      <c r="F16" s="1145"/>
      <c r="G16" s="1139"/>
      <c r="H16" s="1142">
        <f ca="1">I16*(_xlfn.XLOOKUP(H$3,TabCalc[Ticker],TabCalc[M])+J16)</f>
        <v>-1279979.9999999995</v>
      </c>
      <c r="I16" s="1145">
        <v>180000</v>
      </c>
      <c r="J16" s="1139">
        <v>-53.110999999999997</v>
      </c>
      <c r="K16" s="1142">
        <f ca="1">L16*(_xlfn.XLOOKUP(K$3,TabCalc[Ticker],TabCalc[M])+M16)</f>
        <v>3075.0000000000027</v>
      </c>
      <c r="L16" s="1145">
        <v>500</v>
      </c>
      <c r="M16" s="1139">
        <v>-228.54</v>
      </c>
      <c r="N16" s="1142">
        <f ca="1">O16*(_xlfn.XLOOKUP(N$3,TabCalc[Ticker],TabCalc[M])+P16)</f>
        <v>0</v>
      </c>
      <c r="O16" s="1145"/>
      <c r="P16" s="1139"/>
      <c r="Q16" s="1142">
        <f ca="1">R16*(_xlfn.XLOOKUP(Q$3,TabCalc[Ticker],TabCalc[M])+S16)</f>
        <v>15429.999999999996</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2780.0000000000009</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2583.0000000000041</v>
      </c>
      <c r="L17" s="1145">
        <v>450</v>
      </c>
      <c r="M17" s="1139">
        <v>-228.95</v>
      </c>
      <c r="N17" s="1142">
        <f ca="1">O17*(_xlfn.XLOOKUP(N$3,TabCalc[Ticker],TabCalc[M])+P17)</f>
        <v>0</v>
      </c>
      <c r="O17" s="1145"/>
      <c r="P17" s="1139"/>
      <c r="Q17" s="1142">
        <f ca="1">R17*(_xlfn.XLOOKUP(Q$3,TabCalc[Ticker],TabCalc[M])+S17)</f>
        <v>14715.999999999996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2274.0000000000009</v>
      </c>
      <c r="L18" s="1145">
        <v>400</v>
      </c>
      <c r="M18" s="1139">
        <v>-229.005</v>
      </c>
      <c r="N18" s="1142">
        <f ca="1">O18*(_xlfn.XLOOKUP(N$3,TabCalc[Ticker],TabCalc[M])+P18)</f>
        <v>0</v>
      </c>
      <c r="O18" s="1145"/>
      <c r="P18" s="1139"/>
      <c r="Q18" s="1142">
        <f ca="1">R18*(_xlfn.XLOOKUP(Q$3,TabCalc[Ticker],TabCalc[M])+S18)</f>
        <v>13300</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450.00000000000284</v>
      </c>
      <c r="L19" s="1145">
        <v>250</v>
      </c>
      <c r="M19" s="1139">
        <v>-232.89</v>
      </c>
      <c r="N19" s="1142">
        <f ca="1">O19*(_xlfn.XLOOKUP(N$3,TabCalc[Ticker],TabCalc[M])+P19)</f>
        <v>0</v>
      </c>
      <c r="O19" s="1144"/>
      <c r="P19" s="1139"/>
      <c r="Q19" s="1142">
        <f ca="1">R19*(_xlfn.XLOOKUP(Q$3,TabCalc[Ticker],TabCalc[M])+S19)</f>
        <v>11500</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-807.000000000005</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573717.39006039151</v>
      </c>
      <c r="C37" s="1301">
        <f>SUBTOTAL(109,TabConsolid[AAPL1])</f>
        <v>9500.0000010000003</v>
      </c>
      <c r="D37" s="1302">
        <f>SUBTOTAL(101,TabConsolid[AAPL2])</f>
        <v>-216.09535121457489</v>
      </c>
      <c r="E37" s="1151">
        <f ca="1">SUBTOTAL(109,TabConsolid[ADEA])</f>
        <v>-1073.90000021478</v>
      </c>
      <c r="F37" s="1301">
        <f>SUBTOTAL(109,TabConsolid[ADEA1])</f>
        <v>5000.0000010000003</v>
      </c>
      <c r="G37" s="1302">
        <f>SUBTOTAL(101,TabConsolid[ADEA2])</f>
        <v>-13.346195</v>
      </c>
      <c r="H37" s="1151">
        <f ca="1">SUBTOTAL(109,TabConsolid[AET])</f>
        <v>-2654362.8807032369</v>
      </c>
      <c r="I37" s="1301">
        <f>SUBTOTAL(109,TabConsolid[AET1])</f>
        <v>820000.00000100001</v>
      </c>
      <c r="J37" s="1302">
        <f>SUBTOTAL(101,TabConsolid[AET2])</f>
        <v>-47.194938300253277</v>
      </c>
      <c r="K37" s="1151">
        <f ca="1">SUBTOTAL(109,TabConsolid[AMZN])</f>
        <v>378377.22003153135</v>
      </c>
      <c r="L37" s="1301">
        <f>SUBTOTAL(109,TabConsolid[AMZN1])</f>
        <v>12000.000001</v>
      </c>
      <c r="M37" s="1302">
        <f>SUBTOTAL(101,TabConsolid[AMZN2])</f>
        <v>-208.8289744117647</v>
      </c>
      <c r="N37" s="1151">
        <f ca="1">SUBTOTAL(109,TabConsolid[ALDNE])</f>
        <v>-1211781.0412641962</v>
      </c>
      <c r="O37" s="1301">
        <f>SUBTOTAL(109,TabConsolid[ALDNE1])</f>
        <v>2530000.0000009998</v>
      </c>
      <c r="P37" s="1302">
        <f>SUBTOTAL(101,TabConsolid[ALDNE2])</f>
        <v>-1.3916734477079684</v>
      </c>
      <c r="Q37" s="1151">
        <f ca="1">SUBTOTAL(109,TabConsolid[ASML])</f>
        <v>763416.00021205994</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25394.540872555837</v>
      </c>
      <c r="GM37" s="1301">
        <f>SUBTOTAL(109,TabConsolid[SAFAAPL1])</f>
        <v>350.000001</v>
      </c>
      <c r="GN37" s="1302">
        <f>SUBTOTAL(101,TabConsolid[SAFAAPL2])</f>
        <v>-201.20116304761905</v>
      </c>
      <c r="GO37" s="1151">
        <f ca="1">SUBTOTAL(109,TabConsolid[SAFAMZN])</f>
        <v>44985.000029989991</v>
      </c>
      <c r="GP37" s="1301">
        <f>SUBTOTAL(109,TabConsolid[SAFAMZN1])</f>
        <v>1500.0000009999999</v>
      </c>
      <c r="GQ37" s="1302">
        <f>SUBTOTAL(101,TabConsolid[SAFAMZN2])</f>
        <v>-206.8</v>
      </c>
      <c r="GR37" s="1151">
        <f ca="1">SUBTOTAL(109,TabConsolid[SAFASML])</f>
        <v>54256.762217027041</v>
      </c>
      <c r="GS37" s="1301">
        <f>SUBTOTAL(109,TabConsolid[SAFASML1])</f>
        <v>250.000001</v>
      </c>
      <c r="GT37" s="1302">
        <f>SUBTOTAL(101,TabConsolid[SAFASML2])</f>
        <v>-648.63138800000002</v>
      </c>
      <c r="GU37" s="1151">
        <f ca="1">SUBTOTAL(109,TabConsolid[SAFDDD])</f>
        <v>-122451.50000111319</v>
      </c>
      <c r="GV37" s="1301">
        <f>SUBTOTAL(109,TabConsolid[SAFDDD1])</f>
        <v>110000.00000100001</v>
      </c>
      <c r="GW37" s="1302">
        <f>SUBTOTAL(101,TabConsolid[SAFDDD2])</f>
        <v>-3.4038564935064932</v>
      </c>
      <c r="GX37" s="1151">
        <f ca="1">SUBTOTAL(109,TabConsolid[SAFDIS])</f>
        <v>-5688.1000047400885</v>
      </c>
      <c r="GY37" s="1301">
        <f>SUBTOTAL(109,TabConsolid[SAFDIS1])</f>
        <v>1200.0000009999999</v>
      </c>
      <c r="GZ37" s="1302">
        <f>SUBTOTAL(101,TabConsolid[SAFDIS2])</f>
        <v>-110.71002777777778</v>
      </c>
      <c r="HA37" s="1151">
        <f ca="1">SUBTOTAL(109,TabConsolid[SAFGM])</f>
        <v>7.0560000000000002E-5</v>
      </c>
      <c r="HB37" s="1301">
        <f>SUBTOTAL(109,TabConsolid[SAFGM1])</f>
        <v>9.9999999999999995E-7</v>
      </c>
      <c r="HC37" s="1302" t="e">
        <f>SUBTOTAL(101,TabConsolid[SAFGM2])</f>
        <v>#DIV/0!</v>
      </c>
      <c r="HD37" s="1151">
        <f ca="1">SUBTOTAL(109,TabConsolid[SAFIAG])</f>
        <v>3.8109999999999999E-4</v>
      </c>
      <c r="HE37" s="1302">
        <f>SUBTOTAL(109,TabConsolid[SAFIAG1])</f>
        <v>9.9999999999999995E-7</v>
      </c>
      <c r="HF37" s="88" t="e">
        <f>SUBTOTAL(101,TabConsolid[SAFIAG2])</f>
        <v>#DIV/0!</v>
      </c>
      <c r="HG37" s="1151">
        <f ca="1">SUBTOTAL(109,TabConsolid[SAFMRNA])</f>
        <v>-184820.57553696414</v>
      </c>
      <c r="HH37" s="1301">
        <f>SUBTOTAL(109,TabConsolid[SAFMRNA1])</f>
        <v>5000.0000010000003</v>
      </c>
      <c r="HI37" s="1302">
        <f>SUBTOTAL(101,TabConsolid[SAFMRNA2])</f>
        <v>-88.492152516666678</v>
      </c>
      <c r="HJ37" s="1151">
        <f ca="1">SUBTOTAL(109,TabConsolid[BLNK])</f>
        <v>-94414.000000786793</v>
      </c>
      <c r="HK37" s="1301">
        <f>SUBTOTAL(109,TabConsolid[BLNK1])</f>
        <v>120000.00000100001</v>
      </c>
      <c r="HL37" s="1302">
        <f>SUBTOTAL(101,TabConsolid[BLNK2])</f>
        <v>-2.4977690476190477</v>
      </c>
      <c r="HM37" s="1151">
        <f ca="1">SUBTOTAL(109,TabConsolid[ENI])</f>
        <v>27190.500001599423</v>
      </c>
      <c r="HN37" s="1301">
        <f>SUBTOTAL(109,TabConsolid[ENI1])</f>
        <v>17000.000001</v>
      </c>
      <c r="HO37" s="1302">
        <f>SUBTOTAL(101,TabConsolid[ENI2])</f>
        <v>-14.893519607843137</v>
      </c>
      <c r="HP37" s="1151">
        <f ca="1">SUBTOTAL(109,TabConsolid[EZJ])</f>
        <v>12800.0000004264</v>
      </c>
      <c r="HQ37" s="1301">
        <f>SUBTOTAL(109,TabConsolid[EZJ1])</f>
        <v>30000.000001</v>
      </c>
      <c r="HR37" s="1302">
        <f>SUBTOTAL(101,TabConsolid[EZJ2])</f>
        <v>-464.29444444444442</v>
      </c>
      <c r="HS37" s="1151">
        <f ca="1">SUBTOTAL(109,TabConsolid[F])</f>
        <v>1.3189999999999999E-5</v>
      </c>
      <c r="HT37" s="1301">
        <f>SUBTOTAL(109,TabConsolid[F1])</f>
        <v>9.9999999999999995E-7</v>
      </c>
      <c r="HU37" s="1302" t="e">
        <f>SUBTOTAL(101,TabConsolid[F2])</f>
        <v>#DIV/0!</v>
      </c>
      <c r="HV37" s="1151">
        <f ca="1">SUBTOTAL(109,TabConsolid[GLE])</f>
        <v>5.8259999999999994E-5</v>
      </c>
      <c r="HW37" s="1301">
        <f>SUBTOTAL(109,TabConsolid[GLE1])</f>
        <v>9.9999999999999995E-7</v>
      </c>
      <c r="HX37" s="1302" t="e">
        <f>SUBTOTAL(101,TabConsolid[GLE2])</f>
        <v>#DIV/0!</v>
      </c>
      <c r="HY37" s="1151">
        <f ca="1">SUBTOTAL(109,TabConsolid[GNRC])</f>
        <v>-26845.000029827755</v>
      </c>
      <c r="HZ37" s="1301">
        <f>SUBTOTAL(109,TabConsolid[GNRC1])</f>
        <v>900.000001</v>
      </c>
      <c r="IA37" s="1302">
        <f>SUBTOTAL(101,TabConsolid[GNRC2])</f>
        <v>-179.29694444444442</v>
      </c>
      <c r="IB37" s="1151">
        <f ca="1">SUBTOTAL(109,TabConsolid[GS])</f>
        <v>7.9047999999999998E-4</v>
      </c>
      <c r="IC37" s="1301">
        <f>SUBTOTAL(109,TabConsolid[GS1])</f>
        <v>9.9999999999999995E-7</v>
      </c>
      <c r="ID37" s="1302" t="e">
        <f>SUBTOTAL(101,TabConsolid[GS2])</f>
        <v>#DIV/0!</v>
      </c>
      <c r="IE37" s="1151">
        <f ca="1">SUBTOTAL(109,TabConsolid[LAZR])</f>
        <v>-320715.66002066736</v>
      </c>
      <c r="IF37" s="1301">
        <f>SUBTOTAL(109,TabConsolid[LAZR1])</f>
        <v>15518.000001</v>
      </c>
      <c r="IG37" s="1302">
        <f>SUBTOTAL(101,TabConsolid[LAZR2])</f>
        <v>-29.534333032607293</v>
      </c>
      <c r="IH37" s="1151">
        <f ca="1">SUBTOTAL(109,TabConsolid[LUV])</f>
        <v>2565.120002137603</v>
      </c>
      <c r="II37" s="1301">
        <f>SUBTOTAL(109,TabConsolid[LUV1])</f>
        <v>1200.0000010000001</v>
      </c>
      <c r="IJ37" s="1302">
        <f>SUBTOTAL(101,TabConsolid[LUV2])</f>
        <v>-30.697399999999998</v>
      </c>
      <c r="IK37" s="1151">
        <f ca="1">SUBTOTAL(109,TabConsolid[MA])</f>
        <v>-2124.0000106199896</v>
      </c>
      <c r="IL37" s="1301">
        <f>SUBTOTAL(109,TabConsolid[MA1])</f>
        <v>200.000001</v>
      </c>
      <c r="IM37" s="1302">
        <f>SUBTOTAL(101,TabConsolid[MA2])</f>
        <v>-556.34999999999991</v>
      </c>
      <c r="IN37" s="1151">
        <f ca="1">SUBTOTAL(109,TabConsolid[NVAX])</f>
        <v>-9244.4000014222147</v>
      </c>
      <c r="IO37" s="1301">
        <f>SUBTOTAL(109,TabConsolid[NVAX1])</f>
        <v>6500.0000010000003</v>
      </c>
      <c r="IP37" s="1302">
        <f>SUBTOTAL(101,TabConsolid[NVAX2])</f>
        <v>-7.8269717948717945</v>
      </c>
      <c r="IQ37" s="1151">
        <f ca="1">SUBTOTAL(109,TabConsolid[NVS])</f>
        <v>1.3125999999999999E-4</v>
      </c>
      <c r="IR37" s="1301">
        <f>SUBTOTAL(109,TabConsolid[NVS1])</f>
        <v>9.9999999999999995E-7</v>
      </c>
      <c r="IS37" s="1302" t="e">
        <f>SUBTOTAL(101,TabConsolid[NVS2])</f>
        <v>#DIV/0!</v>
      </c>
      <c r="IT37" s="1151">
        <f ca="1">SUBTOTAL(109,TabConsolid[ORA])</f>
        <v>198.0000001650011</v>
      </c>
      <c r="IU37" s="1301">
        <f>SUBTOTAL(109,TabConsolid[ORA1])</f>
        <v>1200.0000010000001</v>
      </c>
      <c r="IV37" s="1302">
        <f>SUBTOTAL(101,TabConsolid[ORA2])</f>
        <v>-13.744999999999999</v>
      </c>
      <c r="IW37" s="1151">
        <f ca="1">SUBTOTAL(109,TabConsolid[OXY])</f>
        <v>-46257.900011564474</v>
      </c>
      <c r="IX37" s="1301">
        <f>SUBTOTAL(109,TabConsolid[OXY1])</f>
        <v>4000.0000009999999</v>
      </c>
      <c r="IY37" s="1302">
        <f>SUBTOTAL(101,TabConsolid[OXY2])</f>
        <v>-54.12469500000001</v>
      </c>
      <c r="IZ37" s="1151">
        <f ca="1">SUBTOTAL(109,TabConsolid[PFE])</f>
        <v>192.00000011999592</v>
      </c>
      <c r="JA37" s="1301">
        <f>SUBTOTAL(109,TabConsolid[PFE1])</f>
        <v>1600.0000010000001</v>
      </c>
      <c r="JB37" s="1302">
        <f>SUBTOTAL(101,TabConsolid[PFE2])</f>
        <v>-24.94</v>
      </c>
      <c r="JC37" s="1151">
        <f ca="1">SUBTOTAL(109,TabConsolid[RIG])</f>
        <v>30760.000000715343</v>
      </c>
      <c r="JD37" s="1301">
        <f>SUBTOTAL(109,TabConsolid[RIG1])</f>
        <v>43000.000001</v>
      </c>
      <c r="JE37" s="1302">
        <f>SUBTOTAL(109,TabConsolid[RIG2])</f>
        <v>-18.729651162790699</v>
      </c>
      <c r="JF37" s="1151">
        <f ca="1">SUBTOTAL(109,TabConsolid[RRC])</f>
        <v>3.8229999999999998E-5</v>
      </c>
      <c r="JG37" s="1301">
        <f>SUBTOTAL(109,TabConsolid[RRC1])</f>
        <v>9.9999999999999995E-7</v>
      </c>
      <c r="JH37" s="1302" t="e">
        <f>SUBTOTAL(101,TabConsolid[RRC2])</f>
        <v>#DIV/0!</v>
      </c>
      <c r="JI37" s="1151">
        <f ca="1">SUBTOTAL(109,TabConsolid[XYZ])</f>
        <v>-9876.0000164600006</v>
      </c>
      <c r="JJ37" s="1301">
        <f>SUBTOTAL(109,TabConsolid[XYZ1])</f>
        <v>600.000001</v>
      </c>
      <c r="JK37" s="1302">
        <f>SUBTOTAL(101,TabConsolid[XYZ2])</f>
        <v>-76.94</v>
      </c>
      <c r="JL37" s="1151">
        <f ca="1">SUBTOTAL(109,TabConsolid[THC])</f>
        <v>48583.115032388741</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369154.80000478803</v>
      </c>
      <c r="JS37" s="1301">
        <f>SUBTOTAL(109,TabConsolid[LOCK1])</f>
        <v>77100.000000999993</v>
      </c>
      <c r="JT37" s="1302">
        <f>SUBTOTAL(101,TabConsolid[LOCK2])</f>
        <v>-5.34</v>
      </c>
      <c r="JU37" s="1151">
        <f ca="1">SUBTOTAL(109,TabConsolid[JBASML])</f>
        <v>29532.000147659994</v>
      </c>
      <c r="JV37" s="1300">
        <f>SUBTOTAL(109,TabConsolid[JBASML1])</f>
        <v>200.000001</v>
      </c>
      <c r="JW37" s="1302">
        <f>SUBTOTAL(101,TabConsolid[JBASML2])</f>
        <v>-723.74</v>
      </c>
      <c r="JX37" s="1151">
        <f ca="1">SUBTOTAL(109,TabConsolid[JBEOAN])</f>
        <v>15352.461000852896</v>
      </c>
      <c r="JY37" s="1301">
        <f>SUBTOTAL(109,TabConsolid[JBEOAN1])</f>
        <v>18000.000001</v>
      </c>
      <c r="JZ37" s="1299">
        <f>SUBTOTAL(101,TabConsolid[JBEOAN2])</f>
        <v>-14.234933083333333</v>
      </c>
    </row>
    <row r="38" spans="1:289" x14ac:dyDescent="0.3">
      <c r="A38">
        <v>35</v>
      </c>
      <c r="B38" s="1151"/>
      <c r="C38" s="1303">
        <f ca="1">C37*_xlfn.XLOOKUP(B$3,TabCalc[Ticker],TabCalc[M])</f>
        <v>2587895.0002724105</v>
      </c>
      <c r="D38" s="1140"/>
      <c r="E38" s="1151"/>
      <c r="F38" s="1303">
        <f ca="1">F37*_xlfn.XLOOKUP(E$3,TabCalc[Ticker],TabCalc[M])</f>
        <v>64300.00001286</v>
      </c>
      <c r="G38" s="1140"/>
      <c r="H38" s="1151"/>
      <c r="I38" s="1303">
        <f ca="1">I37*_xlfn.XLOOKUP(H$3,TabCalc[Ticker],TabCalc[M])</f>
        <v>37720000.000046</v>
      </c>
      <c r="J38" s="1140"/>
      <c r="K38" s="1151"/>
      <c r="L38" s="1303">
        <f ca="1">L37*_xlfn.XLOOKUP(K$3,TabCalc[Ticker],TabCalc[M])</f>
        <v>2816280.00023469</v>
      </c>
      <c r="M38" s="1140"/>
      <c r="N38" s="1151"/>
      <c r="O38" s="1303">
        <f ca="1">O37*_xlfn.XLOOKUP(N$3,TabCalc[Ticker],TabCalc[M])</f>
        <v>1740640.0000006878</v>
      </c>
      <c r="P38" s="1140"/>
      <c r="Q38" s="1151"/>
      <c r="R38" s="1303">
        <f ca="1">R37*_xlfn.XLOOKUP(Q$3,TabCalc[Ticker],TabCalc[M])</f>
        <v>3137040.0008713999</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95343.500272410005</v>
      </c>
      <c r="GN38" s="1140"/>
      <c r="GO38" s="1151"/>
      <c r="GP38" s="1303">
        <f ca="1">GP37*_xlfn.XLOOKUP(GO$3,TabCalc[Ticker],TabCalc[M])</f>
        <v>352035.00023468997</v>
      </c>
      <c r="GQ38" s="1140"/>
      <c r="GR38" s="1151"/>
      <c r="GS38" s="1303">
        <f ca="1">GS37*_xlfn.XLOOKUP(GR$3,TabCalc[Ticker],TabCalc[M])</f>
        <v>217850.0008714</v>
      </c>
      <c r="GT38" s="1140"/>
      <c r="GU38" s="1151"/>
      <c r="GV38" s="1303">
        <f ca="1">GV37*_xlfn.XLOOKUP(GU$3,TabCalc[Ticker],TabCalc[M])</f>
        <v>238700.00000217001</v>
      </c>
      <c r="GW38" s="1140"/>
      <c r="GX38" s="1151"/>
      <c r="GY38" s="1303">
        <f ca="1">GY37*_xlfn.XLOOKUP(GX$3,TabCalc[Ticker],TabCalc[M])</f>
        <v>126960.00010579999</v>
      </c>
      <c r="GZ38" s="1140"/>
      <c r="HA38" s="1151"/>
      <c r="HB38" s="1303">
        <f ca="1">HB37*_xlfn.XLOOKUP(HA$3,TabCalc[Ticker],TabCalc[M])</f>
        <v>7.0560000000000002E-5</v>
      </c>
      <c r="HC38" s="1140"/>
      <c r="HD38" s="1151"/>
      <c r="HE38" s="1303" t="e">
        <f ca="1">#REF!*_xlfn.XLOOKUP(HD$3,TabCalc[Ticker],TabCalc[M])</f>
        <v>#REF!</v>
      </c>
      <c r="HF38" s="1140"/>
      <c r="HG38" s="1151"/>
      <c r="HH38" s="1303">
        <f ca="1">HH37*_xlfn.XLOOKUP(HG$3,TabCalc[Ticker],TabCalc[M])</f>
        <v>123850.00002477001</v>
      </c>
      <c r="HI38" s="1140"/>
      <c r="HJ38" s="1151"/>
      <c r="HK38" s="1303">
        <f ca="1">HK37*_xlfn.XLOOKUP(HJ$3,TabCalc[Ticker],TabCalc[M])</f>
        <v>169200.00000140999</v>
      </c>
      <c r="HL38" s="1140"/>
      <c r="HM38" s="1151"/>
      <c r="HN38" s="1303">
        <f ca="1">HN37*_xlfn.XLOOKUP(HM$3,TabCalc[Ticker],TabCalc[M])</f>
        <v>280330.00001649</v>
      </c>
      <c r="HO38" s="1140"/>
      <c r="HP38" s="1151"/>
      <c r="HQ38" s="1303">
        <f ca="1">HQ37*_xlfn.XLOOKUP(HP$3,TabCalc[Ticker],TabCalc[M])</f>
        <v>13842000.0004614</v>
      </c>
      <c r="HR38" s="1140"/>
      <c r="HS38" s="1151"/>
      <c r="HT38" s="1303">
        <f ca="1">HT37*_xlfn.XLOOKUP(HS$3,TabCalc[Ticker],TabCalc[M])</f>
        <v>1.3189999999999999E-5</v>
      </c>
      <c r="HU38" s="1140"/>
      <c r="HV38" s="1151"/>
      <c r="HW38" s="1303">
        <f ca="1">HW37*_xlfn.XLOOKUP(HV$3,TabCalc[Ticker],TabCalc[M])</f>
        <v>5.8259999999999994E-5</v>
      </c>
      <c r="HX38" s="1140"/>
      <c r="HY38" s="1151"/>
      <c r="HZ38" s="1303">
        <f ca="1">HZ37*_xlfn.XLOOKUP(HY$3,TabCalc[Ticker],TabCalc[M])</f>
        <v>135999.00015111</v>
      </c>
      <c r="IA38" s="1140"/>
      <c r="IB38" s="1151"/>
      <c r="IC38" s="1303">
        <f ca="1">IC37*_xlfn.XLOOKUP(IB$3,TabCalc[Ticker],TabCalc[M])</f>
        <v>7.9047999999999998E-4</v>
      </c>
      <c r="ID38" s="1140"/>
      <c r="IE38" s="1151"/>
      <c r="IF38" s="1303">
        <f ca="1">IF37*_xlfn.XLOOKUP(IE$3,TabCalc[Ticker],TabCalc[M])</f>
        <v>15673.18000101</v>
      </c>
      <c r="IG38" s="1140"/>
      <c r="IH38" s="1151"/>
      <c r="II38" s="1303">
        <f ca="1">II37*_xlfn.XLOOKUP(IH$3,TabCalc[Ticker],TabCalc[M])</f>
        <v>39402.000032835007</v>
      </c>
      <c r="IJ38" s="1140"/>
      <c r="IK38" s="1151"/>
      <c r="IL38" s="1303">
        <f ca="1">IL37*_xlfn.XLOOKUP(IK$3,TabCalc[Ticker],TabCalc[M])</f>
        <v>109146.00054573</v>
      </c>
      <c r="IM38" s="1140"/>
      <c r="IN38" s="1151"/>
      <c r="IO38" s="1303">
        <f ca="1">IO37*_xlfn.XLOOKUP(IN$3,TabCalc[Ticker],TabCalc[M])</f>
        <v>45305.000006970004</v>
      </c>
      <c r="IP38" s="1140"/>
      <c r="IQ38" s="1151"/>
      <c r="IR38" s="1303">
        <f ca="1">IR37*_xlfn.XLOOKUP(IQ$3,TabCalc[Ticker],TabCalc[M])</f>
        <v>1.3125999999999999E-4</v>
      </c>
      <c r="IS38" s="1140"/>
      <c r="IT38" s="1151"/>
      <c r="IU38" s="1303">
        <f ca="1">IU37*_xlfn.XLOOKUP(IT$3,TabCalc[Ticker],TabCalc[M])</f>
        <v>16692.000013910001</v>
      </c>
      <c r="IV38" s="1140"/>
      <c r="IW38" s="1151"/>
      <c r="IX38" s="1303">
        <f ca="1">IX37*_xlfn.XLOOKUP(IW$3,TabCalc[Ticker],TabCalc[M])</f>
        <v>171080.00004277</v>
      </c>
      <c r="IY38" s="1140"/>
      <c r="IZ38" s="1151"/>
      <c r="JA38" s="1303">
        <f ca="1">JA37*_xlfn.XLOOKUP(IZ$3,TabCalc[Ticker],TabCalc[M])</f>
        <v>40096.000025059999</v>
      </c>
      <c r="JB38" s="1140"/>
      <c r="JC38" s="1151"/>
      <c r="JD38" s="1303">
        <f ca="1">JD37*_xlfn.XLOOKUP(JC$3,TabCalc[Ticker],TabCalc[M])</f>
        <v>172430.00000400998</v>
      </c>
      <c r="JE38" s="1140"/>
      <c r="JF38" s="1151"/>
      <c r="JG38" s="1303">
        <f ca="1">JG37*_xlfn.XLOOKUP(JF$3,TabCalc[Ticker],TabCalc[M])</f>
        <v>3.8229999999999998E-5</v>
      </c>
      <c r="JH38" s="1140"/>
      <c r="JI38" s="1151"/>
      <c r="JJ38" s="1303">
        <f ca="1">JJ37*_xlfn.XLOOKUP(JI$3,TabCalc[Ticker],TabCalc[M])</f>
        <v>36288.000060480001</v>
      </c>
      <c r="JK38" s="1140"/>
      <c r="JL38" s="1151"/>
      <c r="JM38" s="1303">
        <f ca="1">JM37*_xlfn.XLOOKUP(JL$3,TabCalc[Ticker],TabCalc[M])</f>
        <v>289305.00019286998</v>
      </c>
      <c r="JN38" s="1140"/>
      <c r="JO38" s="1151"/>
      <c r="JP38" s="1303">
        <f ca="1">JP37*_xlfn.XLOOKUP(JO$3,TabCalc[Ticker],TabCalc[M])</f>
        <v>548.40005483999994</v>
      </c>
      <c r="JQ38" s="1140"/>
      <c r="JR38" s="1151"/>
      <c r="JS38" s="1303">
        <f ca="1">JS37*_xlfn.XLOOKUP(JR$3,TabCalc[Ticker],TabCalc[M])</f>
        <v>780868.80001012795</v>
      </c>
      <c r="JT38" s="1140"/>
      <c r="JU38" s="1151"/>
      <c r="JV38" s="1303">
        <f ca="1">JV37*_xlfn.XLOOKUP(JU$3,TabCalc[Ticker],TabCalc[M])</f>
        <v>174280.0008714</v>
      </c>
      <c r="JW38" s="1140"/>
      <c r="JX38" s="1151"/>
      <c r="JY38" s="1303">
        <f ca="1">JY37*_xlfn.XLOOKUP(JX$3,TabCalc[Ticker],TabCalc[M])</f>
        <v>273420.00001518999</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3800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54"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110,000</v>
      </c>
      <c r="W41" s="87">
        <f ca="1">IFERROR(_xlfn.XLOOKUP(S41,Calc!H$3:H$56,Calc!G$3:G$56),"")</f>
        <v>110000</v>
      </c>
      <c r="X41" s="87">
        <f t="shared" si="0"/>
        <v>110000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SAP (All Trades Info)</v>
      </c>
      <c r="M1" t="str">
        <f>[0]!ChaRSITicker&amp;" (Last Trades Zoom)"</f>
        <v>SAP (Last Trades Zoom)</v>
      </c>
      <c r="R1" s="319" t="str">
        <f>IDTICKER</f>
        <v>SAP</v>
      </c>
      <c r="S1" s="319"/>
      <c r="V1" s="409"/>
      <c r="Z1" t="str">
        <f>[0]!ChaRSITicker&amp;" (2 Week Movement RSI:Agio)"</f>
        <v>SAP (2 Week Movement RSI:Agio)</v>
      </c>
      <c r="AG1" t="str">
        <f ca="1">A51&amp;" "&amp;TRUNC(B51,2)</f>
        <v>Effective Cost/Share 240.53</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45950</v>
      </c>
      <c r="G32" s="166">
        <f ca="1">DataShift!G3</f>
        <v>45951</v>
      </c>
      <c r="H32" s="166">
        <f ca="1">DataShift!H3</f>
        <v>45952</v>
      </c>
      <c r="I32" s="166">
        <f ca="1">DataShift!I3</f>
        <v>45953</v>
      </c>
      <c r="J32" s="166">
        <f ca="1">DataShift!J3</f>
        <v>45954</v>
      </c>
      <c r="K32" s="166">
        <f ca="1">DataShift!K3</f>
        <v>45957</v>
      </c>
      <c r="L32" s="166">
        <f ca="1">DataShift!L3</f>
        <v>45958</v>
      </c>
      <c r="M32" s="166">
        <f ca="1">DataShift!M3</f>
        <v>45959</v>
      </c>
      <c r="N32" s="166">
        <f ca="1">DataShift!N3</f>
        <v>45960</v>
      </c>
      <c r="O32" s="166">
        <f ca="1">DataShift!O3</f>
        <v>45961</v>
      </c>
      <c r="P32" s="166">
        <f ca="1">DataShift!P3</f>
        <v>45964</v>
      </c>
      <c r="Q32" s="166">
        <f ca="1">DataShift!Q3</f>
        <v>45965</v>
      </c>
      <c r="R32" s="166">
        <f ca="1">DataShift!R3</f>
        <v>45966</v>
      </c>
      <c r="S32" s="166">
        <f ca="1">DataShift!S3</f>
        <v>45967</v>
      </c>
      <c r="T32" s="166">
        <f ca="1">DataShift!T3</f>
        <v>45968</v>
      </c>
      <c r="U32" s="166">
        <f ca="1">DataShift!U3</f>
        <v>45971</v>
      </c>
      <c r="V32" s="166">
        <f ca="1">DataShift!V3</f>
        <v>45972</v>
      </c>
      <c r="W32" s="166">
        <f ca="1">DataShift!W3</f>
        <v>45973</v>
      </c>
      <c r="X32" s="166">
        <f ca="1">DataShift!X3</f>
        <v>45974</v>
      </c>
      <c r="Y32" s="166">
        <f ca="1">DataShift!Y3</f>
        <v>45975</v>
      </c>
      <c r="Z32" s="166">
        <f ca="1">DataShift!Z3</f>
        <v>45978</v>
      </c>
      <c r="AA32" s="62"/>
      <c r="AB32" s="62"/>
    </row>
    <row r="33" spans="1:26" x14ac:dyDescent="0.3">
      <c r="A33" s="485" t="s">
        <v>1393</v>
      </c>
      <c r="B33" s="485"/>
      <c r="C33" s="485"/>
      <c r="D33" s="485"/>
      <c r="E33" s="485"/>
      <c r="F33" s="166">
        <f ca="1">F32</f>
        <v>45950</v>
      </c>
      <c r="G33" s="166"/>
      <c r="H33" s="166"/>
      <c r="I33" s="166"/>
      <c r="J33" s="166"/>
      <c r="K33" s="166"/>
      <c r="L33" s="166"/>
      <c r="M33" s="166"/>
      <c r="N33" s="166"/>
      <c r="O33" s="166"/>
      <c r="P33" s="166">
        <f ca="1">P32</f>
        <v>45964</v>
      </c>
      <c r="Q33" s="166"/>
      <c r="R33" s="166"/>
      <c r="S33" s="166"/>
      <c r="T33" s="166"/>
      <c r="U33" s="166"/>
      <c r="V33" s="166"/>
      <c r="W33" s="166"/>
      <c r="X33" s="166"/>
      <c r="Y33" s="166"/>
      <c r="Z33" s="166">
        <f ca="1">Z32</f>
        <v>45978</v>
      </c>
    </row>
    <row r="34" spans="1:26" x14ac:dyDescent="0.3">
      <c r="A34" s="485"/>
      <c r="B34" s="486" t="s">
        <v>1669</v>
      </c>
      <c r="C34" s="486" t="s">
        <v>1670</v>
      </c>
      <c r="D34" s="486" t="s">
        <v>1671</v>
      </c>
      <c r="E34" s="485"/>
    </row>
    <row r="35" spans="1:26" x14ac:dyDescent="0.3">
      <c r="A35" s="485" t="s">
        <v>662</v>
      </c>
      <c r="B35" s="487">
        <f ca="1">MIN(F35:Z35)</f>
        <v>23</v>
      </c>
      <c r="C35" s="487">
        <f ca="1">MAX(P35:Z35)</f>
        <v>57</v>
      </c>
      <c r="D35" s="485"/>
      <c r="E35" s="485"/>
      <c r="F35" s="94">
        <f ca="1">F57</f>
        <v>67</v>
      </c>
      <c r="G35" s="94">
        <f t="shared" ref="G35:Z35" ca="1" si="0">G57</f>
        <v>70</v>
      </c>
      <c r="H35" s="94">
        <f t="shared" ca="1" si="0"/>
        <v>72</v>
      </c>
      <c r="I35" s="94">
        <f t="shared" ca="1" si="0"/>
        <v>73</v>
      </c>
      <c r="J35" s="94">
        <f t="shared" ca="1" si="0"/>
        <v>68</v>
      </c>
      <c r="K35" s="94">
        <f t="shared" ca="1" si="0"/>
        <v>64</v>
      </c>
      <c r="L35" s="94">
        <f t="shared" ca="1" si="0"/>
        <v>64</v>
      </c>
      <c r="M35" s="94">
        <f t="shared" ca="1" si="0"/>
        <v>61</v>
      </c>
      <c r="N35" s="94">
        <f t="shared" ca="1" si="0"/>
        <v>58</v>
      </c>
      <c r="O35" s="94">
        <f t="shared" ca="1" si="0"/>
        <v>56</v>
      </c>
      <c r="P35" s="94">
        <f t="shared" ca="1" si="0"/>
        <v>54</v>
      </c>
      <c r="Q35" s="94">
        <f t="shared" ca="1" si="0"/>
        <v>57</v>
      </c>
      <c r="R35" s="94">
        <f t="shared" ca="1" si="0"/>
        <v>48</v>
      </c>
      <c r="S35" s="94">
        <f t="shared" ca="1" si="0"/>
        <v>41</v>
      </c>
      <c r="T35" s="94">
        <f t="shared" ca="1" si="0"/>
        <v>41</v>
      </c>
      <c r="U35" s="94">
        <f t="shared" ca="1" si="0"/>
        <v>37</v>
      </c>
      <c r="V35" s="94">
        <f t="shared" ca="1" si="0"/>
        <v>35</v>
      </c>
      <c r="W35" s="94">
        <f t="shared" ca="1" si="0"/>
        <v>23</v>
      </c>
      <c r="X35" s="94">
        <f t="shared" ca="1" si="0"/>
        <v>23</v>
      </c>
      <c r="Y35" s="94">
        <f t="shared" ca="1" si="0"/>
        <v>30</v>
      </c>
      <c r="Z35" s="94">
        <f t="shared" ca="1" si="0"/>
        <v>30</v>
      </c>
    </row>
    <row r="36" spans="1:26" x14ac:dyDescent="0.3">
      <c r="A36" s="485" t="s">
        <v>544</v>
      </c>
      <c r="B36" s="487">
        <f ca="1">MIN(F36:Z36)</f>
        <v>0.13228531525700854</v>
      </c>
      <c r="C36" s="487">
        <f ca="1">MAX(P36:Z36)</f>
        <v>2.6649710633079384</v>
      </c>
      <c r="D36" s="485"/>
      <c r="E36" s="485"/>
      <c r="F36" s="90">
        <f ca="1">F58</f>
        <v>0.78926746602173248</v>
      </c>
      <c r="G36" s="90">
        <f t="shared" ref="G36:Z36" ca="1" si="1">G58</f>
        <v>0.13228531525700854</v>
      </c>
      <c r="H36" s="90">
        <f t="shared" ca="1" si="1"/>
        <v>0.65498967042905398</v>
      </c>
      <c r="I36" s="90">
        <f t="shared" ca="1" si="1"/>
        <v>1.1919431065487109</v>
      </c>
      <c r="J36" s="90">
        <f t="shared" ca="1" si="1"/>
        <v>0.97916485351189575</v>
      </c>
      <c r="K36" s="90">
        <f t="shared" ca="1" si="1"/>
        <v>1.035415409827209</v>
      </c>
      <c r="L36" s="90">
        <f t="shared" ca="1" si="1"/>
        <v>1.0497599001618751</v>
      </c>
      <c r="M36" s="90">
        <f t="shared" ca="1" si="1"/>
        <v>1.2601543085273403</v>
      </c>
      <c r="N36" s="90">
        <f t="shared" ca="1" si="1"/>
        <v>1.2221288444286464</v>
      </c>
      <c r="O36" s="90">
        <f t="shared" ca="1" si="1"/>
        <v>1.4835821527107771</v>
      </c>
      <c r="P36" s="90">
        <f t="shared" ca="1" si="1"/>
        <v>1.4835821527107771</v>
      </c>
      <c r="Q36" s="90">
        <f t="shared" ca="1" si="1"/>
        <v>2.6649710633079384</v>
      </c>
      <c r="R36" s="90">
        <f t="shared" ca="1" si="1"/>
        <v>1.514105482432194</v>
      </c>
      <c r="S36" s="90">
        <f t="shared" ca="1" si="1"/>
        <v>0.93913206074599198</v>
      </c>
      <c r="T36" s="90">
        <f t="shared" ca="1" si="1"/>
        <v>0.73112677422483752</v>
      </c>
      <c r="U36" s="90">
        <f t="shared" ca="1" si="1"/>
        <v>0.8612364119469329</v>
      </c>
      <c r="V36" s="90">
        <f t="shared" ca="1" si="1"/>
        <v>0.61165650280024886</v>
      </c>
      <c r="W36" s="90">
        <f t="shared" ca="1" si="1"/>
        <v>0.60507338761860219</v>
      </c>
      <c r="X36" s="90">
        <f t="shared" ca="1" si="1"/>
        <v>0.85338166536039561</v>
      </c>
      <c r="Y36" s="90">
        <f t="shared" ca="1" si="1"/>
        <v>1.1597733249552002</v>
      </c>
      <c r="Z36" s="90">
        <f t="shared" ca="1" si="1"/>
        <v>0.15718001402410189</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210.2</v>
      </c>
      <c r="P38">
        <f ca="1">MIN(P44:P45,P50:P51)</f>
        <v>210.2</v>
      </c>
      <c r="Z38">
        <f ca="1">MAX(Z44:Z45,Z50:Z51)</f>
        <v>240.53301315789471</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79.8</v>
      </c>
      <c r="P40" s="94">
        <f t="shared" ref="P40:P41" ca="1" si="2">F40</f>
        <v>79.8</v>
      </c>
      <c r="Z40" s="94">
        <v>0</v>
      </c>
    </row>
    <row r="41" spans="1:26" x14ac:dyDescent="0.3">
      <c r="A41" s="153" t="s">
        <v>1672</v>
      </c>
      <c r="B41" s="481">
        <v>1.3</v>
      </c>
      <c r="C41" s="153"/>
      <c r="D41" s="153"/>
      <c r="E41" s="153"/>
      <c r="F41" s="94">
        <f t="shared" ref="F41" ca="1" si="3">B41*MAX(C$35:C$36)</f>
        <v>74.100000000000009</v>
      </c>
      <c r="P41" s="94">
        <f t="shared" ca="1" si="2"/>
        <v>74.100000000000009</v>
      </c>
      <c r="Z41" s="94">
        <f t="shared" ref="Z41:Z43" ca="1" si="4">0.9*P41</f>
        <v>66.690000000000012</v>
      </c>
    </row>
    <row r="42" spans="1:26" x14ac:dyDescent="0.3">
      <c r="A42" s="153" t="s">
        <v>1673</v>
      </c>
      <c r="B42" s="481">
        <v>1.2</v>
      </c>
      <c r="C42" s="153"/>
      <c r="D42" s="153"/>
      <c r="E42" s="153"/>
      <c r="F42" s="94">
        <f t="shared" ref="F42:F43" ca="1" si="5">B42*MAX(C$35:C$36)</f>
        <v>68.399999999999991</v>
      </c>
      <c r="P42" s="94">
        <f t="shared" ref="P42:P43" ca="1" si="6">F42</f>
        <v>68.399999999999991</v>
      </c>
      <c r="Z42" s="94">
        <f t="shared" ca="1" si="4"/>
        <v>61.559999999999995</v>
      </c>
    </row>
    <row r="43" spans="1:26" x14ac:dyDescent="0.3">
      <c r="A43" s="153" t="s">
        <v>1674</v>
      </c>
      <c r="B43" s="481">
        <v>1.1000000000000001</v>
      </c>
      <c r="C43" s="153"/>
      <c r="D43" s="153"/>
      <c r="E43" s="153"/>
      <c r="F43" s="94">
        <f t="shared" ca="1" si="5"/>
        <v>62.7</v>
      </c>
      <c r="P43" s="94">
        <f t="shared" ca="1" si="6"/>
        <v>62.7</v>
      </c>
      <c r="Z43" s="94">
        <f t="shared" ca="1" si="4"/>
        <v>56.430000000000007</v>
      </c>
    </row>
    <row r="44" spans="1:26" x14ac:dyDescent="0.3">
      <c r="A44" s="485" t="s">
        <v>1675</v>
      </c>
      <c r="B44" s="488">
        <f ca="1">_xlfn.XLOOKUP(_xlfn.SINGLE(ChaRSITicker),TabCalc[Ticker],TabCalc[L_Sp])</f>
        <v>237.8</v>
      </c>
      <c r="C44" s="485"/>
      <c r="D44" s="485"/>
      <c r="E44" s="485"/>
      <c r="F44" s="489">
        <f ca="1">_xlfn.XLOOKUP(_xlfn.SINGLE(ChaRSITicker),TabCalc[Ticker],TabCalc[L_Sp])</f>
        <v>237.8</v>
      </c>
      <c r="P44">
        <f ca="1">F44</f>
        <v>237.8</v>
      </c>
      <c r="Z44">
        <f ca="1">P44</f>
        <v>237.8</v>
      </c>
    </row>
    <row r="45" spans="1:26" x14ac:dyDescent="0.3">
      <c r="A45" s="485" t="s">
        <v>1676</v>
      </c>
      <c r="B45" s="488">
        <f ca="1">ABS(_xlfn.XLOOKUP(_xlfn.SINGLE(ChaRSITicker),TabCalc[Ticker],TabCalc[L_Bp]))</f>
        <v>232.35</v>
      </c>
      <c r="C45" s="485"/>
      <c r="D45" s="485"/>
      <c r="E45" s="485"/>
      <c r="F45" s="489">
        <f ca="1">ABS(_xlfn.XLOOKUP(_xlfn.SINGLE(ChaRSITicker),TabCalc[Ticker],TabCalc[L_Bp]))</f>
        <v>232.35</v>
      </c>
      <c r="P45">
        <f ca="1">F45</f>
        <v>232.35</v>
      </c>
      <c r="Z45">
        <f ca="1">P45</f>
        <v>232.35</v>
      </c>
    </row>
    <row r="46" spans="1:26" x14ac:dyDescent="0.3">
      <c r="A46" s="485" t="s">
        <v>1677</v>
      </c>
      <c r="B46" s="488">
        <f ca="1">_xlfn.XLOOKUP(_xlfn.SINGLE(ChaRSITicker),TabCalc[Ticker],TabCalc[Min_SP])</f>
        <v>107.8</v>
      </c>
      <c r="C46" s="485"/>
      <c r="D46" s="485"/>
      <c r="E46" s="485"/>
      <c r="F46" s="489">
        <f ca="1">_xlfn.XLOOKUP(_xlfn.SINGLE(ChaRSITicker),TabCalc[Ticker],TabCalc[Min_SP])</f>
        <v>107.8</v>
      </c>
      <c r="P46">
        <f t="shared" ref="P46:P49" ca="1" si="7">F46</f>
        <v>107.8</v>
      </c>
      <c r="Z46">
        <f t="shared" ref="Z46:Z49" ca="1" si="8">P46</f>
        <v>107.8</v>
      </c>
    </row>
    <row r="47" spans="1:26" x14ac:dyDescent="0.3">
      <c r="A47" s="485" t="s">
        <v>1678</v>
      </c>
      <c r="B47" s="488">
        <f ca="1">ABS(_xlfn.XLOOKUP(_xlfn.SINGLE(ChaRSITicker),TabCalc[Ticker],TabCalc[Min_PP]))</f>
        <v>262.89999999999998</v>
      </c>
      <c r="C47" s="485"/>
      <c r="D47" s="485"/>
      <c r="E47" s="485"/>
      <c r="F47" s="489">
        <f ca="1">ABS(_xlfn.XLOOKUP(_xlfn.SINGLE(ChaRSITicker),TabCalc[Ticker],TabCalc[Min_PP]))</f>
        <v>262.89999999999998</v>
      </c>
      <c r="P47">
        <f t="shared" ca="1" si="7"/>
        <v>262.89999999999998</v>
      </c>
      <c r="Z47">
        <f t="shared" ca="1" si="8"/>
        <v>262.89999999999998</v>
      </c>
    </row>
    <row r="48" spans="1:26" x14ac:dyDescent="0.3">
      <c r="A48" s="485" t="s">
        <v>1679</v>
      </c>
      <c r="B48" s="488">
        <f ca="1">_xlfn.XLOOKUP(_xlfn.SINGLE(ChaRSITicker),TabCalc[Ticker],TabCalc[Max_SP])</f>
        <v>275.52499999999998</v>
      </c>
      <c r="C48" s="485"/>
      <c r="D48" s="485"/>
      <c r="E48" s="485"/>
      <c r="F48" s="489">
        <f ca="1">_xlfn.XLOOKUP(_xlfn.SINGLE(ChaRSITicker),TabCalc[Ticker],TabCalc[Max_SP])</f>
        <v>275.52499999999998</v>
      </c>
      <c r="P48">
        <f t="shared" ca="1" si="7"/>
        <v>275.52499999999998</v>
      </c>
      <c r="Z48">
        <f t="shared" ca="1" si="8"/>
        <v>275.52499999999998</v>
      </c>
    </row>
    <row r="49" spans="1:26" x14ac:dyDescent="0.3">
      <c r="A49" s="485" t="s">
        <v>1680</v>
      </c>
      <c r="B49" s="488">
        <f ca="1">ABS(_xlfn.XLOOKUP(_xlfn.SINGLE(ChaRSITicker),TabCalc[Ticker],TabCalc[Max_PP]))</f>
        <v>93.048699999999997</v>
      </c>
      <c r="C49" s="485"/>
      <c r="D49" s="485"/>
      <c r="E49" s="485"/>
      <c r="F49" s="489">
        <f ca="1">ABS(_xlfn.XLOOKUP(_xlfn.SINGLE(ChaRSITicker),TabCalc[Ticker],TabCalc[Max_PP]))</f>
        <v>93.048699999999997</v>
      </c>
      <c r="P49">
        <f t="shared" ca="1" si="7"/>
        <v>93.048699999999997</v>
      </c>
      <c r="Z49">
        <f t="shared" ca="1" si="8"/>
        <v>93.048699999999997</v>
      </c>
    </row>
    <row r="50" spans="1:26" x14ac:dyDescent="0.3">
      <c r="A50" s="195" t="s">
        <v>131</v>
      </c>
      <c r="B50" s="195">
        <f ca="1">_xlfn.XLOOKUP(_xlfn.SINGLE(ChaRSITicker),TabCalc[Ticker],TabCalc[M])</f>
        <v>210.2</v>
      </c>
      <c r="C50" s="195"/>
      <c r="D50" s="195"/>
      <c r="E50" s="195"/>
      <c r="F50" s="489">
        <f ca="1">_xlfn.XLOOKUP(_xlfn.SINGLE(ChaRSITicker),TabCalc[Ticker],TabCalc[M])</f>
        <v>210.2</v>
      </c>
      <c r="P50">
        <f ca="1">F50</f>
        <v>210.2</v>
      </c>
      <c r="Z50">
        <f ca="1">P50</f>
        <v>210.2</v>
      </c>
    </row>
    <row r="51" spans="1:26" x14ac:dyDescent="0.3">
      <c r="A51" s="195" t="s">
        <v>1850</v>
      </c>
      <c r="B51" s="526">
        <f ca="1">ABS(_xlfn.XLOOKUP(ChaRSITicker,TabCalc[Ticker],TabCalc[A]))</f>
        <v>240.53301315789471</v>
      </c>
      <c r="C51" s="195"/>
      <c r="D51" s="195"/>
      <c r="E51" s="195"/>
      <c r="F51" s="489">
        <f ca="1">B51</f>
        <v>240.53301315789471</v>
      </c>
      <c r="P51" s="489">
        <f ca="1">F51</f>
        <v>240.53301315789471</v>
      </c>
      <c r="Z51" s="86">
        <f ca="1">P51</f>
        <v>240.53301315789471</v>
      </c>
    </row>
    <row r="52" spans="1:26" x14ac:dyDescent="0.3">
      <c r="A52" s="490" t="s">
        <v>1724</v>
      </c>
      <c r="B52" s="491">
        <f ca="1">MIN(B51,B44:B49,F56:Z56)</f>
        <v>93.048699999999997</v>
      </c>
      <c r="C52" s="491">
        <f ca="1">MAX(B51,B44:B49,F56:Z56)</f>
        <v>275.52499999999998</v>
      </c>
      <c r="D52" t="s">
        <v>1728</v>
      </c>
    </row>
    <row r="53" spans="1:26" ht="23" customHeight="1" x14ac:dyDescent="0.3">
      <c r="A53" s="490" t="s">
        <v>1725</v>
      </c>
      <c r="B53" s="491">
        <f ca="1">MIN(B51,B44:B45,P56:Z56)</f>
        <v>210.2</v>
      </c>
      <c r="C53" s="491">
        <f ca="1">MAX(B51,B44:B45,P56:Z56)</f>
        <v>242</v>
      </c>
      <c r="D53" t="s">
        <v>1728</v>
      </c>
    </row>
    <row r="54" spans="1:26" x14ac:dyDescent="0.3">
      <c r="A54" s="490" t="s">
        <v>1726</v>
      </c>
      <c r="B54" s="490">
        <f ca="1">MIN(P56:Z56)</f>
        <v>210.2</v>
      </c>
      <c r="C54" s="491">
        <f ca="1">MAX(F56:Z56)</f>
        <v>242</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210.2</v>
      </c>
      <c r="C56" s="153">
        <f ca="1">MAX(F56:Z56)</f>
        <v>242</v>
      </c>
      <c r="D56" s="483">
        <f ca="1">AVERAGE(F56:Y56)</f>
        <v>232.46999999999997</v>
      </c>
      <c r="E56" s="153"/>
      <c r="F56" cm="1">
        <f t="array" aca="1" ref="F56" ca="1">_xlfn.XLOOKUP(_xlfn.SINGLE(ChaRSITicker),ListTickers,Tab1Price[Price0])</f>
        <v>237.8</v>
      </c>
      <c r="G56" cm="1">
        <f t="array" aca="1" ref="G56" ca="1">_xlfn.XLOOKUP(_xlfn.SINGLE(ChaRSITicker),ListTickers,Tab1Price[Price1])</f>
        <v>238</v>
      </c>
      <c r="H56" cm="1">
        <f t="array" aca="1" ref="H56" ca="1">_xlfn.XLOOKUP(_xlfn.SINGLE(ChaRSITicker),ListTickers,Tab1Price[Price2])</f>
        <v>231.4</v>
      </c>
      <c r="I56" cm="1">
        <f t="array" aca="1" ref="I56" ca="1">_xlfn.XLOOKUP(_xlfn.SINGLE(ChaRSITicker),ListTickers,Tab1Price[Price3])</f>
        <v>232.7</v>
      </c>
      <c r="J56" cm="1">
        <f t="array" aca="1" ref="J56" ca="1">_xlfn.XLOOKUP(_xlfn.SINGLE(ChaRSITicker),ListTickers,Tab1Price[Price4])</f>
        <v>234.2</v>
      </c>
      <c r="K56" cm="1">
        <f t="array" aca="1" ref="K56" ca="1">_xlfn.XLOOKUP(_xlfn.SINGLE(ChaRSITicker),ListTickers,Tab1Price[Price5])</f>
        <v>233.2</v>
      </c>
      <c r="L56" cm="1">
        <f t="array" aca="1" ref="L56" ca="1">_xlfn.XLOOKUP(_xlfn.SINGLE(ChaRSITicker),ListTickers,Tab1Price[Price6])</f>
        <v>230.95</v>
      </c>
      <c r="M56" cm="1">
        <f t="array" aca="1" ref="M56" ca="1">_xlfn.XLOOKUP(_xlfn.SINGLE(ChaRSITicker),ListTickers,Tab1Price[Price7])</f>
        <v>238.6</v>
      </c>
      <c r="N56" cm="1">
        <f t="array" aca="1" ref="N56" ca="1">_xlfn.XLOOKUP(_xlfn.SINGLE(ChaRSITicker),ListTickers,Tab1Price[Price8])</f>
        <v>240.4</v>
      </c>
      <c r="O56" cm="1">
        <f t="array" aca="1" ref="O56" ca="1">_xlfn.XLOOKUP(_xlfn.SINGLE(ChaRSITicker),ListTickers,Tab1Price[Price9])</f>
        <v>236.85</v>
      </c>
      <c r="P56" cm="1">
        <f t="array" aca="1" ref="P56" ca="1">_xlfn.XLOOKUP(_xlfn.SINGLE(ChaRSITicker),ListTickers,Tab1Price[Price10])</f>
        <v>236.85</v>
      </c>
      <c r="Q56" cm="1">
        <f t="array" aca="1" ref="Q56" ca="1">_xlfn.XLOOKUP(_xlfn.SINGLE(ChaRSITicker),ListTickers,Tab1Price[Price11])</f>
        <v>242</v>
      </c>
      <c r="R56" cm="1">
        <f t="array" aca="1" ref="R56" ca="1">_xlfn.XLOOKUP(_xlfn.SINGLE(ChaRSITicker),ListTickers,Tab1Price[Price12])</f>
        <v>233.35</v>
      </c>
      <c r="S56" cm="1">
        <f t="array" aca="1" ref="S56" ca="1">_xlfn.XLOOKUP(_xlfn.SINGLE(ChaRSITicker),ListTickers,Tab1Price[Price13])</f>
        <v>235.55</v>
      </c>
      <c r="T56" cm="1">
        <f t="array" aca="1" ref="T56" ca="1">_xlfn.XLOOKUP(_xlfn.SINGLE(ChaRSITicker),ListTickers,Tab1Price[Price14])</f>
        <v>234.1</v>
      </c>
      <c r="U56" cm="1">
        <f t="array" aca="1" ref="U56" ca="1">_xlfn.XLOOKUP(_xlfn.SINGLE(ChaRSITicker),ListTickers,Tab1Price[Price15])</f>
        <v>225.85</v>
      </c>
      <c r="V56" cm="1">
        <f t="array" aca="1" ref="V56" ca="1">_xlfn.XLOOKUP(_xlfn.SINGLE(ChaRSITicker),ListTickers,Tab1Price[Price16])</f>
        <v>226.05</v>
      </c>
      <c r="W56" cm="1">
        <f t="array" aca="1" ref="W56" ca="1">_xlfn.XLOOKUP(_xlfn.SINGLE(ChaRSITicker),ListTickers,Tab1Price[Price17])</f>
        <v>227.95</v>
      </c>
      <c r="X56" cm="1">
        <f t="array" aca="1" ref="X56" ca="1">_xlfn.XLOOKUP(_xlfn.SINGLE(ChaRSITicker),ListTickers,Tab1Price[Price18])</f>
        <v>217.95</v>
      </c>
      <c r="Y56" cm="1">
        <f t="array" aca="1" ref="Y56" ca="1">_xlfn.XLOOKUP(_xlfn.SINGLE(ChaRSITicker),ListTickers,Tab1Price[Price19])</f>
        <v>215.65</v>
      </c>
      <c r="Z56" cm="1">
        <f t="array" aca="1" ref="Z56" ca="1">_xlfn.XLOOKUP(_xlfn.SINGLE(ChaRSITicker),ListTickers,Tab1Price[Price20])</f>
        <v>210.2</v>
      </c>
    </row>
    <row r="57" spans="1:26" x14ac:dyDescent="0.3">
      <c r="A57" s="153" t="s">
        <v>662</v>
      </c>
      <c r="B57" s="495">
        <f t="shared" ref="B57:B58" ca="1" si="9">MIN(F57:Z57)</f>
        <v>23</v>
      </c>
      <c r="C57" s="495">
        <v>100</v>
      </c>
      <c r="D57" s="483">
        <f ca="1">IFERROR(AVERAGEIF(F57:Y57, "&gt;0"), "")</f>
        <v>52.1</v>
      </c>
      <c r="E57" s="481">
        <v>1</v>
      </c>
      <c r="F57" s="87" cm="1">
        <f t="array" aca="1" ref="F57" ca="1">_xlfn.XLOOKUP(ChaRSITicker,ListTickers,Tab2RSI[RSI0])</f>
        <v>67</v>
      </c>
      <c r="G57" s="87" cm="1">
        <f t="array" aca="1" ref="G57" ca="1">_xlfn.XLOOKUP(ChaRSITicker,ListTickers,Tab2RSI[RSI1])</f>
        <v>70</v>
      </c>
      <c r="H57" s="87" cm="1">
        <f t="array" aca="1" ref="H57" ca="1">_xlfn.XLOOKUP(ChaRSITicker,ListTickers,Tab2RSI[RSI2])</f>
        <v>72</v>
      </c>
      <c r="I57" s="87" cm="1">
        <f t="array" aca="1" ref="I57" ca="1">_xlfn.XLOOKUP(ChaRSITicker,ListTickers,Tab2RSI[RSI3])</f>
        <v>73</v>
      </c>
      <c r="J57" s="87" cm="1">
        <f t="array" aca="1" ref="J57" ca="1">_xlfn.XLOOKUP(ChaRSITicker,ListTickers,Tab2RSI[RSI4])</f>
        <v>68</v>
      </c>
      <c r="K57" s="87" cm="1">
        <f t="array" aca="1" ref="K57" ca="1">_xlfn.XLOOKUP(ChaRSITicker,ListTickers,Tab2RSI[RSI5])</f>
        <v>64</v>
      </c>
      <c r="L57" s="87" cm="1">
        <f t="array" aca="1" ref="L57" ca="1">_xlfn.XLOOKUP(ChaRSITicker,ListTickers,Tab2RSI[RSI6])</f>
        <v>64</v>
      </c>
      <c r="M57" s="87" cm="1">
        <f t="array" aca="1" ref="M57" ca="1">_xlfn.XLOOKUP(ChaRSITicker,ListTickers,Tab2RSI[RSI7])</f>
        <v>61</v>
      </c>
      <c r="N57" s="87" cm="1">
        <f t="array" aca="1" ref="N57" ca="1">_xlfn.XLOOKUP(ChaRSITicker,ListTickers,Tab2RSI[RSI8])</f>
        <v>58</v>
      </c>
      <c r="O57" s="87" cm="1">
        <f t="array" aca="1" ref="O57" ca="1">_xlfn.XLOOKUP(ChaRSITicker,ListTickers,Tab2RSI[RSI9])</f>
        <v>56</v>
      </c>
      <c r="P57" s="87" cm="1">
        <f t="array" aca="1" ref="P57" ca="1">_xlfn.XLOOKUP(ChaRSITicker,ListTickers,Tab2RSI[RSI10])</f>
        <v>54</v>
      </c>
      <c r="Q57" s="87" cm="1">
        <f t="array" aca="1" ref="Q57" ca="1">_xlfn.XLOOKUP(ChaRSITicker,ListTickers,Tab2RSI[RSI11])</f>
        <v>57</v>
      </c>
      <c r="R57" s="87" cm="1">
        <f t="array" aca="1" ref="R57" ca="1">_xlfn.XLOOKUP(ChaRSITicker,ListTickers,Tab2RSI[RSI12])</f>
        <v>48</v>
      </c>
      <c r="S57" s="87" cm="1">
        <f t="array" aca="1" ref="S57" ca="1">_xlfn.XLOOKUP(ChaRSITicker,ListTickers,Tab2RSI[RSI13])</f>
        <v>41</v>
      </c>
      <c r="T57" s="87" cm="1">
        <f t="array" aca="1" ref="T57" ca="1">_xlfn.XLOOKUP(ChaRSITicker,ListTickers,Tab2RSI[RSI14])</f>
        <v>41</v>
      </c>
      <c r="U57" s="87" cm="1">
        <f t="array" aca="1" ref="U57" ca="1">_xlfn.XLOOKUP(ChaRSITicker,ListTickers,Tab2RSI[RSI15])</f>
        <v>37</v>
      </c>
      <c r="V57" s="87" cm="1">
        <f t="array" aca="1" ref="V57" ca="1">_xlfn.XLOOKUP(ChaRSITicker,ListTickers,Tab2RSI[RSI16])</f>
        <v>35</v>
      </c>
      <c r="W57" s="87" cm="1">
        <f t="array" aca="1" ref="W57" ca="1">_xlfn.XLOOKUP(ChaRSITicker,ListTickers,Tab2RSI[RSI17])</f>
        <v>23</v>
      </c>
      <c r="X57" s="87" cm="1">
        <f t="array" aca="1" ref="X57" ca="1">_xlfn.XLOOKUP(ChaRSITicker,ListTickers,Tab2RSI[RSI18])</f>
        <v>23</v>
      </c>
      <c r="Y57" s="87" cm="1">
        <f t="array" aca="1" ref="Y57" ca="1">_xlfn.XLOOKUP(ChaRSITicker,ListTickers,Tab2RSI[RSI19])</f>
        <v>30</v>
      </c>
      <c r="Z57" s="87" cm="1">
        <f t="array" aca="1" ref="Z57" ca="1">_xlfn.XLOOKUP(ChaRSITicker,ListTickers,Tab2RSI[RSI20])</f>
        <v>30</v>
      </c>
    </row>
    <row r="58" spans="1:26" x14ac:dyDescent="0.3">
      <c r="A58" s="153" t="s">
        <v>544</v>
      </c>
      <c r="B58" s="482">
        <f t="shared" ca="1" si="9"/>
        <v>0.13228531525700854</v>
      </c>
      <c r="C58" s="482">
        <f t="shared" ref="C58" ca="1" si="10">MAX(F58:Z58)</f>
        <v>2.6649710633079384</v>
      </c>
      <c r="D58" s="483">
        <f ca="1">IFERROR(AVERAGEIF(F58:Y58, "&gt;0"), "")</f>
        <v>1.0611364926763682</v>
      </c>
      <c r="E58" s="153">
        <f ca="1">INT(C57/D58)</f>
        <v>94</v>
      </c>
      <c r="F58" s="90" cm="1">
        <f t="array" aca="1" ref="F58" ca="1">_xlfn.XLOOKUP(ChaRSITicker,ListTickers,Tab2Agiotage[XAgio0])</f>
        <v>0.78926746602173248</v>
      </c>
      <c r="G58" s="90" cm="1">
        <f t="array" aca="1" ref="G58" ca="1">_xlfn.XLOOKUP(ChaRSITicker,ListTickers,Tab2Agiotage[XAgio1])</f>
        <v>0.13228531525700854</v>
      </c>
      <c r="H58" s="90" cm="1">
        <f t="array" aca="1" ref="H58" ca="1">_xlfn.XLOOKUP(ChaRSITicker,ListTickers,Tab2Agiotage[XAgio2])</f>
        <v>0.65498967042905398</v>
      </c>
      <c r="I58" s="90" cm="1">
        <f t="array" aca="1" ref="I58" ca="1">_xlfn.XLOOKUP(ChaRSITicker,ListTickers,Tab2Agiotage[XAgio3])</f>
        <v>1.1919431065487109</v>
      </c>
      <c r="J58" s="90" cm="1">
        <f t="array" aca="1" ref="J58" ca="1">_xlfn.XLOOKUP(ChaRSITicker,ListTickers,Tab2Agiotage[XAgio4])</f>
        <v>0.97916485351189575</v>
      </c>
      <c r="K58" s="90" cm="1">
        <f t="array" aca="1" ref="K58" ca="1">_xlfn.XLOOKUP(ChaRSITicker,ListTickers,Tab2Agiotage[XAgio5])</f>
        <v>1.035415409827209</v>
      </c>
      <c r="L58" s="90" cm="1">
        <f t="array" aca="1" ref="L58" ca="1">_xlfn.XLOOKUP(ChaRSITicker,ListTickers,Tab2Agiotage[XAgio6])</f>
        <v>1.0497599001618751</v>
      </c>
      <c r="M58" s="90" cm="1">
        <f t="array" aca="1" ref="M58" ca="1">_xlfn.XLOOKUP(ChaRSITicker,ListTickers,Tab2Agiotage[XAgio7])</f>
        <v>1.2601543085273403</v>
      </c>
      <c r="N58" s="90" cm="1">
        <f t="array" aca="1" ref="N58" ca="1">_xlfn.XLOOKUP(ChaRSITicker,ListTickers,Tab2Agiotage[XAgio8])</f>
        <v>1.2221288444286464</v>
      </c>
      <c r="O58" s="90" cm="1">
        <f t="array" aca="1" ref="O58" ca="1">_xlfn.XLOOKUP(ChaRSITicker,ListTickers,Tab2Agiotage[XAgio9])</f>
        <v>1.4835821527107771</v>
      </c>
      <c r="P58" s="90" cm="1">
        <f t="array" aca="1" ref="P58" ca="1">_xlfn.XLOOKUP(ChaRSITicker,ListTickers,Tab2Agiotage[XAgio10])</f>
        <v>1.4835821527107771</v>
      </c>
      <c r="Q58" s="90" cm="1">
        <f t="array" aca="1" ref="Q58" ca="1">_xlfn.XLOOKUP(ChaRSITicker,ListTickers,Tab2Agiotage[XAgio11])</f>
        <v>2.6649710633079384</v>
      </c>
      <c r="R58" s="90" cm="1">
        <f t="array" aca="1" ref="R58" ca="1">_xlfn.XLOOKUP(ChaRSITicker,ListTickers,Tab2Agiotage[XAgio12])</f>
        <v>1.514105482432194</v>
      </c>
      <c r="S58" s="90" cm="1">
        <f t="array" aca="1" ref="S58" ca="1">_xlfn.XLOOKUP(ChaRSITicker,ListTickers,Tab2Agiotage[XAgio13])</f>
        <v>0.93913206074599198</v>
      </c>
      <c r="T58" s="90" cm="1">
        <f t="array" aca="1" ref="T58" ca="1">_xlfn.XLOOKUP(ChaRSITicker,ListTickers,Tab2Agiotage[XAgio14])</f>
        <v>0.73112677422483752</v>
      </c>
      <c r="U58" s="90" cm="1">
        <f t="array" aca="1" ref="U58" ca="1">_xlfn.XLOOKUP(ChaRSITicker,ListTickers,Tab2Agiotage[XAgio15])</f>
        <v>0.8612364119469329</v>
      </c>
      <c r="V58" s="90" cm="1">
        <f t="array" aca="1" ref="V58" ca="1">_xlfn.XLOOKUP(ChaRSITicker,ListTickers,Tab2Agiotage[XAgio16])</f>
        <v>0.61165650280024886</v>
      </c>
      <c r="W58" s="90" cm="1">
        <f t="array" aca="1" ref="W58" ca="1">_xlfn.XLOOKUP(ChaRSITicker,ListTickers,Tab2Agiotage[XAgio17])</f>
        <v>0.60507338761860219</v>
      </c>
      <c r="X58" s="90" cm="1">
        <f t="array" aca="1" ref="X58" ca="1">_xlfn.XLOOKUP(ChaRSITicker,ListTickers,Tab2Agiotage[XAgio18])</f>
        <v>0.85338166536039561</v>
      </c>
      <c r="Y58" s="90" cm="1">
        <f t="array" aca="1" ref="Y58" ca="1">_xlfn.XLOOKUP(ChaRSITicker,ListTickers,Tab2Agiotage[XAgio19])</f>
        <v>1.1597733249552002</v>
      </c>
      <c r="Z58" s="90" cm="1">
        <f t="array" aca="1" ref="Z58" ca="1">_xlfn.XLOOKUP(ChaRSITicker,ListTickers,Tab2Agiotage[XAgio20])</f>
        <v>0.15718001402410189</v>
      </c>
    </row>
    <row r="59" spans="1:26" x14ac:dyDescent="0.3">
      <c r="A59" s="153" t="s">
        <v>662</v>
      </c>
      <c r="B59" s="153"/>
      <c r="C59" s="153"/>
      <c r="D59" s="153"/>
      <c r="E59" s="153"/>
      <c r="F59" cm="1">
        <f t="array" aca="1" ref="F59" ca="1">_xlfn.XLOOKUP(ChaRSITicker,ListTickers,Tab2RSIConventional[RSIConv0])</f>
        <v>60</v>
      </c>
      <c r="G59" cm="1">
        <f t="array" aca="1" ref="G59" ca="1">_xlfn.XLOOKUP(ChaRSITicker,ListTickers,Tab2RSIConventional[RSIConv1])</f>
        <v>59</v>
      </c>
      <c r="H59" cm="1">
        <f t="array" aca="1" ref="H59" ca="1">_xlfn.XLOOKUP(ChaRSITicker,ListTickers,Tab2RSIConventional[RSIConv2])</f>
        <v>64</v>
      </c>
      <c r="I59" cm="1">
        <f t="array" aca="1" ref="I59" ca="1">_xlfn.XLOOKUP(ChaRSITicker,ListTickers,Tab2RSIConventional[RSIConv3])</f>
        <v>67</v>
      </c>
      <c r="J59" cm="1">
        <f t="array" aca="1" ref="J59" ca="1">_xlfn.XLOOKUP(ChaRSITicker,ListTickers,Tab2RSIConventional[RSIConv4])</f>
        <v>67</v>
      </c>
      <c r="K59" cm="1">
        <f t="array" aca="1" ref="K59" ca="1">_xlfn.XLOOKUP(ChaRSITicker,ListTickers,Tab2RSIConventional[RSIConv5])</f>
        <v>68</v>
      </c>
      <c r="L59" cm="1">
        <f t="array" aca="1" ref="L59" ca="1">_xlfn.XLOOKUP(ChaRSITicker,ListTickers,Tab2RSIConventional[RSIConv6])</f>
        <v>66</v>
      </c>
      <c r="M59" cm="1">
        <f t="array" aca="1" ref="M59" ca="1">_xlfn.XLOOKUP(ChaRSITicker,ListTickers,Tab2RSIConventional[RSIConv7])</f>
        <v>59</v>
      </c>
      <c r="N59" cm="1">
        <f t="array" aca="1" ref="N59" ca="1">_xlfn.XLOOKUP(ChaRSITicker,ListTickers,Tab2RSIConventional[RSIConv8])</f>
        <v>56</v>
      </c>
      <c r="O59" cm="1">
        <f t="array" aca="1" ref="O59" ca="1">_xlfn.XLOOKUP(ChaRSITicker,ListTickers,Tab2RSIConventional[RSIConv9])</f>
        <v>49</v>
      </c>
      <c r="P59" cm="1">
        <f t="array" aca="1" ref="P59" ca="1">_xlfn.XLOOKUP(ChaRSITicker,ListTickers,Tab2RSIConventional[RSIConv10])</f>
        <v>44</v>
      </c>
      <c r="Q59" cm="1">
        <f t="array" aca="1" ref="Q59" ca="1">_xlfn.XLOOKUP(ChaRSITicker,ListTickers,Tab2RSIConventional[RSIConv11])</f>
        <v>32</v>
      </c>
      <c r="R59" cm="1">
        <f t="array" aca="1" ref="R59" ca="1">_xlfn.XLOOKUP(ChaRSITicker,ListTickers,Tab2RSIConventional[RSIConv12])</f>
        <v>30</v>
      </c>
      <c r="S59" cm="1">
        <f t="array" aca="1" ref="S59" ca="1">_xlfn.XLOOKUP(ChaRSITicker,ListTickers,Tab2RSIConventional[RSIConv13])</f>
        <v>30</v>
      </c>
      <c r="T59" cm="1">
        <f t="array" aca="1" ref="T59" ca="1">_xlfn.XLOOKUP(ChaRSITicker,ListTickers,Tab2RSIConventional[RSIConv14])</f>
        <v>33</v>
      </c>
      <c r="U59" cm="1">
        <f t="array" aca="1" ref="U59" ca="1">_xlfn.XLOOKUP(ChaRSITicker,ListTickers,Tab2RSIConventional[RSIConv15])</f>
        <v>32</v>
      </c>
      <c r="V59" cm="1">
        <f t="array" aca="1" ref="V59" ca="1">_xlfn.XLOOKUP(ChaRSITicker,ListTickers,Tab2RSIConventional[RSIConv16])</f>
        <v>16</v>
      </c>
      <c r="W59" cm="1">
        <f t="array" aca="1" ref="W59" ca="1">_xlfn.XLOOKUP(ChaRSITicker,ListTickers,Tab2RSIConventional[RSIConv17])</f>
        <v>9</v>
      </c>
      <c r="X59" cm="1">
        <f t="array" aca="1" ref="X59" ca="1">_xlfn.XLOOKUP(ChaRSITicker,ListTickers,Tab2RSIConventional[RSIConv18])</f>
        <v>8</v>
      </c>
      <c r="Y59" cm="1">
        <f t="array" aca="1" ref="Y59" ca="1">_xlfn.XLOOKUP(ChaRSITicker,ListTickers,Tab2RSIConventional[RSIConv19])</f>
        <v>17</v>
      </c>
      <c r="Z59" cm="1">
        <f t="array" aca="1" ref="Z59" ca="1">_xlfn.XLOOKUP(ChaRSITicker,ListTickers,Tab2RSIConventional[RSIConv20])</f>
        <v>17</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SAP History</v>
      </c>
      <c r="M1" t="str">
        <f>[0]!ChaRSITicker&amp;" (Last Trades Zoom)"</f>
        <v>SAP (Last Trades Zoom)</v>
      </c>
      <c r="O1" s="1" t="str">
        <f ca="1">_xlfn.XLOOKUP(ChaChaTicker,TabCalc[Ticker],TabCalc[NAfter])&amp;" x "&amp;"A="&amp;TRUNC(B51,2)</f>
        <v>3800 x A=240.53</v>
      </c>
      <c r="R1" s="549" t="str">
        <f>IDTICKER</f>
        <v>SAP</v>
      </c>
      <c r="S1" s="549"/>
      <c r="T1" s="550" t="s">
        <v>1781</v>
      </c>
      <c r="U1" s="551" t="s">
        <v>1782</v>
      </c>
      <c r="W1">
        <f ca="1">_xlfn.XLOOKUP(ChaChaTicker,TabCalc[Ticker],TabCalc[NAfter])</f>
        <v>3800</v>
      </c>
    </row>
    <row r="2" spans="5:23" ht="24" thickTop="1" thickBot="1" x14ac:dyDescent="0.35">
      <c r="R2" s="545">
        <f ca="1">TODAY()</f>
        <v>45978</v>
      </c>
      <c r="S2" s="546">
        <f ca="1">_xlfn.XLOOKUP(ChaChaTicker,TabCalc[Ticker],TabCalc[NAfter])</f>
        <v>3800</v>
      </c>
      <c r="T2" s="547">
        <f ca="1">_xlfn.XLOOKUP(ChaChaTicker,TabCalc[Ticker],TabCalc[L_Sn])</f>
        <v>200</v>
      </c>
      <c r="U2" s="548">
        <f ca="1">_xlfn.XLOOKUP(ChaChaTicker,TabCalc[Ticker],TabCalc[L_Bn])</f>
        <v>500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45950</v>
      </c>
      <c r="G32" s="166">
        <f ca="1">DataShift!G3</f>
        <v>45951</v>
      </c>
      <c r="H32" s="166">
        <f ca="1">DataShift!H3</f>
        <v>45952</v>
      </c>
      <c r="I32" s="166">
        <f ca="1">DataShift!I3</f>
        <v>45953</v>
      </c>
      <c r="J32" s="166">
        <f ca="1">DataShift!J3</f>
        <v>45954</v>
      </c>
      <c r="K32" s="166">
        <f ca="1">DataShift!K3</f>
        <v>45957</v>
      </c>
      <c r="L32" s="166">
        <f ca="1">DataShift!L3</f>
        <v>45958</v>
      </c>
      <c r="M32" s="166">
        <f ca="1">DataShift!M3</f>
        <v>45959</v>
      </c>
      <c r="N32" s="166">
        <f ca="1">DataShift!N3</f>
        <v>45960</v>
      </c>
      <c r="O32" s="166">
        <f ca="1">DataShift!O3</f>
        <v>45961</v>
      </c>
      <c r="P32" s="166">
        <f ca="1">DataShift!P3</f>
        <v>45964</v>
      </c>
      <c r="Q32" s="166">
        <f ca="1">DataShift!Q3</f>
        <v>45965</v>
      </c>
      <c r="R32" s="166">
        <f ca="1">DataShift!R3</f>
        <v>45966</v>
      </c>
      <c r="S32" s="166">
        <f ca="1">DataShift!S3</f>
        <v>45967</v>
      </c>
      <c r="T32" s="166">
        <f ca="1">DataShift!T3</f>
        <v>45968</v>
      </c>
      <c r="U32" s="166">
        <f ca="1">DataShift!U3</f>
        <v>45971</v>
      </c>
      <c r="V32" s="166">
        <f ca="1">DataShift!V3</f>
        <v>45972</v>
      </c>
      <c r="W32" s="166">
        <f ca="1">DataShift!W3</f>
        <v>45973</v>
      </c>
      <c r="X32" s="166">
        <f ca="1">DataShift!X3</f>
        <v>45974</v>
      </c>
      <c r="Y32" s="166">
        <f ca="1">DataShift!Y3</f>
        <v>45975</v>
      </c>
      <c r="Z32" s="166">
        <f ca="1">DataShift!Z3</f>
        <v>45978</v>
      </c>
      <c r="AA32" s="62"/>
      <c r="AB32" s="62"/>
    </row>
    <row r="33" spans="1:26" x14ac:dyDescent="0.3">
      <c r="A33" s="485" t="s">
        <v>1393</v>
      </c>
      <c r="B33" s="485"/>
      <c r="C33" s="485"/>
      <c r="D33" s="485"/>
      <c r="E33" s="485"/>
      <c r="F33" s="166">
        <f ca="1">F32</f>
        <v>45950</v>
      </c>
      <c r="G33" s="166"/>
      <c r="H33" s="166"/>
      <c r="I33" s="166"/>
      <c r="J33" s="166"/>
      <c r="K33" s="166"/>
      <c r="L33" s="166"/>
      <c r="M33" s="166"/>
      <c r="N33" s="166"/>
      <c r="O33" s="166"/>
      <c r="P33" s="166">
        <f ca="1">P32</f>
        <v>45964</v>
      </c>
      <c r="Q33" s="166"/>
      <c r="R33" s="166"/>
      <c r="S33" s="166"/>
      <c r="T33" s="166"/>
      <c r="U33" s="166"/>
      <c r="V33" s="166"/>
      <c r="W33" s="166"/>
      <c r="X33" s="166"/>
      <c r="Y33" s="166"/>
      <c r="Z33" s="166">
        <f ca="1">Z32</f>
        <v>45978</v>
      </c>
    </row>
    <row r="34" spans="1:26" x14ac:dyDescent="0.3">
      <c r="A34" s="485"/>
      <c r="B34" s="486" t="s">
        <v>1669</v>
      </c>
      <c r="C34" s="486" t="s">
        <v>1670</v>
      </c>
      <c r="D34" s="486" t="s">
        <v>1671</v>
      </c>
      <c r="E34" s="485"/>
    </row>
    <row r="35" spans="1:26" x14ac:dyDescent="0.3">
      <c r="A35" s="485" t="s">
        <v>1667</v>
      </c>
      <c r="B35" s="487">
        <f ca="1">MIN(F35:Z35)</f>
        <v>-529.75486052409133</v>
      </c>
      <c r="C35" s="487">
        <f ca="1">MAX(F35:Z35)</f>
        <v>400.00000000000006</v>
      </c>
      <c r="D35" s="485"/>
      <c r="E35" s="485"/>
      <c r="F35" s="94">
        <f ca="1">100*F57*$E57</f>
        <v>30.551865716700885</v>
      </c>
      <c r="G35" s="94">
        <f t="shared" ref="G35:Z35" ca="1" si="0">100*G57*$E57</f>
        <v>10.155778287646418</v>
      </c>
      <c r="H35" s="94">
        <f t="shared" ca="1" si="0"/>
        <v>44.523608259871999</v>
      </c>
      <c r="I35" s="94">
        <f t="shared" ca="1" si="0"/>
        <v>67.84204806182828</v>
      </c>
      <c r="J35" s="94">
        <f t="shared" ca="1" si="0"/>
        <v>77.840840478203106</v>
      </c>
      <c r="K35" s="94">
        <f t="shared" ca="1" si="0"/>
        <v>-51.563820794590022</v>
      </c>
      <c r="L35" s="94">
        <f t="shared" ca="1" si="0"/>
        <v>-116.5076681560198</v>
      </c>
      <c r="M35" s="94">
        <f t="shared" ca="1" si="0"/>
        <v>400.00000000000006</v>
      </c>
      <c r="N35" s="94">
        <f t="shared" ca="1" si="0"/>
        <v>91.100108682526269</v>
      </c>
      <c r="O35" s="94">
        <f t="shared" ca="1" si="0"/>
        <v>-178.32387392826953</v>
      </c>
      <c r="P35" s="94">
        <f t="shared" ca="1" si="0"/>
        <v>-178.32387392826953</v>
      </c>
      <c r="Q35" s="94">
        <f t="shared" ca="1" si="0"/>
        <v>262.57698345610436</v>
      </c>
      <c r="R35" s="94">
        <f t="shared" ca="1" si="0"/>
        <v>-431.63869097935032</v>
      </c>
      <c r="S35" s="94">
        <f t="shared" ca="1" si="0"/>
        <v>113.85098418065449</v>
      </c>
      <c r="T35" s="94">
        <f t="shared" ca="1" si="0"/>
        <v>-74.338847965221603</v>
      </c>
      <c r="U35" s="94">
        <f t="shared" ca="1" si="0"/>
        <v>83.444028498973552</v>
      </c>
      <c r="V35" s="94">
        <f t="shared" ca="1" si="0"/>
        <v>-147.74785653906534</v>
      </c>
      <c r="W35" s="94">
        <f t="shared" ca="1" si="0"/>
        <v>101.49740369520592</v>
      </c>
      <c r="X35" s="94">
        <f t="shared" ca="1" si="0"/>
        <v>-529.75486052409133</v>
      </c>
      <c r="Y35" s="94">
        <f t="shared" ca="1" si="0"/>
        <v>-127.43629996377248</v>
      </c>
      <c r="Z35" s="94">
        <f t="shared" ca="1" si="0"/>
        <v>-51.479289940828409</v>
      </c>
    </row>
    <row r="36" spans="1:26" x14ac:dyDescent="0.3">
      <c r="A36" s="485" t="s">
        <v>1668</v>
      </c>
      <c r="B36" s="487">
        <f ca="1">MIN(F36:Z36)</f>
        <v>18.980801113887441</v>
      </c>
      <c r="C36" s="487">
        <f ca="1">MAX(F36:Z36)</f>
        <v>483.03345006641712</v>
      </c>
      <c r="D36" s="485"/>
      <c r="E36" s="485"/>
      <c r="F36" s="94">
        <f ca="1">F58*$E58</f>
        <v>95.310646784414018</v>
      </c>
      <c r="G36" s="94">
        <f t="shared" ref="G36:Z36" ca="1" si="1">G58*$E58</f>
        <v>483.03345006641712</v>
      </c>
      <c r="H36" s="94">
        <f t="shared" ca="1" si="1"/>
        <v>79.095480066302869</v>
      </c>
      <c r="I36" s="94">
        <f t="shared" ca="1" si="1"/>
        <v>143.93709775977672</v>
      </c>
      <c r="J36" s="94">
        <f t="shared" ca="1" si="1"/>
        <v>118.24234434390723</v>
      </c>
      <c r="K36" s="94">
        <f t="shared" ca="1" si="1"/>
        <v>125.0350694151925</v>
      </c>
      <c r="L36" s="94">
        <f t="shared" ca="1" si="1"/>
        <v>126.76728657914204</v>
      </c>
      <c r="M36" s="94">
        <f t="shared" ca="1" si="1"/>
        <v>152.17417081600536</v>
      </c>
      <c r="N36" s="94">
        <f t="shared" ca="1" si="1"/>
        <v>147.58227803751316</v>
      </c>
      <c r="O36" s="94">
        <f t="shared" ca="1" si="1"/>
        <v>179.1549514202122</v>
      </c>
      <c r="P36" s="94">
        <f t="shared" ca="1" si="1"/>
        <v>179.1549514202122</v>
      </c>
      <c r="Q36" s="94">
        <f t="shared" ca="1" si="1"/>
        <v>321.81754175920042</v>
      </c>
      <c r="R36" s="94">
        <f t="shared" ca="1" si="1"/>
        <v>182.8408987359249</v>
      </c>
      <c r="S36" s="94">
        <f t="shared" ca="1" si="1"/>
        <v>113.40804984253013</v>
      </c>
      <c r="T36" s="94">
        <f t="shared" ca="1" si="1"/>
        <v>88.289672047438415</v>
      </c>
      <c r="U36" s="94">
        <f t="shared" ca="1" si="1"/>
        <v>104.00149884638726</v>
      </c>
      <c r="V36" s="94">
        <f t="shared" ca="1" si="1"/>
        <v>73.862637700790827</v>
      </c>
      <c r="W36" s="94">
        <f t="shared" ca="1" si="1"/>
        <v>73.067671491196975</v>
      </c>
      <c r="X36" s="94">
        <f t="shared" ca="1" si="1"/>
        <v>103.05297251061414</v>
      </c>
      <c r="Y36" s="94">
        <f t="shared" ca="1" si="1"/>
        <v>140.05232761202757</v>
      </c>
      <c r="Z36" s="94">
        <f t="shared" ca="1" si="1"/>
        <v>18.980801113887441</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210.2</v>
      </c>
      <c r="P38">
        <f ca="1">F38</f>
        <v>210.2</v>
      </c>
      <c r="Z38">
        <f ca="1">MAX(P56:Z56)</f>
        <v>242</v>
      </c>
    </row>
    <row r="39" spans="1:26" x14ac:dyDescent="0.3">
      <c r="A39" s="481"/>
      <c r="B39" s="153"/>
      <c r="C39" s="153"/>
      <c r="D39" s="153"/>
      <c r="E39" s="153"/>
    </row>
    <row r="40" spans="1:26" x14ac:dyDescent="0.3">
      <c r="A40" s="481" t="s">
        <v>2090</v>
      </c>
      <c r="B40" s="481">
        <v>1.4</v>
      </c>
      <c r="C40" s="153"/>
      <c r="D40" s="153"/>
      <c r="E40" s="153"/>
      <c r="F40" s="489">
        <f ca="1">B40*MAX(C$35:C$36)</f>
        <v>676.24683009298394</v>
      </c>
      <c r="P40" s="489">
        <f ca="1">F40</f>
        <v>676.24683009298394</v>
      </c>
      <c r="Z40">
        <v>0</v>
      </c>
    </row>
    <row r="41" spans="1:26" x14ac:dyDescent="0.3">
      <c r="A41" s="153" t="s">
        <v>1672</v>
      </c>
      <c r="B41" s="481">
        <v>1.3</v>
      </c>
      <c r="C41" s="153"/>
      <c r="D41" s="153"/>
      <c r="E41" s="153"/>
      <c r="F41" s="94">
        <f ca="1">B41*MAX(C$35:C$36)</f>
        <v>627.94348508634232</v>
      </c>
      <c r="P41" s="94">
        <f ca="1">F41</f>
        <v>627.94348508634232</v>
      </c>
      <c r="Z41" s="94">
        <f ca="1">B41*MIN(B$35:B$36)</f>
        <v>-688.68131868131877</v>
      </c>
    </row>
    <row r="42" spans="1:26" x14ac:dyDescent="0.3">
      <c r="A42" s="153" t="s">
        <v>1673</v>
      </c>
      <c r="B42" s="481">
        <v>1.2</v>
      </c>
      <c r="C42" s="153"/>
      <c r="D42" s="153"/>
      <c r="E42" s="153"/>
      <c r="F42" s="94">
        <f t="shared" ref="F42:F43" ca="1" si="2">B42*MAX(C$35:C$36)</f>
        <v>579.64014007970047</v>
      </c>
      <c r="P42" s="94">
        <f t="shared" ref="P42:P43" ca="1" si="3">F42</f>
        <v>579.64014007970047</v>
      </c>
      <c r="Z42" s="94">
        <f t="shared" ref="Z42:Z43" ca="1" si="4">B42*MIN(B$35:B$36)</f>
        <v>-635.70583262890955</v>
      </c>
    </row>
    <row r="43" spans="1:26" x14ac:dyDescent="0.3">
      <c r="A43" s="153" t="s">
        <v>1674</v>
      </c>
      <c r="B43" s="481">
        <v>1.1000000000000001</v>
      </c>
      <c r="C43" s="153"/>
      <c r="D43" s="153"/>
      <c r="E43" s="153"/>
      <c r="F43" s="94">
        <f t="shared" ca="1" si="2"/>
        <v>531.33679507305885</v>
      </c>
      <c r="P43" s="94">
        <f t="shared" ca="1" si="3"/>
        <v>531.33679507305885</v>
      </c>
      <c r="Z43" s="94">
        <f t="shared" ca="1" si="4"/>
        <v>-582.73034657650055</v>
      </c>
    </row>
    <row r="44" spans="1:26" x14ac:dyDescent="0.3">
      <c r="A44" s="485" t="s">
        <v>1675</v>
      </c>
      <c r="B44" s="488">
        <f ca="1">_xlfn.XLOOKUP(ChaChaTicker,TabCalc[Ticker],TabCalc[L_Sp])</f>
        <v>237.8</v>
      </c>
      <c r="C44" s="485"/>
      <c r="D44" s="485"/>
      <c r="E44" s="485"/>
      <c r="F44" s="489">
        <f ca="1">_xlfn.XLOOKUP(ChaChaTicker,TabCalc[Ticker],TabCalc[L_Sp])</f>
        <v>237.8</v>
      </c>
      <c r="P44">
        <f ca="1">F44</f>
        <v>237.8</v>
      </c>
      <c r="Z44">
        <f ca="1">P44</f>
        <v>237.8</v>
      </c>
    </row>
    <row r="45" spans="1:26" x14ac:dyDescent="0.3">
      <c r="A45" s="485" t="s">
        <v>1676</v>
      </c>
      <c r="B45" s="488">
        <f ca="1">ABS(_xlfn.XLOOKUP(ChaChaTicker,TabCalc[Ticker],TabCalc[L_Bp]))</f>
        <v>232.35</v>
      </c>
      <c r="C45" s="485"/>
      <c r="D45" s="485"/>
      <c r="E45" s="485"/>
      <c r="F45" s="489">
        <f ca="1">ABS(_xlfn.XLOOKUP(ChaChaTicker,TabCalc[Ticker],TabCalc[L_Bp]))</f>
        <v>232.35</v>
      </c>
      <c r="P45">
        <f ca="1">F45</f>
        <v>232.35</v>
      </c>
      <c r="Z45">
        <f ca="1">P45</f>
        <v>232.35</v>
      </c>
    </row>
    <row r="46" spans="1:26" x14ac:dyDescent="0.3">
      <c r="A46" s="485" t="s">
        <v>1677</v>
      </c>
      <c r="B46" s="488">
        <f ca="1">_xlfn.XLOOKUP(ChaChaTicker,TabCalc[Ticker],TabCalc[Min_SP])</f>
        <v>107.8</v>
      </c>
      <c r="C46" s="485"/>
      <c r="D46" s="485"/>
      <c r="E46" s="485"/>
      <c r="F46" s="489">
        <f ca="1">_xlfn.XLOOKUP(ChaChaTicker,TabCalc[Ticker],TabCalc[Min_SP])</f>
        <v>107.8</v>
      </c>
      <c r="P46">
        <f t="shared" ref="P46:P49" ca="1" si="5">F46</f>
        <v>107.8</v>
      </c>
      <c r="Z46">
        <f t="shared" ref="Z46:Z49" ca="1" si="6">P46</f>
        <v>107.8</v>
      </c>
    </row>
    <row r="47" spans="1:26" x14ac:dyDescent="0.3">
      <c r="A47" s="485" t="s">
        <v>1678</v>
      </c>
      <c r="B47" s="488">
        <f ca="1">ABS(_xlfn.XLOOKUP(ChaChaTicker,TabCalc[Ticker],TabCalc[Min_PP]))</f>
        <v>262.89999999999998</v>
      </c>
      <c r="C47" s="485"/>
      <c r="D47" s="485"/>
      <c r="E47" s="485"/>
      <c r="F47" s="489">
        <f ca="1">ABS(_xlfn.XLOOKUP(ChaChaTicker,TabCalc[Ticker],TabCalc[Min_PP]))</f>
        <v>262.89999999999998</v>
      </c>
      <c r="P47">
        <f t="shared" ca="1" si="5"/>
        <v>262.89999999999998</v>
      </c>
      <c r="Z47">
        <f t="shared" ca="1" si="6"/>
        <v>262.89999999999998</v>
      </c>
    </row>
    <row r="48" spans="1:26" x14ac:dyDescent="0.3">
      <c r="A48" s="485" t="s">
        <v>1679</v>
      </c>
      <c r="B48" s="488">
        <f ca="1">_xlfn.XLOOKUP(ChaChaTicker,TabCalc[Ticker],TabCalc[Max_SP])</f>
        <v>275.52499999999998</v>
      </c>
      <c r="C48" s="485"/>
      <c r="D48" s="485"/>
      <c r="E48" s="485"/>
      <c r="F48" s="489">
        <f ca="1">_xlfn.XLOOKUP(ChaChaTicker,TabCalc[Ticker],TabCalc[Max_SP])</f>
        <v>275.52499999999998</v>
      </c>
      <c r="P48">
        <f t="shared" ca="1" si="5"/>
        <v>275.52499999999998</v>
      </c>
      <c r="Z48">
        <f t="shared" ca="1" si="6"/>
        <v>275.52499999999998</v>
      </c>
    </row>
    <row r="49" spans="1:26" x14ac:dyDescent="0.3">
      <c r="A49" s="485" t="s">
        <v>1680</v>
      </c>
      <c r="B49" s="488">
        <f ca="1">ABS(_xlfn.XLOOKUP(ChaChaTicker,TabCalc[Ticker],TabCalc[Max_PP]))</f>
        <v>93.048699999999997</v>
      </c>
      <c r="C49" s="485"/>
      <c r="D49" s="485"/>
      <c r="E49" s="485"/>
      <c r="F49" s="489">
        <f ca="1">ABS(_xlfn.XLOOKUP(ChaChaTicker,TabCalc[Ticker],TabCalc[Max_PP]))</f>
        <v>93.048699999999997</v>
      </c>
      <c r="P49">
        <f t="shared" ca="1" si="5"/>
        <v>93.048699999999997</v>
      </c>
      <c r="Z49">
        <f t="shared" ca="1" si="6"/>
        <v>93.048699999999997</v>
      </c>
    </row>
    <row r="50" spans="1:26" x14ac:dyDescent="0.3">
      <c r="A50" s="195" t="s">
        <v>131</v>
      </c>
      <c r="B50" s="195">
        <f ca="1">_xlfn.XLOOKUP(ChaChaTicker,TabCalc[Ticker],TabCalc[M])</f>
        <v>210.2</v>
      </c>
      <c r="C50" s="195"/>
      <c r="D50" s="195"/>
      <c r="E50" s="195"/>
      <c r="F50" s="489">
        <f ca="1">_xlfn.XLOOKUP(ChaChaTicker,TabCalc[Ticker],TabCalc[M])</f>
        <v>210.2</v>
      </c>
      <c r="P50">
        <f ca="1">F50</f>
        <v>210.2</v>
      </c>
      <c r="Z50">
        <f ca="1">P50</f>
        <v>210.2</v>
      </c>
    </row>
    <row r="51" spans="1:26" x14ac:dyDescent="0.3">
      <c r="A51" s="195" t="s">
        <v>1850</v>
      </c>
      <c r="B51" s="526">
        <f ca="1">ChaRSI!B51</f>
        <v>240.53301315789471</v>
      </c>
      <c r="C51" s="195"/>
      <c r="D51" s="195"/>
      <c r="E51" s="195"/>
      <c r="F51" s="526">
        <f ca="1">ChaRSI!F51</f>
        <v>240.53301315789471</v>
      </c>
      <c r="G51" s="195"/>
      <c r="H51" s="195"/>
      <c r="I51" s="195"/>
      <c r="J51" s="195"/>
      <c r="K51" s="195"/>
      <c r="L51" s="195"/>
      <c r="M51" s="195"/>
      <c r="N51" s="195"/>
      <c r="O51" s="195"/>
      <c r="P51" s="526">
        <f ca="1">ChaRSI!P51</f>
        <v>240.53301315789471</v>
      </c>
      <c r="Q51" s="195"/>
      <c r="R51" s="195"/>
      <c r="S51" s="195"/>
      <c r="T51" s="195"/>
      <c r="U51" s="195"/>
      <c r="V51" s="195"/>
      <c r="W51" s="195"/>
      <c r="X51" s="195"/>
      <c r="Y51" s="195"/>
      <c r="Z51" s="526">
        <f ca="1">ChaRSI!Z51</f>
        <v>240.53301315789471</v>
      </c>
    </row>
    <row r="52" spans="1:26" x14ac:dyDescent="0.3">
      <c r="A52" s="490" t="s">
        <v>1682</v>
      </c>
      <c r="B52" s="491">
        <f ca="1">MIN(B44:B45,P56:Z56)</f>
        <v>210.2</v>
      </c>
      <c r="C52" s="491">
        <f ca="1">MAX(B44:B45,P56:Z56)</f>
        <v>242</v>
      </c>
    </row>
    <row r="53" spans="1:26" x14ac:dyDescent="0.3">
      <c r="A53" s="490" t="s">
        <v>1683</v>
      </c>
      <c r="B53" s="491">
        <f ca="1">MIN(B44:B49,F56:Z56)</f>
        <v>93.048699999999997</v>
      </c>
      <c r="C53" s="491">
        <f ca="1">MAX(B44:B49,F56:Z56)</f>
        <v>275.52499999999998</v>
      </c>
    </row>
    <row r="54" spans="1:26" x14ac:dyDescent="0.3">
      <c r="A54" s="490" t="s">
        <v>1681</v>
      </c>
      <c r="B54" s="490">
        <f ca="1">MIN(B44:B48,F56:Z56)</f>
        <v>107.8</v>
      </c>
      <c r="C54" s="491">
        <f ca="1">MAX(B44:B48,F56:Z56)</f>
        <v>275.52499999999998</v>
      </c>
    </row>
    <row r="55" spans="1:26" x14ac:dyDescent="0.3">
      <c r="A55" s="480" t="s">
        <v>1665</v>
      </c>
      <c r="B55" s="480"/>
      <c r="C55" s="480"/>
      <c r="D55" s="480"/>
      <c r="E55" s="480"/>
      <c r="F55" s="484">
        <f ca="1">DataShift!F203</f>
        <v>45950</v>
      </c>
      <c r="G55" s="484">
        <f ca="1">DataShift!G203</f>
        <v>45951</v>
      </c>
      <c r="H55" s="484">
        <f ca="1">DataShift!H203</f>
        <v>45952</v>
      </c>
      <c r="I55" s="484">
        <f ca="1">DataShift!I203</f>
        <v>45953</v>
      </c>
      <c r="J55" s="484">
        <f ca="1">DataShift!J203</f>
        <v>45954</v>
      </c>
      <c r="K55" s="484">
        <f ca="1">DataShift!K203</f>
        <v>45957</v>
      </c>
      <c r="L55" s="484">
        <f ca="1">DataShift!L203</f>
        <v>45958</v>
      </c>
      <c r="M55" s="484">
        <f ca="1">DataShift!M203</f>
        <v>45959</v>
      </c>
      <c r="N55" s="484">
        <f ca="1">DataShift!N203</f>
        <v>45960</v>
      </c>
      <c r="O55" s="484">
        <f ca="1">DataShift!O203</f>
        <v>45961</v>
      </c>
      <c r="P55" s="484">
        <f ca="1">DataShift!P203</f>
        <v>45964</v>
      </c>
      <c r="Q55" s="484">
        <f ca="1">DataShift!Q203</f>
        <v>45965</v>
      </c>
      <c r="R55" s="484">
        <f ca="1">DataShift!R203</f>
        <v>45966</v>
      </c>
      <c r="S55" s="484">
        <f ca="1">DataShift!S203</f>
        <v>45967</v>
      </c>
      <c r="T55" s="484">
        <f ca="1">DataShift!T203</f>
        <v>45968</v>
      </c>
      <c r="U55" s="484">
        <f ca="1">DataShift!U203</f>
        <v>45971</v>
      </c>
      <c r="V55" s="484">
        <f ca="1">DataShift!V203</f>
        <v>45972</v>
      </c>
      <c r="W55" s="484">
        <f ca="1">DataShift!W203</f>
        <v>45973</v>
      </c>
      <c r="X55" s="484">
        <f ca="1">DataShift!X203</f>
        <v>45974</v>
      </c>
      <c r="Y55" s="484">
        <f ca="1">DataShift!Y203</f>
        <v>45975</v>
      </c>
      <c r="Z55" s="484">
        <f ca="1">DataShift!Z203</f>
        <v>45978</v>
      </c>
    </row>
    <row r="56" spans="1:26" x14ac:dyDescent="0.3">
      <c r="A56" s="153" t="s">
        <v>139</v>
      </c>
      <c r="B56" s="153">
        <f ca="1">MIN(F56:Z56)</f>
        <v>210.2</v>
      </c>
      <c r="C56" s="153">
        <f ca="1">MAX(F56:Z56)</f>
        <v>242</v>
      </c>
      <c r="D56" s="483">
        <f ca="1">AVERAGE(F56:Y56)</f>
        <v>232.46999999999997</v>
      </c>
      <c r="E56" s="153"/>
      <c r="F56" cm="1">
        <f t="array" aca="1" ref="F56" ca="1">_xlfn.XLOOKUP(ChaChaTicker,ListTickers,Tab1Price[Price0])</f>
        <v>237.8</v>
      </c>
      <c r="G56" cm="1">
        <f t="array" aca="1" ref="G56" ca="1">_xlfn.XLOOKUP(ChaRSITicker,ListTickers,Tab1Price[Price1])</f>
        <v>238</v>
      </c>
      <c r="H56" cm="1">
        <f t="array" aca="1" ref="H56" ca="1">_xlfn.XLOOKUP(ChaRSITicker,ListTickers,Tab1Price[Price2])</f>
        <v>231.4</v>
      </c>
      <c r="I56" cm="1">
        <f t="array" aca="1" ref="I56" ca="1">_xlfn.XLOOKUP(ChaRSITicker,ListTickers,Tab1Price[Price3])</f>
        <v>232.7</v>
      </c>
      <c r="J56" cm="1">
        <f t="array" aca="1" ref="J56" ca="1">_xlfn.XLOOKUP(ChaRSITicker,ListTickers,Tab1Price[Price4])</f>
        <v>234.2</v>
      </c>
      <c r="K56" cm="1">
        <f t="array" aca="1" ref="K56" ca="1">_xlfn.XLOOKUP(ChaRSITicker,ListTickers,Tab1Price[Price5])</f>
        <v>233.2</v>
      </c>
      <c r="L56" cm="1">
        <f t="array" aca="1" ref="L56" ca="1">_xlfn.XLOOKUP(ChaRSITicker,ListTickers,Tab1Price[Price6])</f>
        <v>230.95</v>
      </c>
      <c r="M56" cm="1">
        <f t="array" aca="1" ref="M56" ca="1">_xlfn.XLOOKUP(ChaRSITicker,ListTickers,Tab1Price[Price7])</f>
        <v>238.6</v>
      </c>
      <c r="N56" cm="1">
        <f t="array" aca="1" ref="N56" ca="1">_xlfn.XLOOKUP(ChaRSITicker,ListTickers,Tab1Price[Price8])</f>
        <v>240.4</v>
      </c>
      <c r="O56" cm="1">
        <f t="array" aca="1" ref="O56" ca="1">_xlfn.XLOOKUP(ChaRSITicker,ListTickers,Tab1Price[Price9])</f>
        <v>236.85</v>
      </c>
      <c r="P56" cm="1">
        <f t="array" aca="1" ref="P56" ca="1">_xlfn.XLOOKUP(ChaRSITicker,ListTickers,Tab1Price[Price10])</f>
        <v>236.85</v>
      </c>
      <c r="Q56" cm="1">
        <f t="array" aca="1" ref="Q56" ca="1">_xlfn.XLOOKUP(ChaRSITicker,ListTickers,Tab1Price[Price11])</f>
        <v>242</v>
      </c>
      <c r="R56" cm="1">
        <f t="array" aca="1" ref="R56" ca="1">_xlfn.XLOOKUP(ChaRSITicker,ListTickers,Tab1Price[Price12])</f>
        <v>233.35</v>
      </c>
      <c r="S56" cm="1">
        <f t="array" aca="1" ref="S56" ca="1">_xlfn.XLOOKUP(ChaRSITicker,ListTickers,Tab1Price[Price13])</f>
        <v>235.55</v>
      </c>
      <c r="T56" cm="1">
        <f t="array" aca="1" ref="T56" ca="1">_xlfn.XLOOKUP(ChaRSITicker,ListTickers,Tab1Price[Price14])</f>
        <v>234.1</v>
      </c>
      <c r="U56" cm="1">
        <f t="array" aca="1" ref="U56" ca="1">_xlfn.XLOOKUP(ChaRSITicker,ListTickers,Tab1Price[Price15])</f>
        <v>225.85</v>
      </c>
      <c r="V56" cm="1">
        <f t="array" aca="1" ref="V56" ca="1">_xlfn.XLOOKUP(ChaRSITicker,ListTickers,Tab1Price[Price16])</f>
        <v>226.05</v>
      </c>
      <c r="W56" cm="1">
        <f t="array" aca="1" ref="W56" ca="1">_xlfn.XLOOKUP(ChaRSITicker,ListTickers,Tab1Price[Price17])</f>
        <v>227.95</v>
      </c>
      <c r="X56" cm="1">
        <f t="array" aca="1" ref="X56" ca="1">_xlfn.XLOOKUP(ChaRSITicker,ListTickers,Tab1Price[Price18])</f>
        <v>217.95</v>
      </c>
      <c r="Y56" cm="1">
        <f t="array" aca="1" ref="Y56" ca="1">_xlfn.XLOOKUP(ChaRSITicker,ListTickers,Tab1Price[Price19])</f>
        <v>215.65</v>
      </c>
      <c r="Z56" cm="1">
        <f t="array" aca="1" ref="Z56" ca="1">_xlfn.XLOOKUP(ChaRSITicker,ListTickers,Tab1Price[Price20])</f>
        <v>210.2</v>
      </c>
    </row>
    <row r="57" spans="1:26" x14ac:dyDescent="0.3">
      <c r="A57" s="153" t="s">
        <v>195</v>
      </c>
      <c r="B57" s="482">
        <f t="shared" ref="B57" ca="1" si="7">MIN(F57:Z57)</f>
        <v>-4.3868999999999998E-2</v>
      </c>
      <c r="C57" s="482">
        <f t="shared" ref="C57" ca="1" si="8">MAX(F57:Z57)</f>
        <v>3.3124000000000001E-2</v>
      </c>
      <c r="D57" s="483">
        <f ca="1">IFERROR(AVERAGEIF(F57:Y57, "&gt;0"), "")</f>
        <v>9.6615454545454522E-3</v>
      </c>
      <c r="E57" s="153">
        <f ca="1">E58</f>
        <v>120.75836251660428</v>
      </c>
      <c r="F57" s="310" cm="1">
        <f t="array" aca="1" ref="F57" ca="1">_xlfn.XLOOKUP(ChaChaTicker,ListTickers,Tab1ChangePercent[Change%0])</f>
        <v>2.5300000000000001E-3</v>
      </c>
      <c r="G57" s="310" cm="1">
        <f t="array" aca="1" ref="G57" ca="1">_xlfn.XLOOKUP(ChaChaTicker,ListTickers,Tab1ChangePercent[Change%1])</f>
        <v>8.4099999999999995E-4</v>
      </c>
      <c r="H57" s="310" cm="1">
        <f t="array" aca="1" ref="H57" ca="1">_xlfn.XLOOKUP(ChaChaTicker,ListTickers,Tab1ChangePercent[Change%2])</f>
        <v>3.6870000000000002E-3</v>
      </c>
      <c r="I57" s="310" cm="1">
        <f t="array" aca="1" ref="I57" ca="1">_xlfn.XLOOKUP(ChaChaTicker,ListTickers,Tab1ChangePercent[Change%3])</f>
        <v>5.6179999999999997E-3</v>
      </c>
      <c r="J57" s="310" cm="1">
        <f t="array" aca="1" ref="J57" ca="1">_xlfn.XLOOKUP(ChaChaTicker,ListTickers,Tab1ChangePercent[Change%4])</f>
        <v>6.4459999999999995E-3</v>
      </c>
      <c r="K57" s="310" cm="1">
        <f t="array" aca="1" ref="K57" ca="1">_xlfn.XLOOKUP(ChaChaTicker,ListTickers,Tab1ChangePercent[Change%5])</f>
        <v>-4.2699999999999995E-3</v>
      </c>
      <c r="L57" s="310" cm="1">
        <f t="array" aca="1" ref="L57" ca="1">_xlfn.XLOOKUP(ChaChaTicker,ListTickers,Tab1ChangePercent[Change%6])</f>
        <v>-9.6480000000000003E-3</v>
      </c>
      <c r="M57" s="310" cm="1">
        <f t="array" aca="1" ref="M57" ca="1">_xlfn.XLOOKUP(ChaChaTicker,ListTickers,Tab1ChangePercent[Change%7])</f>
        <v>3.3124000000000001E-2</v>
      </c>
      <c r="N57" s="310" cm="1">
        <f t="array" aca="1" ref="N57" ca="1">_xlfn.XLOOKUP(ChaChaTicker,ListTickers,Tab1ChangePercent[Change%8])</f>
        <v>7.5439999999999995E-3</v>
      </c>
      <c r="O57" s="310" cm="1">
        <f t="array" aca="1" ref="O57" ca="1">_xlfn.XLOOKUP(ChaChaTicker,ListTickers,Tab1ChangePercent[Change%9])</f>
        <v>-1.4766999999999999E-2</v>
      </c>
      <c r="P57" s="310" cm="1">
        <f t="array" aca="1" ref="P57" ca="1">_xlfn.XLOOKUP(ChaChaTicker,ListTickers,Tab1ChangePercent[Change%10])</f>
        <v>-1.4766999999999999E-2</v>
      </c>
      <c r="Q57" s="310" cm="1">
        <f t="array" aca="1" ref="Q57" ca="1">_xlfn.XLOOKUP(ChaChaTicker,ListTickers,Tab1ChangePercent[Change%11])</f>
        <v>2.1743999999999999E-2</v>
      </c>
      <c r="R57" s="310" cm="1">
        <f t="array" aca="1" ref="R57" ca="1">_xlfn.XLOOKUP(ChaChaTicker,ListTickers,Tab1ChangePercent[Change%12])</f>
        <v>-3.5743999999999998E-2</v>
      </c>
      <c r="S57" s="310" cm="1">
        <f t="array" aca="1" ref="S57" ca="1">_xlfn.XLOOKUP(ChaChaTicker,ListTickers,Tab1ChangePercent[Change%13])</f>
        <v>9.4279999999999989E-3</v>
      </c>
      <c r="T57" s="310" cm="1">
        <f t="array" aca="1" ref="T57" ca="1">_xlfn.XLOOKUP(ChaChaTicker,ListTickers,Tab1ChangePercent[Change%14])</f>
        <v>-6.156E-3</v>
      </c>
      <c r="U57" s="310" cm="1">
        <f t="array" aca="1" ref="U57" ca="1">_xlfn.XLOOKUP(ChaChaTicker,ListTickers,Tab1ChangePercent[Change%15])</f>
        <v>6.9099999999999995E-3</v>
      </c>
      <c r="V57" s="310" cm="1">
        <f t="array" aca="1" ref="V57" ca="1">_xlfn.XLOOKUP(ChaChaTicker,ListTickers,Tab1ChangePercent[Change%16])</f>
        <v>-1.2235000000000001E-2</v>
      </c>
      <c r="W57" s="310" cm="1">
        <f t="array" aca="1" ref="W57" ca="1">_xlfn.XLOOKUP(ChaChaTicker,ListTickers,Tab1ChangePercent[Change%17])</f>
        <v>8.405000000000001E-3</v>
      </c>
      <c r="X57" s="310" cm="1">
        <f t="array" aca="1" ref="X57" ca="1">_xlfn.XLOOKUP(ChaChaTicker,ListTickers,Tab1ChangePercent[Change%18])</f>
        <v>-4.3868999999999998E-2</v>
      </c>
      <c r="Y57" s="310" cm="1">
        <f t="array" aca="1" ref="Y57" ca="1">_xlfn.XLOOKUP(ChaChaTicker,ListTickers,Tab1ChangePercent[Change%19])</f>
        <v>-1.0553E-2</v>
      </c>
      <c r="Z57" s="310" cm="1">
        <f t="array" aca="1" ref="Z57" ca="1">_xlfn.XLOOKUP(ChaChaTicker,ListTickers,Tab1ChangePercent[Change%20])</f>
        <v>-4.2630000000000003E-3</v>
      </c>
    </row>
    <row r="58" spans="1:26" x14ac:dyDescent="0.3">
      <c r="A58" s="153" t="s">
        <v>544</v>
      </c>
      <c r="B58" s="482">
        <f t="shared" ref="B58" ca="1" si="9">MIN(F58:Z58)</f>
        <v>0.15718001402410189</v>
      </c>
      <c r="C58" s="482">
        <f t="shared" ref="C58" ca="1" si="10">MAX(F58:Z58)</f>
        <v>4</v>
      </c>
      <c r="D58" s="483">
        <f ca="1">IFERROR(AVERAGEIF(F58:Y58, "&gt;0"), "")</f>
        <v>1.2545222269135179</v>
      </c>
      <c r="E58" s="153">
        <f ca="1">C58/C57</f>
        <v>120.75836251660428</v>
      </c>
      <c r="F58" s="90" cm="1">
        <f t="array" aca="1" ref="F58" ca="1">_xlfn.XLOOKUP(ChaChaTicker,ListTickers,Tab2Agiotage[XAgio0])</f>
        <v>0.78926746602173248</v>
      </c>
      <c r="G58" s="90" cm="1">
        <f t="array" aca="1" ref="G58" ca="1">_xlfn.XLOOKUP(ChaRSITicker,ListTickers,Tab2Free2[Price_R_1])</f>
        <v>4</v>
      </c>
      <c r="H58" s="90" cm="1">
        <f t="array" aca="1" ref="H58" ca="1">_xlfn.XLOOKUP(ChaRSITicker,ListTickers,Tab2Agiotage[XAgio2])</f>
        <v>0.65498967042905398</v>
      </c>
      <c r="I58" s="90" cm="1">
        <f t="array" aca="1" ref="I58" ca="1">_xlfn.XLOOKUP(ChaRSITicker,ListTickers,Tab2Agiotage[XAgio3])</f>
        <v>1.1919431065487109</v>
      </c>
      <c r="J58" s="90" cm="1">
        <f t="array" aca="1" ref="J58" ca="1">_xlfn.XLOOKUP(ChaRSITicker,ListTickers,Tab2Agiotage[XAgio4])</f>
        <v>0.97916485351189575</v>
      </c>
      <c r="K58" s="90" cm="1">
        <f t="array" aca="1" ref="K58" ca="1">_xlfn.XLOOKUP(ChaRSITicker,ListTickers,Tab2Agiotage[XAgio5])</f>
        <v>1.035415409827209</v>
      </c>
      <c r="L58" s="90" cm="1">
        <f t="array" aca="1" ref="L58" ca="1">_xlfn.XLOOKUP(ChaRSITicker,ListTickers,Tab2Agiotage[XAgio6])</f>
        <v>1.0497599001618751</v>
      </c>
      <c r="M58" s="90" cm="1">
        <f t="array" aca="1" ref="M58" ca="1">_xlfn.XLOOKUP(ChaRSITicker,ListTickers,Tab2Agiotage[XAgio7])</f>
        <v>1.2601543085273403</v>
      </c>
      <c r="N58" s="90" cm="1">
        <f t="array" aca="1" ref="N58" ca="1">_xlfn.XLOOKUP(ChaRSITicker,ListTickers,Tab2Agiotage[XAgio8])</f>
        <v>1.2221288444286464</v>
      </c>
      <c r="O58" s="90" cm="1">
        <f t="array" aca="1" ref="O58" ca="1">_xlfn.XLOOKUP(ChaRSITicker,ListTickers,Tab2Agiotage[XAgio9])</f>
        <v>1.4835821527107771</v>
      </c>
      <c r="P58" s="90" cm="1">
        <f t="array" aca="1" ref="P58" ca="1">_xlfn.XLOOKUP(ChaRSITicker,ListTickers,Tab2Agiotage[XAgio10])</f>
        <v>1.4835821527107771</v>
      </c>
      <c r="Q58" s="90" cm="1">
        <f t="array" aca="1" ref="Q58" ca="1">_xlfn.XLOOKUP(ChaRSITicker,ListTickers,Tab2Agiotage[XAgio11])</f>
        <v>2.6649710633079384</v>
      </c>
      <c r="R58" s="90" cm="1">
        <f t="array" aca="1" ref="R58" ca="1">_xlfn.XLOOKUP(ChaRSITicker,ListTickers,Tab2Agiotage[XAgio12])</f>
        <v>1.514105482432194</v>
      </c>
      <c r="S58" s="90" cm="1">
        <f t="array" aca="1" ref="S58" ca="1">_xlfn.XLOOKUP(ChaRSITicker,ListTickers,Tab2Agiotage[XAgio13])</f>
        <v>0.93913206074599198</v>
      </c>
      <c r="T58" s="90" cm="1">
        <f t="array" aca="1" ref="T58" ca="1">_xlfn.XLOOKUP(ChaRSITicker,ListTickers,Tab2Agiotage[XAgio14])</f>
        <v>0.73112677422483752</v>
      </c>
      <c r="U58" s="90" cm="1">
        <f t="array" aca="1" ref="U58" ca="1">_xlfn.XLOOKUP(ChaRSITicker,ListTickers,Tab2Agiotage[XAgio15])</f>
        <v>0.8612364119469329</v>
      </c>
      <c r="V58" s="90" cm="1">
        <f t="array" aca="1" ref="V58" ca="1">_xlfn.XLOOKUP(ChaRSITicker,ListTickers,Tab2Agiotage[XAgio16])</f>
        <v>0.61165650280024886</v>
      </c>
      <c r="W58" s="90" cm="1">
        <f t="array" aca="1" ref="W58" ca="1">_xlfn.XLOOKUP(ChaRSITicker,ListTickers,Tab2Agiotage[XAgio17])</f>
        <v>0.60507338761860219</v>
      </c>
      <c r="X58" s="90" cm="1">
        <f t="array" aca="1" ref="X58" ca="1">_xlfn.XLOOKUP(ChaRSITicker,ListTickers,Tab2Agiotage[XAgio18])</f>
        <v>0.85338166536039561</v>
      </c>
      <c r="Y58" s="90" cm="1">
        <f t="array" aca="1" ref="Y58" ca="1">_xlfn.XLOOKUP(ChaRSITicker,ListTickers,Tab2Agiotage[XAgio19])</f>
        <v>1.1597733249552002</v>
      </c>
      <c r="Z58" s="90" cm="1">
        <f t="array" aca="1" ref="Z58" ca="1">_xlfn.XLOOKUP(ChaRSITicker,ListTickers,Tab2Agiotage[XAgio20])</f>
        <v>0.15718001402410189</v>
      </c>
    </row>
    <row r="59" spans="1:26" x14ac:dyDescent="0.3">
      <c r="A59" s="153" t="s">
        <v>662</v>
      </c>
      <c r="B59" s="153"/>
      <c r="C59" s="153"/>
      <c r="D59" s="153"/>
      <c r="E59" s="153"/>
      <c r="F59" cm="1">
        <f t="array" aca="1" ref="F59" ca="1">_xlfn.XLOOKUP(ChaChaTicker,ListTickers,Tab2RSIConventional[RSIConv0])</f>
        <v>60</v>
      </c>
      <c r="G59" cm="1">
        <f t="array" aca="1" ref="G59" ca="1">_xlfn.XLOOKUP(ChaRSITicker,ListTickers,Tab2RSIConventional[RSIConv1])</f>
        <v>59</v>
      </c>
      <c r="H59" cm="1">
        <f t="array" aca="1" ref="H59" ca="1">_xlfn.XLOOKUP(ChaRSITicker,ListTickers,Tab2RSIConventional[RSIConv2])</f>
        <v>64</v>
      </c>
      <c r="I59" cm="1">
        <f t="array" aca="1" ref="I59" ca="1">_xlfn.XLOOKUP(ChaRSITicker,ListTickers,Tab2RSIConventional[RSIConv3])</f>
        <v>67</v>
      </c>
      <c r="J59" cm="1">
        <f t="array" aca="1" ref="J59" ca="1">_xlfn.XLOOKUP(ChaRSITicker,ListTickers,Tab2RSIConventional[RSIConv4])</f>
        <v>67</v>
      </c>
      <c r="K59" cm="1">
        <f t="array" aca="1" ref="K59" ca="1">_xlfn.XLOOKUP(ChaRSITicker,ListTickers,Tab2RSIConventional[RSIConv5])</f>
        <v>68</v>
      </c>
      <c r="L59" cm="1">
        <f t="array" aca="1" ref="L59" ca="1">_xlfn.XLOOKUP(ChaRSITicker,ListTickers,Tab2RSIConventional[RSIConv6])</f>
        <v>66</v>
      </c>
      <c r="M59" cm="1">
        <f t="array" aca="1" ref="M59" ca="1">_xlfn.XLOOKUP(ChaRSITicker,ListTickers,Tab2RSIConventional[RSIConv7])</f>
        <v>59</v>
      </c>
      <c r="N59" cm="1">
        <f t="array" aca="1" ref="N59" ca="1">_xlfn.XLOOKUP(ChaRSITicker,ListTickers,Tab2RSIConventional[RSIConv8])</f>
        <v>56</v>
      </c>
      <c r="O59" cm="1">
        <f t="array" aca="1" ref="O59" ca="1">_xlfn.XLOOKUP(ChaRSITicker,ListTickers,Tab2RSIConventional[RSIConv9])</f>
        <v>49</v>
      </c>
      <c r="P59" cm="1">
        <f t="array" aca="1" ref="P59" ca="1">_xlfn.XLOOKUP(ChaRSITicker,ListTickers,Tab2RSIConventional[RSIConv10])</f>
        <v>44</v>
      </c>
      <c r="Q59" cm="1">
        <f t="array" aca="1" ref="Q59" ca="1">_xlfn.XLOOKUP(ChaRSITicker,ListTickers,Tab2RSIConventional[RSIConv11])</f>
        <v>32</v>
      </c>
      <c r="R59" cm="1">
        <f t="array" aca="1" ref="R59" ca="1">_xlfn.XLOOKUP(ChaRSITicker,ListTickers,Tab2RSIConventional[RSIConv12])</f>
        <v>30</v>
      </c>
      <c r="S59" cm="1">
        <f t="array" aca="1" ref="S59" ca="1">_xlfn.XLOOKUP(ChaRSITicker,ListTickers,Tab2RSIConventional[RSIConv13])</f>
        <v>30</v>
      </c>
      <c r="T59" cm="1">
        <f t="array" aca="1" ref="T59" ca="1">_xlfn.XLOOKUP(ChaRSITicker,ListTickers,Tab2RSIConventional[RSIConv14])</f>
        <v>33</v>
      </c>
      <c r="U59" cm="1">
        <f t="array" aca="1" ref="U59" ca="1">_xlfn.XLOOKUP(ChaRSITicker,ListTickers,Tab2RSIConventional[RSIConv15])</f>
        <v>32</v>
      </c>
      <c r="V59" cm="1">
        <f t="array" aca="1" ref="V59" ca="1">_xlfn.XLOOKUP(ChaRSITicker,ListTickers,Tab2RSIConventional[RSIConv16])</f>
        <v>16</v>
      </c>
      <c r="W59" cm="1">
        <f t="array" aca="1" ref="W59" ca="1">_xlfn.XLOOKUP(ChaRSITicker,ListTickers,Tab2RSIConventional[RSIConv17])</f>
        <v>9</v>
      </c>
      <c r="X59" cm="1">
        <f t="array" aca="1" ref="X59" ca="1">_xlfn.XLOOKUP(ChaRSITicker,ListTickers,Tab2RSIConventional[RSIConv18])</f>
        <v>8</v>
      </c>
      <c r="Y59" cm="1">
        <f t="array" aca="1" ref="Y59" ca="1">_xlfn.XLOOKUP(ChaRSITicker,ListTickers,Tab2RSIConventional[RSIConv19])</f>
        <v>17</v>
      </c>
      <c r="Z59" cm="1">
        <f t="array" aca="1" ref="Z59" ca="1">_xlfn.XLOOKUP(ChaRSITicker,ListTickers,Tab2RSIConventional[RSIConv20])</f>
        <v>17</v>
      </c>
    </row>
    <row r="60" spans="1:26" x14ac:dyDescent="0.3">
      <c r="A60" s="153"/>
      <c r="B60" s="153"/>
      <c r="C60" s="153"/>
      <c r="D60" s="153"/>
      <c r="E60" s="481">
        <v>1</v>
      </c>
      <c r="F60" s="221">
        <f t="shared" ref="F60:Z60" ca="1" si="11">$E58</f>
        <v>120.75836251660428</v>
      </c>
      <c r="G60" s="221">
        <f t="shared" ca="1" si="11"/>
        <v>120.75836251660428</v>
      </c>
      <c r="H60" s="221">
        <f t="shared" ca="1" si="11"/>
        <v>120.75836251660428</v>
      </c>
      <c r="I60" s="221">
        <f t="shared" ca="1" si="11"/>
        <v>120.75836251660428</v>
      </c>
      <c r="J60" s="221">
        <f t="shared" ca="1" si="11"/>
        <v>120.75836251660428</v>
      </c>
      <c r="K60" s="221">
        <f t="shared" ca="1" si="11"/>
        <v>120.75836251660428</v>
      </c>
      <c r="L60" s="221">
        <f t="shared" ca="1" si="11"/>
        <v>120.75836251660428</v>
      </c>
      <c r="M60" s="221">
        <f t="shared" ca="1" si="11"/>
        <v>120.75836251660428</v>
      </c>
      <c r="N60" s="221">
        <f t="shared" ca="1" si="11"/>
        <v>120.75836251660428</v>
      </c>
      <c r="O60" s="221">
        <f t="shared" ca="1" si="11"/>
        <v>120.75836251660428</v>
      </c>
      <c r="P60" s="221">
        <f t="shared" ca="1" si="11"/>
        <v>120.75836251660428</v>
      </c>
      <c r="Q60" s="221">
        <f t="shared" ca="1" si="11"/>
        <v>120.75836251660428</v>
      </c>
      <c r="R60" s="221">
        <f t="shared" ca="1" si="11"/>
        <v>120.75836251660428</v>
      </c>
      <c r="S60" s="221">
        <f t="shared" ca="1" si="11"/>
        <v>120.75836251660428</v>
      </c>
      <c r="T60" s="221">
        <f t="shared" ca="1" si="11"/>
        <v>120.75836251660428</v>
      </c>
      <c r="U60" s="221">
        <f t="shared" ca="1" si="11"/>
        <v>120.75836251660428</v>
      </c>
      <c r="V60" s="221">
        <f t="shared" ca="1" si="11"/>
        <v>120.75836251660428</v>
      </c>
      <c r="W60" s="221">
        <f t="shared" ca="1" si="11"/>
        <v>120.75836251660428</v>
      </c>
      <c r="X60" s="221">
        <f t="shared" ca="1" si="11"/>
        <v>120.75836251660428</v>
      </c>
      <c r="Y60" s="221">
        <f t="shared" ca="1" si="11"/>
        <v>120.75836251660428</v>
      </c>
      <c r="Z60" s="221">
        <f t="shared" ca="1" si="11"/>
        <v>120.75836251660428</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45978</v>
      </c>
    </row>
    <row r="3" spans="1:16" x14ac:dyDescent="0.3">
      <c r="A3" s="62">
        <f ca="1">TODAY()</f>
        <v>45978</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45977</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45976</v>
      </c>
      <c r="B5" s="72" t="str" cm="1">
        <f t="array" aca="1" ref="B5" ca="1">IFERROR(_xlfn.TEXTJOIN(", ", TRUE, _xlfn._xlws.FILTER(MSG!C$5:C$98, MSG!B$5:B$98=A5)),"")</f>
        <v/>
      </c>
      <c r="D5" s="71"/>
      <c r="E5" s="72"/>
      <c r="G5" s="71"/>
      <c r="H5" s="72"/>
      <c r="J5" s="71"/>
      <c r="K5" s="72"/>
      <c r="M5" s="71"/>
      <c r="N5" s="72"/>
      <c r="P5" s="71"/>
    </row>
    <row r="6" spans="1:16" x14ac:dyDescent="0.3">
      <c r="A6" s="62">
        <f t="shared" ca="1" si="0"/>
        <v>45975</v>
      </c>
      <c r="B6" s="73" t="str" cm="1">
        <f t="array" aca="1" ref="B6" ca="1">IFERROR(_xlfn.TEXTJOIN(", ", TRUE, _xlfn._xlws.FILTER(MSG!C$5:C$98, MSG!B$5:B$98=A6)),"")</f>
        <v/>
      </c>
      <c r="D6" s="71"/>
      <c r="E6" s="73"/>
      <c r="G6" s="71"/>
      <c r="H6" s="73"/>
      <c r="J6" s="71"/>
      <c r="K6" s="73"/>
      <c r="M6" s="71"/>
      <c r="N6" s="73"/>
      <c r="P6" s="71"/>
    </row>
    <row r="7" spans="1:16" x14ac:dyDescent="0.3">
      <c r="A7" s="62">
        <f t="shared" ca="1" si="0"/>
        <v>45974</v>
      </c>
      <c r="B7" s="74" t="str" cm="1">
        <f t="array" aca="1" ref="B7" ca="1">IFERROR(_xlfn.TEXTJOIN(", ", TRUE, _xlfn._xlws.FILTER(MSG!C$5:C$98, MSG!B$5:B$98=A7)),"")</f>
        <v/>
      </c>
      <c r="D7" s="71"/>
      <c r="E7" s="74"/>
      <c r="G7" s="71"/>
      <c r="H7" s="74"/>
      <c r="J7" s="71"/>
      <c r="K7" s="74"/>
      <c r="M7" s="71"/>
      <c r="N7" s="74"/>
      <c r="P7" s="71"/>
    </row>
    <row r="8" spans="1:16" x14ac:dyDescent="0.3">
      <c r="A8" s="62">
        <f t="shared" ca="1" si="0"/>
        <v>45973</v>
      </c>
      <c r="B8" s="75" t="str" cm="1">
        <f t="array" aca="1" ref="B8" ca="1">IFERROR(_xlfn.TEXTJOIN(", ", TRUE, _xlfn._xlws.FILTER(MSG!C$5:C$98, MSG!B$5:B$98=A8)),"")</f>
        <v/>
      </c>
      <c r="D8" s="71"/>
      <c r="E8" s="75"/>
      <c r="G8" s="71"/>
      <c r="H8" s="75"/>
      <c r="J8" s="71"/>
      <c r="K8" s="75"/>
      <c r="M8" s="71"/>
      <c r="N8" s="75"/>
      <c r="P8" s="71"/>
    </row>
    <row r="9" spans="1:16" x14ac:dyDescent="0.3">
      <c r="A9" s="62">
        <f t="shared" ca="1" si="0"/>
        <v>45972</v>
      </c>
      <c r="B9" s="76" t="str" cm="1">
        <f t="array" aca="1" ref="B9" ca="1">IFERROR(_xlfn.TEXTJOIN(", ", TRUE, _xlfn._xlws.FILTER(MSG!C$5:C$98, MSG!B$5:B$98=A9)),"")</f>
        <v/>
      </c>
      <c r="D9" s="71"/>
      <c r="E9" s="76"/>
      <c r="G9" s="71"/>
      <c r="H9" s="76"/>
      <c r="J9" s="71"/>
      <c r="K9" s="76"/>
      <c r="M9" s="71"/>
      <c r="N9" s="76"/>
      <c r="P9" s="71"/>
    </row>
    <row r="10" spans="1:16" x14ac:dyDescent="0.3">
      <c r="A10" s="62">
        <f t="shared" ca="1" si="0"/>
        <v>45971</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45970</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45969</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45968</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45967</v>
      </c>
      <c r="B14" s="78" t="str" cm="1">
        <f t="array" aca="1" ref="B14" ca="1">IFERROR(_xlfn.TEXTJOIN(", ", TRUE, _xlfn._xlws.FILTER(MSG!C$5:C$98, MSG!B$5:B$98=A14)),"")</f>
        <v>Markov 47% to go Up: and it did it!</v>
      </c>
      <c r="D14" s="71"/>
      <c r="E14" s="78"/>
      <c r="G14" s="71"/>
      <c r="H14" s="78"/>
      <c r="J14" s="71"/>
      <c r="K14" s="78"/>
      <c r="M14" s="71"/>
      <c r="N14" s="78"/>
      <c r="P14" s="71"/>
    </row>
    <row r="15" spans="1:16" x14ac:dyDescent="0.3">
      <c r="A15" s="62">
        <f t="shared" ca="1" si="0"/>
        <v>45966</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45965</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45964</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45963</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45962</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45961</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45960</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45959</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45958</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45957</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45956</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45955</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45954</v>
      </c>
      <c r="B27" s="78" t="str" cm="1">
        <f t="array" aca="1" ref="B27" ca="1">IFERROR(_xlfn.TEXTJOIN(", ", TRUE, _xlfn._xlws.FILTER(MSG!C$5:C$98, MSG!B$5:B$98=A27)),"")</f>
        <v>4000(begin 250): HOLD; V^33%, Earning report 10/29, ^^=, Earning report 10/29, ^^^38%, Earning report 10/29, ^^^42%</v>
      </c>
      <c r="D27" s="71"/>
      <c r="E27" s="78"/>
      <c r="G27" s="71"/>
      <c r="H27" s="78"/>
      <c r="J27" s="71"/>
      <c r="K27" s="78"/>
      <c r="M27" s="71"/>
      <c r="N27" s="78"/>
      <c r="P27" s="71"/>
    </row>
    <row r="28" spans="1:16" x14ac:dyDescent="0.3">
      <c r="A28" s="62">
        <f t="shared" ca="1" si="0"/>
        <v>45953</v>
      </c>
      <c r="B28" s="78" t="str" cm="1">
        <f t="array" aca="1" ref="B28" ca="1">IFERROR(_xlfn.TEXTJOIN(", ", TRUE, _xlfn._xlws.FILTER(MSG!C$5:C$98, MSG!B$5:B$98=A28)),"")</f>
        <v>C^A^U33%?, SAFASML: Re-Purchase (888, going do</v>
      </c>
      <c r="D28" s="71"/>
      <c r="E28" s="78"/>
      <c r="G28" s="71"/>
      <c r="H28" s="78"/>
      <c r="J28" s="71"/>
      <c r="K28" s="78"/>
      <c r="M28" s="71"/>
      <c r="N28" s="78"/>
      <c r="P28" s="71"/>
    </row>
    <row r="29" spans="1:16" x14ac:dyDescent="0.3">
      <c r="A29" s="62">
        <f t="shared" ca="1" si="0"/>
        <v>45952</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45951</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45950</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45949</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45948</v>
      </c>
      <c r="B33" s="78" t="str" cm="1">
        <f t="array" aca="1" ref="B33" ca="1">IFERROR(_xlfn.TEXTJOIN(", ", TRUE, _xlfn._xlws.FILTER(MSG!C$5:C$98, MSG!B$5:B$98=A33)),"")</f>
        <v/>
      </c>
      <c r="D33" s="71"/>
      <c r="E33" s="78"/>
      <c r="G33" s="71"/>
      <c r="H33" s="78"/>
      <c r="J33" s="71"/>
      <c r="K33" s="78"/>
      <c r="M33" s="71"/>
      <c r="N33" s="78"/>
      <c r="P33" s="71"/>
    </row>
    <row r="34" spans="1:16" x14ac:dyDescent="0.3">
      <c r="A34" s="62">
        <f t="shared" ca="1" si="0"/>
        <v>45947</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45946</v>
      </c>
      <c r="B35" s="78" t="str" cm="1">
        <f t="array" aca="1" ref="B35" ca="1">IFERROR(_xlfn.TEXTJOIN(", ", TRUE, _xlfn._xlws.FILTER(MSG!C$5:C$98, MSG!B$5:B$98=A35)),"")</f>
        <v>FROM 61.30 to 60.60 to 60.10 VV</v>
      </c>
      <c r="D35" s="71"/>
      <c r="E35" s="78"/>
      <c r="G35" s="71"/>
      <c r="H35" s="78"/>
      <c r="J35" s="71"/>
      <c r="K35" s="78"/>
      <c r="M35" s="71"/>
      <c r="N35" s="78"/>
      <c r="P35" s="71"/>
    </row>
    <row r="36" spans="1:16" x14ac:dyDescent="0.3">
      <c r="A36" s="62">
        <f t="shared" ca="1" si="0"/>
        <v>45945</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45944</v>
      </c>
      <c r="B37" s="78" t="str" cm="1">
        <f t="array" aca="1" ref="B37" ca="1">IFERROR(_xlfn.TEXTJOIN(", ", TRUE, _xlfn._xlws.FILTER(MSG!C$5:C$98, MSG!B$5:B$98=A37)),"")</f>
        <v>(0.5%:78%)@257.75:(96=24,744@M: 257.745)&gt;UpMark 57%: CONTINUE V</v>
      </c>
      <c r="D37" s="71"/>
      <c r="E37" s="78"/>
      <c r="G37" s="71"/>
      <c r="H37" s="78"/>
      <c r="J37" s="71"/>
      <c r="K37" s="78"/>
      <c r="M37" s="71"/>
      <c r="N37" s="78"/>
      <c r="P37" s="71"/>
    </row>
    <row r="38" spans="1:16" x14ac:dyDescent="0.3">
      <c r="A38" s="62">
        <f t="shared" ca="1" si="0"/>
        <v>45943</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45942</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45941</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45940</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45939</v>
      </c>
      <c r="B42" s="78" t="str" cm="1">
        <f t="array" aca="1" ref="B42" ca="1">IFERROR(_xlfn.TEXTJOIN(", ", TRUE, _xlfn._xlws.FILTER(MSG!C$5:C$98, MSG!B$5:B$98=A42)),"")</f>
        <v>C^A^, C^A^(C^A^)2-Oct-25, GL+;C^A^^;58%M^, Completed BuyBack program, ^V;, M&gt;A;53%M^, ^^43%</v>
      </c>
      <c r="D42" s="71"/>
      <c r="E42" s="78"/>
      <c r="G42" s="71"/>
      <c r="H42" s="78"/>
      <c r="J42" s="71"/>
      <c r="K42" s="78"/>
      <c r="M42" s="71"/>
      <c r="N42" s="78"/>
      <c r="P42" s="71"/>
    </row>
    <row r="43" spans="1:16" x14ac:dyDescent="0.3">
      <c r="A43" s="62">
        <f t="shared" ca="1" si="0"/>
        <v>45938</v>
      </c>
      <c r="B43" s="78" t="str" cm="1">
        <f t="array" aca="1" ref="B43" ca="1">IFERROR(_xlfn.TEXTJOIN(", ", TRUE, _xlfn._xlws.FILTER(MSG!C$5:C$98, MSG!B$5:B$98=A43)),"")</f>
        <v>46, C=(23% -2.3%, 1.1%) A=1,400%=&gt;158%, C^A^, 10KX397 (L=405, -391), 62%M^, %M^, Report Nov-6, uptrend               , Low A, H M^, Up37%: wait further fall to buy (530x112.98 bought), C^A^; HOLD, A=2.28; 57%M^, 52High, At loss; buymore at low price (A=24.54), Very high Entry 290 (GL -167K$)</v>
      </c>
      <c r="D43" s="71"/>
      <c r="E43" s="78"/>
      <c r="G43" s="71"/>
      <c r="H43" s="78"/>
      <c r="J43" s="71"/>
      <c r="K43" s="78"/>
      <c r="M43" s="71"/>
      <c r="N43" s="78"/>
      <c r="P43" s="71"/>
    </row>
    <row r="44" spans="1:16" x14ac:dyDescent="0.3">
      <c r="A44" s="62">
        <f t="shared" ca="1" si="0"/>
        <v>45937</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45936</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45935</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45934</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45933</v>
      </c>
      <c r="B48" s="78" t="str" cm="1">
        <f t="array" aca="1" ref="B48" ca="1">IFERROR(_xlfn.TEXTJOIN(", ", TRUE, _xlfn._xlws.FILTER(MSG!C$5:C$98, MSG!B$5:B$98=A48)),"")</f>
        <v>See 1YT, High 1YT, Keep climbing, To climb because of the new product, high volatility, keeps 3/10</v>
      </c>
      <c r="D48" s="71"/>
      <c r="E48" s="78"/>
      <c r="G48" s="71"/>
      <c r="H48" s="78"/>
      <c r="J48" s="71"/>
      <c r="K48" s="78"/>
      <c r="M48" s="71"/>
      <c r="N48" s="78"/>
      <c r="P48" s="71"/>
    </row>
    <row r="49" spans="1:16" x14ac:dyDescent="0.3">
      <c r="A49" s="62">
        <f t="shared" ca="1" si="0"/>
        <v>45932</v>
      </c>
      <c r="B49" s="78" t="str" cm="1">
        <f t="array" aca="1" ref="B49" ca="1">IFERROR(_xlfn.TEXTJOIN(", ", TRUE, _xlfn._xlws.FILTER(MSG!C$5:C$98, MSG!B$5:B$98=A49)),"")</f>
        <v xml:space="preserve">To climb because of the new product, high volatility, keeps 3/10, RWE: Wait re-purchase for gain GT  , ENI: Sell 2,000 from .002,wait 15.2, GS: 0                              , JBEOAN: 0                          </v>
      </c>
      <c r="D49" s="71"/>
      <c r="E49" s="78"/>
      <c r="G49" s="71"/>
      <c r="H49" s="78"/>
      <c r="J49" s="71"/>
      <c r="K49" s="78"/>
      <c r="M49" s="71"/>
      <c r="N49" s="78"/>
      <c r="P49" s="71"/>
    </row>
    <row r="50" spans="1:16" x14ac:dyDescent="0.3">
      <c r="A50" s="62">
        <f t="shared" ca="1" si="0"/>
        <v>45931</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45930</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45929</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45928</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45927</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45926</v>
      </c>
      <c r="B55" s="78" t="str" cm="1">
        <f t="array" aca="1" ref="B55" ca="1">IFERROR(_xlfn.TEXTJOIN(", ", TRUE, _xlfn._xlws.FILTER(MSG!C$5:C$98, MSG!B$5:B$98=A55)),"")</f>
        <v>Low Agio: trend down?, -1%/65%@28.49:(508=14472); RSI shows inflexion point +2k bought, Stable Climbing, very low Agio, LAZR: 0                            , RRC: Wait further fall ti buy back/</v>
      </c>
      <c r="D55" s="71"/>
      <c r="E55" s="78"/>
      <c r="G55" s="71"/>
      <c r="H55" s="78"/>
      <c r="J55" s="71"/>
      <c r="K55" s="78"/>
      <c r="M55" s="71"/>
      <c r="N55" s="78"/>
      <c r="P55" s="71"/>
    </row>
    <row r="56" spans="1:16" x14ac:dyDescent="0.3">
      <c r="A56" s="62">
        <f t="shared" ca="1" si="0"/>
        <v>45925</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45924</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45923</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45922</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45921</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45920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45978.502978472221</v>
      </c>
      <c r="D4" s="5"/>
      <c r="F4" s="3"/>
    </row>
    <row r="5" spans="1:8" x14ac:dyDescent="0.3">
      <c r="A5" t="s">
        <v>93</v>
      </c>
      <c r="B5" s="6">
        <f ca="1">TODAY()</f>
        <v>45978</v>
      </c>
      <c r="F5" s="7" t="s">
        <v>94</v>
      </c>
      <c r="G5" s="7" t="str">
        <f ca="1">IF((NOW()-TODAY()-TIME(9,0,0))-ACETZoneShift&lt;0,"Yesterday",NOW()-TODAY()-TIME(9,0,0)-ACETZoneShift)&amp;" CET"</f>
        <v>0.0863118055543358 CET</v>
      </c>
    </row>
    <row r="6" spans="1:8" ht="23" thickBot="1" x14ac:dyDescent="0.35">
      <c r="A6" t="s">
        <v>652</v>
      </c>
      <c r="B6" s="8">
        <f ca="1">NOW()-TODAY()</f>
        <v>0.50297847222100245</v>
      </c>
      <c r="C6" t="s">
        <v>95</v>
      </c>
      <c r="E6" t="s">
        <v>96</v>
      </c>
      <c r="F6" s="9">
        <f ca="1">NOW()</f>
        <v>45978.502978472221</v>
      </c>
      <c r="G6" s="9">
        <f ca="1">NOW()-TODAY()-ACETZoneShift+1</f>
        <v>1.4613118055543357</v>
      </c>
    </row>
    <row r="7" spans="1:8" x14ac:dyDescent="0.3">
      <c r="A7" t="s">
        <v>97</v>
      </c>
      <c r="B7" s="8">
        <f ca="1">IF(NOW()-TODAY()-ACETZoneShift&lt;0,NOW()-TODAY()-ACETZoneShift+1,NOW()-TODAY()-ACETZoneShift)</f>
        <v>0.46131180555433576</v>
      </c>
      <c r="C7" t="s">
        <v>98</v>
      </c>
      <c r="D7" s="10">
        <f ca="1">[1]DataRT!$E$22</f>
        <v>45938.992447279685</v>
      </c>
      <c r="E7"/>
      <c r="F7" s="3"/>
    </row>
    <row r="8" spans="1:8" x14ac:dyDescent="0.3">
      <c r="A8" t="s">
        <v>99</v>
      </c>
      <c r="B8" s="8">
        <f ca="1">IF(ACET-TIME(1,0,0)&lt;0,ACET-TIME(1,0,0)+TIME(23,0,0),ACET-TIME(1,0,0))</f>
        <v>0.41964513888766908</v>
      </c>
      <c r="C8" t="s">
        <v>100</v>
      </c>
      <c r="D8" s="10">
        <f ca="1">NOW()-ALastTimeEoan-ACETZoneShift</f>
        <v>39.468864641608285</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45978.375</v>
      </c>
      <c r="E11" s="15"/>
      <c r="F11" s="7"/>
      <c r="G11" s="15"/>
      <c r="H11" s="13"/>
    </row>
    <row r="12" spans="1:8" x14ac:dyDescent="0.3">
      <c r="A12" s="16" t="s">
        <v>104</v>
      </c>
      <c r="B12" s="8"/>
      <c r="C12" t="s">
        <v>105</v>
      </c>
      <c r="D12" s="17">
        <f ca="1">B4-D11</f>
        <v>0.12797847222100245</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0.46131180555433576</v>
      </c>
    </row>
    <row r="17" spans="1:8" x14ac:dyDescent="0.3">
      <c r="A17" s="12" t="s">
        <v>107</v>
      </c>
      <c r="B17" s="13"/>
      <c r="C17" s="13" t="s">
        <v>108</v>
      </c>
      <c r="D17" s="14">
        <f ca="1">TODAY()+TIME(9,0,0)</f>
        <v>45978.375</v>
      </c>
      <c r="E17" s="15"/>
      <c r="F17" s="7"/>
      <c r="G17" s="15"/>
      <c r="H17" s="13"/>
    </row>
    <row r="18" spans="1:8" x14ac:dyDescent="0.3">
      <c r="A18" s="16" t="s">
        <v>109</v>
      </c>
      <c r="C18" t="s">
        <v>105</v>
      </c>
      <c r="D18" s="17">
        <f ca="1">D12</f>
        <v>0.12797847222100245</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0.4136881944432389</v>
      </c>
      <c r="F20" s="7" t="s">
        <v>111</v>
      </c>
      <c r="H20" s="26">
        <f ca="1">ABS(NOW()-F22)</f>
        <v>45977.857145138885</v>
      </c>
    </row>
    <row r="21" spans="1:8" ht="23" thickBot="1" x14ac:dyDescent="0.35">
      <c r="C21" s="27" t="s">
        <v>112</v>
      </c>
      <c r="D21" s="28" t="str">
        <f ca="1">TEXT(D20,"HH:MM")</f>
        <v>09:55</v>
      </c>
      <c r="E21" s="29" t="s">
        <v>113</v>
      </c>
      <c r="F21" s="30">
        <f ca="1">IF(ActTime-CETZoneShift&lt;0,ActTime-TIME(6,0,0)-CETZoneShift+1,ActTime-TIME(6,0,0)-CETZoneShift)</f>
        <v>0.21131180555433579</v>
      </c>
      <c r="G21" s="29" t="s">
        <v>114</v>
      </c>
      <c r="H21" s="23" t="str">
        <f ca="1">TEXT(H20,"HH:MM")</f>
        <v>20:34</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45978.916666666664</v>
      </c>
      <c r="H22" s="13"/>
    </row>
    <row r="23" spans="1:8" x14ac:dyDescent="0.3">
      <c r="A23" s="16" t="s">
        <v>117</v>
      </c>
      <c r="C23" s="130" t="s">
        <v>118</v>
      </c>
      <c r="D23" t="s">
        <v>655</v>
      </c>
      <c r="E23" s="32">
        <f ca="1">ActTime</f>
        <v>0.50297847222100245</v>
      </c>
      <c r="F23" s="32">
        <f ca="1">ActTime</f>
        <v>0.50297847222100245</v>
      </c>
      <c r="G23" s="32">
        <f ca="1">ActTime</f>
        <v>0.50297847222100245</v>
      </c>
    </row>
    <row r="24" spans="1:8" ht="23" thickBot="1" x14ac:dyDescent="0.35">
      <c r="A24" s="16"/>
      <c r="B24" s="11" t="s">
        <v>119</v>
      </c>
      <c r="C24" s="131" t="s">
        <v>120</v>
      </c>
      <c r="D24" t="s">
        <v>656</v>
      </c>
      <c r="E24" s="17">
        <f>TIME(15,30,0)</f>
        <v>0.64583333333333337</v>
      </c>
      <c r="F24" s="17">
        <f>TIME(22,0,0)</f>
        <v>0.91666666666666663</v>
      </c>
      <c r="G24" s="17">
        <f ca="1">TODAY()+1+AOpenPost+TIME(4,0,0)</f>
        <v>91958.083333333328</v>
      </c>
    </row>
    <row r="25" spans="1:8" ht="23" thickBot="1" x14ac:dyDescent="0.35">
      <c r="A25" s="19" t="s">
        <v>121</v>
      </c>
      <c r="B25" s="20"/>
      <c r="C25" s="20"/>
      <c r="D25" s="20" t="s">
        <v>657</v>
      </c>
      <c r="E25" s="128">
        <f>E24-AOpenPre</f>
        <v>0.22916666666666669</v>
      </c>
      <c r="F25" s="128">
        <f>F24-AOpenTrade</f>
        <v>0.27083333333333337</v>
      </c>
      <c r="G25" s="128">
        <f ca="1">G24-AOpenPost</f>
        <v>45979.166666666664</v>
      </c>
      <c r="H25" s="20"/>
    </row>
    <row r="26" spans="1:8" x14ac:dyDescent="0.3">
      <c r="E26" s="18">
        <f ca="1">IF(OR(E23&lt;E22,E23&gt;E24),"Closed",E23/E24)</f>
        <v>0.77880537634219726</v>
      </c>
      <c r="F26" s="18" t="str">
        <f ca="1">IF(OR(ActTimeCET&lt;AOpenTrade,ActTimeCET&gt;AcloseTrade),"Closed",(ActTimeCET-AOpenTrade)/Duration)</f>
        <v>Closed</v>
      </c>
      <c r="G26" s="18" t="str">
        <f ca="1">IF(OR(G23&lt;G22,G23&gt;G24),"Closed",G23/G24)</f>
        <v>Closed</v>
      </c>
    </row>
    <row r="27" spans="1:8" x14ac:dyDescent="0.3">
      <c r="E27" s="33">
        <f ca="1">IF(AND(E23&gt;E22,E23&lt;E24),(E23-AOpenPre)/E25,"CLOSED")</f>
        <v>0.37663333332801058</v>
      </c>
      <c r="F27" s="18" t="str">
        <f ca="1">IFERROR(IF(D9="Weekend","None-Working Day",IF(OR(ActTimeCET&lt;AOpenTrade,ActTimeCET&gt;AcloseTrade),"Closed",(ActTimeCET-AOpenTrade)/Duration)),"Closed")</f>
        <v>Closed</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2025-11-17T11:04:35Z</dcterms:modified>
  <cp:category/>
</cp:coreProperties>
</file>