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E30" i="6" s="1"/>
  <c r="E46" i="6" s="1"/>
  <c r="B16" i="6"/>
  <c r="D72" i="6" s="1"/>
  <c r="C16" i="6"/>
  <c r="C10" i="13"/>
  <c r="C13" i="13"/>
  <c r="D14" i="13"/>
  <c r="D16" i="6"/>
  <c r="E79" i="16"/>
  <c r="K85" i="16"/>
  <c r="E15" i="16"/>
  <c r="Q12" i="16" s="1"/>
  <c r="C9" i="13"/>
  <c r="D9" i="13" s="1"/>
  <c r="C12" i="13"/>
  <c r="D12" i="13" s="1"/>
  <c r="C31" i="13" s="1"/>
  <c r="C11" i="13"/>
  <c r="D11" i="13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3" i="14" s="1"/>
  <c r="D42" i="14" s="1"/>
  <c r="C10" i="14"/>
  <c r="E10" i="14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/>
  <c r="C52" i="13"/>
  <c r="K86" i="16"/>
  <c r="D21" i="12"/>
  <c r="E8" i="16"/>
  <c r="B7" i="16" s="1"/>
  <c r="D30" i="14"/>
  <c r="C43" i="13"/>
  <c r="C45" i="13" s="1"/>
  <c r="C35" i="12" s="1"/>
  <c r="B35" i="12" s="1"/>
  <c r="R32" i="6"/>
  <c r="G18" i="8"/>
  <c r="H11" i="8"/>
  <c r="D10" i="13"/>
  <c r="C29" i="13" s="1"/>
  <c r="F11" i="16"/>
  <c r="D13" i="13"/>
  <c r="D15" i="13" s="1"/>
  <c r="D40" i="14"/>
  <c r="D31" i="14"/>
  <c r="V18" i="8"/>
  <c r="D25" i="14"/>
  <c r="D24" i="14"/>
  <c r="I4" i="12"/>
  <c r="D23" i="14" s="1"/>
  <c r="D16" i="13"/>
  <c r="K84" i="16"/>
  <c r="B79" i="16"/>
  <c r="D39" i="14" l="1"/>
  <c r="E15" i="14"/>
  <c r="D38" i="14"/>
  <c r="D32" i="14"/>
  <c r="E80" i="16"/>
  <c r="Q11" i="16"/>
  <c r="Q10" i="16"/>
  <c r="D37" i="14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U35" i="6"/>
  <c r="J30" i="6"/>
  <c r="J31" i="6" s="1"/>
  <c r="M27" i="6"/>
  <c r="C21" i="6"/>
  <c r="C24" i="6" s="1"/>
  <c r="D22" i="6"/>
  <c r="D26" i="6" s="1"/>
  <c r="I30" i="6"/>
  <c r="I38" i="6" s="1"/>
  <c r="E22" i="6"/>
  <c r="E28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H24" i="6"/>
  <c r="H28" i="6" s="1"/>
  <c r="Q31" i="6"/>
  <c r="I24" i="6"/>
  <c r="I29" i="6" s="1"/>
  <c r="A16" i="6"/>
  <c r="F23" i="6"/>
  <c r="F21" i="6" s="1"/>
  <c r="Y39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25" i="6"/>
  <c r="Z40" i="6"/>
  <c r="X38" i="6"/>
  <c r="G23" i="6"/>
  <c r="G21" i="6" s="1"/>
  <c r="J25" i="6"/>
  <c r="T34" i="6"/>
  <c r="F30" i="6"/>
  <c r="F36" i="6" s="1"/>
  <c r="V36" i="6"/>
  <c r="H30" i="6"/>
  <c r="H4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O29" i="6"/>
  <c r="O28" i="6" s="1"/>
  <c r="O27" i="6" s="1"/>
  <c r="O26" i="6" s="1"/>
  <c r="O25" i="6" s="1"/>
  <c r="O24" i="6" s="1"/>
  <c r="O23" i="6" s="1"/>
  <c r="O22" i="6" s="1"/>
  <c r="O21" i="6" s="1"/>
  <c r="D30" i="6"/>
  <c r="D44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26" i="6"/>
  <c r="S33" i="6"/>
  <c r="P30" i="6"/>
  <c r="AA41" i="6"/>
  <c r="N28" i="6"/>
  <c r="N27" i="6" s="1"/>
  <c r="N26" i="6" s="1"/>
  <c r="N25" i="6" s="1"/>
  <c r="N24" i="6" s="1"/>
  <c r="N23" i="6" s="1"/>
  <c r="N22" i="6" s="1"/>
  <c r="N21" i="6" s="1"/>
  <c r="G30" i="6"/>
  <c r="G40" i="6" s="1"/>
  <c r="D66" i="6"/>
  <c r="A42" i="12"/>
  <c r="B8" i="16"/>
  <c r="C42" i="12" s="1"/>
  <c r="D42" i="12" s="1"/>
  <c r="C53" i="6"/>
  <c r="U19" i="13"/>
  <c r="U30" i="13"/>
  <c r="U20" i="13"/>
  <c r="H8" i="8"/>
  <c r="W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D17" i="13"/>
  <c r="K24" i="13"/>
  <c r="K25" i="13"/>
  <c r="A5" i="14"/>
  <c r="A2" i="14" s="1"/>
  <c r="A118" i="14" s="1"/>
  <c r="B14" i="6"/>
  <c r="E4" i="6"/>
  <c r="F4" i="6" s="1"/>
  <c r="E5" i="6"/>
  <c r="F5" i="6" s="1"/>
  <c r="D64" i="6" s="1"/>
  <c r="D63" i="6"/>
  <c r="E32" i="6"/>
  <c r="J35" i="6"/>
  <c r="J41" i="6"/>
  <c r="E24" i="6"/>
  <c r="E29" i="6"/>
  <c r="E27" i="6"/>
  <c r="E21" i="6"/>
  <c r="F38" i="6"/>
  <c r="D50" i="6"/>
  <c r="E49" i="6"/>
  <c r="J42" i="6"/>
  <c r="J48" i="6"/>
  <c r="J33" i="6"/>
  <c r="E35" i="6"/>
  <c r="G28" i="6"/>
  <c r="G22" i="6"/>
  <c r="J32" i="6"/>
  <c r="C40" i="6"/>
  <c r="G26" i="6"/>
  <c r="J45" i="6"/>
  <c r="J49" i="6"/>
  <c r="E40" i="6"/>
  <c r="E33" i="6"/>
  <c r="E45" i="6"/>
  <c r="E39" i="6"/>
  <c r="E44" i="6"/>
  <c r="E34" i="6"/>
  <c r="E43" i="6"/>
  <c r="E41" i="6"/>
  <c r="F27" i="6"/>
  <c r="E48" i="6"/>
  <c r="E38" i="6"/>
  <c r="E37" i="6"/>
  <c r="E31" i="6"/>
  <c r="E36" i="6"/>
  <c r="E50" i="6"/>
  <c r="E42" i="6"/>
  <c r="E47" i="6"/>
  <c r="I25" i="6"/>
  <c r="I45" i="6"/>
  <c r="I28" i="6"/>
  <c r="I49" i="6"/>
  <c r="I42" i="6"/>
  <c r="I27" i="6"/>
  <c r="F49" i="6"/>
  <c r="F35" i="6"/>
  <c r="F31" i="6"/>
  <c r="I40" i="6"/>
  <c r="I33" i="6"/>
  <c r="I39" i="6"/>
  <c r="I34" i="6"/>
  <c r="F39" i="6"/>
  <c r="I21" i="6"/>
  <c r="F48" i="6"/>
  <c r="F33" i="6"/>
  <c r="I48" i="6"/>
  <c r="I35" i="6"/>
  <c r="H22" i="6"/>
  <c r="F44" i="6"/>
  <c r="F37" i="6"/>
  <c r="I41" i="6"/>
  <c r="I36" i="6"/>
  <c r="G48" i="6" l="1"/>
  <c r="H23" i="6"/>
  <c r="D25" i="6"/>
  <c r="D29" i="6"/>
  <c r="G31" i="6"/>
  <c r="F22" i="6"/>
  <c r="G44" i="6"/>
  <c r="G41" i="6"/>
  <c r="H25" i="6"/>
  <c r="D21" i="6"/>
  <c r="G50" i="6"/>
  <c r="F26" i="6"/>
  <c r="G39" i="6"/>
  <c r="D23" i="6"/>
  <c r="I46" i="6"/>
  <c r="F50" i="6"/>
  <c r="I31" i="6"/>
  <c r="F45" i="6"/>
  <c r="I43" i="6"/>
  <c r="I50" i="6"/>
  <c r="F42" i="6"/>
  <c r="I44" i="6"/>
  <c r="J37" i="6"/>
  <c r="J39" i="6"/>
  <c r="J36" i="6"/>
  <c r="C30" i="6"/>
  <c r="J47" i="6"/>
  <c r="F34" i="6"/>
  <c r="F46" i="6"/>
  <c r="F43" i="6"/>
  <c r="I32" i="6"/>
  <c r="I37" i="6"/>
  <c r="F41" i="6"/>
  <c r="I47" i="6"/>
  <c r="J34" i="6"/>
  <c r="J46" i="6"/>
  <c r="J50" i="6"/>
  <c r="J40" i="6"/>
  <c r="J43" i="6"/>
  <c r="J38" i="6"/>
  <c r="F47" i="6"/>
  <c r="J44" i="6"/>
  <c r="C50" i="6"/>
  <c r="H43" i="6"/>
  <c r="D40" i="6"/>
  <c r="Q14" i="16"/>
  <c r="H37" i="6"/>
  <c r="H34" i="6"/>
  <c r="H50" i="6"/>
  <c r="C29" i="6"/>
  <c r="D49" i="6"/>
  <c r="Q15" i="16"/>
  <c r="Q13" i="16"/>
  <c r="H48" i="6"/>
  <c r="G37" i="6"/>
  <c r="K80" i="16"/>
  <c r="K81" i="16"/>
  <c r="C35" i="6"/>
  <c r="C32" i="6"/>
  <c r="D43" i="6"/>
  <c r="D41" i="6"/>
  <c r="D47" i="6"/>
  <c r="C48" i="6"/>
  <c r="G49" i="6"/>
  <c r="I22" i="6"/>
  <c r="H27" i="6"/>
  <c r="H21" i="6"/>
  <c r="H29" i="6"/>
  <c r="F28" i="6"/>
  <c r="D27" i="6"/>
  <c r="D24" i="6"/>
  <c r="G45" i="6"/>
  <c r="G29" i="6"/>
  <c r="G27" i="6"/>
  <c r="E23" i="6"/>
  <c r="E25" i="6"/>
  <c r="G32" i="6"/>
  <c r="F24" i="6"/>
  <c r="G38" i="6"/>
  <c r="I26" i="6"/>
  <c r="H26" i="6"/>
  <c r="I23" i="6"/>
  <c r="F25" i="6"/>
  <c r="D28" i="6"/>
  <c r="F29" i="6"/>
  <c r="G33" i="6"/>
  <c r="G24" i="6"/>
  <c r="G25" i="6"/>
  <c r="D62" i="6" s="1"/>
  <c r="D68" i="6" s="1"/>
  <c r="D75" i="6" s="1"/>
  <c r="B3" i="16" s="1"/>
  <c r="B4" i="16" s="1"/>
  <c r="B5" i="16" s="1"/>
  <c r="C41" i="12" s="1"/>
  <c r="G34" i="6"/>
  <c r="E26" i="6"/>
  <c r="G36" i="6"/>
  <c r="G35" i="6"/>
  <c r="H36" i="6"/>
  <c r="H35" i="6"/>
  <c r="H40" i="6"/>
  <c r="C38" i="6"/>
  <c r="C42" i="6"/>
  <c r="C28" i="6"/>
  <c r="C46" i="6"/>
  <c r="C34" i="6"/>
  <c r="C45" i="6"/>
  <c r="C36" i="6"/>
  <c r="D38" i="6"/>
  <c r="D32" i="6"/>
  <c r="H46" i="6"/>
  <c r="D46" i="6"/>
  <c r="D39" i="6"/>
  <c r="C25" i="6"/>
  <c r="G47" i="6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29" i="6"/>
  <c r="P28" i="6" s="1"/>
  <c r="P27" i="6" s="1"/>
  <c r="P26" i="6" s="1"/>
  <c r="P25" i="6" s="1"/>
  <c r="P24" i="6" s="1"/>
  <c r="P23" i="6" s="1"/>
  <c r="P22" i="6" s="1"/>
  <c r="P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F32" i="6"/>
  <c r="F40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7" i="6"/>
  <c r="L28" i="6" s="1"/>
  <c r="L29" i="6" s="1"/>
  <c r="L25" i="6"/>
  <c r="L24" i="6" s="1"/>
  <c r="L23" i="6" s="1"/>
  <c r="L22" i="6" s="1"/>
  <c r="L21" i="6" s="1"/>
  <c r="J28" i="6"/>
  <c r="J29" i="6"/>
  <c r="K26" i="6"/>
  <c r="K27" i="6" s="1"/>
  <c r="K28" i="6" s="1"/>
  <c r="K29" i="6" s="1"/>
  <c r="K24" i="6"/>
  <c r="K23" i="6" s="1"/>
  <c r="K22" i="6" s="1"/>
  <c r="K21" i="6" s="1"/>
  <c r="H41" i="6"/>
  <c r="H44" i="6"/>
  <c r="H32" i="6"/>
  <c r="H33" i="6"/>
  <c r="C31" i="6"/>
  <c r="C39" i="6"/>
  <c r="C27" i="6"/>
  <c r="C23" i="6"/>
  <c r="C44" i="6"/>
  <c r="H47" i="6"/>
  <c r="D36" i="6"/>
  <c r="D42" i="6"/>
  <c r="D31" i="6"/>
  <c r="H39" i="6"/>
  <c r="J21" i="6"/>
  <c r="D45" i="6"/>
  <c r="D37" i="6"/>
  <c r="C43" i="6"/>
  <c r="C41" i="6"/>
  <c r="D35" i="6"/>
  <c r="J22" i="6"/>
  <c r="G42" i="6"/>
  <c r="G43" i="6"/>
  <c r="G46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H31" i="6"/>
  <c r="H49" i="6"/>
  <c r="C47" i="6"/>
  <c r="C49" i="6"/>
  <c r="C37" i="6"/>
  <c r="C26" i="6"/>
  <c r="C22" i="6"/>
  <c r="C33" i="6"/>
  <c r="D34" i="6"/>
  <c r="H38" i="6"/>
  <c r="D48" i="6"/>
  <c r="D33" i="6"/>
  <c r="H45" i="6"/>
  <c r="J23" i="6"/>
  <c r="J27" i="6"/>
  <c r="J24" i="6"/>
  <c r="J26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M28" i="6"/>
  <c r="M29" i="6" s="1"/>
  <c r="M26" i="6"/>
  <c r="M25" i="6" s="1"/>
  <c r="M24" i="6" s="1"/>
  <c r="M23" i="6" s="1"/>
  <c r="M22" i="6" s="1"/>
  <c r="M21" i="6" s="1"/>
  <c r="H7" i="8"/>
  <c r="I53" i="6"/>
  <c r="I54" i="6" s="1"/>
  <c r="J53" i="6"/>
  <c r="J54" i="6" s="1"/>
  <c r="H53" i="6"/>
  <c r="H54" i="6" s="1"/>
  <c r="G53" i="6"/>
  <c r="G54" i="6" s="1"/>
  <c r="E53" i="6"/>
  <c r="E54" i="6" s="1"/>
  <c r="D53" i="6"/>
  <c r="D54" i="6" s="1"/>
  <c r="C54" i="6"/>
  <c r="F53" i="6"/>
  <c r="F54" i="6" s="1"/>
  <c r="C22" i="13"/>
  <c r="C30" i="13"/>
  <c r="D34" i="14"/>
  <c r="E6" i="14"/>
  <c r="D23" i="12" l="1"/>
  <c r="C12" i="14" s="1"/>
  <c r="D70" i="6"/>
  <c r="D18" i="12" s="1"/>
  <c r="C48" i="13" s="1"/>
  <c r="C51" i="13" s="1"/>
  <c r="C54" i="13" s="1"/>
  <c r="C34" i="12" s="1"/>
  <c r="K82" i="16"/>
  <c r="B80" i="16" s="1"/>
  <c r="B82" i="16" s="1"/>
  <c r="B83" i="16" s="1"/>
  <c r="B84" i="16" s="1"/>
  <c r="B86" i="16" s="1"/>
  <c r="C46" i="12" s="1"/>
  <c r="B9" i="16"/>
  <c r="B10" i="16" s="1"/>
  <c r="C43" i="12" s="1"/>
  <c r="D43" i="12" s="1"/>
  <c r="D74" i="6"/>
  <c r="D19" i="12" s="1"/>
  <c r="C11" i="14" s="1"/>
  <c r="D36" i="14" s="1"/>
  <c r="E11" i="14"/>
  <c r="U11" i="13"/>
  <c r="C32" i="13"/>
  <c r="U32" i="13"/>
  <c r="C26" i="13"/>
  <c r="B34" i="12"/>
  <c r="D41" i="12"/>
  <c r="C47" i="12"/>
  <c r="D47" i="12" s="1"/>
  <c r="D101" i="14" l="1"/>
  <c r="B119" i="14" s="1"/>
  <c r="D46" i="12"/>
  <c r="B13" i="16"/>
  <c r="D118" i="14"/>
  <c r="D121" i="14" s="1"/>
  <c r="D2" i="14"/>
  <c r="E12" i="14"/>
  <c r="B2" i="14" s="1"/>
  <c r="I5" i="12"/>
  <c r="C2" i="14"/>
  <c r="E101" i="14" s="1"/>
  <c r="K29" i="13"/>
  <c r="K34" i="13" s="1"/>
  <c r="C37" i="13" s="1"/>
  <c r="C33" i="12" s="1"/>
  <c r="C118" i="14"/>
  <c r="D39" i="12"/>
  <c r="C39" i="12"/>
  <c r="G101" i="14" l="1"/>
  <c r="G118" i="14" s="1"/>
  <c r="D35" i="14"/>
  <c r="G119" i="14"/>
  <c r="C119" i="14"/>
  <c r="E119" i="14" s="1"/>
  <c r="F119" i="14" s="1"/>
  <c r="B33" i="12"/>
  <c r="C36" i="12"/>
  <c r="C31" i="12" s="1"/>
  <c r="C49" i="12" s="1"/>
  <c r="C121" i="14" l="1"/>
  <c r="C53" i="12"/>
  <c r="C57" i="12" s="1"/>
  <c r="C58" i="12" s="1"/>
  <c r="F2" i="14"/>
  <c r="G2" i="14" s="1"/>
  <c r="C101" i="14"/>
  <c r="B118" i="14" s="1"/>
  <c r="E118" i="14" s="1"/>
  <c r="E121" i="14" s="1"/>
  <c r="D49" i="12"/>
  <c r="D53" i="12" s="1"/>
  <c r="D57" i="12" s="1"/>
  <c r="D58" i="12" s="1"/>
  <c r="B121" i="14" l="1"/>
  <c r="C62" i="12"/>
  <c r="C60" i="12" s="1"/>
  <c r="C61" i="12" s="1"/>
  <c r="D62" i="12"/>
  <c r="D64" i="12" s="1"/>
  <c r="F118" i="14"/>
  <c r="F121" i="14" s="1"/>
  <c r="C64" i="12" l="1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<sst xmlns="http://schemas.openxmlformats.org/spreadsheetml/2006/main" count="713" uniqueCount="503">
  <si>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</si>
  <si>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</si>
  <si>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</si>
  <si>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</si>
  <si>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</si>
  <si>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</si>
  <si>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</si>
  <si>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</si>
  <si>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</si>
  <si>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</si>
  <si>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</si>
  <si>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</si>
  <si>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</si>
  <si>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</si>
  <si>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</si>
  <si>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</si>
  <si>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</si>
  <si>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</si>
  <si>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</si>
  <si>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</si>
  <si>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</si>
  <si>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</si>
  <si>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</si>
  <si>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</si>
  <si>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</si>
  <si>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</si>
  <si>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</si>
  <si>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</si>
  <si>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</si>
  <si>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</si>
  <si>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</si>
  <si>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</si>
  <si>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</si>
  <si>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</si>
  <si>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</si>
  <si>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</si>
  <si>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</si>
  <si>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</si>
  <si>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</si>
  <si>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</si>
  <si>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</si>
  <si>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</si>
  <si>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</si>
  <si>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</si>
  <si>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</si>
  <si>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</si>
  <si>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</si>
  <si>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</si>
  <si>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</si>
  <si>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</si>
  <si>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</si>
  <si>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</si>
  <si>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</si>
  <si>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</si>
  <si>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</si>
  <si>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</si>
  <si>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</si>
  <si>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</si>
  <si>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</si>
  <si>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</si>
  <si>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</si>
  <si>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</si>
  <si>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</si>
  <si>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</si>
  <si>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</si>
  <si>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</si>
  <si>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</si>
  <si>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</si>
  <si>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</si>
  <si>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</si>
  <si>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</si>
  <si>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</si>
  <si>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</si>
  <si>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</si>
  <si>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</si>
  <si>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</si>
  <si>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</si>
  <si>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</si>
  <si>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</si>
  <si>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</si>
  <si>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</si>
  <si>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</si>
  <si>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</si>
  <si>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</si>
  <si>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</si>
  <si>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</si>
  <si>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</si>
  <si>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</si>
  <si>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</si>
  <si>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</si>
  <si>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</si>
  <si>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</si>
  <si>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</si>
  <si>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</si>
  <si>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</si>
  <si>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</si>
  <si>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</si>
  <si>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</si>
  <si>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</si>
  <si>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</si>
  <si>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</si>
  <si>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</si>
  <si>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</si>
  <si>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</si>
  <si>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</si>
  <si>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</si>
  <si>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</si>
  <si>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</si>
  <si>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</si>
  <si>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</si>
  <si>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</si>
  <si>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</si>
  <si>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</si>
  <si>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</si>
  <si>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</si>
  <si>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</si>
  <si>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</si>
  <si>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</si>
  <si>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</si>
  <si>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</si>
  <si>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</si>
  <si>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</si>
  <si>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</si>
  <si>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</si>
  <si>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</si>
  <si>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</si>
  <si>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</si>
  <si>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</si>
  <si>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</si>
  <si>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</si>
  <si>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</si>
  <si>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</si>
  <si>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</si>
  <si>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</si>
  <si>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</si>
  <si>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</si>
  <si>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</si>
  <si>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</si>
  <si>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</si>
  <si>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</si>
  <si>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</si>
  <si>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</si>
  <si>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</si>
  <si>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</si>
  <si>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</si>
  <si>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</si>
  <si>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</si>
  <si>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</si>
  <si>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</si>
  <si>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</si>
  <si>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</si>
  <si>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</si>
  <si>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</si>
  <si>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</si>
  <si>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</si>
  <si>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</si>
  <si>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</si>
  <si>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</si>
  <si>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</si>
  <si>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</si>
  <si>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</si>
  <si>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</si>
  <si>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</si>
  <si>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</si>
  <si>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</si>
  <si>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</si>
  <si>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</si>
  <si>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</si>
  <si>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</si>
  <si>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</si>
  <si>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</si>
  <si>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</si>
  <si>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</si>
  <si>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</si>
  <si>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</si>
  <si>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</si>
  <si>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</si>
  <si>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</si>
  <si>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</si>
  <si>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</si>
  <si>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</si>
  <si>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</si>
  <si>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</si>
  <si>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</si>
  <si>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</si>
  <si>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</si>
  <si>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</si>
  <si>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</si>
  <si>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</si>
  <si>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</si>
  <si>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</si>
  <si>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</si>
  <si>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</si>
  <si>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</si>
  <si>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</si>
  <si>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</si>
  <si>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</si>
  <si>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</si>
  <si>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</si>
  <si>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</si>
  <si>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</si>
  <si>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</si>
  <si>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</si>
  <si>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</si>
  <si>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</si>
  <si>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</si>
  <si>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</si>
  <si>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</si>
  <si>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</si>
  <si>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</si>
  <si>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</si>
  <si>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</si>
  <si>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</si>
  <si>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</si>
  <si>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</si>
  <si>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</si>
  <si>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</si>
  <si>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</si>
  <si>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</si>
  <si>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</si>
  <si>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</si>
  <si>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</si>
  <si>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</si>
  <si>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</si>
  <si>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</si>
  <si>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</si>
  <si>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</si>
  <si>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</si>
  <si>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</si>
  <si>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</si>
  <si>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</si>
  <si>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</si>
  <si>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</si>
  <si>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</si>
  <si>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</si>
  <si>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</si>
  <si>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</si>
  <si>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</si>
  <si>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</si>
  <si>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</si>
  <si>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</si>
  <si>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</si>
  <si>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</si>
  <si>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</si>
  <si>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</si>
  <si>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</si>
  <si>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</si>
  <si>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</si>
  <si>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</si>
  <si>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</si>
  <si>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</si>
  <si>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</si>
  <si>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</si>
  <si>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</si>
  <si>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</si>
  <si>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</si>
  <si>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</si>
  <si>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</si>
  <si>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</si>
  <si>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</si>
  <si>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</si>
  <si>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</si>
  <si>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</si>
  <si>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</si>
  <si>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</si>
  <si>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</si>
  <si>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</si>
  <si>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</si>
  <si>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</si>
  <si>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</si>
  <si>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</si>
  <si>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</si>
  <si>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</si>
  <si>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</si>
  <si>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</si>
  <si>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</si>
  <si>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</si>
  <si>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</si>
  <si>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</si>
  <si>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</si>
  <si>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</si>
  <si>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</si>
  <si>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</si>
  <si>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</si>
  <si>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</si>
  <si>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</si>
  <si>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</si>
  <si>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</si>
  <si>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</si>
  <si>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</si>
  <si>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</si>
  <si>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</si>
  <si>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</si>
  <si>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</si>
  <si>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</si>
  <si>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</si>
  <si>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</si>
  <si>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</si>
  <si>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</si>
  <si>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</si>
  <si>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</si>
  <si>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</si>
  <si>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</si>
  <si>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</si>
  <si>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</si>
  <si>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</si>
  <si>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</si>
  <si>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</si>
  <si>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</si>
  <si>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</si>
  <si>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</si>
  <si>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</si>
  <si>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</si>
  <si>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</si>
  <si>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</si>
  <si>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</si>
  <si>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</si>
  <si>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</si>
  <si>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</si>
  <si>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</si>
  <si>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</si>
  <si>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</si>
  <si>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</si>
  <si>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</si>
  <si>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</si>
  <si>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</si>
  <si>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</si>
  <si>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</si>
  <si>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</si>
  <si>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</si>
  <si>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</si>
  <si>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</si>
  <si>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</si>
  <si>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</si>
  <si>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</si>
  <si>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</si>
  <si>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</si>
  <si>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</si>
  <si>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</si>
  <si>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</si>
  <si>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</si>
  <si>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</si>
  <si>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</si>
  <si>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</si>
  <si>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</si>
  <si>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</si>
  <si>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</si>
  <si>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</si>
  <si>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</si>
  <si>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</si>
  <si>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</si>
  <si>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</si>
  <si>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</si>
  <si>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</si>
  <si>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</si>
  <si>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</si>
  <si>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</si>
  <si>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</si>
  <si>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</si>
  <si>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</si>
  <si>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</si>
  <si>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</si>
  <si>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</si>
  <si>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</si>
  <si>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</si>
  <si>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</si>
  <si>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</si>
  <si>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</si>
  <si>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</si>
  <si>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</si>
  <si>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</si>
  <si>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</si>
  <si>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</si>
  <si>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</si>
  <si>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</si>
  <si>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</si>
  <si>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</si>
  <si>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</si>
  <si>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</si>
  <si>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</si>
  <si>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</si>
  <si>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</si>
  <si>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</si>
  <si>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</si>
  <si>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</si>
  <si>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</si>
  <si>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</si>
  <si>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</si>
  <si>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</si>
  <si>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</si>
  <si>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</si>
  <si>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</si>
  <si>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</si>
  <si>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</si>
  <si>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</si>
  <si>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</si>
  <si>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</si>
  <si>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</si>
  <si>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</si>
  <si>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</si>
  <si>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</si>
  <si>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</si>
  <si>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</si>
  <si>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</si>
  <si>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</si>
  <si>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</si>
  <si>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</si>
  <si>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</si>
  <si>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</si>
  <si>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</si>
  <si>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</si>
  <si>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</si>
  <si>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</si>
  <si>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</si>
  <si>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</si>
  <si>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</si>
  <si>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</si>
  <si>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</si>
  <si>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</si>
  <si>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</si>
  <si>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</si>
  <si>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</si>
  <si>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</si>
  <si>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</si>
  <si>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</si>
  <si>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</si>
  <si>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</si>
  <si>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</si>
  <si>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</si>
  <si>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</si>
  <si>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</si>
  <si>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</si>
  <si>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</si>
  <si>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</si>
  <si>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</si>
  <si>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</si>
  <si>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</si>
  <si>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</si>
  <si>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</si>
  <si>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</si>
  <si>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</si>
  <si>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</si>
  <si>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</si>
  <si>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</si>
  <si>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</si>
  <si>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</si>
  <si>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</si>
  <si>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</si>
  <si>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</si>
  <si>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</si>
  <si>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</si>
  <si>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</si>
  <si>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</si>
  <si>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</si>
  <si>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</si>
  <si>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</si>
  <si>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</si>
  <si>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</si>
  <si>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</si>
  <si>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</si>
  <si>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</si>
  <si>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</si>
  <si>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</si>
  <si>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</si>
  <si>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</si>
  <si>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</si>
  <si>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</si>
  <si>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</si>
  <si>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</si>
  <si>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</si>
  <si>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</si>
  <si>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</si>
  <si>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</si>
  <si>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</si>
  <si>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</si>
  <si>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</si>
  <si>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</si>
  <si>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</si>
  <si>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</si>
  <si>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</si>
  <si>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</si>
  <si>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</si>
  <si>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</si>
  <si>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</si>
  <si>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</si>
  <si>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</si>
  <si>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</si>
  <si>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</si>
  <si>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</si>
  <si>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</si>
  <si>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</si>
  <si>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</si>
  <si>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</si>
  <si>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</si>
  <si>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</si>
  <si>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</si>
  <si>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</si>
  <si>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16.12.2021</t>
  </si>
  <si>
    <t>Андронова Е. В.</t>
  </si>
  <si>
    <t>Белоруссия</t>
  </si>
  <si>
    <t>Ижевск</t>
  </si>
  <si>
    <t>КНС № 12а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</si>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</sst>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1500.5454.0.6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1500</v>
      </c>
      <c r="C16" s="65">
        <f>Цена!C16</f>
        <v>5454</v>
      </c>
      <c r="D16" s="65">
        <f>Цена!D16</f>
        <v>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8</v>
      </c>
      <c r="D53" s="179">
        <f>$C$53</f>
        <v>8</v>
      </c>
      <c r="E53" s="179">
        <f t="shared" ref="E53:J53" si="52">$C$53</f>
        <v>8</v>
      </c>
      <c r="F53" s="179">
        <f t="shared" si="52"/>
        <v>8</v>
      </c>
      <c r="G53" s="179">
        <f t="shared" si="52"/>
        <v>8</v>
      </c>
      <c r="H53" s="179">
        <f t="shared" si="52"/>
        <v>8</v>
      </c>
      <c r="I53" s="179">
        <f t="shared" si="52"/>
        <v>8</v>
      </c>
      <c r="J53" s="180">
        <f t="shared" si="52"/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21</v>
      </c>
      <c r="D54" s="340">
        <f t="shared" ref="D54:J54" si="53">D52*(D53-1)</f>
        <v>28</v>
      </c>
      <c r="E54" s="340">
        <f t="shared" si="53"/>
        <v>28</v>
      </c>
      <c r="F54" s="340">
        <f t="shared" si="53"/>
        <v>35</v>
      </c>
      <c r="G54" s="340">
        <f t="shared" si="53"/>
        <v>35</v>
      </c>
      <c r="H54" s="340">
        <f t="shared" si="53"/>
        <v>42</v>
      </c>
      <c r="I54" s="340">
        <f t="shared" si="53"/>
        <v>42</v>
      </c>
      <c r="J54" s="341">
        <f t="shared" si="53"/>
        <v>56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1225.4799999999991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68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1227.8799999999992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1189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3.4083621000000002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12270.103560000001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5.4539999999999997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4.9539999999999997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1500</v>
      </c>
      <c r="I18" s="163">
        <f>((((ROUNDUP((((H18/2)-30)-1.5-G18-80)/(H3+$H$11),0))*(H3+$H$11))+1.5)*2)+160</f>
        <v>1435</v>
      </c>
      <c r="J18" s="163">
        <f>H18-I18</f>
        <v>65</v>
      </c>
      <c r="K18" s="163">
        <f>J18/2</f>
        <v>32.5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1435</v>
      </c>
      <c r="P18" s="166">
        <f>(((((ROUNDUP((((H18/2)-30)-1.5-H3-80)/(H3+$H$11),0))))))*2</f>
        <v>106</v>
      </c>
      <c r="Q18" s="166">
        <f>P18-1</f>
        <v>105</v>
      </c>
      <c r="R18" s="167">
        <f>($H$6-$H$8-$AR$3)*((H3/1000)*(Q18+1)+0.003)</f>
        <v>3.0985109999999998</v>
      </c>
      <c r="S18" s="168">
        <f>R18*T18</f>
        <v>3.4083621000000002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Ижевск КНС № 12а (7873) 16.12.21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7873 Ижевск КНС № 12а 16.12.21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1500.5454..6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e">
        <f ca="1">CONCATENATE(I4," (",D24,"; ",Спецификация!C12," кВт.; ","IP",D25,"; ",IF(D26="Да","с ШУ и ВПУ","без ШУ"),")")</f>
        <v>#N/A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7873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1500</v>
      </c>
      <c r="C16" s="190">
        <v>5454</v>
      </c>
      <c r="D16" s="191"/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1227.8999999999999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6600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5950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5204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 t="e">
        <f ca="1">OFFSET(РГО!N9,MATCH(1,РГО!Q10:Q15,0),1,1,1)</f>
        <v>#N/A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/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/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/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121432.02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101 н.ч.</v>
      </c>
      <c r="C33" s="209">
        <f>ФОТ!C37</f>
        <v>31010</v>
      </c>
    </row>
    <row r="34" spans="1:254" x14ac:dyDescent="0.2">
      <c r="A34" s="71" t="s">
        <v>178</v>
      </c>
      <c r="B34" s="110" t="str">
        <f ca="1">CONCATENATE(ROUNDUP(C34/Параметры!B3,0)," н.ч.")</f>
        <v>39 н.ч.</v>
      </c>
      <c r="C34" s="209">
        <f ca="1">ФОТ!C54</f>
        <v>12051</v>
      </c>
    </row>
    <row r="35" spans="1:254" x14ac:dyDescent="0.2">
      <c r="A35" s="71" t="s">
        <v>92</v>
      </c>
      <c r="B35" s="110" t="str">
        <f>CONCATENATE(ROUNDUP(C35/Параметры!B3,0)," н.ч.")</f>
        <v>0 н.ч.</v>
      </c>
      <c r="C35" s="209">
        <f>ФОТ!C45</f>
        <v>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78371.02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 t="e">
        <f ca="1">SUM(C41:C47)</f>
        <v>#N/A</v>
      </c>
      <c r="D39" s="215" t="e">
        <f ca="1">SUM(D41:D47)</f>
        <v>#N/A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 t="e">
        <f ca="1">РГО!B5</f>
        <v>#N/A</v>
      </c>
      <c r="D41" s="209" t="e">
        <f t="shared" ref="D41:D47" ca="1" si="0">C41*1.2</f>
        <v>#N/A</v>
      </c>
    </row>
    <row r="42" spans="1:254" x14ac:dyDescent="0.2">
      <c r="A42" t="str">
        <f>CONCATENATE("Цепи (",РГО!B7," м.п.)")</f>
        <v>Цепи (27 м.п.)</v>
      </c>
      <c r="B42" s="4"/>
      <c r="C42" s="209">
        <f>РГО!B8</f>
        <v>145800</v>
      </c>
      <c r="D42" s="209">
        <f t="shared" si="0"/>
        <v>174960</v>
      </c>
    </row>
    <row r="43" spans="1:254" x14ac:dyDescent="0.2">
      <c r="A43" t="s">
        <v>175</v>
      </c>
      <c r="B43" s="4"/>
      <c r="C43" s="209" t="e">
        <f ca="1">РГО!B10</f>
        <v>#N/A</v>
      </c>
      <c r="D43" s="209" t="e">
        <f t="shared" ca="1" si="0"/>
        <v>#N/A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 t="e">
        <f ca="1">ROUNDUP(SUM(C41:C46)*B47,0)</f>
        <v>#N/A</v>
      </c>
      <c r="D47" s="209" t="e">
        <f t="shared" ca="1" si="0"/>
        <v>#N/A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 t="e">
        <f ca="1">MROUND(C31+C39,1)</f>
        <v>#N/A</v>
      </c>
      <c r="D49" s="214" t="e">
        <f ca="1">C49*1.2</f>
        <v>#N/A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 t="e">
        <f ca="1">ROUNDUP($C$49*B53,0)</f>
        <v>#N/A</v>
      </c>
      <c r="D53" s="222" t="e">
        <f ca="1">ROUNDUP(D49*B53,0)</f>
        <v>#N/A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 t="e">
        <f ca="1">C53+C55</f>
        <v>#N/A</v>
      </c>
      <c r="D57" s="225" t="e">
        <f ca="1">D53+D55</f>
        <v>#N/A</v>
      </c>
      <c r="E57" s="226"/>
    </row>
    <row r="58" spans="1:254" ht="13.5" thickBot="1" x14ac:dyDescent="0.25">
      <c r="A58" s="187" t="s">
        <v>203</v>
      </c>
      <c r="B58" s="231"/>
      <c r="C58" s="232" t="e">
        <f ca="1">C57-C55-C49</f>
        <v>#N/A</v>
      </c>
      <c r="D58" s="233" t="e">
        <f ca="1">D57-D55-D49</f>
        <v>#N/A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 t="e">
        <f ca="1">C62*B60</f>
        <v>#N/A</v>
      </c>
      <c r="D60" s="236" t="e">
        <f ca="1">D62*B60</f>
        <v>#N/A</v>
      </c>
    </row>
    <row r="61" spans="1:254" ht="25.5" hidden="1" x14ac:dyDescent="0.2">
      <c r="A61" s="229" t="s">
        <v>196</v>
      </c>
      <c r="B61" s="237">
        <v>0.25</v>
      </c>
      <c r="C61" s="238" t="e">
        <f ca="1">C60*B61</f>
        <v>#N/A</v>
      </c>
      <c r="D61" s="239" t="e">
        <f ca="1">D60*B61</f>
        <v>#N/A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 t="e">
        <f ca="1">C57/(1-B60*(1+B61))</f>
        <v>#N/A</v>
      </c>
      <c r="D62" s="241" t="e">
        <f ca="1">D57/(1-B60*(1+B61))</f>
        <v>#N/A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 t="e">
        <f ca="1">C62</f>
        <v>#N/A</v>
      </c>
      <c r="D64" s="205" t="e">
        <f ca="1">D62</f>
        <v>#N/A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5454</v>
      </c>
      <c r="D10" s="82">
        <f>CEILING(C10,100)</f>
        <v>5500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0</v>
      </c>
      <c r="D11" s="83" t="str">
        <f>IF(AND(C11&gt;0,C11&lt;=850),850,IF(AND(C11&gt;850,C11&lt;=1200),1200,IF(AND(C11&gt;1200,C11=1500),1500,"Ннестандарт")))</f>
        <v>Ннестандарт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821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5154</v>
      </c>
      <c r="D13" s="87">
        <f>IF(C10&lt;=1200,C10,C10-250)</f>
        <v>5204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5254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5254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103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8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8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103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14.643333333333333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8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100.3552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102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16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81.271866666666668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106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31009.756799999999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31010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>
        <f>Цена!D26</f>
        <v>0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1227.8999999999999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39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12051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1189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1490</v>
      </c>
      <c r="D4" s="401" t="s">
        <v>18</v>
      </c>
      <c r="E4" s="404">
        <f>Цена!C16</f>
        <v>5454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 t="e">
        <f ca="1">MROUND(B4*$F$11,10)</f>
        <v>#N/A</v>
      </c>
      <c r="D5" s="401" t="s">
        <v>392</v>
      </c>
      <c r="E5" s="404">
        <f>Цена!D16</f>
        <v>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27</v>
      </c>
      <c r="D7" s="401" t="s">
        <v>397</v>
      </c>
      <c r="E7" s="408">
        <f>Цена!D20</f>
        <v>6600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145800</v>
      </c>
      <c r="D8" s="401" t="s">
        <v>398</v>
      </c>
      <c r="E8" s="408">
        <f>Цена!D21</f>
        <v>5950</v>
      </c>
    </row>
    <row r="9" spans="1:17" s="440" customFormat="1" ht="30" x14ac:dyDescent="0.2">
      <c r="A9" s="438" t="s">
        <v>386</v>
      </c>
      <c r="B9" s="439" t="e">
        <f ca="1">OFFSET(L9,MATCH(1,Q10:Q15,0),1,1,1)</f>
        <v>#N/A</v>
      </c>
      <c r="D9" s="440" t="s">
        <v>396</v>
      </c>
      <c r="E9" s="441">
        <f>Цена!D22</f>
        <v>5204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 t="e">
        <f ca="1">ROUNDUP(B9*$E$14,-1)</f>
        <v>#N/A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>
        <f>Цена!D24</f>
        <v>0</v>
      </c>
      <c r="F11" s="401" t="e">
        <f ca="1">OFFSET(I3,MATCH(E11,I4:I7,0),1,1,1)</f>
        <v>#N/A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 t="e">
        <f ca="1">B5+B8+B10+B12</f>
        <v>#N/A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0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>
        <f>Цена!D26</f>
        <v>0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180</v>
      </c>
      <c r="C80" s="408"/>
      <c r="D80" s="408" t="s">
        <v>472</v>
      </c>
      <c r="E80" s="449" t="b">
        <f>IF(E15=55,55,IF(E15=66,66,IF(E15=68,67)))</f>
        <v>0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1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1500.5454..6</v>
      </c>
      <c r="B2" s="71" t="e">
        <f ca="1">CONCATENATE(E5,E6," ",E7," ",E8," ",E9," ",E10," ",E11," ",E12," ",E14,E15)</f>
        <v>#N/A</v>
      </c>
      <c r="C2" s="110">
        <f ca="1">C11</f>
        <v>1290</v>
      </c>
      <c r="D2" s="108" t="e">
        <f ca="1">C12</f>
        <v>#N/A</v>
      </c>
      <c r="E2" s="108">
        <v>1</v>
      </c>
      <c r="F2" s="110" t="e">
        <f ca="1">MROUND(Цена!C49,100)</f>
        <v>#N/A</v>
      </c>
      <c r="G2" s="110" t="e">
        <f ca="1">F2*E2</f>
        <v>#N/A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1500.5454..6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12280</v>
      </c>
      <c r="D6" t="s">
        <v>113</v>
      </c>
      <c r="E6" t="str">
        <f>CONCATENATE(B6," ",C6," ",D6,".;")</f>
        <v>Максимальная производительность - 12280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5454</v>
      </c>
      <c r="D9" t="s">
        <v>167</v>
      </c>
      <c r="E9" t="str">
        <f>CONCATENATE(B9," ",C9," ",D9,";")</f>
        <v>глубина канала - 5454 мм.;</v>
      </c>
    </row>
    <row r="10" spans="1:8" x14ac:dyDescent="0.2">
      <c r="B10" s="186" t="s">
        <v>283</v>
      </c>
      <c r="C10" s="110">
        <f>Цена!D16</f>
        <v>0</v>
      </c>
      <c r="D10" t="s">
        <v>167</v>
      </c>
      <c r="E10" t="str">
        <f>CONCATENATE(B10," ",C10," ",D10,";")</f>
        <v>высота выгрузки отбросов - 0 мм.;</v>
      </c>
    </row>
    <row r="11" spans="1:8" x14ac:dyDescent="0.2">
      <c r="B11" s="186" t="s">
        <v>284</v>
      </c>
      <c r="C11" s="110">
        <f ca="1">Цена!D19</f>
        <v>1290</v>
      </c>
      <c r="D11" t="s">
        <v>170</v>
      </c>
      <c r="E11" t="str">
        <f ca="1">CONCATENATE(B11," ",C11," ",D11,";")</f>
        <v>вес решетки в сборе - 1290 кг.;</v>
      </c>
    </row>
    <row r="12" spans="1:8" x14ac:dyDescent="0.2">
      <c r="B12" s="186" t="s">
        <v>462</v>
      </c>
      <c r="C12" s="447" t="e">
        <f ca="1">Цена!D23</f>
        <v>#N/A</v>
      </c>
      <c r="D12" t="s">
        <v>272</v>
      </c>
      <c r="E12" t="e">
        <f ca="1">CONCATENATE(B12," ",C12," ",D12,"; ",C13,"; 380 В; 50 Гц; ",)</f>
        <v>#N/A</v>
      </c>
    </row>
    <row r="13" spans="1:8" x14ac:dyDescent="0.2">
      <c r="B13" s="186"/>
      <c r="C13" s="110" t="str">
        <f>CONCATENATE("IP ",Цена!D25)</f>
        <v xml:space="preserve">IP </v>
      </c>
    </row>
    <row r="14" spans="1:8" x14ac:dyDescent="0.2">
      <c r="B14" s="186" t="s">
        <v>285</v>
      </c>
      <c r="C14" s="110">
        <f>Цена!D24</f>
        <v>0</v>
      </c>
      <c r="E14" t="str">
        <f>CONCATENATE(B14," ",C14)</f>
        <v>материал исполнения - 0</v>
      </c>
    </row>
    <row r="15" spans="1:8" x14ac:dyDescent="0.2">
      <c r="B15" s="186" t="s">
        <v>286</v>
      </c>
      <c r="C15" s="110">
        <f>Цена!D26</f>
        <v>0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7873</v>
      </c>
    </row>
    <row r="22" spans="2:15" x14ac:dyDescent="0.2">
      <c r="B22" s="186" t="s">
        <v>289</v>
      </c>
      <c r="C22" s="283"/>
      <c r="D22" s="283" t="str">
        <f>CONCATENATE("ТКП №",Цена!I3)</f>
        <v>ТКП №7873 Ижевск КНС № 12а 16.12.21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1500.5454..6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5454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67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 xml:space="preserve">IP 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12280</v>
      </c>
    </row>
    <row r="35" spans="2:6" s="304" customFormat="1" x14ac:dyDescent="0.2">
      <c r="B35" s="302" t="s">
        <v>298</v>
      </c>
      <c r="C35" s="305" t="s">
        <v>313</v>
      </c>
      <c r="D35" s="305" t="e">
        <f ca="1">D2</f>
        <v>#N/A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1290</v>
      </c>
    </row>
    <row r="37" spans="2:6" s="304" customFormat="1" x14ac:dyDescent="0.2">
      <c r="B37" s="302" t="s">
        <v>300</v>
      </c>
      <c r="C37" s="304" t="s">
        <v>316</v>
      </c>
      <c r="D37" s="304">
        <f>C14</f>
        <v>0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без ШУ.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/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/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/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/>
      </c>
      <c r="B101" s="474" t="str">
        <f>Цена!B10</f>
        <v>-</v>
      </c>
      <c r="C101" s="110" t="e">
        <f ca="1">MROUND((Цена!C49-Спецификация!D101),5)</f>
        <v>#N/A</v>
      </c>
      <c r="D101" s="110">
        <f>IF(Цена!D26="Нет",0,MROUND((Цена!C46*(1+Цена!B47))+Цена!C35*(1+Цена!B36),5))</f>
        <v>0</v>
      </c>
      <c r="E101" s="110">
        <f ca="1">Спецификация!C2</f>
        <v>1290</v>
      </c>
      <c r="F101" s="108" t="str">
        <f>CONCATENATE("IP ",Цена!D25)</f>
        <v xml:space="preserve">IP </v>
      </c>
      <c r="G101" s="108" t="e">
        <f ca="1">D2</f>
        <v>#N/A</v>
      </c>
      <c r="H101" s="110">
        <f>Цена!D24</f>
        <v>0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1500.5454..6</v>
      </c>
      <c r="B118" s="481" t="e">
        <f ca="1">C101</f>
        <v>#N/A</v>
      </c>
      <c r="C118" s="482">
        <f>ROUNDUP(ФОТ!K29,0)</f>
        <v>101</v>
      </c>
      <c r="D118" s="482">
        <f ca="1">ФОТ!C51</f>
        <v>39</v>
      </c>
      <c r="E118" s="482" t="e">
        <f ca="1">IF(B118=0,0,(C118+D118)*Параметры!B3*(1+Параметры!B4))</f>
        <v>#N/A</v>
      </c>
      <c r="F118" s="482" t="e">
        <f ca="1">B118-E118</f>
        <v>#N/A</v>
      </c>
      <c r="G118" s="477" t="e">
        <f ca="1">CONCATENATE(A118," (",H101,"; ",G101," кВт.; ",F101,")")</f>
        <v>#N/A</v>
      </c>
    </row>
    <row r="119" spans="1:7" s="477" customFormat="1" x14ac:dyDescent="0.2">
      <c r="A119" s="479" t="s">
        <v>489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IF(B119=0,0,(C119+D119)*Параметры!B3*(1+Параметры!B4))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 t="e">
        <f ca="1">SUM(B118:B119)</f>
        <v>#N/A</v>
      </c>
      <c r="C121" s="483">
        <f>SUM(C118:C119)</f>
        <v>101</v>
      </c>
      <c r="D121" s="483">
        <f ca="1">SUM(D118:D119)</f>
        <v>39</v>
      </c>
      <c r="E121" s="483" t="e">
        <f ca="1">SUM(E118:E119)</f>
        <v>#N/A</v>
      </c>
      <c r="F121" s="483" t="e">
        <f ca="1">SUM(F118:F119)</f>
        <v>#N/A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2021-12-16T17:06:36Z</dcterms:modified>
</cp:coreProperties>
</file>