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45" windowWidth="14430" windowHeight="12480" activeTab="3"/>
  </bookViews>
  <sheets>
    <sheet name="ver.vont" sheetId="18" r:id="rId1"/>
    <sheet name="Параметры" sheetId="15" r:id="rId2"/>
    <sheet name="Вес" sheetId="17" r:id="rId3"/>
    <sheet name="Цена" sheetId="12" r:id="rId4"/>
    <sheet name="ФОТ" sheetId="13" r:id="rId5"/>
    <sheet name="Материалы" sheetId="16" r:id="rId6"/>
    <sheet name="Гидравлика" sheetId="8" r:id="rId7"/>
    <sheet name="Спецификация" sheetId="14" r:id="rId8"/>
  </sheets>
  <calcPr calcId="162913"/>
</workbook>
</file>

<file path=xl/calcChain.xml><?xml version="1.0" encoding="utf-8"?>
<calcChain xmlns="http://schemas.openxmlformats.org/spreadsheetml/2006/main">
  <c r="D117" i="15" l="1"/>
  <c r="C117" i="15"/>
  <c r="B117" i="15"/>
  <c r="D116" i="15"/>
  <c r="C116" i="15"/>
  <c r="B116" i="15"/>
  <c r="B168" i="15"/>
  <c r="B166" i="15"/>
  <c r="B163" i="15"/>
  <c r="B162" i="15"/>
  <c r="B161" i="15"/>
  <c r="C33" i="12"/>
  <c r="B33" i="12" s="1"/>
  <c r="D20" i="12"/>
  <c r="F17" i="16"/>
  <c r="F16" i="16"/>
  <c r="B8" i="16" s="1"/>
  <c r="B12" i="16" s="1"/>
  <c r="B24" i="16"/>
  <c r="J31" i="16"/>
  <c r="J27" i="16"/>
  <c r="J26" i="16"/>
  <c r="J25" i="16"/>
  <c r="C16" i="14"/>
  <c r="E16" i="14" s="1"/>
  <c r="C15" i="14"/>
  <c r="E15" i="14" s="1"/>
  <c r="C14" i="14"/>
  <c r="C11" i="14"/>
  <c r="E11" i="14" s="1"/>
  <c r="C10" i="14"/>
  <c r="D29" i="14" s="1"/>
  <c r="C9" i="14"/>
  <c r="E9" i="14"/>
  <c r="C8" i="14"/>
  <c r="E8" i="14" s="1"/>
  <c r="C7" i="14"/>
  <c r="E7" i="14" s="1"/>
  <c r="F25" i="16"/>
  <c r="H31" i="16" s="1"/>
  <c r="F24" i="16"/>
  <c r="F11" i="16"/>
  <c r="M17" i="16" s="1"/>
  <c r="H27" i="16" s="1"/>
  <c r="B6" i="8"/>
  <c r="B7" i="8" s="1"/>
  <c r="B5" i="8"/>
  <c r="B15" i="8" s="1"/>
  <c r="B3" i="8"/>
  <c r="A15" i="8" s="1"/>
  <c r="I15" i="8" s="1"/>
  <c r="G9" i="17"/>
  <c r="G5" i="17"/>
  <c r="G6" i="17" s="1"/>
  <c r="G4" i="17"/>
  <c r="C16" i="17" s="1"/>
  <c r="G3" i="17"/>
  <c r="G7" i="17" s="1"/>
  <c r="C3" i="17" s="1"/>
  <c r="G1" i="17"/>
  <c r="C21" i="17"/>
  <c r="G2" i="17"/>
  <c r="M16" i="16"/>
  <c r="K16" i="16"/>
  <c r="J16" i="16"/>
  <c r="J15" i="16"/>
  <c r="L16" i="16"/>
  <c r="F7" i="13"/>
  <c r="F1" i="16"/>
  <c r="C31" i="17"/>
  <c r="C8" i="17"/>
  <c r="C7" i="17"/>
  <c r="D26" i="14"/>
  <c r="F10" i="13"/>
  <c r="F10" i="16"/>
  <c r="F101" i="14"/>
  <c r="B101" i="14"/>
  <c r="A101" i="14"/>
  <c r="F11" i="13"/>
  <c r="J5" i="16"/>
  <c r="J6" i="16"/>
  <c r="J7" i="16"/>
  <c r="F3" i="13"/>
  <c r="F2" i="13"/>
  <c r="F1" i="13"/>
  <c r="F34" i="13"/>
  <c r="B5" i="14"/>
  <c r="E5" i="14"/>
  <c r="B156" i="15"/>
  <c r="F20" i="16"/>
  <c r="B9" i="16"/>
  <c r="K15" i="16"/>
  <c r="D122" i="15"/>
  <c r="E122" i="15"/>
  <c r="D126" i="15"/>
  <c r="E126" i="15"/>
  <c r="D130" i="15"/>
  <c r="E130" i="15"/>
  <c r="D134" i="15"/>
  <c r="E134" i="15"/>
  <c r="D137" i="15"/>
  <c r="E137" i="15"/>
  <c r="D138" i="15"/>
  <c r="E138" i="15"/>
  <c r="D142" i="15"/>
  <c r="E142" i="15"/>
  <c r="D146" i="15"/>
  <c r="E146" i="15"/>
  <c r="D150" i="15"/>
  <c r="E150" i="15"/>
  <c r="E120" i="15"/>
  <c r="D149" i="15"/>
  <c r="E149" i="15"/>
  <c r="D148" i="15"/>
  <c r="E148" i="15"/>
  <c r="D147" i="15"/>
  <c r="E147" i="15"/>
  <c r="D145" i="15"/>
  <c r="E145" i="15"/>
  <c r="D144" i="15"/>
  <c r="E144" i="15"/>
  <c r="D143" i="15"/>
  <c r="E143" i="15"/>
  <c r="D141" i="15"/>
  <c r="E141" i="15"/>
  <c r="D140" i="15"/>
  <c r="E140" i="15"/>
  <c r="D139" i="15"/>
  <c r="E139" i="15"/>
  <c r="D135" i="15"/>
  <c r="E135" i="15"/>
  <c r="D136" i="15"/>
  <c r="E136" i="15"/>
  <c r="D133" i="15"/>
  <c r="E133" i="15"/>
  <c r="D132" i="15"/>
  <c r="E132" i="15"/>
  <c r="D131" i="15"/>
  <c r="E131" i="15"/>
  <c r="D129" i="15"/>
  <c r="E129" i="15"/>
  <c r="D128" i="15"/>
  <c r="E128" i="15"/>
  <c r="D127" i="15"/>
  <c r="E127" i="15"/>
  <c r="D125" i="15"/>
  <c r="E125" i="15"/>
  <c r="D124" i="15"/>
  <c r="E124" i="15"/>
  <c r="D123" i="15"/>
  <c r="E123" i="15"/>
  <c r="D121" i="15"/>
  <c r="E121" i="15"/>
  <c r="M15" i="16"/>
  <c r="L15" i="16"/>
  <c r="F14" i="16"/>
  <c r="F13" i="16"/>
  <c r="F12" i="16"/>
  <c r="F9" i="16"/>
  <c r="J4" i="16"/>
  <c r="G10" i="16" s="1"/>
  <c r="F9" i="13"/>
  <c r="A1" i="14"/>
  <c r="I3" i="12"/>
  <c r="D22" i="14" s="1"/>
  <c r="C48" i="12"/>
  <c r="H15" i="8"/>
  <c r="A55" i="12"/>
  <c r="D25" i="14"/>
  <c r="D40" i="14" s="1"/>
  <c r="H101" i="14"/>
  <c r="F7" i="16"/>
  <c r="D24" i="14"/>
  <c r="F4" i="16"/>
  <c r="I2" i="12"/>
  <c r="D27" i="14"/>
  <c r="D28" i="14" s="1"/>
  <c r="D21" i="14"/>
  <c r="F6" i="16"/>
  <c r="F3" i="16"/>
  <c r="B10" i="16"/>
  <c r="D21" i="12"/>
  <c r="F5" i="16"/>
  <c r="I4" i="12"/>
  <c r="A5" i="14" s="1"/>
  <c r="A2" i="14" s="1"/>
  <c r="A118" i="14" s="1"/>
  <c r="F8" i="13"/>
  <c r="D37" i="14"/>
  <c r="D38" i="14"/>
  <c r="D39" i="14"/>
  <c r="E10" i="14"/>
  <c r="D30" i="14"/>
  <c r="H16" i="13"/>
  <c r="F19" i="13" s="1"/>
  <c r="D36" i="14"/>
  <c r="F26" i="16"/>
  <c r="C17" i="17"/>
  <c r="C22" i="17"/>
  <c r="C6" i="17"/>
  <c r="C11" i="17"/>
  <c r="C25" i="17"/>
  <c r="C5" i="17"/>
  <c r="C29" i="17"/>
  <c r="C27" i="17" s="1"/>
  <c r="C23" i="17"/>
  <c r="C4" i="17"/>
  <c r="E152" i="15"/>
  <c r="F19" i="16"/>
  <c r="B11" i="16"/>
  <c r="K17" i="16"/>
  <c r="H25" i="16" s="1"/>
  <c r="L17" i="16"/>
  <c r="H26" i="16" s="1"/>
  <c r="O16" i="16" l="1"/>
  <c r="O15" i="16" s="1"/>
  <c r="C13" i="14" s="1"/>
  <c r="D2" i="14" s="1"/>
  <c r="D33" i="14" s="1"/>
  <c r="D23" i="14"/>
  <c r="H29" i="16"/>
  <c r="B25" i="16" s="1"/>
  <c r="H30" i="16"/>
  <c r="D31" i="14"/>
  <c r="D41" i="14" s="1"/>
  <c r="E14" i="14"/>
  <c r="C9" i="17"/>
  <c r="C2" i="17" s="1"/>
  <c r="H17" i="13"/>
  <c r="F20" i="13"/>
  <c r="F22" i="13" s="1"/>
  <c r="C15" i="8"/>
  <c r="D35" i="14"/>
  <c r="E13" i="14" l="1"/>
  <c r="I5" i="12"/>
  <c r="B7" i="16"/>
  <c r="F25" i="13"/>
  <c r="D15" i="8"/>
  <c r="E15" i="8" s="1"/>
  <c r="F15" i="8" s="1"/>
  <c r="B4" i="8" s="1"/>
  <c r="L4" i="8" s="1"/>
  <c r="C6" i="14" s="1"/>
  <c r="G10" i="17"/>
  <c r="G101" i="14"/>
  <c r="G118" i="14" s="1"/>
  <c r="B26" i="16"/>
  <c r="B28" i="16" s="1"/>
  <c r="B29" i="16" s="1"/>
  <c r="B30" i="16" s="1"/>
  <c r="B32" i="16" s="1"/>
  <c r="C40" i="12" s="1"/>
  <c r="D40" i="12" s="1"/>
  <c r="C18" i="17" l="1"/>
  <c r="C15" i="17" s="1"/>
  <c r="G11" i="17"/>
  <c r="C24" i="17" s="1"/>
  <c r="C20" i="17" s="1"/>
  <c r="E6" i="14"/>
  <c r="D32" i="14"/>
  <c r="F32" i="13"/>
  <c r="F36" i="13" s="1"/>
  <c r="F29" i="13"/>
  <c r="D101" i="14"/>
  <c r="B119" i="14" s="1"/>
  <c r="C119" i="14" s="1"/>
  <c r="C34" i="17" l="1"/>
  <c r="B2" i="13"/>
  <c r="C36" i="17"/>
  <c r="D19" i="12" s="1"/>
  <c r="C12" i="14" s="1"/>
  <c r="D18" i="12"/>
  <c r="B3" i="16"/>
  <c r="G119" i="14"/>
  <c r="E119" i="14"/>
  <c r="F119" i="14" s="1"/>
  <c r="C2" i="14" l="1"/>
  <c r="E101" i="14" s="1"/>
  <c r="D34" i="14"/>
  <c r="E12" i="14"/>
  <c r="B2" i="14" s="1"/>
  <c r="C31" i="12"/>
  <c r="B4" i="16"/>
  <c r="B5" i="16" s="1"/>
  <c r="B13" i="16" s="1"/>
  <c r="B15" i="16" s="1"/>
  <c r="C39" i="12" s="1"/>
  <c r="F12" i="13"/>
  <c r="B3" i="13" s="1"/>
  <c r="C32" i="12" s="1"/>
  <c r="C118" i="14" l="1"/>
  <c r="C121" i="14" s="1"/>
  <c r="C34" i="12"/>
  <c r="C29" i="12" s="1"/>
  <c r="B31" i="12"/>
  <c r="D39" i="12"/>
  <c r="C37" i="12"/>
  <c r="B32" i="12"/>
  <c r="D118" i="14"/>
  <c r="D121" i="14" s="1"/>
  <c r="B4" i="13"/>
  <c r="B5" i="13" s="1"/>
  <c r="B6" i="13" s="1"/>
  <c r="D37" i="12" l="1"/>
  <c r="D42" i="12"/>
  <c r="D46" i="12" s="1"/>
  <c r="D50" i="12" s="1"/>
  <c r="C42" i="12"/>
  <c r="C46" i="12" l="1"/>
  <c r="C50" i="12" s="1"/>
  <c r="C101" i="14"/>
  <c r="B118" i="14" s="1"/>
  <c r="F2" i="14"/>
  <c r="G2" i="14" s="1"/>
  <c r="D51" i="12"/>
  <c r="D55" i="12"/>
  <c r="B121" i="14" l="1"/>
  <c r="E118" i="14"/>
  <c r="E121" i="14" s="1"/>
  <c r="D53" i="12"/>
  <c r="D54" i="12" s="1"/>
  <c r="D57" i="12"/>
  <c r="C51" i="12"/>
  <c r="C55" i="12"/>
  <c r="F118" i="14" l="1"/>
  <c r="F121" i="14" s="1"/>
  <c r="C53" i="12"/>
  <c r="C54" i="12" s="1"/>
  <c r="C57" i="12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13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Вкладка "Вес" ячейка С21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B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Вес секции общивки 1000х1000 мм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Увеличение </t>
        </r>
      </text>
    </comment>
  </commentList>
</comments>
</file>

<file path=xl/comments3.xml><?xml version="1.0" encoding="utf-8"?>
<comments xmlns="http://schemas.openxmlformats.org/spreadsheetml/2006/main">
  <authors>
    <author>Буртянский Ян Владимирович</author>
  </authors>
  <commentList>
    <comment ref="B46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Для стандартной рамы губина канала равняется ширине канала в месте установки. 
Высота выгрузки = 850 мм.
ФОТ только рамы без ковша и фильтровального экрана.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ФОТ ковша прининят эквивалентный 6 граблинам.
</t>
        </r>
      </text>
    </comment>
  </commentList>
</comments>
</file>

<file path=xl/sharedStrings.xml><?xml version="1.0" encoding="utf-8"?>
<sst xmlns="http://schemas.openxmlformats.org/spreadsheetml/2006/main" count="553" uniqueCount="408">
  <si>
    <t>мм</t>
  </si>
  <si>
    <t>Наименование параметра</t>
  </si>
  <si>
    <t>Ширина канала, мм</t>
  </si>
  <si>
    <t>Глубина канала, мм</t>
  </si>
  <si>
    <t>Высота выгрузки, мм</t>
  </si>
  <si>
    <t>н.ч.</t>
  </si>
  <si>
    <t>Наименование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</si>
  <si>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</si>
  <si>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</si>
  <si>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</si>
  <si>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</si>
  <si>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</si>
  <si>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</si>
  <si>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</si>
  <si>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Размеры</t>
  </si>
  <si>
    <t xml:space="preserve">Общая длина </t>
  </si>
  <si>
    <t xml:space="preserve">Высота экрана 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</si>
  <si>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</si>
  <si>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</si>
  <si>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</si>
  <si>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</si>
  <si>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</si>
  <si>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</si>
  <si>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IP 55</t>
  </si>
  <si>
    <t>IP 66</t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</si>
  <si>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</si>
  <si>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</si>
  <si>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</si>
  <si>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</si>
  <si>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</si>
  <si>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</si>
  <si>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</si>
  <si>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</si>
  <si>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</si>
  <si>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</si>
  <si>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</si>
  <si>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</si>
  <si>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</si>
  <si>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</si>
  <si>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</si>
  <si>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</si>
  <si>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</si>
  <si>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</si>
  <si>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</si>
  <si>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</si>
  <si>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</si>
  <si>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δ =</t>
  </si>
  <si>
    <t>ширина ламели а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</si>
  <si>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</si>
  <si>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</si>
  <si>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</si>
  <si>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</si>
  <si>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</si>
  <si>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 xml:space="preserve">Прозор, мм 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</si>
  <si>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</si>
  <si>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</si>
  <si>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</si>
  <si>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</si>
  <si>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</si>
  <si>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</si>
  <si>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</si>
  <si>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</si>
  <si>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t>ширина канала</t>
  </si>
  <si>
    <t xml:space="preserve">глубина канала </t>
  </si>
  <si>
    <t>мм.</t>
  </si>
  <si>
    <t>Страна</t>
  </si>
  <si>
    <t>кг.</t>
  </si>
  <si>
    <t>№ предложения по архиву</t>
  </si>
  <si>
    <t>Стойка ВПУ</t>
  </si>
  <si>
    <t>Привод</t>
  </si>
  <si>
    <t>ШУ</t>
  </si>
  <si>
    <t>AISI 201</t>
  </si>
  <si>
    <t>AISI 321</t>
  </si>
  <si>
    <t>Позиция по проекту</t>
  </si>
  <si>
    <t>Курс евро по МБ</t>
  </si>
  <si>
    <t xml:space="preserve">Общие сведения </t>
  </si>
  <si>
    <t>Комплектующие ШУ</t>
  </si>
  <si>
    <t>без привода</t>
  </si>
  <si>
    <t>в сборе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</si>
  <si>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</si>
  <si>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</si>
  <si>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</si>
  <si>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</si>
  <si>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</si>
  <si>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</si>
  <si>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</si>
  <si>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</si>
  <si>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</si>
  <si>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</si>
  <si>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</si>
  <si>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</si>
  <si>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</si>
  <si>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</si>
  <si>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</si>
  <si>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</si>
  <si>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</si>
  <si>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</si>
  <si>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</si>
  <si>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>IP 67</t>
  </si>
  <si>
    <t>IP 68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</si>
  <si>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</si>
  <si>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</si>
  <si>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</si>
  <si>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</si>
  <si>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</si>
  <si>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</si>
  <si>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</si>
  <si>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</si>
  <si>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</si>
  <si>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</si>
  <si>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</si>
  <si>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</si>
  <si>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</si>
  <si>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</si>
  <si>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</si>
  <si>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</si>
  <si>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</si>
  <si>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</si>
  <si>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</si>
  <si>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мощность привода -</t>
  </si>
  <si>
    <t>степень защиты привода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</si>
  <si>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</si>
  <si>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</si>
  <si>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</si>
  <si>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</si>
  <si>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</si>
  <si>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</si>
  <si>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</si>
  <si>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</si>
  <si>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</si>
  <si>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</si>
  <si>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</si>
  <si>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</si>
  <si>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</si>
  <si>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</si>
  <si>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</si>
  <si>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</si>
  <si>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</si>
  <si>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</si>
  <si>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 xml:space="preserve">Комплектация ШУ - </t>
  </si>
  <si>
    <t>Комплектация ШУ для комплекта поставки -</t>
  </si>
  <si>
    <t>Комплектация ВПУ для комплекта поставки -</t>
  </si>
  <si>
    <t>Крепежи ВПУ и ШУ -</t>
  </si>
  <si>
    <t>РВГО</t>
  </si>
  <si>
    <t>Высота ф-го экрана, мм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</si>
  <si>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</si>
  <si>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</si>
  <si>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</si>
  <si>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</si>
  <si>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</si>
  <si>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</si>
  <si>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</si>
  <si>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</si>
  <si>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</si>
  <si>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Конвейер ЭВК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</si>
  <si>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</si>
  <si>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</si>
  <si>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</si>
  <si>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</si>
  <si>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Илосос ЭИРВм</t>
  </si>
  <si>
    <t>Мост</t>
  </si>
  <si>
    <t>Подводная часть</t>
  </si>
  <si>
    <t>Приводная тележка</t>
  </si>
  <si>
    <t>Снегоочиститель</t>
  </si>
  <si>
    <t>Очиститель лотка</t>
  </si>
  <si>
    <t>Комплектующие</t>
  </si>
  <si>
    <t>Заклепки AMg5</t>
  </si>
  <si>
    <t>руб/шт без НДС</t>
  </si>
  <si>
    <t>Секция пластикового настила</t>
  </si>
  <si>
    <t>Токосъемник КТИ-9 исполнение 2/65</t>
  </si>
  <si>
    <t>Подшипник ROLLIX 23-0641-01</t>
  </si>
  <si>
    <t>евро/шт без НДС</t>
  </si>
  <si>
    <t xml:space="preserve">Покрышка Continental 6,50-10 </t>
  </si>
  <si>
    <t>Колесный диск 150/180/17,5/6/ЕТО</t>
  </si>
  <si>
    <t>Подшипниковый узел приводных колес SNR UCF212</t>
  </si>
  <si>
    <t>Мотор-редуктор тележки Nord SK43125AZ-71S/4 RD IP55, 0,25кВт</t>
  </si>
  <si>
    <t>Мотор-редуктор тележки Nord SK43125AZ-80S/4 RD IP55, 0,55кВт</t>
  </si>
  <si>
    <t>Мотор-редуктор тележки Nord SK43125AZ-80L/4 RD IP55, 0,75кВт</t>
  </si>
  <si>
    <t>Мотор-редуктор снегочистителя Nord SK12-71L/4 RD IP 55, 0,37 кВт</t>
  </si>
  <si>
    <t>Мотор-редуктор кромкоочистителя Nord SK0182 NBA-71L/4 RD IP 55, 0,37 кВт</t>
  </si>
  <si>
    <t>Щетка снегоочистителя</t>
  </si>
  <si>
    <t>Щетка кромкоочистителя</t>
  </si>
  <si>
    <t>Курс евро</t>
  </si>
  <si>
    <t>Норма на изготовление, н.ч.</t>
  </si>
  <si>
    <t>Металл</t>
  </si>
  <si>
    <t>Время порезки на лазере, н.ч.</t>
  </si>
  <si>
    <t>ФОТ основных рабочих, руб</t>
  </si>
  <si>
    <t>ФОТ АУП, МОП…. Руб</t>
  </si>
  <si>
    <t>ФОТ осн. Раб вкл АУП, МОП...</t>
  </si>
  <si>
    <t xml:space="preserve">Материал </t>
  </si>
  <si>
    <t>Материалы и покупные</t>
  </si>
  <si>
    <t xml:space="preserve">Материалы  </t>
  </si>
  <si>
    <t>Вес заготовки, кг</t>
  </si>
  <si>
    <t>Стоимость металла, руб без НДС</t>
  </si>
  <si>
    <t>Покупные</t>
  </si>
  <si>
    <t>Процент обработки металла</t>
  </si>
  <si>
    <t>Цена евро/шт без НДС</t>
  </si>
  <si>
    <t>Контр</t>
  </si>
  <si>
    <t>Транспорт; руб без НДС</t>
  </si>
  <si>
    <t>Материалы и покупные руб без НДС</t>
  </si>
  <si>
    <t>Решетка вертикальная грабельная РВГО</t>
  </si>
  <si>
    <t>Вес металла, кг</t>
  </si>
  <si>
    <t>Условное время обработки 1 кг изделия, мин</t>
  </si>
  <si>
    <t>Привод ковша, руб/шт без НДС</t>
  </si>
  <si>
    <t>Крепежи, метизы руб без НДС</t>
  </si>
  <si>
    <t>Крепежи/метизы/фурнитура</t>
  </si>
  <si>
    <t>Замок на четверть поворота 060 4-0-15-34 (нерж.)</t>
  </si>
  <si>
    <t>кол-во</t>
  </si>
  <si>
    <t>ед. изм.</t>
  </si>
  <si>
    <t>Итого</t>
  </si>
  <si>
    <t>Капсула HILTI HVU М12х95</t>
  </si>
  <si>
    <t>шт</t>
  </si>
  <si>
    <t>Болт M12x100.21.12Х18H10Т ГОСТ 7798-70</t>
  </si>
  <si>
    <t>Болт M12x35.21.12Х18H10Т ГОСТ 7798-70</t>
  </si>
  <si>
    <t>Болт M12x50.21.12Х18H10Т ГОСТ 7798-70</t>
  </si>
  <si>
    <t>Болт M16x80.21.12Х18H10Т ГОСТ 7798-70</t>
  </si>
  <si>
    <t>Болт M8x30.21.12Х18H10Т ГОСТ 7798-70</t>
  </si>
  <si>
    <t>Болт M8x35.21.12Х18H10Т ГОСТ 7798-70</t>
  </si>
  <si>
    <t>Винт A.M4x14.36.10 ГОСТ 17473-80</t>
  </si>
  <si>
    <t>Винт A.M8x20.21.12Х18H10Т ГОСТ 17475-80</t>
  </si>
  <si>
    <t>Винт B.2.M4x20.21.12Х18H10Т ГОСТ 17473-80</t>
  </si>
  <si>
    <t>Гайка M12.21.12Х18H10Т ГОСТ 5915-70</t>
  </si>
  <si>
    <t>Гайка M8.21.12Х18H10Т ГОСТ 5915-70</t>
  </si>
  <si>
    <t>Гайка М4 - А2 DIN 985</t>
  </si>
  <si>
    <t>Кольцо A16 ГОСТ 13942-86</t>
  </si>
  <si>
    <t>Кольцо A20 ГОСТ 13942-86</t>
  </si>
  <si>
    <t>Кольцо A30 ГОСТ 13942-86</t>
  </si>
  <si>
    <t>Рым-болт М16 нерж. DIN 580</t>
  </si>
  <si>
    <t>Шайба 12 30Х13 ГОСТ 6402-70</t>
  </si>
  <si>
    <t>Шайба 16 30Х13 ГОСТ 6402-70</t>
  </si>
  <si>
    <t>Шайба 8 30Х13 ГОСТ 6402-70</t>
  </si>
  <si>
    <t>Шайба C.12.21 ГОСТ 11371-78</t>
  </si>
  <si>
    <t>Шайба C.16.21 ГОСТ 11371-78</t>
  </si>
  <si>
    <t>Шайба C.4.21 ГОСТ 11371-78</t>
  </si>
  <si>
    <t>Шайба C.8.21 ГОСТ 11371-78</t>
  </si>
  <si>
    <t>Шплинт 3,2x25.2 ГОСТ 397-79</t>
  </si>
  <si>
    <t>Ручка бугельная</t>
  </si>
  <si>
    <t>Выступ д/шпингалета</t>
  </si>
  <si>
    <t>Пружина РВГО 1000.1800.850.40.04.003</t>
  </si>
  <si>
    <t>Наклейка 250*400мм Фон-000-п/ц-1440</t>
  </si>
  <si>
    <t>Шпилька D12 резьбовая н/ст</t>
  </si>
  <si>
    <t>м.п.</t>
  </si>
  <si>
    <t>ИТОГО</t>
  </si>
  <si>
    <t>руб/м2 без НДС</t>
  </si>
  <si>
    <t>Тросс ковша, руб/шт без НДС</t>
  </si>
  <si>
    <t>Длина троса ковша м.п.</t>
  </si>
  <si>
    <t>Крепежи, руб без НДС</t>
  </si>
  <si>
    <t>Пруток ZX-100K /100*400мм</t>
  </si>
  <si>
    <t>руб без НДС</t>
  </si>
  <si>
    <t>Ролики ковша, руб без НДС</t>
  </si>
  <si>
    <t>Лист ПЭ 1000 10*1000*1000</t>
  </si>
  <si>
    <t>Скребок ПЭ 1000, руб/шт без НДС</t>
  </si>
  <si>
    <t>высота фильтровального экрана -</t>
  </si>
  <si>
    <t>ФОТ основных рабочих РВГО</t>
  </si>
  <si>
    <t>ФОТ основных рабочих ШУ</t>
  </si>
  <si>
    <t>Ширина  канала для решетки, мм</t>
  </si>
  <si>
    <t>Высота экрана, мм</t>
  </si>
  <si>
    <t>Высота выгрузка, мм</t>
  </si>
  <si>
    <t>Решетка</t>
  </si>
  <si>
    <t>Норма, н.ч.</t>
  </si>
  <si>
    <t>Типоразмер</t>
  </si>
  <si>
    <t>Количество ламелей, шт</t>
  </si>
  <si>
    <t>Рама</t>
  </si>
  <si>
    <t>Фильтровальный экран</t>
  </si>
  <si>
    <t>Норма на 1 ламель, мин.</t>
  </si>
  <si>
    <t>Норма на основание, мин.</t>
  </si>
  <si>
    <t>ИТОГО Экран, н.ч.</t>
  </si>
  <si>
    <t xml:space="preserve">от 1000 до 1900 </t>
  </si>
  <si>
    <t>от 2000 до 2500</t>
  </si>
  <si>
    <t>ИТОГО Рама, н.ч.</t>
  </si>
  <si>
    <t>Ковш</t>
  </si>
  <si>
    <t>Базовый ФОТ ковша, мин.</t>
  </si>
  <si>
    <t>Кол-во ножей, шт.</t>
  </si>
  <si>
    <t>Норма на 1 нож, мин.</t>
  </si>
  <si>
    <t>ИТОГО Ковш, н.ч.</t>
  </si>
  <si>
    <t>Базовый ФОТ, н.ч.</t>
  </si>
  <si>
    <t>Увеличение/у меньшение рамы, н.ч.</t>
  </si>
  <si>
    <t>Доп. высота рамы 100 мм., н.ч.</t>
  </si>
  <si>
    <t>Вес решетки, кг</t>
  </si>
  <si>
    <t>Стоимость нормо часа, руб/н.ч.</t>
  </si>
  <si>
    <t>Коэф к ФОТ учитывающий АУП, МОП..</t>
  </si>
  <si>
    <t>ФОТ лазер</t>
  </si>
  <si>
    <t>RVGO_gap</t>
  </si>
  <si>
    <t>RVGO_Mark</t>
  </si>
  <si>
    <t>RVGO_ch_wide</t>
  </si>
  <si>
    <t>RVGO_ch_dep</t>
  </si>
  <si>
    <t>RVGO_h_load</t>
  </si>
  <si>
    <t>RVGO_H_screen</t>
  </si>
  <si>
    <t>Высота фильтровального экрана -</t>
  </si>
  <si>
    <t>RVGO_IP_d</t>
  </si>
  <si>
    <t>RVGO_Q_max</t>
  </si>
  <si>
    <t>RVGO_P_kw</t>
  </si>
  <si>
    <t>RVGO_Mat</t>
  </si>
  <si>
    <t>RVGO_h2</t>
  </si>
  <si>
    <t>RVGO_Weight</t>
  </si>
  <si>
    <t>RVGO_CP1</t>
  </si>
  <si>
    <t>RVGO_comp_cp</t>
  </si>
  <si>
    <t>RVGO_comp_lcp</t>
  </si>
  <si>
    <t>RVGO_comp_cp1</t>
  </si>
  <si>
    <t>RVGO_L_Dis</t>
  </si>
  <si>
    <t>Ширина выгрузки из решетки -</t>
  </si>
  <si>
    <t xml:space="preserve">Позиция </t>
  </si>
  <si>
    <t>Себестоимость изделия, руб без НДС</t>
  </si>
  <si>
    <t>Себестоимость ШУ,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</si>
  <si>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</si>
  <si>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</si>
  <si>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</si>
  <si>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</si>
  <si>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</si>
  <si>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</si>
  <si>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</si>
  <si>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</si>
  <si>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ШУ-РВГО</t>
  </si>
  <si>
    <t>Вес участка кг/100 мм.</t>
  </si>
  <si>
    <t>Расчетная решетка, кг</t>
  </si>
  <si>
    <t>Рама решетки</t>
  </si>
  <si>
    <t>Ширина рамы, мм</t>
  </si>
  <si>
    <t>Рама решетки (боковины)</t>
  </si>
  <si>
    <t>Глубина К, мм</t>
  </si>
  <si>
    <t>Нижнее основание</t>
  </si>
  <si>
    <t>Высота Ф экрана, мм</t>
  </si>
  <si>
    <t>Поперечены рамы</t>
  </si>
  <si>
    <t>Защитные кожухи (для выгр 850)</t>
  </si>
  <si>
    <t>Увеличение высоты выгрузки, мм</t>
  </si>
  <si>
    <t>Бовые упоры (2 шт.)</t>
  </si>
  <si>
    <t>Высота рамы, мм</t>
  </si>
  <si>
    <t>Опоры (2 шт.)</t>
  </si>
  <si>
    <t>Увеличение высоты выгрузки</t>
  </si>
  <si>
    <t>Лебедка</t>
  </si>
  <si>
    <t>Вал приводной</t>
  </si>
  <si>
    <t>Количество ножей, шт</t>
  </si>
  <si>
    <t>Барабан лебедки</t>
  </si>
  <si>
    <t>Рыча грективный</t>
  </si>
  <si>
    <t>Боковоые швейлера (2 шт.)</t>
  </si>
  <si>
    <t>Основание экрана</t>
  </si>
  <si>
    <t>Ламели (вес комплекта)</t>
  </si>
  <si>
    <t>Боковины ковша (2 шт)</t>
  </si>
  <si>
    <t>Основание ковша</t>
  </si>
  <si>
    <t>Противовес ковша</t>
  </si>
  <si>
    <t>Ножи</t>
  </si>
  <si>
    <t>Балка</t>
  </si>
  <si>
    <t>Сбрасыватель</t>
  </si>
  <si>
    <t>Боковины (2 шт.)</t>
  </si>
  <si>
    <t>Прочее</t>
  </si>
  <si>
    <t>РЕШЕТКА (без привода)</t>
  </si>
  <si>
    <t>Решетка в сборе для спецификации</t>
  </si>
  <si>
    <t>Ширина канала,мм</t>
  </si>
  <si>
    <t>Изменения</t>
  </si>
  <si>
    <t>Автор</t>
  </si>
  <si>
    <t>Махлай К. А.</t>
  </si>
  <si>
    <t>Цена нержавеющей стали снижена в соответствии с другими расчетами. AISI 201 - 150 (было 160) руб/кг без НДС.; AISI 304 - 200 (было 220) руб/кг без НДС. ;AISI 316 - 280 (было 300) руб/кг без НДС.; AISI 321 - 230 (было 250) руб/кг без НДС.;</t>
  </si>
  <si>
    <t>Мощность, кВт.</t>
  </si>
  <si>
    <t>Мотор-редуктор СВPP-110-225,4-KWO.55,IP66/6/80B5 LFB М3</t>
  </si>
  <si>
    <t>Мотор-редуктор СВPP-85-225,4-KWO 37/6/80B5 LFB</t>
  </si>
  <si>
    <t>Протокол связи</t>
  </si>
  <si>
    <t>Удалена вкладка "Подбор" все материалы перенесены на вкладку "Цена"</t>
  </si>
  <si>
    <t>Добавлена опция - "протокол связи".</t>
  </si>
  <si>
    <t>Стоимость комплектующих ШУ, евро без НДС</t>
  </si>
  <si>
    <t>Комплектация ШУ</t>
  </si>
  <si>
    <t>Пульт управления ВПУ:</t>
  </si>
  <si>
    <t>евро без НДС</t>
  </si>
  <si>
    <t>ВПУ, евро без НДС</t>
  </si>
  <si>
    <t>Степень защиты ВПУ</t>
  </si>
  <si>
    <t>Итого комплектующие ШУ, евро без НДС</t>
  </si>
  <si>
    <t>Итого комплектующие ШУ, руб без НДС</t>
  </si>
  <si>
    <t>Modbus RTU</t>
  </si>
  <si>
    <t>ИТОГО комплектующие ШУ, руб без НДС</t>
  </si>
  <si>
    <t>Modbus TCP</t>
  </si>
  <si>
    <t>Да</t>
  </si>
  <si>
    <t>Срок поставки</t>
  </si>
  <si>
    <t>term</t>
  </si>
  <si>
    <t>IP 54</t>
  </si>
  <si>
    <t>IP 65</t>
  </si>
  <si>
    <t>Мodbus RTU</t>
  </si>
  <si>
    <t xml:space="preserve">Мodbus TCP </t>
  </si>
  <si>
    <t>ЗИП (дополнительный тросс)</t>
  </si>
  <si>
    <t>Цена троса ковша, руб/м.п. без НДС</t>
  </si>
  <si>
    <t>Лента полиэфирная стяжная ЛПЭР-100-14000</t>
  </si>
  <si>
    <t>руб/м.п. без НДС</t>
  </si>
  <si>
    <t>Изменен тип и себестоимость троса</t>
  </si>
  <si>
    <t>Буртянский Я. В.</t>
  </si>
  <si>
    <t>Левченко О. В.</t>
  </si>
  <si>
    <t>Бондарь А.В.</t>
  </si>
  <si>
    <t>Увеличен Вес боковин ковша для решетки с шириной канала 1000 мм. (ранее было 34 кг, теперь для каналов свыше 1000 мм - 90 кг)</t>
  </si>
  <si>
    <t>Увеличен ФОТ для решеток на глубокие каналы. Было 0,2-0,35 н.ч. за 100 мм дополнительной высоты, заменено на 1-2 н.ч.</t>
  </si>
  <si>
    <t>Откорректирован вес решетки по актуализированной модели от Бондаря. Произошло утяжеления рамы примерно на 20-25%. Доработка решетки была сделана после пилотных испытаний на Люберецкой СА.</t>
  </si>
  <si>
    <t>Снижен процент переработки металла с 0,7 до 0,8.</t>
  </si>
  <si>
    <t>Добавлен привод 0,55 кВт для решеток с размерами каналов более 1000х1000</t>
  </si>
  <si>
    <t>Скорректирована формула и методика расчета длины троса</t>
  </si>
  <si>
    <t>Добавлен дополнительный трос в комплект поставки решетки (ЗИП)</t>
  </si>
  <si>
    <t>Увеличена на 400 мм. общая высота решетки для решеток с шириной канала  более 1000 мм.</t>
  </si>
  <si>
    <t>В ЗИП заложены 3 запасных стропа.</t>
  </si>
  <si>
    <t>Скорректирован расчет высоты рамы решетки на вкладке "Вес"</t>
  </si>
  <si>
    <t xml:space="preserve">Часовая тарифная ставка для ЭМУ </t>
  </si>
  <si>
    <t>руб/н.ч.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</si>
  <si>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</si>
  <si>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</si>
  <si>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</si>
  <si>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</si>
  <si>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 xml:space="preserve">Скорректирована стоимость приводов </t>
  </si>
  <si>
    <t xml:space="preserve">Ранко Е. А. </t>
  </si>
  <si>
    <t>Бланк организации</t>
  </si>
  <si>
    <t>23.02.2022</t>
  </si>
  <si>
    <t>Ахметшин Ю. М.</t>
  </si>
  <si>
    <t>Казахстан</t>
  </si>
  <si>
    <t/>
  </si>
  <si>
    <t>ТПП Экополимер</t>
  </si>
  <si>
    <t>ModBus TCP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</si>
</sst>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"/>
    <numFmt numFmtId="165" formatCode="0.0"/>
    <numFmt numFmtId="166" formatCode="#,##0.000"/>
    <numFmt numFmtId="167" formatCode="0.000"/>
    <numFmt numFmtId="168" formatCode="#,##0\ [$€-1]"/>
    <numFmt numFmtId="169" formatCode="#,##0\ [$EUR]"/>
  </numFmts>
  <fonts count="45" x14ac:knownFonts="1">
    <font>
      <sz val="10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sz val="14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1"/>
      <name val="Arial Cyr"/>
      <charset val="204"/>
    </font>
    <font>
      <sz val="9"/>
      <color indexed="81"/>
      <name val="Tahoma"/>
      <family val="2"/>
      <charset val="204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sz val="10"/>
      <color rgb="FFFF0000"/>
      <name val="Arial Cyr"/>
      <charset val="204"/>
    </font>
    <font>
      <i/>
      <sz val="10"/>
      <color rgb="FFFF0000"/>
      <name val="Arial Cyr"/>
      <charset val="204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FF0000"/>
      <name val="Times New Roman"/>
      <family val="1"/>
      <charset val="204"/>
    </font>
    <font>
      <i/>
      <sz val="10"/>
      <color theme="0" tint="-0.499984740745262"/>
      <name val="Arial"/>
      <family val="2"/>
      <charset val="204"/>
    </font>
    <font>
      <sz val="10"/>
      <color rgb="FFFF0000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4" fillId="0" borderId="0"/>
  </cellStyleXfs>
  <cellXfs count="34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Border="1" applyAlignment="1"/>
    <xf numFmtId="0" fontId="1" fillId="0" borderId="0" xfId="0" applyFont="1" applyFill="1" applyBorder="1"/>
    <xf numFmtId="0" fontId="6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1" fontId="8" fillId="2" borderId="5" xfId="0" applyNumberFormat="1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8" fillId="0" borderId="0" xfId="0" applyFont="1" applyBorder="1"/>
    <xf numFmtId="0" fontId="11" fillId="0" borderId="0" xfId="0" applyFont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3" fontId="0" fillId="0" borderId="0" xfId="0" applyNumberFormat="1" applyBorder="1" applyAlignment="1">
      <alignment horizontal="center" vertical="center"/>
    </xf>
    <xf numFmtId="0" fontId="19" fillId="0" borderId="0" xfId="0" applyFont="1"/>
    <xf numFmtId="0" fontId="19" fillId="0" borderId="5" xfId="0" applyFont="1" applyBorder="1"/>
    <xf numFmtId="0" fontId="0" fillId="0" borderId="0" xfId="0" applyAlignment="1">
      <alignment horizontal="right"/>
    </xf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3" fontId="1" fillId="3" borderId="2" xfId="0" applyNumberFormat="1" applyFont="1" applyFill="1" applyBorder="1" applyAlignment="1">
      <alignment horizontal="center" vertical="center"/>
    </xf>
    <xf numFmtId="3" fontId="1" fillId="3" borderId="9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9" fontId="0" fillId="0" borderId="0" xfId="0" applyNumberFormat="1" applyAlignment="1">
      <alignment horizontal="center"/>
    </xf>
    <xf numFmtId="0" fontId="35" fillId="5" borderId="0" xfId="0" applyFont="1" applyFill="1" applyAlignment="1"/>
    <xf numFmtId="0" fontId="36" fillId="5" borderId="0" xfId="0" applyFont="1" applyFill="1"/>
    <xf numFmtId="0" fontId="22" fillId="0" borderId="10" xfId="0" applyFont="1" applyFill="1" applyBorder="1" applyAlignment="1"/>
    <xf numFmtId="0" fontId="22" fillId="0" borderId="10" xfId="0" applyFont="1" applyFill="1" applyBorder="1" applyAlignment="1">
      <alignment horizontal="left"/>
    </xf>
    <xf numFmtId="0" fontId="20" fillId="0" borderId="10" xfId="0" applyFont="1" applyFill="1" applyBorder="1"/>
    <xf numFmtId="0" fontId="35" fillId="5" borderId="0" xfId="0" applyFont="1" applyFill="1" applyBorder="1" applyAlignment="1"/>
    <xf numFmtId="0" fontId="36" fillId="5" borderId="0" xfId="0" applyFont="1" applyFill="1" applyBorder="1"/>
    <xf numFmtId="0" fontId="35" fillId="6" borderId="0" xfId="0" applyFont="1" applyFill="1" applyAlignment="1"/>
    <xf numFmtId="3" fontId="22" fillId="6" borderId="0" xfId="0" applyNumberFormat="1" applyFont="1" applyFill="1" applyBorder="1" applyAlignment="1">
      <alignment horizontal="center"/>
    </xf>
    <xf numFmtId="0" fontId="36" fillId="6" borderId="0" xfId="0" applyFont="1" applyFill="1"/>
    <xf numFmtId="3" fontId="22" fillId="6" borderId="0" xfId="0" applyNumberFormat="1" applyFont="1" applyFill="1" applyBorder="1" applyAlignment="1"/>
    <xf numFmtId="3" fontId="0" fillId="0" borderId="11" xfId="0" applyNumberFormat="1" applyBorder="1" applyAlignment="1">
      <alignment vertical="center" wrapText="1"/>
    </xf>
    <xf numFmtId="3" fontId="22" fillId="6" borderId="12" xfId="0" applyNumberFormat="1" applyFont="1" applyFill="1" applyBorder="1" applyAlignment="1">
      <alignment horizontal="center"/>
    </xf>
    <xf numFmtId="3" fontId="0" fillId="0" borderId="8" xfId="0" applyNumberFormat="1" applyBorder="1" applyAlignment="1">
      <alignment vertical="center" wrapText="1"/>
    </xf>
    <xf numFmtId="3" fontId="0" fillId="0" borderId="5" xfId="0" applyNumberFormat="1" applyBorder="1" applyAlignment="1">
      <alignment vertical="center"/>
    </xf>
    <xf numFmtId="3" fontId="2" fillId="5" borderId="13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3" fontId="2" fillId="5" borderId="14" xfId="0" applyNumberFormat="1" applyFont="1" applyFill="1" applyBorder="1" applyAlignment="1">
      <alignment horizontal="center" vertical="center"/>
    </xf>
    <xf numFmtId="3" fontId="1" fillId="3" borderId="15" xfId="0" applyNumberFormat="1" applyFont="1" applyFill="1" applyBorder="1" applyAlignment="1">
      <alignment horizontal="center" vertical="center"/>
    </xf>
    <xf numFmtId="3" fontId="22" fillId="6" borderId="0" xfId="0" applyNumberFormat="1" applyFont="1" applyFill="1" applyBorder="1" applyAlignment="1">
      <alignment horizontal="right"/>
    </xf>
    <xf numFmtId="3" fontId="22" fillId="0" borderId="1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2" fillId="5" borderId="16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7" fillId="0" borderId="17" xfId="0" applyFont="1" applyBorder="1" applyAlignment="1">
      <alignment wrapText="1"/>
    </xf>
    <xf numFmtId="4" fontId="1" fillId="7" borderId="18" xfId="0" applyNumberFormat="1" applyFont="1" applyFill="1" applyBorder="1" applyAlignment="1">
      <alignment horizontal="center" vertical="center"/>
    </xf>
    <xf numFmtId="3" fontId="0" fillId="0" borderId="18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0" xfId="0" applyNumberFormat="1"/>
    <xf numFmtId="0" fontId="23" fillId="0" borderId="0" xfId="0" applyFont="1" applyBorder="1" applyAlignment="1">
      <alignment horizontal="center"/>
    </xf>
    <xf numFmtId="3" fontId="7" fillId="0" borderId="20" xfId="0" applyNumberFormat="1" applyFont="1" applyBorder="1"/>
    <xf numFmtId="0" fontId="7" fillId="0" borderId="0" xfId="0" applyFont="1"/>
    <xf numFmtId="0" fontId="7" fillId="0" borderId="1" xfId="0" applyFont="1" applyBorder="1" applyAlignment="1">
      <alignment wrapText="1"/>
    </xf>
    <xf numFmtId="3" fontId="0" fillId="7" borderId="20" xfId="0" applyNumberFormat="1" applyFill="1" applyBorder="1" applyAlignment="1">
      <alignment vertical="center"/>
    </xf>
    <xf numFmtId="0" fontId="0" fillId="0" borderId="1" xfId="0" applyBorder="1" applyAlignment="1">
      <alignment wrapText="1"/>
    </xf>
    <xf numFmtId="3" fontId="0" fillId="0" borderId="0" xfId="0" applyNumberFormat="1" applyBorder="1"/>
    <xf numFmtId="0" fontId="23" fillId="0" borderId="7" xfId="0" applyFont="1" applyBorder="1" applyAlignment="1">
      <alignment horizontal="center"/>
    </xf>
    <xf numFmtId="3" fontId="0" fillId="0" borderId="7" xfId="0" applyNumberFormat="1" applyBorder="1"/>
    <xf numFmtId="3" fontId="7" fillId="0" borderId="21" xfId="0" applyNumberFormat="1" applyFont="1" applyBorder="1"/>
    <xf numFmtId="9" fontId="7" fillId="7" borderId="22" xfId="0" applyNumberFormat="1" applyFont="1" applyFill="1" applyBorder="1" applyAlignment="1">
      <alignment horizontal="center" vertical="center"/>
    </xf>
    <xf numFmtId="3" fontId="0" fillId="8" borderId="22" xfId="0" applyNumberFormat="1" applyFill="1" applyBorder="1" applyAlignment="1">
      <alignment vertical="center"/>
    </xf>
    <xf numFmtId="3" fontId="0" fillId="8" borderId="23" xfId="0" applyNumberFormat="1" applyFill="1" applyBorder="1" applyAlignment="1">
      <alignment vertical="center"/>
    </xf>
    <xf numFmtId="9" fontId="23" fillId="0" borderId="0" xfId="0" applyNumberFormat="1" applyFont="1" applyBorder="1" applyAlignment="1">
      <alignment horizontal="center" vertical="center"/>
    </xf>
    <xf numFmtId="3" fontId="0" fillId="8" borderId="5" xfId="0" applyNumberFormat="1" applyFill="1" applyBorder="1" applyAlignment="1">
      <alignment vertical="center"/>
    </xf>
    <xf numFmtId="3" fontId="0" fillId="8" borderId="24" xfId="0" applyNumberFormat="1" applyFill="1" applyBorder="1" applyAlignment="1">
      <alignment vertical="center"/>
    </xf>
    <xf numFmtId="0" fontId="0" fillId="0" borderId="6" xfId="0" applyBorder="1" applyAlignment="1">
      <alignment wrapText="1"/>
    </xf>
    <xf numFmtId="3" fontId="0" fillId="0" borderId="21" xfId="0" applyNumberFormat="1" applyBorder="1"/>
    <xf numFmtId="14" fontId="21" fillId="7" borderId="4" xfId="0" applyNumberFormat="1" applyFont="1" applyFill="1" applyBorder="1" applyAlignment="1">
      <alignment horizontal="left" vertical="center"/>
    </xf>
    <xf numFmtId="14" fontId="21" fillId="7" borderId="3" xfId="0" applyNumberFormat="1" applyFont="1" applyFill="1" applyBorder="1" applyAlignment="1">
      <alignment vertical="center"/>
    </xf>
    <xf numFmtId="14" fontId="21" fillId="7" borderId="25" xfId="0" applyNumberFormat="1" applyFont="1" applyFill="1" applyBorder="1" applyAlignment="1">
      <alignment vertical="center"/>
    </xf>
    <xf numFmtId="4" fontId="21" fillId="7" borderId="4" xfId="0" applyNumberFormat="1" applyFont="1" applyFill="1" applyBorder="1" applyAlignment="1">
      <alignment horizontal="left" vertical="center"/>
    </xf>
    <xf numFmtId="1" fontId="8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7" fillId="0" borderId="0" xfId="0" applyFont="1" applyAlignment="1">
      <alignment horizontal="right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9" borderId="0" xfId="0" applyFill="1" applyAlignment="1">
      <alignment horizontal="right"/>
    </xf>
    <xf numFmtId="3" fontId="0" fillId="9" borderId="0" xfId="0" applyNumberFormat="1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/>
    </xf>
    <xf numFmtId="1" fontId="0" fillId="9" borderId="0" xfId="0" applyNumberFormat="1" applyFill="1" applyAlignment="1">
      <alignment horizontal="left"/>
    </xf>
    <xf numFmtId="0" fontId="25" fillId="0" borderId="0" xfId="1" applyFont="1" applyAlignment="1">
      <alignment horizontal="center" vertical="center" wrapText="1"/>
    </xf>
    <xf numFmtId="0" fontId="25" fillId="0" borderId="0" xfId="1" applyFont="1" applyAlignment="1">
      <alignment wrapText="1"/>
    </xf>
    <xf numFmtId="0" fontId="25" fillId="10" borderId="0" xfId="1" applyFont="1" applyFill="1" applyAlignment="1">
      <alignment wrapText="1"/>
    </xf>
    <xf numFmtId="0" fontId="25" fillId="10" borderId="0" xfId="1" applyFont="1" applyFill="1" applyAlignment="1">
      <alignment horizontal="center" vertical="center"/>
    </xf>
    <xf numFmtId="0" fontId="25" fillId="10" borderId="0" xfId="1" applyFont="1" applyFill="1"/>
    <xf numFmtId="0" fontId="26" fillId="0" borderId="0" xfId="1" applyFont="1" applyAlignment="1">
      <alignment wrapText="1"/>
    </xf>
    <xf numFmtId="14" fontId="25" fillId="0" borderId="0" xfId="1" applyNumberFormat="1" applyFont="1" applyAlignment="1">
      <alignment horizontal="center" vertical="center" wrapText="1"/>
    </xf>
    <xf numFmtId="0" fontId="27" fillId="10" borderId="0" xfId="1" applyFont="1" applyFill="1" applyAlignment="1">
      <alignment wrapText="1"/>
    </xf>
    <xf numFmtId="0" fontId="27" fillId="10" borderId="0" xfId="1" applyFont="1" applyFill="1" applyAlignment="1">
      <alignment horizontal="center" vertical="center"/>
    </xf>
    <xf numFmtId="0" fontId="27" fillId="10" borderId="0" xfId="1" applyFont="1" applyFill="1"/>
    <xf numFmtId="2" fontId="25" fillId="0" borderId="0" xfId="1" applyNumberFormat="1" applyFont="1" applyAlignment="1">
      <alignment horizontal="center" vertical="center" wrapText="1"/>
    </xf>
    <xf numFmtId="0" fontId="25" fillId="0" borderId="0" xfId="1" applyFont="1" applyAlignment="1">
      <alignment horizontal="center" vertical="center"/>
    </xf>
    <xf numFmtId="0" fontId="25" fillId="0" borderId="0" xfId="1" applyFont="1"/>
    <xf numFmtId="3" fontId="25" fillId="0" borderId="0" xfId="1" applyNumberFormat="1" applyFont="1" applyAlignment="1">
      <alignment horizontal="center" vertical="center"/>
    </xf>
    <xf numFmtId="169" fontId="25" fillId="0" borderId="0" xfId="1" applyNumberFormat="1" applyFont="1" applyAlignment="1">
      <alignment horizontal="center" vertical="center"/>
    </xf>
    <xf numFmtId="0" fontId="7" fillId="5" borderId="17" xfId="1" applyFont="1" applyFill="1" applyBorder="1" applyAlignment="1">
      <alignment horizontal="center" vertical="center"/>
    </xf>
    <xf numFmtId="0" fontId="7" fillId="5" borderId="18" xfId="1" applyFont="1" applyFill="1" applyBorder="1" applyAlignment="1">
      <alignment horizontal="center" vertical="center"/>
    </xf>
    <xf numFmtId="0" fontId="3" fillId="0" borderId="26" xfId="1" applyBorder="1"/>
    <xf numFmtId="0" fontId="3" fillId="0" borderId="0" xfId="1"/>
    <xf numFmtId="0" fontId="3" fillId="0" borderId="1" xfId="1" applyBorder="1" applyAlignment="1">
      <alignment wrapText="1"/>
    </xf>
    <xf numFmtId="3" fontId="3" fillId="0" borderId="0" xfId="1" applyNumberFormat="1" applyBorder="1" applyAlignment="1">
      <alignment vertical="center"/>
    </xf>
    <xf numFmtId="0" fontId="3" fillId="0" borderId="27" xfId="1" applyBorder="1"/>
    <xf numFmtId="3" fontId="3" fillId="0" borderId="0" xfId="1" applyNumberFormat="1"/>
    <xf numFmtId="0" fontId="3" fillId="0" borderId="0" xfId="1" applyAlignment="1">
      <alignment horizontal="center" vertical="center"/>
    </xf>
    <xf numFmtId="0" fontId="3" fillId="0" borderId="0" xfId="1" applyAlignment="1">
      <alignment vertical="center"/>
    </xf>
    <xf numFmtId="0" fontId="3" fillId="0" borderId="5" xfId="1" applyFill="1" applyBorder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37" fillId="0" borderId="5" xfId="1" applyFont="1" applyFill="1" applyBorder="1" applyAlignment="1">
      <alignment horizontal="center" vertical="center"/>
    </xf>
    <xf numFmtId="0" fontId="3" fillId="0" borderId="28" xfId="1" applyBorder="1"/>
    <xf numFmtId="9" fontId="37" fillId="0" borderId="0" xfId="1" applyNumberFormat="1" applyFont="1" applyAlignment="1">
      <alignment horizontal="right" vertical="center"/>
    </xf>
    <xf numFmtId="0" fontId="7" fillId="0" borderId="9" xfId="1" applyFont="1" applyBorder="1" applyAlignment="1">
      <alignment wrapText="1"/>
    </xf>
    <xf numFmtId="3" fontId="28" fillId="0" borderId="29" xfId="1" applyNumberFormat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3" fontId="37" fillId="0" borderId="0" xfId="1" applyNumberFormat="1" applyFont="1"/>
    <xf numFmtId="0" fontId="3" fillId="0" borderId="0" xfId="1" applyAlignment="1">
      <alignment wrapText="1"/>
    </xf>
    <xf numFmtId="0" fontId="3" fillId="0" borderId="1" xfId="1" applyBorder="1" applyAlignment="1">
      <alignment vertical="center" wrapText="1"/>
    </xf>
    <xf numFmtId="2" fontId="37" fillId="0" borderId="0" xfId="1" applyNumberFormat="1" applyFont="1"/>
    <xf numFmtId="3" fontId="3" fillId="0" borderId="0" xfId="1" applyNumberFormat="1" applyBorder="1" applyAlignment="1">
      <alignment horizontal="right" vertical="center"/>
    </xf>
    <xf numFmtId="3" fontId="3" fillId="0" borderId="27" xfId="1" applyNumberFormat="1" applyBorder="1"/>
    <xf numFmtId="4" fontId="37" fillId="0" borderId="0" xfId="1" applyNumberFormat="1" applyFont="1"/>
    <xf numFmtId="0" fontId="3" fillId="0" borderId="5" xfId="1" applyBorder="1" applyAlignment="1">
      <alignment horizontal="center"/>
    </xf>
    <xf numFmtId="0" fontId="37" fillId="0" borderId="5" xfId="1" applyFont="1" applyBorder="1" applyAlignment="1">
      <alignment horizontal="center" vertical="center"/>
    </xf>
    <xf numFmtId="0" fontId="3" fillId="0" borderId="5" xfId="1" applyBorder="1"/>
    <xf numFmtId="3" fontId="3" fillId="0" borderId="0" xfId="1" applyNumberFormat="1" applyAlignment="1">
      <alignment horizontal="right"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0" xfId="1" applyFont="1" applyFill="1" applyBorder="1" applyAlignment="1">
      <alignment horizontal="center" vertical="center"/>
    </xf>
    <xf numFmtId="0" fontId="3" fillId="0" borderId="0" xfId="1" applyBorder="1"/>
    <xf numFmtId="0" fontId="0" fillId="0" borderId="1" xfId="1" applyFont="1" applyBorder="1" applyAlignment="1">
      <alignment wrapText="1"/>
    </xf>
    <xf numFmtId="4" fontId="3" fillId="0" borderId="0" xfId="1" applyNumberFormat="1"/>
    <xf numFmtId="3" fontId="3" fillId="0" borderId="0" xfId="1" applyNumberFormat="1" applyAlignment="1">
      <alignment horizontal="right"/>
    </xf>
    <xf numFmtId="0" fontId="0" fillId="0" borderId="0" xfId="1" applyFont="1"/>
    <xf numFmtId="2" fontId="25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0" fillId="0" borderId="0" xfId="1" applyFont="1" applyAlignment="1">
      <alignment wrapText="1"/>
    </xf>
    <xf numFmtId="164" fontId="3" fillId="0" borderId="0" xfId="1" applyNumberFormat="1"/>
    <xf numFmtId="0" fontId="0" fillId="0" borderId="5" xfId="1" applyFont="1" applyBorder="1" applyAlignment="1">
      <alignment horizontal="center"/>
    </xf>
    <xf numFmtId="0" fontId="0" fillId="0" borderId="5" xfId="1" applyFont="1" applyBorder="1"/>
    <xf numFmtId="0" fontId="3" fillId="0" borderId="15" xfId="1" applyBorder="1"/>
    <xf numFmtId="0" fontId="8" fillId="0" borderId="4" xfId="0" applyFont="1" applyBorder="1" applyAlignment="1">
      <alignment horizontal="right" vertical="center"/>
    </xf>
    <xf numFmtId="0" fontId="8" fillId="0" borderId="25" xfId="0" applyFont="1" applyBorder="1"/>
    <xf numFmtId="0" fontId="8" fillId="0" borderId="4" xfId="0" applyFont="1" applyBorder="1" applyAlignment="1">
      <alignment horizontal="right" vertical="top"/>
    </xf>
    <xf numFmtId="0" fontId="0" fillId="0" borderId="0" xfId="1" applyFont="1" applyAlignment="1">
      <alignment vertical="center"/>
    </xf>
    <xf numFmtId="3" fontId="3" fillId="0" borderId="0" xfId="1" applyNumberFormat="1" applyFont="1" applyAlignment="1">
      <alignment horizontal="right" vertical="center"/>
    </xf>
    <xf numFmtId="3" fontId="3" fillId="0" borderId="0" xfId="1" applyNumberFormat="1" applyFont="1"/>
    <xf numFmtId="4" fontId="0" fillId="0" borderId="0" xfId="1" applyNumberFormat="1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0" fillId="0" borderId="0" xfId="1" applyFont="1" applyAlignment="1">
      <alignment horizontal="center" vertical="center" wrapText="1"/>
    </xf>
    <xf numFmtId="3" fontId="0" fillId="0" borderId="0" xfId="1" applyNumberFormat="1" applyFont="1" applyAlignment="1">
      <alignment horizontal="left"/>
    </xf>
    <xf numFmtId="3" fontId="0" fillId="0" borderId="0" xfId="1" applyNumberFormat="1" applyFont="1"/>
    <xf numFmtId="0" fontId="0" fillId="0" borderId="0" xfId="0" applyAlignment="1"/>
    <xf numFmtId="0" fontId="0" fillId="0" borderId="0" xfId="0" applyAlignment="1">
      <alignment horizontal="right" vertical="center"/>
    </xf>
    <xf numFmtId="0" fontId="7" fillId="0" borderId="0" xfId="1" applyFont="1" applyAlignment="1">
      <alignment vertical="center"/>
    </xf>
    <xf numFmtId="4" fontId="7" fillId="0" borderId="0" xfId="0" applyNumberFormat="1" applyFont="1"/>
    <xf numFmtId="9" fontId="38" fillId="0" borderId="0" xfId="1" applyNumberFormat="1" applyFont="1" applyAlignment="1">
      <alignment horizontal="left" vertical="center"/>
    </xf>
    <xf numFmtId="0" fontId="28" fillId="0" borderId="0" xfId="0" applyFont="1" applyAlignment="1">
      <alignment horizontal="left"/>
    </xf>
    <xf numFmtId="0" fontId="0" fillId="0" borderId="0" xfId="1" applyFont="1" applyFill="1"/>
    <xf numFmtId="3" fontId="37" fillId="0" borderId="0" xfId="1" applyNumberFormat="1" applyFont="1" applyAlignment="1">
      <alignment horizontal="right" vertical="center"/>
    </xf>
    <xf numFmtId="3" fontId="37" fillId="0" borderId="0" xfId="0" applyNumberFormat="1" applyFont="1"/>
    <xf numFmtId="0" fontId="37" fillId="0" borderId="0" xfId="1" applyFont="1"/>
    <xf numFmtId="0" fontId="18" fillId="2" borderId="5" xfId="0" applyNumberFormat="1" applyFont="1" applyFill="1" applyBorder="1" applyAlignment="1">
      <alignment horizontal="center" vertical="center" textRotation="90"/>
    </xf>
    <xf numFmtId="0" fontId="8" fillId="2" borderId="5" xfId="0" applyNumberFormat="1" applyFont="1" applyFill="1" applyBorder="1" applyAlignment="1">
      <alignment horizontal="center" textRotation="90" wrapText="1"/>
    </xf>
    <xf numFmtId="0" fontId="8" fillId="2" borderId="5" xfId="0" applyNumberFormat="1" applyFont="1" applyFill="1" applyBorder="1" applyAlignment="1">
      <alignment horizontal="center" textRotation="90"/>
    </xf>
    <xf numFmtId="0" fontId="18" fillId="2" borderId="5" xfId="0" applyFont="1" applyFill="1" applyBorder="1" applyAlignment="1">
      <alignment horizontal="center" vertical="center"/>
    </xf>
    <xf numFmtId="3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5" xfId="0" applyFont="1" applyFill="1" applyBorder="1"/>
    <xf numFmtId="0" fontId="8" fillId="0" borderId="5" xfId="0" applyFont="1" applyBorder="1"/>
    <xf numFmtId="167" fontId="8" fillId="0" borderId="5" xfId="0" applyNumberFormat="1" applyFont="1" applyBorder="1"/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21" fillId="7" borderId="4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center" vertical="center"/>
    </xf>
    <xf numFmtId="49" fontId="21" fillId="7" borderId="4" xfId="0" applyNumberFormat="1" applyFont="1" applyFill="1" applyBorder="1" applyAlignment="1">
      <alignment horizontal="left" vertical="center"/>
    </xf>
    <xf numFmtId="0" fontId="1" fillId="0" borderId="0" xfId="1" applyFont="1"/>
    <xf numFmtId="0" fontId="3" fillId="0" borderId="0" xfId="1" applyAlignment="1">
      <alignment horizontal="left" vertical="center"/>
    </xf>
    <xf numFmtId="3" fontId="3" fillId="0" borderId="0" xfId="1" applyNumberFormat="1" applyAlignment="1">
      <alignment horizontal="center" vertical="center"/>
    </xf>
    <xf numFmtId="3" fontId="0" fillId="0" borderId="0" xfId="0" applyNumberFormat="1" applyAlignment="1">
      <alignment wrapText="1"/>
    </xf>
    <xf numFmtId="0" fontId="39" fillId="11" borderId="0" xfId="0" applyFont="1" applyFill="1"/>
    <xf numFmtId="0" fontId="40" fillId="7" borderId="0" xfId="0" applyFont="1" applyFill="1" applyAlignment="1">
      <alignment wrapText="1"/>
    </xf>
    <xf numFmtId="0" fontId="0" fillId="0" borderId="0" xfId="0" applyFill="1"/>
    <xf numFmtId="0" fontId="39" fillId="0" borderId="0" xfId="0" applyFont="1" applyFill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41" fillId="0" borderId="0" xfId="1" applyFont="1" applyAlignment="1">
      <alignment horizontal="center" vertical="center" wrapText="1"/>
    </xf>
    <xf numFmtId="0" fontId="41" fillId="10" borderId="0" xfId="1" applyFont="1" applyFill="1" applyAlignment="1">
      <alignment horizontal="center" vertical="center"/>
    </xf>
    <xf numFmtId="0" fontId="0" fillId="0" borderId="5" xfId="1" applyFont="1" applyBorder="1" applyAlignment="1">
      <alignment horizontal="left" vertical="center"/>
    </xf>
    <xf numFmtId="3" fontId="1" fillId="3" borderId="30" xfId="0" applyNumberFormat="1" applyFont="1" applyFill="1" applyBorder="1" applyAlignment="1">
      <alignment horizontal="center" vertical="center"/>
    </xf>
    <xf numFmtId="3" fontId="1" fillId="3" borderId="31" xfId="0" applyNumberFormat="1" applyFont="1" applyFill="1" applyBorder="1" applyAlignment="1">
      <alignment horizontal="center" vertical="center"/>
    </xf>
    <xf numFmtId="3" fontId="1" fillId="3" borderId="32" xfId="0" applyNumberFormat="1" applyFont="1" applyFill="1" applyBorder="1" applyAlignment="1">
      <alignment horizontal="center" vertical="center"/>
    </xf>
    <xf numFmtId="3" fontId="0" fillId="7" borderId="0" xfId="0" applyNumberFormat="1" applyFill="1" applyAlignment="1">
      <alignment wrapText="1"/>
    </xf>
    <xf numFmtId="3" fontId="40" fillId="7" borderId="0" xfId="0" applyNumberFormat="1" applyFont="1" applyFill="1" applyAlignment="1">
      <alignment wrapText="1"/>
    </xf>
    <xf numFmtId="0" fontId="30" fillId="5" borderId="29" xfId="0" applyFont="1" applyFill="1" applyBorder="1"/>
    <xf numFmtId="0" fontId="31" fillId="0" borderId="17" xfId="0" applyFont="1" applyBorder="1"/>
    <xf numFmtId="3" fontId="31" fillId="0" borderId="18" xfId="0" applyNumberFormat="1" applyFont="1" applyFill="1" applyBorder="1"/>
    <xf numFmtId="3" fontId="31" fillId="0" borderId="0" xfId="0" applyNumberFormat="1" applyFont="1"/>
    <xf numFmtId="0" fontId="31" fillId="0" borderId="0" xfId="0" applyFont="1"/>
    <xf numFmtId="0" fontId="31" fillId="0" borderId="1" xfId="0" applyFont="1" applyBorder="1"/>
    <xf numFmtId="168" fontId="42" fillId="0" borderId="0" xfId="0" applyNumberFormat="1" applyFont="1" applyFill="1" applyBorder="1" applyAlignment="1">
      <alignment horizontal="right" vertical="center"/>
    </xf>
    <xf numFmtId="3" fontId="31" fillId="0" borderId="0" xfId="0" applyNumberFormat="1" applyFont="1" applyAlignment="1">
      <alignment horizontal="left"/>
    </xf>
    <xf numFmtId="0" fontId="31" fillId="0" borderId="1" xfId="0" applyFont="1" applyBorder="1" applyAlignment="1">
      <alignment vertical="center"/>
    </xf>
    <xf numFmtId="3" fontId="31" fillId="0" borderId="0" xfId="0" applyNumberFormat="1" applyFont="1" applyAlignment="1">
      <alignment vertical="center"/>
    </xf>
    <xf numFmtId="2" fontId="31" fillId="0" borderId="0" xfId="0" applyNumberFormat="1" applyFont="1" applyAlignment="1">
      <alignment horizontal="left" vertical="center"/>
    </xf>
    <xf numFmtId="0" fontId="25" fillId="0" borderId="33" xfId="1" applyFont="1" applyBorder="1" applyAlignment="1">
      <alignment wrapText="1"/>
    </xf>
    <xf numFmtId="0" fontId="25" fillId="0" borderId="34" xfId="1" applyFont="1" applyBorder="1" applyAlignment="1">
      <alignment horizontal="center" vertical="center" wrapText="1"/>
    </xf>
    <xf numFmtId="0" fontId="43" fillId="0" borderId="0" xfId="0" applyFont="1" applyAlignment="1">
      <alignment horizontal="left"/>
    </xf>
    <xf numFmtId="0" fontId="44" fillId="0" borderId="0" xfId="0" applyFont="1"/>
    <xf numFmtId="0" fontId="25" fillId="0" borderId="35" xfId="1" applyFont="1" applyBorder="1" applyAlignment="1">
      <alignment wrapText="1"/>
    </xf>
    <xf numFmtId="3" fontId="31" fillId="0" borderId="0" xfId="0" applyNumberFormat="1" applyFont="1" applyAlignment="1">
      <alignment wrapText="1"/>
    </xf>
    <xf numFmtId="0" fontId="25" fillId="0" borderId="36" xfId="1" applyFont="1" applyBorder="1" applyAlignment="1">
      <alignment wrapText="1"/>
    </xf>
    <xf numFmtId="0" fontId="31" fillId="0" borderId="33" xfId="0" applyFont="1" applyBorder="1"/>
    <xf numFmtId="0" fontId="31" fillId="0" borderId="34" xfId="0" applyFont="1" applyBorder="1" applyAlignment="1">
      <alignment horizontal="center"/>
    </xf>
    <xf numFmtId="0" fontId="31" fillId="0" borderId="35" xfId="0" applyFont="1" applyBorder="1"/>
    <xf numFmtId="0" fontId="30" fillId="0" borderId="9" xfId="1" applyFont="1" applyBorder="1" applyAlignment="1">
      <alignment vertical="center" wrapText="1"/>
    </xf>
    <xf numFmtId="3" fontId="30" fillId="0" borderId="2" xfId="1" applyNumberFormat="1" applyFont="1" applyBorder="1" applyAlignment="1">
      <alignment horizontal="center" vertical="center"/>
    </xf>
    <xf numFmtId="0" fontId="31" fillId="0" borderId="36" xfId="0" applyFont="1" applyBorder="1"/>
    <xf numFmtId="0" fontId="41" fillId="0" borderId="37" xfId="1" applyFont="1" applyBorder="1" applyAlignment="1">
      <alignment horizontal="center" vertical="center" wrapText="1"/>
    </xf>
    <xf numFmtId="0" fontId="41" fillId="0" borderId="38" xfId="1" applyFont="1" applyBorder="1" applyAlignment="1">
      <alignment horizontal="center" vertical="center" wrapText="1"/>
    </xf>
    <xf numFmtId="0" fontId="43" fillId="0" borderId="38" xfId="0" applyFont="1" applyBorder="1" applyAlignment="1">
      <alignment horizontal="center"/>
    </xf>
    <xf numFmtId="0" fontId="3" fillId="12" borderId="0" xfId="1" applyFill="1"/>
    <xf numFmtId="0" fontId="3" fillId="12" borderId="0" xfId="1" applyFill="1" applyAlignment="1">
      <alignment horizontal="right"/>
    </xf>
    <xf numFmtId="3" fontId="3" fillId="12" borderId="0" xfId="1" applyNumberFormat="1" applyFill="1" applyAlignment="1">
      <alignment horizontal="left"/>
    </xf>
    <xf numFmtId="0" fontId="3" fillId="12" borderId="35" xfId="1" applyFill="1" applyBorder="1"/>
    <xf numFmtId="0" fontId="25" fillId="0" borderId="39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center" vertical="center" wrapText="1"/>
    </xf>
    <xf numFmtId="0" fontId="25" fillId="0" borderId="37" xfId="1" applyFont="1" applyBorder="1" applyAlignment="1">
      <alignment horizontal="center" vertical="center" wrapText="1"/>
    </xf>
    <xf numFmtId="0" fontId="25" fillId="0" borderId="12" xfId="1" applyFont="1" applyBorder="1" applyAlignment="1">
      <alignment horizontal="center" vertical="center" wrapText="1"/>
    </xf>
    <xf numFmtId="0" fontId="25" fillId="0" borderId="38" xfId="1" applyFont="1" applyBorder="1" applyAlignment="1">
      <alignment horizontal="center" vertical="center" wrapText="1"/>
    </xf>
    <xf numFmtId="0" fontId="25" fillId="0" borderId="39" xfId="1" applyFont="1" applyBorder="1" applyAlignment="1">
      <alignment horizontal="center" vertical="center"/>
    </xf>
    <xf numFmtId="0" fontId="25" fillId="0" borderId="34" xfId="1" applyFont="1" applyBorder="1" applyAlignment="1">
      <alignment horizontal="center" vertical="center"/>
    </xf>
    <xf numFmtId="14" fontId="25" fillId="0" borderId="0" xfId="1" applyNumberFormat="1" applyFont="1" applyAlignment="1">
      <alignment horizontal="center" vertical="center"/>
    </xf>
    <xf numFmtId="0" fontId="25" fillId="0" borderId="12" xfId="1" applyFont="1" applyBorder="1" applyAlignment="1">
      <alignment horizontal="center" vertical="center"/>
    </xf>
    <xf numFmtId="0" fontId="25" fillId="0" borderId="38" xfId="1" applyFont="1" applyBorder="1" applyAlignment="1">
      <alignment horizontal="center" vertical="center"/>
    </xf>
    <xf numFmtId="0" fontId="25" fillId="0" borderId="4" xfId="1" applyFont="1" applyBorder="1" applyAlignment="1">
      <alignment wrapText="1"/>
    </xf>
    <xf numFmtId="0" fontId="25" fillId="0" borderId="3" xfId="1" applyFont="1" applyBorder="1" applyAlignment="1">
      <alignment horizontal="center" vertical="center"/>
    </xf>
    <xf numFmtId="0" fontId="25" fillId="0" borderId="25" xfId="1" applyFont="1" applyBorder="1" applyAlignment="1">
      <alignment horizontal="center" vertical="center"/>
    </xf>
    <xf numFmtId="0" fontId="31" fillId="0" borderId="37" xfId="0" applyFont="1" applyBorder="1" applyAlignment="1">
      <alignment horizontal="center"/>
    </xf>
    <xf numFmtId="14" fontId="34" fillId="0" borderId="0" xfId="2" applyNumberFormat="1" applyAlignment="1">
      <alignment horizontal="left" vertical="center"/>
    </xf>
    <xf numFmtId="0" fontId="34" fillId="0" borderId="0" xfId="2" applyAlignment="1">
      <alignment wrapText="1"/>
    </xf>
    <xf numFmtId="0" fontId="34" fillId="0" borderId="0" xfId="2"/>
    <xf numFmtId="14" fontId="3" fillId="0" borderId="0" xfId="1" applyNumberFormat="1" applyAlignment="1">
      <alignment horizontal="left" vertical="center"/>
    </xf>
    <xf numFmtId="0" fontId="34" fillId="0" borderId="0" xfId="2" applyAlignment="1">
      <alignment vertical="center"/>
    </xf>
    <xf numFmtId="0" fontId="34" fillId="0" borderId="0" xfId="2" applyAlignment="1">
      <alignment vertical="center" wrapText="1"/>
    </xf>
    <xf numFmtId="0" fontId="35" fillId="6" borderId="0" xfId="0" applyFont="1" applyFill="1" applyAlignment="1">
      <alignment horizontal="left"/>
    </xf>
    <xf numFmtId="0" fontId="35" fillId="5" borderId="0" xfId="0" applyFont="1" applyFill="1" applyBorder="1" applyAlignment="1">
      <alignment horizontal="left"/>
    </xf>
    <xf numFmtId="0" fontId="35" fillId="5" borderId="0" xfId="0" applyFont="1" applyFill="1" applyAlignment="1">
      <alignment horizontal="left"/>
    </xf>
    <xf numFmtId="0" fontId="2" fillId="0" borderId="40" xfId="0" applyFont="1" applyBorder="1" applyAlignment="1">
      <alignment horizontal="right" vertical="center"/>
    </xf>
    <xf numFmtId="0" fontId="2" fillId="0" borderId="23" xfId="0" applyFont="1" applyBorder="1" applyAlignment="1">
      <alignment horizontal="right" vertical="center"/>
    </xf>
    <xf numFmtId="0" fontId="2" fillId="0" borderId="43" xfId="0" applyFont="1" applyBorder="1" applyAlignment="1">
      <alignment horizontal="right" vertical="center"/>
    </xf>
    <xf numFmtId="0" fontId="2" fillId="0" borderId="24" xfId="0" applyFont="1" applyBorder="1" applyAlignment="1">
      <alignment horizontal="right" vertical="center"/>
    </xf>
    <xf numFmtId="0" fontId="5" fillId="0" borderId="44" xfId="0" applyFont="1" applyBorder="1" applyAlignment="1">
      <alignment horizontal="left" vertical="center"/>
    </xf>
    <xf numFmtId="0" fontId="5" fillId="0" borderId="45" xfId="0" applyFont="1" applyBorder="1" applyAlignment="1">
      <alignment horizontal="left" vertical="center"/>
    </xf>
    <xf numFmtId="0" fontId="5" fillId="0" borderId="46" xfId="0" applyFont="1" applyBorder="1" applyAlignment="1">
      <alignment horizontal="left" vertical="center"/>
    </xf>
    <xf numFmtId="0" fontId="2" fillId="0" borderId="46" xfId="0" applyFont="1" applyBorder="1" applyAlignment="1">
      <alignment horizontal="right" vertical="center"/>
    </xf>
    <xf numFmtId="0" fontId="2" fillId="0" borderId="32" xfId="0" applyFont="1" applyBorder="1" applyAlignment="1">
      <alignment horizontal="right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2" fillId="0" borderId="41" xfId="0" applyFont="1" applyBorder="1" applyAlignment="1">
      <alignment horizontal="right" vertical="center"/>
    </xf>
    <xf numFmtId="0" fontId="2" fillId="0" borderId="42" xfId="0" applyFont="1" applyBorder="1" applyAlignment="1">
      <alignment horizontal="right" vertical="center"/>
    </xf>
    <xf numFmtId="0" fontId="2" fillId="0" borderId="33" xfId="0" applyFont="1" applyBorder="1" applyAlignment="1">
      <alignment horizontal="right" vertical="center"/>
    </xf>
    <xf numFmtId="0" fontId="0" fillId="0" borderId="17" xfId="0" applyNumberFormat="1" applyBorder="1" applyAlignment="1">
      <alignment horizontal="left" vertical="top" wrapText="1"/>
    </xf>
    <xf numFmtId="0" fontId="0" fillId="0" borderId="18" xfId="0" applyNumberFormat="1" applyBorder="1" applyAlignment="1">
      <alignment horizontal="left" vertical="top" wrapText="1"/>
    </xf>
    <xf numFmtId="0" fontId="0" fillId="0" borderId="19" xfId="0" applyNumberFormat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20" xfId="0" applyNumberFormat="1" applyBorder="1" applyAlignment="1">
      <alignment horizontal="left" vertical="top" wrapText="1"/>
    </xf>
    <xf numFmtId="0" fontId="0" fillId="0" borderId="6" xfId="0" applyNumberFormat="1" applyBorder="1" applyAlignment="1">
      <alignment horizontal="left" vertical="top" wrapText="1"/>
    </xf>
    <xf numFmtId="0" fontId="0" fillId="0" borderId="7" xfId="0" applyNumberFormat="1" applyBorder="1" applyAlignment="1">
      <alignment horizontal="left" vertical="top" wrapText="1"/>
    </xf>
    <xf numFmtId="0" fontId="0" fillId="0" borderId="21" xfId="0" applyNumberFormat="1" applyBorder="1" applyAlignment="1">
      <alignment horizontal="left" vertical="top" wrapText="1"/>
    </xf>
    <xf numFmtId="0" fontId="0" fillId="0" borderId="5" xfId="1" applyFont="1" applyBorder="1" applyAlignment="1">
      <alignment horizontal="center"/>
    </xf>
    <xf numFmtId="0" fontId="3" fillId="0" borderId="5" xfId="1" applyBorder="1" applyAlignment="1">
      <alignment horizontal="center"/>
    </xf>
    <xf numFmtId="0" fontId="3" fillId="0" borderId="5" xfId="1" applyBorder="1" applyAlignment="1">
      <alignment horizontal="center" vertical="center"/>
    </xf>
    <xf numFmtId="0" fontId="30" fillId="5" borderId="9" xfId="0" applyFont="1" applyFill="1" applyBorder="1" applyAlignment="1">
      <alignment horizontal="left"/>
    </xf>
    <xf numFmtId="0" fontId="30" fillId="5" borderId="29" xfId="0" applyFont="1" applyFill="1" applyBorder="1" applyAlignment="1">
      <alignment horizontal="left"/>
    </xf>
    <xf numFmtId="2" fontId="16" fillId="0" borderId="50" xfId="0" applyNumberFormat="1" applyFont="1" applyBorder="1" applyAlignment="1">
      <alignment horizontal="center" vertical="center" wrapText="1"/>
    </xf>
    <xf numFmtId="2" fontId="16" fillId="0" borderId="58" xfId="0" applyNumberFormat="1" applyFont="1" applyBorder="1" applyAlignment="1">
      <alignment horizontal="center" vertical="center" wrapText="1"/>
    </xf>
    <xf numFmtId="2" fontId="16" fillId="0" borderId="8" xfId="0" applyNumberFormat="1" applyFont="1" applyBorder="1" applyAlignment="1">
      <alignment horizontal="center" vertical="center" wrapText="1"/>
    </xf>
    <xf numFmtId="2" fontId="16" fillId="0" borderId="51" xfId="0" applyNumberFormat="1" applyFont="1" applyBorder="1" applyAlignment="1">
      <alignment horizontal="center" vertical="center" wrapText="1"/>
    </xf>
    <xf numFmtId="2" fontId="16" fillId="0" borderId="59" xfId="0" applyNumberFormat="1" applyFont="1" applyBorder="1" applyAlignment="1">
      <alignment horizontal="center" vertical="center" wrapText="1"/>
    </xf>
    <xf numFmtId="2" fontId="16" fillId="0" borderId="53" xfId="0" applyNumberFormat="1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right" vertical="center"/>
    </xf>
    <xf numFmtId="4" fontId="8" fillId="4" borderId="3" xfId="0" applyNumberFormat="1" applyFont="1" applyFill="1" applyBorder="1" applyAlignment="1">
      <alignment horizontal="right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60" xfId="0" applyBorder="1" applyAlignment="1">
      <alignment horizontal="right" vertical="center" wrapText="1" indent="1"/>
    </xf>
    <xf numFmtId="0" fontId="0" fillId="0" borderId="61" xfId="0" applyBorder="1" applyAlignment="1">
      <alignment horizontal="right" vertical="center" wrapText="1" indent="1"/>
    </xf>
    <xf numFmtId="0" fontId="0" fillId="0" borderId="6" xfId="0" applyBorder="1" applyAlignment="1">
      <alignment horizontal="right" vertical="center" wrapText="1" indent="1"/>
    </xf>
    <xf numFmtId="0" fontId="0" fillId="0" borderId="21" xfId="0" applyBorder="1" applyAlignment="1">
      <alignment horizontal="right" vertical="center" wrapText="1" indent="1"/>
    </xf>
    <xf numFmtId="2" fontId="16" fillId="0" borderId="42" xfId="0" applyNumberFormat="1" applyFont="1" applyBorder="1" applyAlignment="1">
      <alignment horizontal="center" vertical="center" wrapText="1"/>
    </xf>
    <xf numFmtId="2" fontId="16" fillId="0" borderId="49" xfId="0" applyNumberFormat="1" applyFont="1" applyBorder="1" applyAlignment="1">
      <alignment horizontal="center" vertical="center" wrapText="1"/>
    </xf>
    <xf numFmtId="2" fontId="16" fillId="0" borderId="48" xfId="0" applyNumberFormat="1" applyFont="1" applyBorder="1" applyAlignment="1">
      <alignment horizontal="center" vertical="center" wrapText="1"/>
    </xf>
    <xf numFmtId="2" fontId="16" fillId="0" borderId="57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4" fontId="8" fillId="4" borderId="3" xfId="0" applyNumberFormat="1" applyFont="1" applyFill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right" vertical="center"/>
    </xf>
    <xf numFmtId="0" fontId="16" fillId="0" borderId="48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 wrapText="1"/>
    </xf>
    <xf numFmtId="0" fontId="16" fillId="0" borderId="50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166" fontId="8" fillId="0" borderId="3" xfId="0" applyNumberFormat="1" applyFont="1" applyBorder="1" applyAlignment="1">
      <alignment horizontal="right" vertical="center"/>
    </xf>
    <xf numFmtId="0" fontId="16" fillId="0" borderId="52" xfId="0" applyFont="1" applyBorder="1" applyAlignment="1">
      <alignment horizontal="center" vertical="center" wrapText="1"/>
    </xf>
    <xf numFmtId="0" fontId="16" fillId="0" borderId="53" xfId="0" applyFont="1" applyBorder="1" applyAlignment="1">
      <alignment horizontal="center" vertical="center" wrapText="1"/>
    </xf>
    <xf numFmtId="2" fontId="16" fillId="0" borderId="52" xfId="0" applyNumberFormat="1" applyFont="1" applyBorder="1" applyAlignment="1">
      <alignment horizontal="center" vertical="center" wrapText="1"/>
    </xf>
    <xf numFmtId="2" fontId="16" fillId="0" borderId="54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right" vertical="center" wrapText="1" indent="1"/>
    </xf>
    <xf numFmtId="0" fontId="0" fillId="0" borderId="19" xfId="0" applyBorder="1" applyAlignment="1">
      <alignment horizontal="right" vertical="center" wrapText="1" indent="1"/>
    </xf>
    <xf numFmtId="0" fontId="0" fillId="0" borderId="55" xfId="0" applyBorder="1" applyAlignment="1">
      <alignment horizontal="right" vertical="center" wrapText="1" indent="1"/>
    </xf>
    <xf numFmtId="0" fontId="0" fillId="0" borderId="56" xfId="0" applyBorder="1" applyAlignment="1">
      <alignment horizontal="right" vertical="center" wrapText="1" indent="1"/>
    </xf>
    <xf numFmtId="164" fontId="8" fillId="4" borderId="3" xfId="0" applyNumberFormat="1" applyFont="1" applyFill="1" applyBorder="1" applyAlignment="1">
      <alignment horizontal="right" vertical="center"/>
    </xf>
    <xf numFmtId="3" fontId="8" fillId="4" borderId="3" xfId="0" applyNumberFormat="1" applyFont="1" applyFill="1" applyBorder="1" applyAlignment="1">
      <alignment horizontal="right" vertical="center"/>
    </xf>
    <xf numFmtId="0" fontId="8" fillId="4" borderId="3" xfId="0" applyFont="1" applyFill="1" applyBorder="1" applyAlignment="1">
      <alignment horizontal="right" vertical="center"/>
    </xf>
  </cellXfs>
  <cellStyles count="3">
    <cellStyle name="Обычный" xfId="0" builtinId="0"/>
    <cellStyle name="Обычный 2" xfId="1"/>
    <cellStyle name="Обычный 3" xfId="2"/>
  </cellStyles>
  <dxfs count="6"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0</xdr:colOff>
      <xdr:row>15</xdr:row>
      <xdr:rowOff>0</xdr:rowOff>
    </xdr:to>
    <xdr:sp macro="" textlink="">
      <xdr:nvSpPr>
        <xdr:cNvPr id="1805334" name="AutoShape 1025"/>
        <xdr:cNvSpPr>
          <a:spLocks/>
        </xdr:cNvSpPr>
      </xdr:nvSpPr>
      <xdr:spPr bwMode="auto">
        <a:xfrm>
          <a:off x="0" y="5295900"/>
          <a:ext cx="0" cy="0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C38"/>
  <sheetViews>
    <sheetView workbookViewId="0">
      <selection activeCell="A20" sqref="A20"/>
    </sheetView>
  </sheetViews>
  <sheetFormatPr defaultRowHeight="12.75" x14ac:dyDescent="0.2"/>
  <cols>
    <col min="1" max="1" width="15.85546875" customWidth="1"/>
    <col min="2" max="2" width="86.85546875" style="9" customWidth="1"/>
    <col min="3" max="3" width="18.140625" customWidth="1"/>
  </cols>
  <sheetData>
    <row r="1" spans="1:3" x14ac:dyDescent="0.2">
      <c r="A1" t="s">
        <v>7</v>
      </c>
      <c r="B1" s="9" t="s">
        <v>347</v>
      </c>
      <c r="C1" t="s">
        <v>348</v>
      </c>
    </row>
    <row r="2" spans="1:3" ht="38.25" x14ac:dyDescent="0.2">
      <c r="A2" s="206">
        <v>44096</v>
      </c>
      <c r="B2" s="9" t="s">
        <v>385</v>
      </c>
      <c r="C2" s="205" t="s">
        <v>349</v>
      </c>
    </row>
    <row r="3" spans="1:3" ht="38.25" x14ac:dyDescent="0.2">
      <c r="A3" s="206">
        <v>44096</v>
      </c>
      <c r="B3" s="9" t="s">
        <v>350</v>
      </c>
      <c r="C3" s="205" t="s">
        <v>349</v>
      </c>
    </row>
    <row r="4" spans="1:3" x14ac:dyDescent="0.2">
      <c r="A4" s="206">
        <v>44096</v>
      </c>
      <c r="B4" s="9" t="s">
        <v>386</v>
      </c>
      <c r="C4" s="205" t="s">
        <v>349</v>
      </c>
    </row>
    <row r="5" spans="1:3" x14ac:dyDescent="0.2">
      <c r="A5" s="206">
        <v>44361</v>
      </c>
      <c r="B5" s="9" t="s">
        <v>355</v>
      </c>
      <c r="C5" s="205" t="s">
        <v>349</v>
      </c>
    </row>
    <row r="6" spans="1:3" x14ac:dyDescent="0.2">
      <c r="A6" s="206">
        <v>44361</v>
      </c>
      <c r="B6" s="9" t="s">
        <v>356</v>
      </c>
      <c r="C6" s="205" t="s">
        <v>349</v>
      </c>
    </row>
    <row r="7" spans="1:3" x14ac:dyDescent="0.2">
      <c r="A7" s="206">
        <v>44397</v>
      </c>
      <c r="B7" s="9" t="s">
        <v>387</v>
      </c>
      <c r="C7" s="205" t="s">
        <v>381</v>
      </c>
    </row>
    <row r="8" spans="1:3" x14ac:dyDescent="0.2">
      <c r="A8" s="206">
        <v>44411</v>
      </c>
      <c r="B8" s="9" t="s">
        <v>388</v>
      </c>
      <c r="C8" s="205" t="s">
        <v>349</v>
      </c>
    </row>
    <row r="9" spans="1:3" x14ac:dyDescent="0.2">
      <c r="A9" s="206">
        <v>44411</v>
      </c>
      <c r="B9" s="9" t="s">
        <v>379</v>
      </c>
      <c r="C9" s="205" t="s">
        <v>349</v>
      </c>
    </row>
    <row r="10" spans="1:3" x14ac:dyDescent="0.2">
      <c r="A10" s="206">
        <v>44411</v>
      </c>
      <c r="B10" s="9" t="s">
        <v>389</v>
      </c>
      <c r="C10" s="205" t="s">
        <v>380</v>
      </c>
    </row>
    <row r="11" spans="1:3" x14ac:dyDescent="0.2">
      <c r="A11" s="206">
        <v>44411</v>
      </c>
      <c r="B11" s="9" t="s">
        <v>390</v>
      </c>
      <c r="C11" s="205" t="s">
        <v>382</v>
      </c>
    </row>
    <row r="12" spans="1:3" x14ac:dyDescent="0.2">
      <c r="A12" s="206">
        <v>44413</v>
      </c>
      <c r="B12" s="9" t="s">
        <v>391</v>
      </c>
      <c r="C12" s="205" t="s">
        <v>380</v>
      </c>
    </row>
    <row r="13" spans="1:3" ht="25.5" x14ac:dyDescent="0.2">
      <c r="A13" s="206">
        <v>44461</v>
      </c>
      <c r="B13" s="9" t="s">
        <v>383</v>
      </c>
      <c r="C13" s="205" t="s">
        <v>382</v>
      </c>
    </row>
    <row r="14" spans="1:3" ht="25.5" x14ac:dyDescent="0.2">
      <c r="A14" s="206">
        <v>44473</v>
      </c>
      <c r="B14" s="9" t="s">
        <v>384</v>
      </c>
      <c r="C14" s="205" t="s">
        <v>349</v>
      </c>
    </row>
    <row r="15" spans="1:3" x14ac:dyDescent="0.2">
      <c r="A15" s="206">
        <v>44482</v>
      </c>
      <c r="B15" s="9" t="s">
        <v>392</v>
      </c>
      <c r="C15" s="205" t="s">
        <v>349</v>
      </c>
    </row>
    <row r="16" spans="1:3" ht="30" x14ac:dyDescent="0.25">
      <c r="A16" s="260">
        <v>44565</v>
      </c>
      <c r="B16" s="261" t="s">
        <v>395</v>
      </c>
      <c r="C16" s="262" t="s">
        <v>396</v>
      </c>
    </row>
    <row r="17" spans="1:3" ht="30" x14ac:dyDescent="0.2">
      <c r="A17" s="263">
        <v>44579</v>
      </c>
      <c r="B17" s="264" t="s">
        <v>397</v>
      </c>
      <c r="C17" s="265" t="s">
        <v>398</v>
      </c>
    </row>
    <row r="18" spans="1:3" ht="15" x14ac:dyDescent="0.25">
      <c r="A18" s="260">
        <v>44585</v>
      </c>
      <c r="B18" s="261" t="s">
        <v>399</v>
      </c>
      <c r="C18" s="262" t="s">
        <v>400</v>
      </c>
    </row>
    <row r="19" spans="1:3" x14ac:dyDescent="0.2">
      <c r="A19" s="205"/>
      <c r="C19" s="205"/>
    </row>
    <row r="20" spans="1:3" x14ac:dyDescent="0.2">
      <c r="A20" s="205"/>
      <c r="C20" s="205"/>
    </row>
    <row r="21" spans="1:3" x14ac:dyDescent="0.2">
      <c r="A21" s="205"/>
      <c r="C21" s="205"/>
    </row>
    <row r="22" spans="1:3" x14ac:dyDescent="0.2">
      <c r="A22" s="205"/>
      <c r="C22" s="205"/>
    </row>
    <row r="23" spans="1:3" x14ac:dyDescent="0.2">
      <c r="A23" s="205"/>
      <c r="C23" s="205"/>
    </row>
    <row r="24" spans="1:3" x14ac:dyDescent="0.2">
      <c r="A24" s="205"/>
      <c r="C24" s="205"/>
    </row>
    <row r="25" spans="1:3" x14ac:dyDescent="0.2">
      <c r="A25" s="205"/>
      <c r="C25" s="205"/>
    </row>
    <row r="26" spans="1:3" x14ac:dyDescent="0.2">
      <c r="C26" s="205"/>
    </row>
    <row r="27" spans="1:3" x14ac:dyDescent="0.2">
      <c r="C27" s="205"/>
    </row>
    <row r="28" spans="1:3" x14ac:dyDescent="0.2">
      <c r="C28" s="205"/>
    </row>
    <row r="29" spans="1:3" x14ac:dyDescent="0.2">
      <c r="C29" s="205"/>
    </row>
    <row r="30" spans="1:3" x14ac:dyDescent="0.2">
      <c r="C30" s="205"/>
    </row>
    <row r="31" spans="1:3" x14ac:dyDescent="0.2">
      <c r="C31" s="205"/>
    </row>
    <row r="32" spans="1:3" x14ac:dyDescent="0.2">
      <c r="C32" s="205"/>
    </row>
    <row r="33" spans="3:3" x14ac:dyDescent="0.2">
      <c r="C33" s="205"/>
    </row>
    <row r="34" spans="3:3" x14ac:dyDescent="0.2">
      <c r="C34" s="205"/>
    </row>
    <row r="35" spans="3:3" x14ac:dyDescent="0.2">
      <c r="C35" s="205"/>
    </row>
    <row r="36" spans="3:3" x14ac:dyDescent="0.2">
      <c r="C36" s="205"/>
    </row>
    <row r="37" spans="3:3" x14ac:dyDescent="0.2">
      <c r="C37" s="205"/>
    </row>
    <row r="38" spans="3:3" x14ac:dyDescent="0.2">
      <c r="C38" s="205"/>
    </row>
  </sheetData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H168"/>
  <sheetViews>
    <sheetView topLeftCell="A11" zoomScaleNormal="100" workbookViewId="0">
      <selection activeCell="D121" sqref="D121"/>
    </sheetView>
  </sheetViews>
  <sheetFormatPr defaultRowHeight="15" x14ac:dyDescent="0.25"/>
  <cols>
    <col min="1" max="1" width="55.85546875" style="105" customWidth="1"/>
    <col min="2" max="2" width="13" style="115" customWidth="1"/>
    <col min="3" max="4" width="18.42578125" style="115" customWidth="1"/>
    <col min="5" max="5" width="24" style="116" customWidth="1"/>
    <col min="6" max="16384" width="9.140625" style="116"/>
  </cols>
  <sheetData>
    <row r="1" spans="1:5" s="105" customFormat="1" ht="30" x14ac:dyDescent="0.25">
      <c r="A1" s="104" t="s">
        <v>1</v>
      </c>
      <c r="B1" s="104" t="s">
        <v>107</v>
      </c>
      <c r="C1" s="104" t="s">
        <v>145</v>
      </c>
      <c r="D1" s="104" t="s">
        <v>146</v>
      </c>
      <c r="E1" s="104" t="s">
        <v>147</v>
      </c>
    </row>
    <row r="2" spans="1:5" s="108" customFormat="1" x14ac:dyDescent="0.25">
      <c r="A2" s="106" t="s">
        <v>10</v>
      </c>
      <c r="B2" s="107"/>
      <c r="C2" s="107"/>
      <c r="D2" s="107"/>
    </row>
    <row r="3" spans="1:5" s="105" customFormat="1" x14ac:dyDescent="0.25">
      <c r="A3" s="105" t="s">
        <v>148</v>
      </c>
      <c r="B3" s="207">
        <v>309</v>
      </c>
      <c r="C3" s="104" t="s">
        <v>5</v>
      </c>
      <c r="D3" s="110">
        <v>44222</v>
      </c>
    </row>
    <row r="4" spans="1:5" s="105" customFormat="1" ht="30" x14ac:dyDescent="0.25">
      <c r="A4" s="105" t="s">
        <v>149</v>
      </c>
      <c r="B4" s="207">
        <v>1.82</v>
      </c>
      <c r="C4" s="104"/>
      <c r="D4" s="110">
        <v>44222</v>
      </c>
    </row>
    <row r="5" spans="1:5" s="105" customFormat="1" x14ac:dyDescent="0.25">
      <c r="A5" s="105" t="s">
        <v>150</v>
      </c>
      <c r="B5" s="207">
        <v>0.03</v>
      </c>
      <c r="C5" s="104"/>
      <c r="D5" s="110">
        <v>44222</v>
      </c>
    </row>
    <row r="6" spans="1:5" s="105" customFormat="1" x14ac:dyDescent="0.25">
      <c r="A6" s="105" t="s">
        <v>182</v>
      </c>
      <c r="B6" s="207">
        <v>95</v>
      </c>
      <c r="C6" s="104"/>
      <c r="D6" s="110">
        <v>44222</v>
      </c>
    </row>
    <row r="7" spans="1:5" s="105" customFormat="1" x14ac:dyDescent="0.25">
      <c r="A7" s="105" t="s">
        <v>393</v>
      </c>
      <c r="B7" s="104">
        <v>340</v>
      </c>
      <c r="C7" s="104" t="s">
        <v>394</v>
      </c>
      <c r="D7" s="110">
        <v>44565</v>
      </c>
    </row>
    <row r="8" spans="1:5" s="105" customFormat="1" x14ac:dyDescent="0.25">
      <c r="B8" s="207"/>
      <c r="C8" s="104"/>
      <c r="D8" s="104"/>
    </row>
    <row r="9" spans="1:5" s="108" customFormat="1" x14ac:dyDescent="0.25">
      <c r="A9" s="106" t="s">
        <v>11</v>
      </c>
      <c r="B9" s="208"/>
      <c r="C9" s="107"/>
      <c r="D9" s="107"/>
    </row>
    <row r="10" spans="1:5" s="105" customFormat="1" x14ac:dyDescent="0.25">
      <c r="A10" s="109" t="s">
        <v>151</v>
      </c>
      <c r="B10" s="207"/>
      <c r="C10" s="104"/>
      <c r="D10" s="104"/>
    </row>
    <row r="11" spans="1:5" s="105" customFormat="1" x14ac:dyDescent="0.25">
      <c r="A11" s="105" t="s">
        <v>71</v>
      </c>
      <c r="B11" s="207">
        <v>205</v>
      </c>
      <c r="C11" s="104" t="s">
        <v>152</v>
      </c>
      <c r="D11" s="110">
        <v>44222</v>
      </c>
    </row>
    <row r="12" spans="1:5" s="105" customFormat="1" x14ac:dyDescent="0.25">
      <c r="A12" s="105" t="s">
        <v>8</v>
      </c>
      <c r="B12" s="207">
        <v>275</v>
      </c>
      <c r="C12" s="104" t="s">
        <v>152</v>
      </c>
      <c r="D12" s="110">
        <v>44222</v>
      </c>
    </row>
    <row r="13" spans="1:5" s="105" customFormat="1" x14ac:dyDescent="0.25">
      <c r="A13" s="105" t="s">
        <v>9</v>
      </c>
      <c r="B13" s="207">
        <v>390</v>
      </c>
      <c r="C13" s="104" t="s">
        <v>152</v>
      </c>
      <c r="D13" s="110">
        <v>44222</v>
      </c>
    </row>
    <row r="14" spans="1:5" s="105" customFormat="1" x14ac:dyDescent="0.25">
      <c r="A14" s="105" t="s">
        <v>72</v>
      </c>
      <c r="B14" s="207">
        <v>310</v>
      </c>
      <c r="C14" s="104" t="s">
        <v>152</v>
      </c>
      <c r="D14" s="110">
        <v>44222</v>
      </c>
    </row>
    <row r="15" spans="1:5" s="105" customFormat="1" x14ac:dyDescent="0.25">
      <c r="A15" s="105" t="s">
        <v>153</v>
      </c>
      <c r="B15" s="207">
        <v>340</v>
      </c>
      <c r="C15" s="104" t="s">
        <v>152</v>
      </c>
      <c r="D15" s="110">
        <v>44242</v>
      </c>
    </row>
    <row r="16" spans="1:5" s="105" customFormat="1" x14ac:dyDescent="0.25">
      <c r="A16" s="105" t="s">
        <v>250</v>
      </c>
      <c r="B16" s="207">
        <v>3650</v>
      </c>
      <c r="C16" s="104" t="s">
        <v>243</v>
      </c>
      <c r="D16" s="110">
        <v>44222</v>
      </c>
    </row>
    <row r="17" spans="1:4" s="105" customFormat="1" x14ac:dyDescent="0.25">
      <c r="B17" s="104"/>
      <c r="C17" s="104"/>
      <c r="D17" s="104"/>
    </row>
    <row r="18" spans="1:4" s="105" customFormat="1" hidden="1" x14ac:dyDescent="0.25">
      <c r="B18" s="104"/>
      <c r="C18" s="104"/>
      <c r="D18" s="104"/>
    </row>
    <row r="19" spans="1:4" s="105" customFormat="1" hidden="1" x14ac:dyDescent="0.25">
      <c r="B19" s="104"/>
      <c r="C19" s="104"/>
      <c r="D19" s="104"/>
    </row>
    <row r="20" spans="1:4" s="105" customFormat="1" hidden="1" x14ac:dyDescent="0.25">
      <c r="B20" s="104"/>
      <c r="C20" s="104"/>
      <c r="D20" s="104"/>
    </row>
    <row r="21" spans="1:4" s="105" customFormat="1" hidden="1" x14ac:dyDescent="0.25">
      <c r="B21" s="104"/>
      <c r="C21" s="104"/>
      <c r="D21" s="104"/>
    </row>
    <row r="22" spans="1:4" s="105" customFormat="1" hidden="1" x14ac:dyDescent="0.25">
      <c r="B22" s="104"/>
      <c r="C22" s="104"/>
      <c r="D22" s="104"/>
    </row>
    <row r="23" spans="1:4" s="105" customFormat="1" hidden="1" x14ac:dyDescent="0.25">
      <c r="B23" s="104"/>
      <c r="C23" s="104"/>
      <c r="D23" s="104"/>
    </row>
    <row r="24" spans="1:4" s="105" customFormat="1" hidden="1" x14ac:dyDescent="0.25">
      <c r="B24" s="104"/>
      <c r="C24" s="104"/>
      <c r="D24" s="104"/>
    </row>
    <row r="25" spans="1:4" s="105" customFormat="1" hidden="1" x14ac:dyDescent="0.25">
      <c r="B25" s="104"/>
      <c r="C25" s="104"/>
      <c r="D25" s="104"/>
    </row>
    <row r="26" spans="1:4" s="105" customFormat="1" hidden="1" x14ac:dyDescent="0.25">
      <c r="B26" s="104"/>
      <c r="C26" s="104"/>
      <c r="D26" s="104"/>
    </row>
    <row r="27" spans="1:4" s="105" customFormat="1" hidden="1" x14ac:dyDescent="0.25">
      <c r="B27" s="104"/>
      <c r="C27" s="104"/>
      <c r="D27" s="104"/>
    </row>
    <row r="28" spans="1:4" s="105" customFormat="1" hidden="1" x14ac:dyDescent="0.25">
      <c r="B28" s="104"/>
      <c r="C28" s="104"/>
      <c r="D28" s="104"/>
    </row>
    <row r="29" spans="1:4" s="113" customFormat="1" ht="15.75" hidden="1" x14ac:dyDescent="0.25">
      <c r="A29" s="111" t="s">
        <v>154</v>
      </c>
      <c r="B29" s="112"/>
      <c r="C29" s="112"/>
      <c r="D29" s="112"/>
    </row>
    <row r="30" spans="1:4" s="105" customFormat="1" hidden="1" x14ac:dyDescent="0.25">
      <c r="A30" s="105" t="s">
        <v>155</v>
      </c>
      <c r="B30" s="155">
        <v>0.73</v>
      </c>
      <c r="C30" s="104"/>
      <c r="D30" s="104"/>
    </row>
    <row r="31" spans="1:4" s="105" customFormat="1" hidden="1" x14ac:dyDescent="0.25">
      <c r="A31" s="105" t="s">
        <v>156</v>
      </c>
      <c r="B31" s="156">
        <v>2.7</v>
      </c>
      <c r="C31" s="104" t="s">
        <v>157</v>
      </c>
      <c r="D31" s="104"/>
    </row>
    <row r="32" spans="1:4" s="105" customFormat="1" hidden="1" x14ac:dyDescent="0.25">
      <c r="A32" s="105" t="s">
        <v>158</v>
      </c>
      <c r="B32" s="155">
        <v>0.6</v>
      </c>
      <c r="C32" s="104"/>
      <c r="D32" s="104"/>
    </row>
    <row r="33" spans="1:4" s="105" customFormat="1" hidden="1" x14ac:dyDescent="0.25">
      <c r="B33" s="104"/>
      <c r="C33" s="104"/>
      <c r="D33" s="104"/>
    </row>
    <row r="34" spans="1:4" s="105" customFormat="1" hidden="1" x14ac:dyDescent="0.25">
      <c r="B34" s="104"/>
      <c r="C34" s="104"/>
      <c r="D34" s="104"/>
    </row>
    <row r="35" spans="1:4" s="105" customFormat="1" hidden="1" x14ac:dyDescent="0.25">
      <c r="B35" s="104"/>
      <c r="C35" s="104"/>
      <c r="D35" s="104"/>
    </row>
    <row r="36" spans="1:4" s="105" customFormat="1" hidden="1" x14ac:dyDescent="0.25">
      <c r="B36" s="104"/>
      <c r="C36" s="104"/>
      <c r="D36" s="104"/>
    </row>
    <row r="37" spans="1:4" s="105" customFormat="1" hidden="1" x14ac:dyDescent="0.25">
      <c r="B37" s="104"/>
      <c r="C37" s="104"/>
      <c r="D37" s="104"/>
    </row>
    <row r="38" spans="1:4" s="105" customFormat="1" hidden="1" x14ac:dyDescent="0.25">
      <c r="B38" s="104"/>
      <c r="C38" s="104"/>
      <c r="D38" s="104"/>
    </row>
    <row r="39" spans="1:4" s="105" customFormat="1" hidden="1" x14ac:dyDescent="0.25">
      <c r="B39" s="104"/>
      <c r="C39" s="104"/>
      <c r="D39" s="104"/>
    </row>
    <row r="40" spans="1:4" s="105" customFormat="1" hidden="1" x14ac:dyDescent="0.25">
      <c r="B40" s="104"/>
      <c r="C40" s="104"/>
      <c r="D40" s="104"/>
    </row>
    <row r="41" spans="1:4" s="105" customFormat="1" hidden="1" x14ac:dyDescent="0.25">
      <c r="B41" s="104"/>
      <c r="C41" s="104"/>
      <c r="D41" s="104"/>
    </row>
    <row r="42" spans="1:4" s="105" customFormat="1" hidden="1" x14ac:dyDescent="0.25">
      <c r="B42" s="104"/>
      <c r="C42" s="104"/>
      <c r="D42" s="104"/>
    </row>
    <row r="43" spans="1:4" s="105" customFormat="1" hidden="1" x14ac:dyDescent="0.25">
      <c r="B43" s="104"/>
      <c r="C43" s="104"/>
      <c r="D43" s="104"/>
    </row>
    <row r="44" spans="1:4" s="105" customFormat="1" hidden="1" x14ac:dyDescent="0.25">
      <c r="B44" s="104"/>
      <c r="C44" s="104"/>
      <c r="D44" s="104"/>
    </row>
    <row r="45" spans="1:4" s="113" customFormat="1" ht="15.75" hidden="1" x14ac:dyDescent="0.25">
      <c r="A45" s="111" t="s">
        <v>159</v>
      </c>
      <c r="B45" s="112"/>
      <c r="C45" s="112"/>
      <c r="D45" s="112"/>
    </row>
    <row r="46" spans="1:4" hidden="1" x14ac:dyDescent="0.25">
      <c r="A46" s="109" t="s">
        <v>160</v>
      </c>
    </row>
    <row r="47" spans="1:4" hidden="1" x14ac:dyDescent="0.25">
      <c r="A47" s="105" t="s">
        <v>155</v>
      </c>
      <c r="B47" s="114">
        <v>0.85</v>
      </c>
      <c r="C47" s="104"/>
    </row>
    <row r="48" spans="1:4" hidden="1" x14ac:dyDescent="0.25">
      <c r="A48" s="105" t="s">
        <v>156</v>
      </c>
      <c r="B48" s="104">
        <v>3</v>
      </c>
      <c r="C48" s="104" t="s">
        <v>157</v>
      </c>
    </row>
    <row r="49" spans="1:3" hidden="1" x14ac:dyDescent="0.25">
      <c r="A49" s="105" t="s">
        <v>158</v>
      </c>
      <c r="B49" s="114">
        <v>0.95</v>
      </c>
      <c r="C49" s="104"/>
    </row>
    <row r="50" spans="1:3" hidden="1" x14ac:dyDescent="0.25"/>
    <row r="51" spans="1:3" hidden="1" x14ac:dyDescent="0.25"/>
    <row r="52" spans="1:3" hidden="1" x14ac:dyDescent="0.25"/>
    <row r="53" spans="1:3" hidden="1" x14ac:dyDescent="0.25">
      <c r="A53" s="109" t="s">
        <v>161</v>
      </c>
    </row>
    <row r="54" spans="1:3" hidden="1" x14ac:dyDescent="0.25">
      <c r="A54" s="105" t="s">
        <v>155</v>
      </c>
      <c r="B54" s="114">
        <v>0.75</v>
      </c>
      <c r="C54" s="104"/>
    </row>
    <row r="55" spans="1:3" hidden="1" x14ac:dyDescent="0.25">
      <c r="A55" s="105" t="s">
        <v>156</v>
      </c>
      <c r="B55" s="104">
        <v>1.5</v>
      </c>
      <c r="C55" s="104" t="s">
        <v>157</v>
      </c>
    </row>
    <row r="56" spans="1:3" hidden="1" x14ac:dyDescent="0.25">
      <c r="A56" s="105" t="s">
        <v>158</v>
      </c>
      <c r="B56" s="114">
        <v>0.5</v>
      </c>
      <c r="C56" s="104"/>
    </row>
    <row r="57" spans="1:3" hidden="1" x14ac:dyDescent="0.25"/>
    <row r="58" spans="1:3" hidden="1" x14ac:dyDescent="0.25">
      <c r="A58" s="109" t="s">
        <v>162</v>
      </c>
    </row>
    <row r="59" spans="1:3" hidden="1" x14ac:dyDescent="0.25">
      <c r="A59" s="105" t="s">
        <v>155</v>
      </c>
      <c r="B59" s="114">
        <v>0.75</v>
      </c>
      <c r="C59" s="104"/>
    </row>
    <row r="60" spans="1:3" hidden="1" x14ac:dyDescent="0.25">
      <c r="A60" s="105" t="s">
        <v>156</v>
      </c>
      <c r="B60" s="104">
        <v>1.5</v>
      </c>
      <c r="C60" s="104" t="s">
        <v>157</v>
      </c>
    </row>
    <row r="61" spans="1:3" hidden="1" x14ac:dyDescent="0.25">
      <c r="A61" s="105" t="s">
        <v>158</v>
      </c>
      <c r="B61" s="114">
        <v>0.85</v>
      </c>
      <c r="C61" s="104"/>
    </row>
    <row r="62" spans="1:3" hidden="1" x14ac:dyDescent="0.25"/>
    <row r="63" spans="1:3" hidden="1" x14ac:dyDescent="0.25">
      <c r="A63" s="109" t="s">
        <v>163</v>
      </c>
    </row>
    <row r="64" spans="1:3" hidden="1" x14ac:dyDescent="0.25">
      <c r="A64" s="105" t="s">
        <v>155</v>
      </c>
      <c r="B64" s="114">
        <v>0.75</v>
      </c>
      <c r="C64" s="104"/>
    </row>
    <row r="65" spans="1:3" hidden="1" x14ac:dyDescent="0.25">
      <c r="A65" s="105" t="s">
        <v>156</v>
      </c>
      <c r="B65" s="104">
        <v>0</v>
      </c>
      <c r="C65" s="104" t="s">
        <v>157</v>
      </c>
    </row>
    <row r="66" spans="1:3" hidden="1" x14ac:dyDescent="0.25">
      <c r="A66" s="105" t="s">
        <v>158</v>
      </c>
      <c r="B66" s="114">
        <v>0</v>
      </c>
      <c r="C66" s="104"/>
    </row>
    <row r="67" spans="1:3" hidden="1" x14ac:dyDescent="0.25"/>
    <row r="68" spans="1:3" hidden="1" x14ac:dyDescent="0.25">
      <c r="A68" s="109" t="s">
        <v>164</v>
      </c>
    </row>
    <row r="69" spans="1:3" hidden="1" x14ac:dyDescent="0.25">
      <c r="A69" s="105" t="s">
        <v>155</v>
      </c>
      <c r="B69" s="114">
        <v>0.75</v>
      </c>
      <c r="C69" s="104"/>
    </row>
    <row r="70" spans="1:3" hidden="1" x14ac:dyDescent="0.25">
      <c r="A70" s="105" t="s">
        <v>156</v>
      </c>
      <c r="B70" s="104">
        <v>0</v>
      </c>
      <c r="C70" s="104" t="s">
        <v>157</v>
      </c>
    </row>
    <row r="71" spans="1:3" hidden="1" x14ac:dyDescent="0.25">
      <c r="A71" s="105" t="s">
        <v>158</v>
      </c>
      <c r="B71" s="114">
        <v>0</v>
      </c>
      <c r="C71" s="104"/>
    </row>
    <row r="72" spans="1:3" hidden="1" x14ac:dyDescent="0.25"/>
    <row r="73" spans="1:3" hidden="1" x14ac:dyDescent="0.25">
      <c r="A73" s="109" t="s">
        <v>165</v>
      </c>
    </row>
    <row r="74" spans="1:3" hidden="1" x14ac:dyDescent="0.25">
      <c r="A74" s="105" t="s">
        <v>166</v>
      </c>
      <c r="B74" s="115">
        <v>6.5</v>
      </c>
      <c r="C74" s="115" t="s">
        <v>167</v>
      </c>
    </row>
    <row r="75" spans="1:3" hidden="1" x14ac:dyDescent="0.25">
      <c r="A75" s="105" t="s">
        <v>168</v>
      </c>
      <c r="B75" s="117">
        <v>370</v>
      </c>
      <c r="C75" s="115" t="s">
        <v>167</v>
      </c>
    </row>
    <row r="76" spans="1:3" hidden="1" x14ac:dyDescent="0.25">
      <c r="A76" s="105" t="s">
        <v>169</v>
      </c>
      <c r="B76" s="117">
        <v>41530</v>
      </c>
      <c r="C76" s="115" t="s">
        <v>167</v>
      </c>
    </row>
    <row r="77" spans="1:3" hidden="1" x14ac:dyDescent="0.25">
      <c r="A77" s="105" t="s">
        <v>170</v>
      </c>
      <c r="B77" s="118">
        <v>1780</v>
      </c>
      <c r="C77" s="115" t="s">
        <v>171</v>
      </c>
    </row>
    <row r="78" spans="1:3" hidden="1" x14ac:dyDescent="0.25">
      <c r="A78" s="105" t="s">
        <v>172</v>
      </c>
      <c r="B78" s="117">
        <v>13500</v>
      </c>
      <c r="C78" s="115" t="s">
        <v>167</v>
      </c>
    </row>
    <row r="79" spans="1:3" hidden="1" x14ac:dyDescent="0.25">
      <c r="A79" s="105" t="s">
        <v>173</v>
      </c>
      <c r="B79" s="117">
        <v>4200</v>
      </c>
      <c r="C79" s="115" t="s">
        <v>167</v>
      </c>
    </row>
    <row r="80" spans="1:3" hidden="1" x14ac:dyDescent="0.25">
      <c r="A80" s="105" t="s">
        <v>174</v>
      </c>
      <c r="B80" s="117">
        <v>5508</v>
      </c>
      <c r="C80" s="115" t="s">
        <v>167</v>
      </c>
    </row>
    <row r="81" spans="1:3" ht="30" hidden="1" x14ac:dyDescent="0.25">
      <c r="A81" s="105" t="s">
        <v>175</v>
      </c>
      <c r="B81" s="118">
        <v>1500</v>
      </c>
      <c r="C81" s="115" t="s">
        <v>171</v>
      </c>
    </row>
    <row r="82" spans="1:3" ht="30" hidden="1" x14ac:dyDescent="0.25">
      <c r="A82" s="105" t="s">
        <v>176</v>
      </c>
      <c r="B82" s="118">
        <v>1550</v>
      </c>
      <c r="C82" s="115" t="s">
        <v>171</v>
      </c>
    </row>
    <row r="83" spans="1:3" ht="30" hidden="1" x14ac:dyDescent="0.25">
      <c r="A83" s="105" t="s">
        <v>177</v>
      </c>
      <c r="B83" s="118">
        <v>1600</v>
      </c>
      <c r="C83" s="115" t="s">
        <v>171</v>
      </c>
    </row>
    <row r="84" spans="1:3" ht="30" hidden="1" x14ac:dyDescent="0.25">
      <c r="A84" s="105" t="s">
        <v>178</v>
      </c>
      <c r="B84" s="118">
        <v>330</v>
      </c>
      <c r="C84" s="115" t="s">
        <v>171</v>
      </c>
    </row>
    <row r="85" spans="1:3" ht="30" hidden="1" x14ac:dyDescent="0.25">
      <c r="A85" s="105" t="s">
        <v>179</v>
      </c>
      <c r="B85" s="118">
        <v>330</v>
      </c>
      <c r="C85" s="115" t="s">
        <v>171</v>
      </c>
    </row>
    <row r="86" spans="1:3" hidden="1" x14ac:dyDescent="0.25">
      <c r="A86" s="105" t="s">
        <v>180</v>
      </c>
      <c r="B86" s="117">
        <v>6000</v>
      </c>
      <c r="C86" s="115" t="s">
        <v>167</v>
      </c>
    </row>
    <row r="87" spans="1:3" hidden="1" x14ac:dyDescent="0.25">
      <c r="A87" s="105" t="s">
        <v>181</v>
      </c>
      <c r="B87" s="117">
        <v>5000</v>
      </c>
      <c r="C87" s="115" t="s">
        <v>167</v>
      </c>
    </row>
    <row r="88" spans="1:3" hidden="1" x14ac:dyDescent="0.25">
      <c r="A88" s="105" t="s">
        <v>76</v>
      </c>
      <c r="B88" s="118">
        <v>1300</v>
      </c>
      <c r="C88" s="115" t="s">
        <v>171</v>
      </c>
    </row>
    <row r="89" spans="1:3" hidden="1" x14ac:dyDescent="0.25"/>
    <row r="90" spans="1:3" hidden="1" x14ac:dyDescent="0.25"/>
    <row r="91" spans="1:3" hidden="1" x14ac:dyDescent="0.25"/>
    <row r="92" spans="1:3" hidden="1" x14ac:dyDescent="0.25"/>
    <row r="93" spans="1:3" hidden="1" x14ac:dyDescent="0.25"/>
    <row r="94" spans="1:3" hidden="1" x14ac:dyDescent="0.25"/>
    <row r="95" spans="1:3" hidden="1" x14ac:dyDescent="0.25"/>
    <row r="96" spans="1:3" hidden="1" x14ac:dyDescent="0.25"/>
    <row r="97" spans="1:4" hidden="1" x14ac:dyDescent="0.25"/>
    <row r="98" spans="1:4" hidden="1" x14ac:dyDescent="0.25"/>
    <row r="99" spans="1:4" hidden="1" x14ac:dyDescent="0.25"/>
    <row r="100" spans="1:4" hidden="1" x14ac:dyDescent="0.25"/>
    <row r="101" spans="1:4" hidden="1" x14ac:dyDescent="0.25"/>
    <row r="102" spans="1:4" hidden="1" x14ac:dyDescent="0.25"/>
    <row r="103" spans="1:4" hidden="1" x14ac:dyDescent="0.25"/>
    <row r="104" spans="1:4" hidden="1" x14ac:dyDescent="0.25"/>
    <row r="105" spans="1:4" hidden="1" x14ac:dyDescent="0.25"/>
    <row r="106" spans="1:4" hidden="1" x14ac:dyDescent="0.25"/>
    <row r="107" spans="1:4" hidden="1" x14ac:dyDescent="0.25"/>
    <row r="108" spans="1:4" hidden="1" x14ac:dyDescent="0.25"/>
    <row r="109" spans="1:4" hidden="1" x14ac:dyDescent="0.25"/>
    <row r="110" spans="1:4" s="113" customFormat="1" ht="15.75" x14ac:dyDescent="0.25">
      <c r="A110" s="111" t="s">
        <v>200</v>
      </c>
      <c r="B110" s="112"/>
      <c r="C110" s="112"/>
      <c r="D110" s="112"/>
    </row>
    <row r="111" spans="1:4" s="105" customFormat="1" x14ac:dyDescent="0.25">
      <c r="A111" s="105" t="s">
        <v>155</v>
      </c>
      <c r="B111" s="114">
        <v>0.8</v>
      </c>
      <c r="C111" s="104"/>
      <c r="D111" s="104"/>
    </row>
    <row r="112" spans="1:4" s="105" customFormat="1" x14ac:dyDescent="0.25">
      <c r="A112" s="105" t="s">
        <v>156</v>
      </c>
      <c r="B112" s="104">
        <v>1.5</v>
      </c>
      <c r="C112" s="104" t="s">
        <v>157</v>
      </c>
      <c r="D112" s="104"/>
    </row>
    <row r="113" spans="1:5" s="105" customFormat="1" x14ac:dyDescent="0.25">
      <c r="A113" s="105" t="s">
        <v>158</v>
      </c>
      <c r="B113" s="114">
        <v>1</v>
      </c>
      <c r="C113" s="104"/>
      <c r="D113" s="104"/>
    </row>
    <row r="114" spans="1:5" s="105" customFormat="1" x14ac:dyDescent="0.25">
      <c r="B114" s="104"/>
      <c r="C114" s="104"/>
      <c r="D114" s="104"/>
    </row>
    <row r="115" spans="1:5" x14ac:dyDescent="0.25">
      <c r="B115" s="115" t="s">
        <v>23</v>
      </c>
      <c r="C115" s="115" t="s">
        <v>24</v>
      </c>
      <c r="D115" s="115" t="s">
        <v>99</v>
      </c>
    </row>
    <row r="116" spans="1:5" x14ac:dyDescent="0.25">
      <c r="A116" s="105" t="s">
        <v>353</v>
      </c>
      <c r="B116" s="117">
        <f>MROUND(1305/1.2,1)</f>
        <v>1088</v>
      </c>
      <c r="C116" s="117">
        <f>MROUND(1350/1.2,1)</f>
        <v>1125</v>
      </c>
      <c r="D116" s="117">
        <f>MROUND(C116*2.5,1)</f>
        <v>2813</v>
      </c>
      <c r="E116" s="116" t="s">
        <v>171</v>
      </c>
    </row>
    <row r="117" spans="1:5" ht="30" x14ac:dyDescent="0.25">
      <c r="A117" s="105" t="s">
        <v>352</v>
      </c>
      <c r="B117" s="117">
        <f>MROUND(1846/1.2,1)</f>
        <v>1538</v>
      </c>
      <c r="C117" s="117">
        <f>MROUND(1892/1.2,1)</f>
        <v>1577</v>
      </c>
      <c r="D117" s="117">
        <f>MROUND(C117*2.5,1)</f>
        <v>3943</v>
      </c>
      <c r="E117" s="116" t="s">
        <v>171</v>
      </c>
    </row>
    <row r="119" spans="1:5" x14ac:dyDescent="0.25">
      <c r="A119" s="105" t="s">
        <v>205</v>
      </c>
      <c r="B119" s="115" t="s">
        <v>207</v>
      </c>
      <c r="C119" s="115" t="s">
        <v>208</v>
      </c>
      <c r="D119" s="115" t="s">
        <v>167</v>
      </c>
      <c r="E119" s="115" t="s">
        <v>209</v>
      </c>
    </row>
    <row r="120" spans="1:5" x14ac:dyDescent="0.25">
      <c r="A120" s="105" t="s">
        <v>206</v>
      </c>
      <c r="B120" s="115">
        <v>8</v>
      </c>
      <c r="C120" s="115" t="s">
        <v>211</v>
      </c>
      <c r="D120" s="117"/>
      <c r="E120" s="117">
        <f>D120*B120</f>
        <v>0</v>
      </c>
    </row>
    <row r="121" spans="1:5" x14ac:dyDescent="0.25">
      <c r="A121" s="105" t="s">
        <v>210</v>
      </c>
      <c r="B121" s="115">
        <v>10</v>
      </c>
      <c r="C121" s="115" t="s">
        <v>211</v>
      </c>
      <c r="D121" s="117">
        <f>ROUNDUP(210/1.18,0)</f>
        <v>178</v>
      </c>
      <c r="E121" s="117">
        <f t="shared" ref="E121:E150" si="0">D121*B121</f>
        <v>1780</v>
      </c>
    </row>
    <row r="122" spans="1:5" x14ac:dyDescent="0.25">
      <c r="A122" s="105" t="s">
        <v>212</v>
      </c>
      <c r="B122" s="115">
        <v>1</v>
      </c>
      <c r="C122" s="115" t="s">
        <v>211</v>
      </c>
      <c r="D122" s="117">
        <f>ROUNDUP(52/1.18,0)</f>
        <v>45</v>
      </c>
      <c r="E122" s="117">
        <f t="shared" si="0"/>
        <v>45</v>
      </c>
    </row>
    <row r="123" spans="1:5" x14ac:dyDescent="0.25">
      <c r="A123" s="105" t="s">
        <v>213</v>
      </c>
      <c r="B123" s="115">
        <v>24</v>
      </c>
      <c r="C123" s="115" t="s">
        <v>211</v>
      </c>
      <c r="D123" s="117">
        <f>ROUNDUP(24/1.18,0)</f>
        <v>21</v>
      </c>
      <c r="E123" s="117">
        <f t="shared" si="0"/>
        <v>504</v>
      </c>
    </row>
    <row r="124" spans="1:5" x14ac:dyDescent="0.25">
      <c r="A124" s="105" t="s">
        <v>214</v>
      </c>
      <c r="B124" s="115">
        <v>9</v>
      </c>
      <c r="C124" s="115" t="s">
        <v>211</v>
      </c>
      <c r="D124" s="117">
        <f>ROUNDUP(26/1.18,0)</f>
        <v>23</v>
      </c>
      <c r="E124" s="117">
        <f t="shared" si="0"/>
        <v>207</v>
      </c>
    </row>
    <row r="125" spans="1:5" x14ac:dyDescent="0.25">
      <c r="A125" s="105" t="s">
        <v>215</v>
      </c>
      <c r="B125" s="115">
        <v>5</v>
      </c>
      <c r="C125" s="115" t="s">
        <v>211</v>
      </c>
      <c r="D125" s="117">
        <f>ROUNDUP(77/1.18,0)</f>
        <v>66</v>
      </c>
      <c r="E125" s="117">
        <f t="shared" si="0"/>
        <v>330</v>
      </c>
    </row>
    <row r="126" spans="1:5" x14ac:dyDescent="0.25">
      <c r="A126" s="105" t="s">
        <v>216</v>
      </c>
      <c r="B126" s="115">
        <v>56</v>
      </c>
      <c r="C126" s="115" t="s">
        <v>211</v>
      </c>
      <c r="D126" s="117">
        <f>ROUNDUP(9/1.18,0)</f>
        <v>8</v>
      </c>
      <c r="E126" s="117">
        <f t="shared" si="0"/>
        <v>448</v>
      </c>
    </row>
    <row r="127" spans="1:5" x14ac:dyDescent="0.25">
      <c r="A127" s="105" t="s">
        <v>217</v>
      </c>
      <c r="B127" s="115">
        <v>5</v>
      </c>
      <c r="C127" s="115" t="s">
        <v>211</v>
      </c>
      <c r="D127" s="117">
        <f>ROUNDUP(9/1.18,0)</f>
        <v>8</v>
      </c>
      <c r="E127" s="117">
        <f t="shared" si="0"/>
        <v>40</v>
      </c>
    </row>
    <row r="128" spans="1:5" x14ac:dyDescent="0.25">
      <c r="A128" s="105" t="s">
        <v>218</v>
      </c>
      <c r="B128" s="115">
        <v>2</v>
      </c>
      <c r="C128" s="115" t="s">
        <v>211</v>
      </c>
      <c r="D128" s="117">
        <f>ROUNDUP(2.5/1.18,0)</f>
        <v>3</v>
      </c>
      <c r="E128" s="117">
        <f t="shared" si="0"/>
        <v>6</v>
      </c>
    </row>
    <row r="129" spans="1:5" x14ac:dyDescent="0.25">
      <c r="A129" s="105" t="s">
        <v>219</v>
      </c>
      <c r="B129" s="115">
        <v>2</v>
      </c>
      <c r="C129" s="115" t="s">
        <v>211</v>
      </c>
      <c r="D129" s="117">
        <f>ROUNDUP(20/1.18,0)</f>
        <v>17</v>
      </c>
      <c r="E129" s="117">
        <f t="shared" si="0"/>
        <v>34</v>
      </c>
    </row>
    <row r="130" spans="1:5" x14ac:dyDescent="0.25">
      <c r="A130" s="105" t="s">
        <v>220</v>
      </c>
      <c r="B130" s="115">
        <v>4</v>
      </c>
      <c r="C130" s="115" t="s">
        <v>211</v>
      </c>
      <c r="D130" s="117">
        <f>ROUNDUP(2/1.18,0)</f>
        <v>2</v>
      </c>
      <c r="E130" s="117">
        <f t="shared" si="0"/>
        <v>8</v>
      </c>
    </row>
    <row r="131" spans="1:5" x14ac:dyDescent="0.25">
      <c r="A131" s="105" t="s">
        <v>221</v>
      </c>
      <c r="B131" s="115">
        <v>51</v>
      </c>
      <c r="C131" s="115" t="s">
        <v>211</v>
      </c>
      <c r="D131" s="117">
        <f>ROUNDUP(9/1.18,0)</f>
        <v>8</v>
      </c>
      <c r="E131" s="117">
        <f t="shared" si="0"/>
        <v>408</v>
      </c>
    </row>
    <row r="132" spans="1:5" x14ac:dyDescent="0.25">
      <c r="A132" s="105" t="s">
        <v>222</v>
      </c>
      <c r="B132" s="115">
        <v>60</v>
      </c>
      <c r="C132" s="115" t="s">
        <v>211</v>
      </c>
      <c r="D132" s="117">
        <f>ROUNDUP(3/1.18,0)</f>
        <v>3</v>
      </c>
      <c r="E132" s="117">
        <f t="shared" si="0"/>
        <v>180</v>
      </c>
    </row>
    <row r="133" spans="1:5" x14ac:dyDescent="0.25">
      <c r="A133" s="105" t="s">
        <v>223</v>
      </c>
      <c r="B133" s="115">
        <v>6</v>
      </c>
      <c r="C133" s="115" t="s">
        <v>211</v>
      </c>
      <c r="D133" s="117">
        <f>ROUNDUP(2/1.18,0)</f>
        <v>2</v>
      </c>
      <c r="E133" s="117">
        <f t="shared" si="0"/>
        <v>12</v>
      </c>
    </row>
    <row r="134" spans="1:5" x14ac:dyDescent="0.25">
      <c r="A134" s="105" t="s">
        <v>224</v>
      </c>
      <c r="B134" s="115">
        <v>4</v>
      </c>
      <c r="C134" s="115" t="s">
        <v>211</v>
      </c>
      <c r="D134" s="117">
        <f>ROUNDUP(3/1.18,0)</f>
        <v>3</v>
      </c>
      <c r="E134" s="117">
        <f t="shared" si="0"/>
        <v>12</v>
      </c>
    </row>
    <row r="135" spans="1:5" x14ac:dyDescent="0.25">
      <c r="A135" s="105" t="s">
        <v>225</v>
      </c>
      <c r="B135" s="115">
        <v>2</v>
      </c>
      <c r="C135" s="115" t="s">
        <v>211</v>
      </c>
      <c r="D135" s="117">
        <f>ROUNDUP(5/1.18,0)</f>
        <v>5</v>
      </c>
      <c r="E135" s="117">
        <f t="shared" si="0"/>
        <v>10</v>
      </c>
    </row>
    <row r="136" spans="1:5" x14ac:dyDescent="0.25">
      <c r="A136" s="105" t="s">
        <v>226</v>
      </c>
      <c r="B136" s="115">
        <v>4</v>
      </c>
      <c r="C136" s="115" t="s">
        <v>211</v>
      </c>
      <c r="D136" s="117">
        <f>ROUNDUP(8/1.18,0)</f>
        <v>7</v>
      </c>
      <c r="E136" s="117">
        <f t="shared" si="0"/>
        <v>28</v>
      </c>
    </row>
    <row r="137" spans="1:5" x14ac:dyDescent="0.25">
      <c r="A137" s="105" t="s">
        <v>227</v>
      </c>
      <c r="B137" s="115">
        <v>6</v>
      </c>
      <c r="C137" s="115" t="s">
        <v>211</v>
      </c>
      <c r="D137" s="117">
        <f>ROUNDUP(380/1.18,0)</f>
        <v>323</v>
      </c>
      <c r="E137" s="117">
        <f t="shared" si="0"/>
        <v>1938</v>
      </c>
    </row>
    <row r="138" spans="1:5" x14ac:dyDescent="0.25">
      <c r="A138" s="105" t="s">
        <v>236</v>
      </c>
      <c r="B138" s="115">
        <v>8</v>
      </c>
      <c r="C138" s="115" t="s">
        <v>211</v>
      </c>
      <c r="D138" s="117">
        <f>ROUNDUP(320/1.18,0)</f>
        <v>272</v>
      </c>
      <c r="E138" s="117">
        <f t="shared" si="0"/>
        <v>2176</v>
      </c>
    </row>
    <row r="139" spans="1:5" x14ac:dyDescent="0.25">
      <c r="A139" s="105" t="s">
        <v>228</v>
      </c>
      <c r="B139" s="115">
        <v>29</v>
      </c>
      <c r="C139" s="115" t="s">
        <v>211</v>
      </c>
      <c r="D139" s="117">
        <f>ROUNDUP(2/1.18,0)</f>
        <v>2</v>
      </c>
      <c r="E139" s="117">
        <f t="shared" si="0"/>
        <v>58</v>
      </c>
    </row>
    <row r="140" spans="1:5" x14ac:dyDescent="0.25">
      <c r="A140" s="105" t="s">
        <v>229</v>
      </c>
      <c r="B140" s="115">
        <v>5</v>
      </c>
      <c r="C140" s="115" t="s">
        <v>211</v>
      </c>
      <c r="D140" s="117">
        <f>ROUNDUP(10/1.18,0)</f>
        <v>9</v>
      </c>
      <c r="E140" s="117">
        <f t="shared" si="0"/>
        <v>45</v>
      </c>
    </row>
    <row r="141" spans="1:5" x14ac:dyDescent="0.25">
      <c r="A141" s="105" t="s">
        <v>230</v>
      </c>
      <c r="B141" s="115">
        <v>57</v>
      </c>
      <c r="C141" s="115" t="s">
        <v>211</v>
      </c>
      <c r="D141" s="117">
        <f>ROUNDUP(1/1.18,0)</f>
        <v>1</v>
      </c>
      <c r="E141" s="117">
        <f t="shared" si="0"/>
        <v>57</v>
      </c>
    </row>
    <row r="142" spans="1:5" x14ac:dyDescent="0.25">
      <c r="A142" s="105" t="s">
        <v>231</v>
      </c>
      <c r="B142" s="115">
        <v>42</v>
      </c>
      <c r="C142" s="115" t="s">
        <v>211</v>
      </c>
      <c r="D142" s="117">
        <f>ROUNDUP(4/1.18,0)</f>
        <v>4</v>
      </c>
      <c r="E142" s="117">
        <f t="shared" si="0"/>
        <v>168</v>
      </c>
    </row>
    <row r="143" spans="1:5" x14ac:dyDescent="0.25">
      <c r="A143" s="105" t="s">
        <v>232</v>
      </c>
      <c r="B143" s="115">
        <v>5</v>
      </c>
      <c r="C143" s="115" t="s">
        <v>211</v>
      </c>
      <c r="D143" s="117">
        <f>ROUNDUP(11/1.18,0)</f>
        <v>10</v>
      </c>
      <c r="E143" s="117">
        <f t="shared" si="0"/>
        <v>50</v>
      </c>
    </row>
    <row r="144" spans="1:5" x14ac:dyDescent="0.25">
      <c r="A144" s="105" t="s">
        <v>233</v>
      </c>
      <c r="B144" s="115">
        <v>4</v>
      </c>
      <c r="C144" s="115" t="s">
        <v>211</v>
      </c>
      <c r="D144" s="117">
        <f>ROUNDUP(0.25/1.18,0)</f>
        <v>1</v>
      </c>
      <c r="E144" s="117">
        <f t="shared" si="0"/>
        <v>4</v>
      </c>
    </row>
    <row r="145" spans="1:8" x14ac:dyDescent="0.25">
      <c r="A145" s="105" t="s">
        <v>234</v>
      </c>
      <c r="B145" s="115">
        <v>61</v>
      </c>
      <c r="C145" s="115" t="s">
        <v>211</v>
      </c>
      <c r="D145" s="117">
        <f>ROUNDUP(1/1.18,0)</f>
        <v>1</v>
      </c>
      <c r="E145" s="117">
        <f t="shared" si="0"/>
        <v>61</v>
      </c>
    </row>
    <row r="146" spans="1:8" x14ac:dyDescent="0.25">
      <c r="A146" s="105" t="s">
        <v>235</v>
      </c>
      <c r="B146" s="115">
        <v>4</v>
      </c>
      <c r="C146" s="115" t="s">
        <v>211</v>
      </c>
      <c r="D146" s="117">
        <f>ROUNDUP(2/1.18,0)</f>
        <v>2</v>
      </c>
      <c r="E146" s="117">
        <f t="shared" si="0"/>
        <v>8</v>
      </c>
    </row>
    <row r="147" spans="1:8" x14ac:dyDescent="0.25">
      <c r="A147" s="105" t="s">
        <v>237</v>
      </c>
      <c r="B147" s="115">
        <v>8</v>
      </c>
      <c r="C147" s="115" t="s">
        <v>211</v>
      </c>
      <c r="D147" s="117">
        <f>ROUNDUP(210/1.18,0)</f>
        <v>178</v>
      </c>
      <c r="E147" s="117">
        <f t="shared" si="0"/>
        <v>1424</v>
      </c>
    </row>
    <row r="148" spans="1:8" x14ac:dyDescent="0.25">
      <c r="A148" s="105" t="s">
        <v>238</v>
      </c>
      <c r="B148" s="115">
        <v>1</v>
      </c>
      <c r="C148" s="115" t="s">
        <v>211</v>
      </c>
      <c r="D148" s="117">
        <f>ROUNDUP(660/1.18,0)</f>
        <v>560</v>
      </c>
      <c r="E148" s="117">
        <f t="shared" si="0"/>
        <v>560</v>
      </c>
    </row>
    <row r="149" spans="1:8" x14ac:dyDescent="0.25">
      <c r="A149" s="105" t="s">
        <v>239</v>
      </c>
      <c r="B149" s="115">
        <v>2</v>
      </c>
      <c r="C149" s="115" t="s">
        <v>211</v>
      </c>
      <c r="D149" s="117">
        <f>ROUNDUP(160/1.18,0)</f>
        <v>136</v>
      </c>
      <c r="E149" s="117">
        <f t="shared" si="0"/>
        <v>272</v>
      </c>
    </row>
    <row r="150" spans="1:8" x14ac:dyDescent="0.25">
      <c r="A150" s="105" t="s">
        <v>240</v>
      </c>
      <c r="B150" s="115">
        <v>2</v>
      </c>
      <c r="C150" s="115" t="s">
        <v>241</v>
      </c>
      <c r="D150" s="117">
        <f>ROUNDUP(350/1.18,0)</f>
        <v>297</v>
      </c>
      <c r="E150" s="117">
        <f t="shared" si="0"/>
        <v>594</v>
      </c>
    </row>
    <row r="151" spans="1:8" x14ac:dyDescent="0.25">
      <c r="D151" s="117"/>
      <c r="E151" s="117"/>
    </row>
    <row r="152" spans="1:8" x14ac:dyDescent="0.25">
      <c r="D152" s="117" t="s">
        <v>242</v>
      </c>
      <c r="E152" s="117">
        <f>SUM(E120:E150)</f>
        <v>11467</v>
      </c>
    </row>
    <row r="155" spans="1:8" x14ac:dyDescent="0.25">
      <c r="A155" s="105" t="s">
        <v>377</v>
      </c>
      <c r="B155" s="115">
        <v>60</v>
      </c>
      <c r="C155" s="115" t="s">
        <v>378</v>
      </c>
    </row>
    <row r="156" spans="1:8" x14ac:dyDescent="0.25">
      <c r="A156" s="105" t="s">
        <v>247</v>
      </c>
      <c r="B156" s="115">
        <f>ROUNDUP(7800/1.18,0)</f>
        <v>6611</v>
      </c>
      <c r="C156" s="115" t="s">
        <v>248</v>
      </c>
    </row>
    <row r="158" spans="1:8" s="108" customFormat="1" ht="15.75" x14ac:dyDescent="0.25">
      <c r="A158" s="111" t="s">
        <v>70</v>
      </c>
      <c r="B158" s="112"/>
      <c r="C158" s="112"/>
      <c r="D158" s="112"/>
      <c r="E158" s="112"/>
      <c r="F158" s="113"/>
      <c r="G158" s="113"/>
      <c r="H158" s="113"/>
    </row>
    <row r="159" spans="1:8" s="105" customFormat="1" x14ac:dyDescent="0.25">
      <c r="B159" s="104"/>
      <c r="C159" s="104"/>
      <c r="D159" s="104"/>
      <c r="E159" s="104"/>
    </row>
    <row r="160" spans="1:8" s="105" customFormat="1" x14ac:dyDescent="0.25">
      <c r="A160" s="226" t="s">
        <v>359</v>
      </c>
      <c r="B160" s="246"/>
      <c r="C160" s="227"/>
      <c r="D160" s="104"/>
      <c r="E160" s="104"/>
    </row>
    <row r="161" spans="1:5" s="105" customFormat="1" x14ac:dyDescent="0.25">
      <c r="A161" s="230" t="s">
        <v>371</v>
      </c>
      <c r="B161" s="247">
        <f>MROUND(60*1.1,1)</f>
        <v>66</v>
      </c>
      <c r="C161" s="248" t="s">
        <v>360</v>
      </c>
      <c r="D161" s="104"/>
      <c r="E161" s="104"/>
    </row>
    <row r="162" spans="1:5" s="105" customFormat="1" x14ac:dyDescent="0.25">
      <c r="A162" s="230" t="s">
        <v>372</v>
      </c>
      <c r="B162" s="247">
        <f>MROUND(80*1.1,1)</f>
        <v>88</v>
      </c>
      <c r="C162" s="248" t="s">
        <v>360</v>
      </c>
      <c r="D162" s="104"/>
      <c r="E162" s="104"/>
    </row>
    <row r="163" spans="1:5" s="105" customFormat="1" x14ac:dyDescent="0.25">
      <c r="A163" s="232" t="s">
        <v>98</v>
      </c>
      <c r="B163" s="249">
        <f>MROUND(180*1.1,1)</f>
        <v>198</v>
      </c>
      <c r="C163" s="250" t="s">
        <v>360</v>
      </c>
      <c r="D163" s="104"/>
      <c r="E163" s="104"/>
    </row>
    <row r="164" spans="1:5" x14ac:dyDescent="0.25">
      <c r="E164" s="115"/>
    </row>
    <row r="165" spans="1:5" x14ac:dyDescent="0.25">
      <c r="A165" s="226" t="s">
        <v>373</v>
      </c>
      <c r="B165" s="251">
        <v>0</v>
      </c>
      <c r="C165" s="252" t="s">
        <v>360</v>
      </c>
      <c r="D165" s="253"/>
      <c r="E165" s="115"/>
    </row>
    <row r="166" spans="1:5" x14ac:dyDescent="0.25">
      <c r="A166" s="232" t="s">
        <v>374</v>
      </c>
      <c r="B166" s="254">
        <f>MROUND(240*1.1,1)</f>
        <v>264</v>
      </c>
      <c r="C166" s="255" t="s">
        <v>360</v>
      </c>
      <c r="D166" s="253"/>
      <c r="E166" s="115"/>
    </row>
    <row r="167" spans="1:5" x14ac:dyDescent="0.25">
      <c r="E167" s="115"/>
    </row>
    <row r="168" spans="1:5" x14ac:dyDescent="0.25">
      <c r="A168" s="256" t="s">
        <v>76</v>
      </c>
      <c r="B168" s="257">
        <f>MROUND(800*1.1,1)</f>
        <v>880</v>
      </c>
      <c r="C168" s="258" t="s">
        <v>360</v>
      </c>
      <c r="E168" s="1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J36"/>
  <sheetViews>
    <sheetView workbookViewId="0">
      <selection activeCell="G7" sqref="G7"/>
    </sheetView>
  </sheetViews>
  <sheetFormatPr defaultRowHeight="12.75" x14ac:dyDescent="0.2"/>
  <cols>
    <col min="1" max="1" width="31.85546875" customWidth="1"/>
    <col min="2" max="2" width="14.140625" customWidth="1"/>
    <col min="3" max="3" width="14.5703125" customWidth="1"/>
    <col min="6" max="6" width="37.42578125" style="9" customWidth="1"/>
    <col min="7" max="10" width="18.7109375" style="9" customWidth="1"/>
  </cols>
  <sheetData>
    <row r="1" spans="1:7" ht="25.5" x14ac:dyDescent="0.2">
      <c r="B1" s="200" t="s">
        <v>313</v>
      </c>
      <c r="C1" s="200" t="s">
        <v>314</v>
      </c>
      <c r="D1" s="200"/>
      <c r="F1" s="9" t="s">
        <v>346</v>
      </c>
      <c r="G1" s="213">
        <f>Цена!B16</f>
        <v>1000</v>
      </c>
    </row>
    <row r="2" spans="1:7" ht="15.75" x14ac:dyDescent="0.25">
      <c r="A2" s="201" t="s">
        <v>315</v>
      </c>
      <c r="B2" s="201"/>
      <c r="C2" s="201">
        <f>SUM(C3:C13)</f>
        <v>758</v>
      </c>
      <c r="F2" s="9" t="s">
        <v>316</v>
      </c>
      <c r="G2" s="9">
        <f>G1-100</f>
        <v>900</v>
      </c>
    </row>
    <row r="3" spans="1:7" x14ac:dyDescent="0.2">
      <c r="A3" t="s">
        <v>317</v>
      </c>
      <c r="B3">
        <v>9.1999999999999993</v>
      </c>
      <c r="C3">
        <f>MROUND(G7/100*B3,1)</f>
        <v>432</v>
      </c>
      <c r="F3" s="9" t="s">
        <v>318</v>
      </c>
      <c r="G3" s="213">
        <f>Цена!C16</f>
        <v>1400</v>
      </c>
    </row>
    <row r="4" spans="1:7" x14ac:dyDescent="0.2">
      <c r="A4" t="s">
        <v>319</v>
      </c>
      <c r="B4">
        <v>2.8</v>
      </c>
      <c r="C4">
        <f>MROUND((G2-100)/100*B4,1)</f>
        <v>22</v>
      </c>
      <c r="F4" s="9" t="s">
        <v>320</v>
      </c>
      <c r="G4" s="213">
        <f>Цена!H16</f>
        <v>1300</v>
      </c>
    </row>
    <row r="5" spans="1:7" x14ac:dyDescent="0.2">
      <c r="A5" t="s">
        <v>321</v>
      </c>
      <c r="B5">
        <v>7.4</v>
      </c>
      <c r="C5">
        <f>MROUND((G2-100)/100*B5,1)</f>
        <v>59</v>
      </c>
      <c r="F5" s="9" t="s">
        <v>4</v>
      </c>
      <c r="G5" s="213">
        <f>Цена!D16</f>
        <v>1200</v>
      </c>
    </row>
    <row r="6" spans="1:7" x14ac:dyDescent="0.2">
      <c r="A6" t="s">
        <v>322</v>
      </c>
      <c r="B6">
        <v>12</v>
      </c>
      <c r="C6">
        <f>MROUND(G2/100*B6,10)</f>
        <v>110</v>
      </c>
      <c r="F6" s="9" t="s">
        <v>323</v>
      </c>
      <c r="G6" s="9">
        <f>G5-850</f>
        <v>350</v>
      </c>
    </row>
    <row r="7" spans="1:7" x14ac:dyDescent="0.2">
      <c r="A7" t="s">
        <v>324</v>
      </c>
      <c r="C7">
        <f>13*2</f>
        <v>26</v>
      </c>
      <c r="F7" s="9" t="s">
        <v>325</v>
      </c>
      <c r="G7" s="200">
        <f>G3+G5+1700+IF(G3&gt;1000,400,0)</f>
        <v>4700</v>
      </c>
    </row>
    <row r="8" spans="1:7" x14ac:dyDescent="0.2">
      <c r="A8" t="s">
        <v>326</v>
      </c>
      <c r="C8">
        <f>16*2</f>
        <v>32</v>
      </c>
    </row>
    <row r="9" spans="1:7" ht="15" x14ac:dyDescent="0.25">
      <c r="A9" t="s">
        <v>327</v>
      </c>
      <c r="B9">
        <v>69</v>
      </c>
      <c r="C9">
        <f>MROUND(G2/1000*G6/1000*B9,1)</f>
        <v>22</v>
      </c>
      <c r="F9" s="9" t="s">
        <v>13</v>
      </c>
      <c r="G9" s="214">
        <f>Цена!E16</f>
        <v>16</v>
      </c>
    </row>
    <row r="10" spans="1:7" ht="15" x14ac:dyDescent="0.25">
      <c r="A10" t="s">
        <v>328</v>
      </c>
      <c r="C10">
        <v>30</v>
      </c>
      <c r="F10" s="9" t="s">
        <v>261</v>
      </c>
      <c r="G10" s="202">
        <f>Гидравлика!C15</f>
        <v>32</v>
      </c>
    </row>
    <row r="11" spans="1:7" x14ac:dyDescent="0.2">
      <c r="A11" t="s">
        <v>329</v>
      </c>
      <c r="B11">
        <v>34</v>
      </c>
      <c r="C11">
        <f>MROUND(G2/2/1000*B11,1)</f>
        <v>15</v>
      </c>
      <c r="F11" s="9" t="s">
        <v>330</v>
      </c>
      <c r="G11" s="9">
        <f>G10+1</f>
        <v>33</v>
      </c>
    </row>
    <row r="12" spans="1:7" x14ac:dyDescent="0.2">
      <c r="A12" t="s">
        <v>331</v>
      </c>
      <c r="C12">
        <v>7</v>
      </c>
    </row>
    <row r="13" spans="1:7" x14ac:dyDescent="0.2">
      <c r="A13" t="s">
        <v>332</v>
      </c>
      <c r="C13">
        <v>3</v>
      </c>
    </row>
    <row r="14" spans="1:7" x14ac:dyDescent="0.2">
      <c r="A14" s="203"/>
      <c r="B14" s="203"/>
      <c r="C14" s="203"/>
    </row>
    <row r="15" spans="1:7" ht="15.75" x14ac:dyDescent="0.25">
      <c r="A15" s="201" t="s">
        <v>263</v>
      </c>
      <c r="B15" s="201"/>
      <c r="C15" s="201">
        <f>SUM(C16:C18)</f>
        <v>417</v>
      </c>
    </row>
    <row r="16" spans="1:7" x14ac:dyDescent="0.2">
      <c r="A16" t="s">
        <v>333</v>
      </c>
      <c r="B16">
        <v>4.2</v>
      </c>
      <c r="C16">
        <f>MROUND((G4+180)/100*B16,1)</f>
        <v>62</v>
      </c>
    </row>
    <row r="17" spans="1:3" x14ac:dyDescent="0.2">
      <c r="A17" t="s">
        <v>334</v>
      </c>
      <c r="B17">
        <v>4.8</v>
      </c>
      <c r="C17">
        <f>MROUND(G2/100*B17,1)</f>
        <v>43</v>
      </c>
    </row>
    <row r="18" spans="1:3" x14ac:dyDescent="0.2">
      <c r="A18" t="s">
        <v>335</v>
      </c>
      <c r="B18">
        <v>0.75</v>
      </c>
      <c r="C18">
        <f>MROUND(G4/100*G10*B18,1)</f>
        <v>312</v>
      </c>
    </row>
    <row r="20" spans="1:3" ht="15.75" x14ac:dyDescent="0.25">
      <c r="A20" s="201" t="s">
        <v>270</v>
      </c>
      <c r="B20" s="201"/>
      <c r="C20" s="201">
        <f>SUM(C21:C25)</f>
        <v>193</v>
      </c>
    </row>
    <row r="21" spans="1:3" x14ac:dyDescent="0.2">
      <c r="A21" t="s">
        <v>336</v>
      </c>
      <c r="C21">
        <f>IF(G1&gt;1000,34,90)</f>
        <v>90</v>
      </c>
    </row>
    <row r="22" spans="1:3" x14ac:dyDescent="0.2">
      <c r="A22" t="s">
        <v>337</v>
      </c>
      <c r="B22">
        <v>1.1000000000000001</v>
      </c>
      <c r="C22">
        <f>MROUND((G2-150)/100*B22,1)</f>
        <v>8</v>
      </c>
    </row>
    <row r="23" spans="1:3" x14ac:dyDescent="0.2">
      <c r="A23" t="s">
        <v>338</v>
      </c>
      <c r="B23">
        <v>6.7</v>
      </c>
      <c r="C23">
        <f>MROUND((G2-150)/100*B23,1)</f>
        <v>50</v>
      </c>
    </row>
    <row r="24" spans="1:3" x14ac:dyDescent="0.2">
      <c r="A24" t="s">
        <v>339</v>
      </c>
      <c r="B24">
        <v>1.1000000000000001</v>
      </c>
      <c r="C24">
        <f>MROUND(G11*B24,1)</f>
        <v>36</v>
      </c>
    </row>
    <row r="25" spans="1:3" x14ac:dyDescent="0.2">
      <c r="A25" t="s">
        <v>340</v>
      </c>
      <c r="B25">
        <v>1.2</v>
      </c>
      <c r="C25">
        <f>MROUND((G2-150)/100*B25,1)</f>
        <v>9</v>
      </c>
    </row>
    <row r="27" spans="1:3" ht="15.75" x14ac:dyDescent="0.25">
      <c r="A27" s="201" t="s">
        <v>341</v>
      </c>
      <c r="B27" s="201"/>
      <c r="C27" s="201">
        <f>SUM(C28:C29)</f>
        <v>48</v>
      </c>
    </row>
    <row r="28" spans="1:3" x14ac:dyDescent="0.2">
      <c r="A28" t="s">
        <v>342</v>
      </c>
      <c r="C28">
        <v>30</v>
      </c>
    </row>
    <row r="29" spans="1:3" x14ac:dyDescent="0.2">
      <c r="A29" t="s">
        <v>341</v>
      </c>
      <c r="B29">
        <v>2.4</v>
      </c>
      <c r="C29">
        <f>MROUND((G2-150)/100*B29,1)</f>
        <v>18</v>
      </c>
    </row>
    <row r="31" spans="1:3" ht="15.75" x14ac:dyDescent="0.25">
      <c r="A31" s="201" t="s">
        <v>343</v>
      </c>
      <c r="B31" s="201"/>
      <c r="C31" s="201">
        <f>SUM(C32:C33)</f>
        <v>9</v>
      </c>
    </row>
    <row r="32" spans="1:3" x14ac:dyDescent="0.2">
      <c r="A32" t="s">
        <v>68</v>
      </c>
      <c r="C32">
        <v>9</v>
      </c>
    </row>
    <row r="33" spans="1:3" ht="15.75" x14ac:dyDescent="0.25">
      <c r="A33" s="204"/>
      <c r="B33" s="204"/>
      <c r="C33" s="204"/>
    </row>
    <row r="34" spans="1:3" ht="15.75" x14ac:dyDescent="0.25">
      <c r="A34" s="201" t="s">
        <v>344</v>
      </c>
      <c r="B34" s="201"/>
      <c r="C34" s="201">
        <f>C2+C15+C20+C27</f>
        <v>1416</v>
      </c>
    </row>
    <row r="36" spans="1:3" ht="15.75" x14ac:dyDescent="0.25">
      <c r="A36" s="201" t="s">
        <v>345</v>
      </c>
      <c r="B36" s="201"/>
      <c r="C36" s="201">
        <f>MROUND(C34+50,10)</f>
        <v>1470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57"/>
  <sheetViews>
    <sheetView tabSelected="1" zoomScaleNormal="100" workbookViewId="0">
      <selection activeCell="H8" sqref="H8"/>
    </sheetView>
  </sheetViews>
  <sheetFormatPr defaultRowHeight="12.75" x14ac:dyDescent="0.2"/>
  <cols>
    <col min="1" max="1" width="31.140625" customWidth="1"/>
    <col min="2" max="2" width="11.85546875" customWidth="1"/>
    <col min="3" max="3" width="12.42578125" customWidth="1"/>
    <col min="4" max="4" width="12.7109375" customWidth="1"/>
    <col min="5" max="5" width="13.5703125" customWidth="1"/>
    <col min="6" max="6" width="2.5703125" customWidth="1"/>
    <col min="7" max="7" width="9.140625" customWidth="1"/>
    <col min="8" max="8" width="12.42578125" customWidth="1"/>
    <col min="9" max="9" width="52.85546875" customWidth="1"/>
    <col min="10" max="10" width="15.85546875" customWidth="1"/>
    <col min="11" max="11" width="14.28515625" customWidth="1"/>
    <col min="12" max="12" width="17" customWidth="1"/>
    <col min="13" max="26" width="9.140625" customWidth="1"/>
  </cols>
  <sheetData>
    <row r="1" spans="1:254" s="49" customFormat="1" ht="16.5" customHeight="1" x14ac:dyDescent="0.35">
      <c r="A1" s="47" t="s">
        <v>75</v>
      </c>
      <c r="B1" s="47"/>
      <c r="C1" s="52"/>
      <c r="D1" s="52"/>
      <c r="E1" s="47"/>
      <c r="F1" s="47"/>
      <c r="G1" s="47"/>
      <c r="H1" s="47"/>
      <c r="I1" s="47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  <c r="BN1" s="266"/>
      <c r="BO1" s="266"/>
      <c r="BP1" s="266"/>
      <c r="BQ1" s="266"/>
      <c r="BR1" s="266"/>
      <c r="BS1" s="266"/>
      <c r="BT1" s="266"/>
      <c r="BU1" s="266"/>
      <c r="BV1" s="266"/>
      <c r="BW1" s="266"/>
      <c r="BX1" s="266"/>
      <c r="BY1" s="266"/>
      <c r="BZ1" s="266"/>
      <c r="CA1" s="266"/>
      <c r="CB1" s="266"/>
      <c r="CC1" s="266"/>
      <c r="CD1" s="266"/>
      <c r="CE1" s="266"/>
      <c r="CF1" s="266"/>
      <c r="CG1" s="266"/>
      <c r="CH1" s="266"/>
      <c r="CI1" s="266"/>
      <c r="CJ1" s="266"/>
      <c r="CK1" s="266"/>
      <c r="CL1" s="266"/>
      <c r="CM1" s="266"/>
      <c r="CN1" s="266"/>
      <c r="CO1" s="266"/>
      <c r="CP1" s="266"/>
      <c r="CQ1" s="266"/>
      <c r="CR1" s="266"/>
      <c r="CS1" s="266"/>
      <c r="CT1" s="266"/>
      <c r="CU1" s="266"/>
      <c r="CV1" s="266"/>
      <c r="CW1" s="266"/>
      <c r="CX1" s="266"/>
      <c r="CY1" s="266"/>
      <c r="CZ1" s="266"/>
      <c r="DA1" s="266"/>
      <c r="DB1" s="266"/>
      <c r="DC1" s="266"/>
      <c r="DD1" s="266"/>
      <c r="DE1" s="266"/>
      <c r="DF1" s="266"/>
      <c r="DG1" s="266"/>
      <c r="DH1" s="266"/>
      <c r="DI1" s="266"/>
      <c r="DJ1" s="266"/>
      <c r="DK1" s="266"/>
      <c r="DL1" s="266"/>
      <c r="DM1" s="266"/>
      <c r="DN1" s="266"/>
      <c r="DO1" s="266"/>
      <c r="DP1" s="266"/>
      <c r="DQ1" s="266"/>
      <c r="DR1" s="266"/>
      <c r="DS1" s="266"/>
      <c r="DT1" s="266"/>
      <c r="DU1" s="266"/>
      <c r="DV1" s="266"/>
      <c r="DW1" s="266"/>
      <c r="DX1" s="266"/>
      <c r="DY1" s="266"/>
      <c r="DZ1" s="266"/>
      <c r="EA1" s="266"/>
      <c r="EB1" s="266"/>
      <c r="EC1" s="266"/>
      <c r="ED1" s="266"/>
      <c r="EE1" s="266"/>
      <c r="EF1" s="266"/>
      <c r="EG1" s="266"/>
      <c r="EH1" s="266"/>
      <c r="EI1" s="266"/>
      <c r="EJ1" s="266"/>
      <c r="EK1" s="266"/>
      <c r="EL1" s="266"/>
      <c r="EM1" s="266"/>
      <c r="EN1" s="266"/>
      <c r="EO1" s="266"/>
      <c r="EP1" s="266"/>
      <c r="EQ1" s="266"/>
      <c r="ER1" s="266"/>
      <c r="ES1" s="266"/>
      <c r="ET1" s="266"/>
      <c r="EU1" s="266"/>
      <c r="EV1" s="266"/>
      <c r="EW1" s="266"/>
      <c r="EX1" s="266"/>
      <c r="EY1" s="266"/>
      <c r="EZ1" s="266"/>
      <c r="FA1" s="266"/>
      <c r="FB1" s="266"/>
      <c r="FC1" s="266"/>
      <c r="FD1" s="266"/>
      <c r="FE1" s="266"/>
      <c r="FF1" s="266"/>
      <c r="FG1" s="266"/>
      <c r="FH1" s="266"/>
      <c r="FI1" s="266"/>
      <c r="FJ1" s="266"/>
      <c r="FK1" s="266"/>
      <c r="FL1" s="266"/>
      <c r="FM1" s="266"/>
      <c r="FN1" s="266"/>
      <c r="FO1" s="266"/>
      <c r="FP1" s="266"/>
      <c r="FQ1" s="266"/>
      <c r="FR1" s="266"/>
      <c r="FS1" s="266"/>
      <c r="FT1" s="266"/>
      <c r="FU1" s="266"/>
      <c r="FV1" s="266"/>
      <c r="FW1" s="266"/>
      <c r="FX1" s="266"/>
      <c r="FY1" s="266"/>
      <c r="FZ1" s="266"/>
      <c r="GA1" s="266"/>
      <c r="GB1" s="266"/>
      <c r="GC1" s="266"/>
      <c r="GD1" s="266"/>
      <c r="GE1" s="266"/>
      <c r="GF1" s="266"/>
      <c r="GG1" s="266"/>
      <c r="GH1" s="266"/>
      <c r="GI1" s="266"/>
      <c r="GJ1" s="266"/>
      <c r="GK1" s="266"/>
      <c r="GL1" s="266"/>
      <c r="GM1" s="266"/>
      <c r="GN1" s="266"/>
      <c r="GO1" s="266"/>
      <c r="GP1" s="266"/>
      <c r="GQ1" s="266"/>
      <c r="GR1" s="266"/>
      <c r="GS1" s="266"/>
      <c r="GT1" s="266"/>
      <c r="GU1" s="266"/>
      <c r="GV1" s="266"/>
      <c r="GW1" s="266"/>
      <c r="GX1" s="266"/>
      <c r="GY1" s="266"/>
      <c r="GZ1" s="266"/>
      <c r="HA1" s="266"/>
      <c r="HB1" s="266"/>
      <c r="HC1" s="266"/>
      <c r="HD1" s="266"/>
      <c r="HE1" s="266"/>
      <c r="HF1" s="266"/>
      <c r="HG1" s="266"/>
      <c r="HH1" s="266"/>
      <c r="HI1" s="266"/>
      <c r="HJ1" s="266"/>
      <c r="HK1" s="266"/>
      <c r="HL1" s="266"/>
      <c r="HM1" s="266"/>
      <c r="HN1" s="266"/>
      <c r="HO1" s="266"/>
      <c r="HP1" s="266"/>
      <c r="HQ1" s="266"/>
      <c r="HR1" s="266"/>
      <c r="HS1" s="266"/>
      <c r="HT1" s="266"/>
      <c r="HU1" s="266"/>
      <c r="HV1" s="266"/>
      <c r="HW1" s="266"/>
      <c r="HX1" s="266"/>
      <c r="HY1" s="266"/>
      <c r="HZ1" s="266"/>
      <c r="IA1" s="266"/>
      <c r="IB1" s="266"/>
      <c r="IC1" s="266"/>
      <c r="ID1" s="266"/>
      <c r="IE1" s="266"/>
      <c r="IF1" s="266"/>
      <c r="IG1" s="266"/>
      <c r="IH1" s="266"/>
      <c r="II1" s="266"/>
      <c r="IJ1" s="266"/>
      <c r="IK1" s="266"/>
      <c r="IL1" s="266"/>
      <c r="IM1" s="266"/>
      <c r="IN1" s="266"/>
      <c r="IO1" s="266"/>
      <c r="IP1" s="266"/>
      <c r="IQ1" s="266"/>
      <c r="IR1" s="266"/>
      <c r="IS1" s="266"/>
      <c r="IT1" s="266"/>
    </row>
    <row r="2" spans="1:254" ht="13.5" thickBot="1" x14ac:dyDescent="0.25">
      <c r="A2" s="30" t="s">
        <v>7</v>
      </c>
      <c r="B2" s="87" t="s">
        <v>402</v>
      </c>
      <c r="C2" s="88"/>
      <c r="D2" s="89"/>
      <c r="E2" s="29"/>
      <c r="F2" s="29"/>
      <c r="G2" s="29"/>
      <c r="H2" s="29"/>
      <c r="I2" s="29" t="str">
        <f>CONCATENATE(IF(B6="-","",B6),IF(OR(B7="-",AND(B6="-",B7="-")),""," "),IF(B7="-","",B7),IF(AND(B6="-",B7="-"),"("," ("),B9,") ",TEXT(B2,"ДД.ММ.ГГ"))</f>
        <v>0 0 (8659) 23.02.22</v>
      </c>
      <c r="J2" t="s">
        <v>102</v>
      </c>
    </row>
    <row r="3" spans="1:254" ht="12.75" customHeight="1" x14ac:dyDescent="0.2">
      <c r="A3" s="30" t="s">
        <v>74</v>
      </c>
      <c r="B3" s="90">
        <v>95</v>
      </c>
      <c r="C3" s="88"/>
      <c r="D3" s="89"/>
      <c r="E3" s="29"/>
      <c r="F3" s="29"/>
      <c r="G3" s="29"/>
      <c r="H3" s="29"/>
      <c r="I3" s="29" t="str">
        <f>CONCATENATE(B9," ",IF(B6="-","",B6),IF(B6="-",""," "),IF(B7="-","",B7),IF(B7="-",""," "),TEXT(B2,"ДД.ММ.ГГ"))</f>
        <v>8659 0 0 23.02.22</v>
      </c>
      <c r="J3" s="283"/>
      <c r="K3" s="284"/>
      <c r="L3" s="285"/>
    </row>
    <row r="4" spans="1:254" x14ac:dyDescent="0.2">
      <c r="A4" s="30" t="s">
        <v>18</v>
      </c>
      <c r="B4" s="194" t="s">
        <v>403</v>
      </c>
      <c r="C4" s="88"/>
      <c r="D4" s="89"/>
      <c r="E4" s="29"/>
      <c r="F4" s="29"/>
      <c r="G4" s="29"/>
      <c r="H4" s="29"/>
      <c r="I4" s="29" t="str">
        <f>CONCATENATE(A16," ",B16,".",C16,".",D16,".",E16)</f>
        <v>РВГО 1000.1400.1200.16</v>
      </c>
      <c r="J4" s="286"/>
      <c r="K4" s="287"/>
      <c r="L4" s="288"/>
    </row>
    <row r="5" spans="1:254" x14ac:dyDescent="0.2">
      <c r="A5" s="30" t="s">
        <v>65</v>
      </c>
      <c r="B5" s="194" t="s">
        <v>404</v>
      </c>
      <c r="C5" s="88"/>
      <c r="D5" s="89"/>
      <c r="E5" s="29"/>
      <c r="F5" s="29"/>
      <c r="G5" s="29"/>
      <c r="H5" s="29"/>
      <c r="I5" s="29" t="str">
        <f ca="1">CONCATENATE(I4," (",D22,"; ",Спецификация!C13," кВт.; IP ",D23,IF(D24="Нет","; без ШУ)","; с ШУ и ВПУ)"))</f>
        <v>РВГО 1000.1400.1200.16 (AISI 304; 0,55 кВт.; IP 68; с ШУ и ВПУ)</v>
      </c>
      <c r="J5" s="286"/>
      <c r="K5" s="287"/>
      <c r="L5" s="288"/>
    </row>
    <row r="6" spans="1:254" x14ac:dyDescent="0.2">
      <c r="A6" s="30" t="s">
        <v>19</v>
      </c>
      <c r="B6" s="194">
        <v>0</v>
      </c>
      <c r="C6" s="88"/>
      <c r="D6" s="89"/>
      <c r="E6" s="29"/>
      <c r="F6" s="29"/>
      <c r="G6" s="29"/>
      <c r="H6" s="29"/>
      <c r="I6" s="29"/>
      <c r="J6" s="286"/>
      <c r="K6" s="287"/>
      <c r="L6" s="288"/>
    </row>
    <row r="7" spans="1:254" ht="12.75" customHeight="1" x14ac:dyDescent="0.2">
      <c r="A7" s="30" t="s">
        <v>20</v>
      </c>
      <c r="B7" s="194">
        <v>0</v>
      </c>
      <c r="C7" s="88"/>
      <c r="D7" s="89"/>
      <c r="E7" s="29"/>
      <c r="F7" s="29"/>
      <c r="G7" s="29"/>
      <c r="H7" s="29"/>
      <c r="I7" s="29"/>
      <c r="J7" s="286"/>
      <c r="K7" s="287"/>
      <c r="L7" s="288"/>
    </row>
    <row r="8" spans="1:254" ht="12.75" customHeight="1" thickBot="1" x14ac:dyDescent="0.25">
      <c r="A8" s="30" t="s">
        <v>100</v>
      </c>
      <c r="B8" s="194">
        <v>0</v>
      </c>
      <c r="C8" s="88"/>
      <c r="D8" s="89"/>
      <c r="E8" s="29"/>
      <c r="F8" s="29"/>
      <c r="G8" s="29"/>
      <c r="H8" s="29"/>
      <c r="I8" s="29"/>
      <c r="J8" s="289"/>
      <c r="K8" s="290"/>
      <c r="L8" s="291"/>
    </row>
    <row r="9" spans="1:254" x14ac:dyDescent="0.2">
      <c r="A9" s="29" t="s">
        <v>67</v>
      </c>
      <c r="B9" s="196">
        <v>8659</v>
      </c>
      <c r="C9" s="88"/>
      <c r="D9" s="89"/>
      <c r="E9" s="29"/>
      <c r="F9" s="29"/>
      <c r="G9" s="29"/>
      <c r="H9" s="29"/>
      <c r="I9" s="29"/>
    </row>
    <row r="10" spans="1:254" x14ac:dyDescent="0.2">
      <c r="A10" s="30" t="s">
        <v>73</v>
      </c>
      <c r="B10" s="194" t="s">
        <v>405</v>
      </c>
      <c r="C10" s="88"/>
      <c r="D10" s="89"/>
      <c r="E10" s="29"/>
      <c r="F10" s="29"/>
      <c r="G10" s="29"/>
      <c r="H10" s="29"/>
      <c r="I10" s="29"/>
    </row>
    <row r="11" spans="1:254" x14ac:dyDescent="0.2">
      <c r="A11" s="30" t="s">
        <v>401</v>
      </c>
      <c r="B11" s="194" t="s">
        <v>406</v>
      </c>
      <c r="C11" s="88"/>
      <c r="D11" s="89"/>
      <c r="E11" s="29"/>
      <c r="F11" s="29"/>
      <c r="G11" s="29"/>
      <c r="H11" s="29"/>
      <c r="I11" s="29"/>
    </row>
    <row r="12" spans="1:254" x14ac:dyDescent="0.2">
      <c r="A12" s="29"/>
      <c r="B12" s="29"/>
      <c r="C12" s="29"/>
      <c r="D12" s="29"/>
      <c r="E12" s="29"/>
      <c r="F12" s="29"/>
      <c r="G12" s="29"/>
      <c r="H12" s="29"/>
      <c r="I12" s="29"/>
    </row>
    <row r="13" spans="1:254" s="49" customFormat="1" ht="16.5" customHeight="1" x14ac:dyDescent="0.35">
      <c r="A13" s="47" t="s">
        <v>97</v>
      </c>
      <c r="B13" s="47"/>
      <c r="C13" s="48"/>
      <c r="D13" s="48"/>
      <c r="E13" s="47"/>
      <c r="F13" s="47"/>
      <c r="G13" s="47"/>
      <c r="H13" s="47"/>
      <c r="I13" s="47"/>
      <c r="J13" s="266"/>
      <c r="K13" s="266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6"/>
      <c r="AF13" s="266"/>
      <c r="AG13" s="266"/>
      <c r="AH13" s="266"/>
      <c r="AI13" s="266"/>
      <c r="AJ13" s="266"/>
      <c r="AK13" s="266"/>
      <c r="AL13" s="266"/>
      <c r="AM13" s="266"/>
      <c r="AN13" s="266"/>
      <c r="AO13" s="266"/>
      <c r="AP13" s="266"/>
      <c r="AQ13" s="266"/>
      <c r="AR13" s="266"/>
      <c r="AS13" s="266"/>
      <c r="AT13" s="266"/>
      <c r="AU13" s="266"/>
      <c r="AV13" s="266"/>
      <c r="AW13" s="266"/>
      <c r="AX13" s="266"/>
      <c r="AY13" s="266"/>
      <c r="AZ13" s="266"/>
      <c r="BA13" s="266"/>
      <c r="BB13" s="266"/>
      <c r="BC13" s="266"/>
      <c r="BD13" s="266"/>
      <c r="BE13" s="266"/>
      <c r="BF13" s="266"/>
      <c r="BG13" s="266"/>
      <c r="BH13" s="266"/>
      <c r="BI13" s="266"/>
      <c r="BJ13" s="266"/>
      <c r="BK13" s="266"/>
      <c r="BL13" s="266"/>
      <c r="BM13" s="266"/>
      <c r="BN13" s="266"/>
      <c r="BO13" s="266"/>
      <c r="BP13" s="266"/>
      <c r="BQ13" s="266"/>
      <c r="BR13" s="266"/>
      <c r="BS13" s="266"/>
      <c r="BT13" s="266"/>
      <c r="BU13" s="266"/>
      <c r="BV13" s="266"/>
      <c r="BW13" s="266"/>
      <c r="BX13" s="266"/>
      <c r="BY13" s="266"/>
      <c r="BZ13" s="266"/>
      <c r="CA13" s="266"/>
      <c r="CB13" s="266"/>
      <c r="CC13" s="266"/>
      <c r="CD13" s="266"/>
      <c r="CE13" s="266"/>
      <c r="CF13" s="266"/>
      <c r="CG13" s="266"/>
      <c r="CH13" s="266"/>
      <c r="CI13" s="266"/>
      <c r="CJ13" s="266"/>
      <c r="CK13" s="266"/>
      <c r="CL13" s="266"/>
      <c r="CM13" s="266"/>
      <c r="CN13" s="266"/>
      <c r="CO13" s="266"/>
      <c r="CP13" s="266"/>
      <c r="CQ13" s="266"/>
      <c r="CR13" s="266"/>
      <c r="CS13" s="266"/>
      <c r="CT13" s="266"/>
      <c r="CU13" s="266"/>
      <c r="CV13" s="266"/>
      <c r="CW13" s="266"/>
      <c r="CX13" s="266"/>
      <c r="CY13" s="266"/>
      <c r="CZ13" s="266"/>
      <c r="DA13" s="266"/>
      <c r="DB13" s="266"/>
      <c r="DC13" s="266"/>
      <c r="DD13" s="266"/>
      <c r="DE13" s="266"/>
      <c r="DF13" s="266"/>
      <c r="DG13" s="266"/>
      <c r="DH13" s="266"/>
      <c r="DI13" s="266"/>
      <c r="DJ13" s="266"/>
      <c r="DK13" s="266"/>
      <c r="DL13" s="266"/>
      <c r="DM13" s="266"/>
      <c r="DN13" s="266"/>
      <c r="DO13" s="266"/>
      <c r="DP13" s="266"/>
      <c r="DQ13" s="266"/>
      <c r="DR13" s="266"/>
      <c r="DS13" s="266"/>
      <c r="DT13" s="266"/>
      <c r="DU13" s="266"/>
      <c r="DV13" s="266"/>
      <c r="DW13" s="266"/>
      <c r="DX13" s="266"/>
      <c r="DY13" s="266"/>
      <c r="DZ13" s="266"/>
      <c r="EA13" s="266"/>
      <c r="EB13" s="266"/>
      <c r="EC13" s="266"/>
      <c r="ED13" s="266"/>
      <c r="EE13" s="266"/>
      <c r="EF13" s="266"/>
      <c r="EG13" s="266"/>
      <c r="EH13" s="266"/>
      <c r="EI13" s="266"/>
      <c r="EJ13" s="266"/>
      <c r="EK13" s="266"/>
      <c r="EL13" s="266"/>
      <c r="EM13" s="266"/>
      <c r="EN13" s="266"/>
      <c r="EO13" s="266"/>
      <c r="EP13" s="266"/>
      <c r="EQ13" s="266"/>
      <c r="ER13" s="266"/>
      <c r="ES13" s="266"/>
      <c r="ET13" s="266"/>
      <c r="EU13" s="266"/>
      <c r="EV13" s="266"/>
      <c r="EW13" s="266"/>
      <c r="EX13" s="266"/>
      <c r="EY13" s="266"/>
      <c r="EZ13" s="266"/>
      <c r="FA13" s="266"/>
      <c r="FB13" s="266"/>
      <c r="FC13" s="266"/>
      <c r="FD13" s="266"/>
      <c r="FE13" s="266"/>
      <c r="FF13" s="266"/>
      <c r="FG13" s="266"/>
      <c r="FH13" s="266"/>
      <c r="FI13" s="266"/>
      <c r="FJ13" s="266"/>
      <c r="FK13" s="266"/>
      <c r="FL13" s="266"/>
      <c r="FM13" s="266"/>
      <c r="FN13" s="266"/>
      <c r="FO13" s="266"/>
      <c r="FP13" s="266"/>
      <c r="FQ13" s="266"/>
      <c r="FR13" s="266"/>
      <c r="FS13" s="266"/>
      <c r="FT13" s="266"/>
      <c r="FU13" s="266"/>
      <c r="FV13" s="266"/>
      <c r="FW13" s="266"/>
      <c r="FX13" s="266"/>
      <c r="FY13" s="266"/>
      <c r="FZ13" s="266"/>
      <c r="GA13" s="266"/>
      <c r="GB13" s="266"/>
      <c r="GC13" s="266"/>
      <c r="GD13" s="266"/>
      <c r="GE13" s="266"/>
      <c r="GF13" s="266"/>
      <c r="GG13" s="266"/>
      <c r="GH13" s="266"/>
      <c r="GI13" s="266"/>
      <c r="GJ13" s="266"/>
      <c r="GK13" s="266"/>
      <c r="GL13" s="266"/>
      <c r="GM13" s="266"/>
      <c r="GN13" s="266"/>
      <c r="GO13" s="266"/>
      <c r="GP13" s="266"/>
      <c r="GQ13" s="266"/>
      <c r="GR13" s="266"/>
      <c r="GS13" s="266"/>
      <c r="GT13" s="266"/>
      <c r="GU13" s="266"/>
      <c r="GV13" s="266"/>
      <c r="GW13" s="266"/>
      <c r="GX13" s="266"/>
      <c r="GY13" s="266"/>
      <c r="GZ13" s="266"/>
      <c r="HA13" s="266"/>
      <c r="HB13" s="266"/>
      <c r="HC13" s="266"/>
      <c r="HD13" s="266"/>
      <c r="HE13" s="266"/>
      <c r="HF13" s="266"/>
      <c r="HG13" s="266"/>
      <c r="HH13" s="266"/>
      <c r="HI13" s="266"/>
      <c r="HJ13" s="266"/>
      <c r="HK13" s="266"/>
      <c r="HL13" s="266"/>
      <c r="HM13" s="266"/>
      <c r="HN13" s="266"/>
      <c r="HO13" s="266"/>
      <c r="HP13" s="266"/>
      <c r="HQ13" s="266"/>
      <c r="HR13" s="266"/>
      <c r="HS13" s="266"/>
      <c r="HT13" s="266"/>
      <c r="HU13" s="266"/>
      <c r="HV13" s="266"/>
      <c r="HW13" s="266"/>
      <c r="HX13" s="266"/>
      <c r="HY13" s="266"/>
      <c r="HZ13" s="266"/>
      <c r="IA13" s="266"/>
      <c r="IB13" s="266"/>
      <c r="IC13" s="266"/>
      <c r="ID13" s="266"/>
      <c r="IE13" s="266"/>
      <c r="IF13" s="266"/>
      <c r="IG13" s="266"/>
      <c r="IH13" s="266"/>
      <c r="II13" s="266"/>
      <c r="IJ13" s="266"/>
      <c r="IK13" s="266"/>
      <c r="IL13" s="266"/>
      <c r="IM13" s="266"/>
      <c r="IN13" s="266"/>
      <c r="IO13" s="266"/>
      <c r="IP13" s="266"/>
      <c r="IQ13" s="266"/>
      <c r="IR13" s="266"/>
      <c r="IS13" s="266"/>
      <c r="IT13" s="266"/>
    </row>
    <row r="15" spans="1:254" s="9" customFormat="1" ht="32.25" customHeight="1" thickBot="1" x14ac:dyDescent="0.25">
      <c r="A15" s="35" t="s">
        <v>6</v>
      </c>
      <c r="B15" s="35" t="s">
        <v>2</v>
      </c>
      <c r="C15" s="35" t="s">
        <v>3</v>
      </c>
      <c r="D15" s="51" t="s">
        <v>4</v>
      </c>
      <c r="E15" s="53" t="s">
        <v>13</v>
      </c>
      <c r="F15" s="8"/>
      <c r="G15" s="56"/>
      <c r="H15" s="53" t="s">
        <v>144</v>
      </c>
      <c r="I15" s="8"/>
      <c r="J15" s="8"/>
      <c r="K15" s="8"/>
      <c r="L15" s="8"/>
      <c r="M15" s="8"/>
      <c r="N15" s="8"/>
      <c r="O15" s="8"/>
      <c r="P15" s="8"/>
    </row>
    <row r="16" spans="1:254" ht="13.5" customHeight="1" thickBot="1" x14ac:dyDescent="0.25">
      <c r="A16" s="10" t="s">
        <v>143</v>
      </c>
      <c r="B16" s="36">
        <v>1000</v>
      </c>
      <c r="C16" s="36">
        <v>1400</v>
      </c>
      <c r="D16" s="37">
        <v>1200</v>
      </c>
      <c r="E16" s="36">
        <v>16</v>
      </c>
      <c r="F16" s="1"/>
      <c r="H16" s="36">
        <v>1300</v>
      </c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8"/>
      <c r="B17" s="8"/>
      <c r="C17" s="8"/>
      <c r="D17" s="8"/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278" t="s">
        <v>17</v>
      </c>
      <c r="B18" s="269" t="s">
        <v>77</v>
      </c>
      <c r="C18" s="280"/>
      <c r="D18" s="58">
        <f>Вес!C34</f>
        <v>1416</v>
      </c>
      <c r="E18" s="38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254" ht="12" customHeight="1" thickBot="1" x14ac:dyDescent="0.25">
      <c r="A19" s="279"/>
      <c r="B19" s="281" t="s">
        <v>78</v>
      </c>
      <c r="C19" s="282"/>
      <c r="D19" s="55">
        <f>Вес!C36</f>
        <v>1470</v>
      </c>
      <c r="E19" s="38"/>
      <c r="F19" s="6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278" t="s">
        <v>14</v>
      </c>
      <c r="B20" s="269" t="s">
        <v>15</v>
      </c>
      <c r="C20" s="280"/>
      <c r="D20" s="57">
        <f>C16+D16+1700+IF(C16&gt;1000,400,0)</f>
        <v>4700</v>
      </c>
      <c r="E20" s="38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254" ht="12" customHeight="1" thickBot="1" x14ac:dyDescent="0.25">
      <c r="A21" s="279"/>
      <c r="B21" s="281" t="s">
        <v>16</v>
      </c>
      <c r="C21" s="282"/>
      <c r="D21" s="62">
        <f>H16</f>
        <v>1300</v>
      </c>
      <c r="E21" s="38"/>
      <c r="F21" s="6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254" ht="12" customHeight="1" x14ac:dyDescent="0.2">
      <c r="A22" s="273" t="s">
        <v>85</v>
      </c>
      <c r="B22" s="269" t="s">
        <v>86</v>
      </c>
      <c r="C22" s="270"/>
      <c r="D22" s="210" t="s">
        <v>8</v>
      </c>
      <c r="E22" s="38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254" ht="12" customHeight="1" x14ac:dyDescent="0.2">
      <c r="A23" s="274"/>
      <c r="B23" s="271" t="s">
        <v>87</v>
      </c>
      <c r="C23" s="272"/>
      <c r="D23" s="211">
        <v>68</v>
      </c>
      <c r="E23" s="38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254" ht="12" customHeight="1" x14ac:dyDescent="0.2">
      <c r="A24" s="274"/>
      <c r="B24" s="271" t="s">
        <v>70</v>
      </c>
      <c r="C24" s="272"/>
      <c r="D24" s="211" t="s">
        <v>368</v>
      </c>
      <c r="E24" s="38"/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54" ht="12" customHeight="1" thickBot="1" x14ac:dyDescent="0.25">
      <c r="A25" s="275"/>
      <c r="B25" s="276" t="s">
        <v>354</v>
      </c>
      <c r="C25" s="277"/>
      <c r="D25" s="212" t="s">
        <v>407</v>
      </c>
      <c r="E25" s="38"/>
      <c r="F25" s="6"/>
      <c r="G25" s="1"/>
      <c r="H25" s="1"/>
      <c r="I25" s="1"/>
      <c r="J25" s="1"/>
      <c r="K25" s="1"/>
      <c r="L25" s="1"/>
      <c r="M25" s="1"/>
      <c r="N25" s="1"/>
      <c r="O25" s="1"/>
      <c r="P25" s="1"/>
    </row>
    <row r="27" spans="1:254" x14ac:dyDescent="0.2">
      <c r="A27" s="29"/>
      <c r="B27" s="29"/>
      <c r="C27" s="61" t="s">
        <v>93</v>
      </c>
      <c r="D27" s="61" t="s">
        <v>94</v>
      </c>
      <c r="E27" s="29"/>
      <c r="F27" s="29"/>
      <c r="G27" s="29"/>
      <c r="H27" s="29"/>
      <c r="I27" s="29"/>
    </row>
    <row r="28" spans="1:254" s="41" customFormat="1" ht="16.5" customHeight="1" x14ac:dyDescent="0.35">
      <c r="A28" s="40" t="s">
        <v>79</v>
      </c>
      <c r="B28" s="40"/>
      <c r="E28" s="40"/>
      <c r="F28" s="40"/>
      <c r="G28" s="40"/>
      <c r="H28" s="40"/>
      <c r="I28" s="40"/>
      <c r="J28" s="268"/>
      <c r="K28" s="268"/>
      <c r="L28" s="268"/>
      <c r="M28" s="268"/>
      <c r="N28" s="268"/>
      <c r="O28" s="268"/>
      <c r="P28" s="268"/>
      <c r="Q28" s="268"/>
      <c r="R28" s="268"/>
      <c r="S28" s="268"/>
      <c r="T28" s="268"/>
      <c r="U28" s="268"/>
      <c r="V28" s="268"/>
      <c r="W28" s="268"/>
      <c r="X28" s="268"/>
      <c r="Y28" s="268"/>
      <c r="Z28" s="268"/>
      <c r="AA28" s="268"/>
      <c r="AB28" s="268"/>
      <c r="AC28" s="268"/>
      <c r="AD28" s="268"/>
      <c r="AE28" s="268"/>
      <c r="AF28" s="268"/>
      <c r="AG28" s="268"/>
      <c r="AH28" s="268"/>
      <c r="AI28" s="268"/>
      <c r="AJ28" s="268"/>
      <c r="AK28" s="268"/>
      <c r="AL28" s="268"/>
      <c r="AM28" s="268"/>
      <c r="AN28" s="268"/>
      <c r="AO28" s="268"/>
      <c r="AP28" s="268"/>
      <c r="AQ28" s="268"/>
      <c r="AR28" s="268"/>
      <c r="AS28" s="268"/>
      <c r="AT28" s="268"/>
      <c r="AU28" s="268"/>
      <c r="AV28" s="268"/>
      <c r="AW28" s="268"/>
      <c r="AX28" s="268"/>
      <c r="AY28" s="268"/>
      <c r="AZ28" s="268"/>
      <c r="BA28" s="268"/>
      <c r="BB28" s="268"/>
      <c r="BC28" s="268"/>
      <c r="BD28" s="268"/>
      <c r="BE28" s="268"/>
      <c r="BF28" s="268"/>
      <c r="BG28" s="268"/>
      <c r="BH28" s="268"/>
      <c r="BI28" s="268"/>
      <c r="BJ28" s="268"/>
      <c r="BK28" s="268"/>
      <c r="BL28" s="268"/>
      <c r="BM28" s="268"/>
      <c r="BN28" s="268"/>
      <c r="BO28" s="268"/>
      <c r="BP28" s="268"/>
      <c r="BQ28" s="268"/>
      <c r="BR28" s="268"/>
      <c r="BS28" s="268"/>
      <c r="BT28" s="268"/>
      <c r="BU28" s="268"/>
      <c r="BV28" s="268"/>
      <c r="BW28" s="268"/>
      <c r="BX28" s="268"/>
      <c r="BY28" s="268"/>
      <c r="BZ28" s="268"/>
      <c r="CA28" s="268"/>
      <c r="CB28" s="268"/>
      <c r="CC28" s="268"/>
      <c r="CD28" s="268"/>
      <c r="CE28" s="268"/>
      <c r="CF28" s="268"/>
      <c r="CG28" s="268"/>
      <c r="CH28" s="268"/>
      <c r="CI28" s="268"/>
      <c r="CJ28" s="268"/>
      <c r="CK28" s="268"/>
      <c r="CL28" s="268"/>
      <c r="CM28" s="268"/>
      <c r="CN28" s="268"/>
      <c r="CO28" s="268"/>
      <c r="CP28" s="268"/>
      <c r="CQ28" s="268"/>
      <c r="CR28" s="268"/>
      <c r="CS28" s="268"/>
      <c r="CT28" s="268"/>
      <c r="CU28" s="268"/>
      <c r="CV28" s="268"/>
      <c r="CW28" s="268"/>
      <c r="CX28" s="268"/>
      <c r="CY28" s="268"/>
      <c r="CZ28" s="268"/>
      <c r="DA28" s="268"/>
      <c r="DB28" s="268"/>
      <c r="DC28" s="268"/>
      <c r="DD28" s="268"/>
      <c r="DE28" s="268"/>
      <c r="DF28" s="268"/>
      <c r="DG28" s="268"/>
      <c r="DH28" s="268"/>
      <c r="DI28" s="268"/>
      <c r="DJ28" s="268"/>
      <c r="DK28" s="268"/>
      <c r="DL28" s="268"/>
      <c r="DM28" s="268"/>
      <c r="DN28" s="268"/>
      <c r="DO28" s="268"/>
      <c r="DP28" s="268"/>
      <c r="DQ28" s="268"/>
      <c r="DR28" s="268"/>
      <c r="DS28" s="268"/>
      <c r="DT28" s="268"/>
      <c r="DU28" s="268"/>
      <c r="DV28" s="268"/>
      <c r="DW28" s="268"/>
      <c r="DX28" s="268"/>
      <c r="DY28" s="268"/>
      <c r="DZ28" s="268"/>
      <c r="EA28" s="268"/>
      <c r="EB28" s="268"/>
      <c r="EC28" s="268"/>
      <c r="ED28" s="268"/>
      <c r="EE28" s="268"/>
      <c r="EF28" s="268"/>
      <c r="EG28" s="268"/>
      <c r="EH28" s="268"/>
      <c r="EI28" s="268"/>
      <c r="EJ28" s="268"/>
      <c r="EK28" s="268"/>
      <c r="EL28" s="268"/>
      <c r="EM28" s="268"/>
      <c r="EN28" s="268"/>
      <c r="EO28" s="268"/>
      <c r="EP28" s="268"/>
      <c r="EQ28" s="268"/>
      <c r="ER28" s="268"/>
      <c r="ES28" s="268"/>
      <c r="ET28" s="268"/>
      <c r="EU28" s="268"/>
      <c r="EV28" s="268"/>
      <c r="EW28" s="268"/>
      <c r="EX28" s="268"/>
      <c r="EY28" s="268"/>
      <c r="EZ28" s="268"/>
      <c r="FA28" s="268"/>
      <c r="FB28" s="268"/>
      <c r="FC28" s="268"/>
      <c r="FD28" s="268"/>
      <c r="FE28" s="268"/>
      <c r="FF28" s="268"/>
      <c r="FG28" s="268"/>
      <c r="FH28" s="268"/>
      <c r="FI28" s="268"/>
      <c r="FJ28" s="268"/>
      <c r="FK28" s="268"/>
      <c r="FL28" s="268"/>
      <c r="FM28" s="268"/>
      <c r="FN28" s="268"/>
      <c r="FO28" s="268"/>
      <c r="FP28" s="268"/>
      <c r="FQ28" s="268"/>
      <c r="FR28" s="268"/>
      <c r="FS28" s="268"/>
      <c r="FT28" s="268"/>
      <c r="FU28" s="268"/>
      <c r="FV28" s="268"/>
      <c r="FW28" s="268"/>
      <c r="FX28" s="268"/>
      <c r="FY28" s="268"/>
      <c r="FZ28" s="268"/>
      <c r="GA28" s="268"/>
      <c r="GB28" s="268"/>
      <c r="GC28" s="268"/>
      <c r="GD28" s="268"/>
      <c r="GE28" s="268"/>
      <c r="GF28" s="268"/>
      <c r="GG28" s="268"/>
      <c r="GH28" s="268"/>
      <c r="GI28" s="268"/>
      <c r="GJ28" s="268"/>
      <c r="GK28" s="268"/>
      <c r="GL28" s="268"/>
      <c r="GM28" s="268"/>
      <c r="GN28" s="268"/>
      <c r="GO28" s="268"/>
      <c r="GP28" s="268"/>
      <c r="GQ28" s="268"/>
      <c r="GR28" s="268"/>
      <c r="GS28" s="268"/>
      <c r="GT28" s="268"/>
      <c r="GU28" s="268"/>
      <c r="GV28" s="268"/>
      <c r="GW28" s="268"/>
      <c r="GX28" s="268"/>
      <c r="GY28" s="268"/>
      <c r="GZ28" s="268"/>
      <c r="HA28" s="268"/>
      <c r="HB28" s="268"/>
      <c r="HC28" s="268"/>
      <c r="HD28" s="268"/>
      <c r="HE28" s="268"/>
      <c r="HF28" s="268"/>
      <c r="HG28" s="268"/>
      <c r="HH28" s="268"/>
      <c r="HI28" s="268"/>
      <c r="HJ28" s="268"/>
      <c r="HK28" s="268"/>
      <c r="HL28" s="268"/>
      <c r="HM28" s="268"/>
      <c r="HN28" s="268"/>
      <c r="HO28" s="268"/>
      <c r="HP28" s="268"/>
      <c r="HQ28" s="268"/>
      <c r="HR28" s="268"/>
      <c r="HS28" s="268"/>
      <c r="HT28" s="268"/>
      <c r="HU28" s="268"/>
      <c r="HV28" s="268"/>
      <c r="HW28" s="268"/>
      <c r="HX28" s="268"/>
      <c r="HY28" s="268"/>
      <c r="HZ28" s="268"/>
      <c r="IA28" s="268"/>
      <c r="IB28" s="268"/>
      <c r="IC28" s="268"/>
      <c r="ID28" s="268"/>
      <c r="IE28" s="268"/>
      <c r="IF28" s="268"/>
      <c r="IG28" s="268"/>
      <c r="IH28" s="268"/>
      <c r="II28" s="268"/>
      <c r="IJ28" s="268"/>
      <c r="IK28" s="268"/>
      <c r="IL28" s="268"/>
      <c r="IM28" s="268"/>
      <c r="IN28" s="268"/>
      <c r="IO28" s="268"/>
      <c r="IP28" s="268"/>
      <c r="IQ28" s="268"/>
      <c r="IR28" s="268"/>
      <c r="IS28" s="268"/>
      <c r="IT28" s="268"/>
    </row>
    <row r="29" spans="1:254" s="44" customFormat="1" ht="16.5" customHeight="1" thickBot="1" x14ac:dyDescent="0.4">
      <c r="A29" s="42"/>
      <c r="B29" s="42"/>
      <c r="C29" s="60">
        <f ca="1">SUM(C31:C34)</f>
        <v>286261.02</v>
      </c>
      <c r="D29" s="42"/>
      <c r="E29" s="42"/>
      <c r="F29" s="42"/>
      <c r="G29" s="42"/>
      <c r="H29" s="42"/>
      <c r="I29" s="42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  <c r="GK29" s="43"/>
      <c r="GL29" s="43"/>
      <c r="GM29" s="43"/>
      <c r="GN29" s="43"/>
      <c r="GO29" s="43"/>
      <c r="GP29" s="43"/>
      <c r="GQ29" s="43"/>
      <c r="GR29" s="43"/>
      <c r="GS29" s="43"/>
      <c r="GT29" s="43"/>
      <c r="GU29" s="43"/>
      <c r="GV29" s="43"/>
      <c r="GW29" s="43"/>
      <c r="GX29" s="43"/>
      <c r="GY29" s="43"/>
      <c r="GZ29" s="43"/>
      <c r="HA29" s="43"/>
      <c r="HB29" s="43"/>
      <c r="HC29" s="43"/>
      <c r="HD29" s="43"/>
      <c r="HE29" s="43"/>
      <c r="HF29" s="43"/>
      <c r="HG29" s="43"/>
      <c r="HH29" s="43"/>
      <c r="HI29" s="43"/>
      <c r="HJ29" s="43"/>
      <c r="HK29" s="43"/>
      <c r="HL29" s="43"/>
      <c r="HM29" s="43"/>
      <c r="HN29" s="43"/>
      <c r="HO29" s="43"/>
      <c r="HP29" s="43"/>
      <c r="HQ29" s="43"/>
      <c r="HR29" s="43"/>
      <c r="HS29" s="43"/>
      <c r="HT29" s="43"/>
      <c r="HU29" s="43"/>
      <c r="HV29" s="43"/>
      <c r="HW29" s="43"/>
      <c r="HX29" s="43"/>
      <c r="HY29" s="43"/>
      <c r="HZ29" s="43"/>
      <c r="IA29" s="43"/>
      <c r="IB29" s="43"/>
      <c r="IC29" s="43"/>
      <c r="ID29" s="43"/>
      <c r="IE29" s="43"/>
      <c r="IF29" s="43"/>
      <c r="IG29" s="43"/>
      <c r="IH29" s="43"/>
      <c r="II29" s="43"/>
      <c r="IJ29" s="43"/>
      <c r="IK29" s="43"/>
      <c r="IL29" s="43"/>
      <c r="IM29" s="43"/>
      <c r="IN29" s="43"/>
      <c r="IO29" s="43"/>
      <c r="IP29" s="43"/>
      <c r="IQ29" s="43"/>
      <c r="IR29" s="43"/>
      <c r="IS29" s="43"/>
      <c r="IT29" s="43"/>
    </row>
    <row r="30" spans="1:254" ht="13.5" thickTop="1" x14ac:dyDescent="0.2"/>
    <row r="31" spans="1:254" x14ac:dyDescent="0.2">
      <c r="A31" s="9" t="s">
        <v>253</v>
      </c>
      <c r="B31" s="13" t="str">
        <f ca="1">CONCATENATE(ROUNDUP(C31/Параметры!B3,0)," н.ч.")</f>
        <v>243 н.ч.</v>
      </c>
      <c r="C31" s="54">
        <f ca="1">ФОТ!B2*ФОТ!F1</f>
        <v>75087</v>
      </c>
    </row>
    <row r="32" spans="1:254" x14ac:dyDescent="0.2">
      <c r="A32" s="9" t="s">
        <v>281</v>
      </c>
      <c r="B32" s="13" t="str">
        <f>CONCATENATE(ROUNDUP(C32/Параметры!B3,0)," н.ч.")</f>
        <v>36 н.ч.</v>
      </c>
      <c r="C32" s="54">
        <f>ФОТ!B3*ФОТ!F1</f>
        <v>11124</v>
      </c>
    </row>
    <row r="33" spans="1:254" x14ac:dyDescent="0.2">
      <c r="A33" s="9" t="s">
        <v>254</v>
      </c>
      <c r="B33" s="13" t="str">
        <f>CONCATENATE(ROUNDUP(C33/Параметры!B7,0)," н.ч.")</f>
        <v>45 н.ч.</v>
      </c>
      <c r="C33" s="54">
        <f>IF(AND(D24="Да",D25="Нет"),40*Параметры!B7,IF(D24="Нет",0,45*Параметры!B7))</f>
        <v>15300</v>
      </c>
    </row>
    <row r="34" spans="1:254" ht="25.5" x14ac:dyDescent="0.2">
      <c r="A34" s="9" t="s">
        <v>82</v>
      </c>
      <c r="B34" s="192">
        <v>1.82</v>
      </c>
      <c r="C34" s="54">
        <f ca="1">(C31+C32+C33)*B34</f>
        <v>184750.02000000002</v>
      </c>
    </row>
    <row r="35" spans="1:254" x14ac:dyDescent="0.2">
      <c r="A35" s="9"/>
      <c r="B35" s="11"/>
      <c r="C35" s="2"/>
      <c r="D35" s="2"/>
    </row>
    <row r="36" spans="1:254" s="46" customFormat="1" ht="16.5" customHeight="1" x14ac:dyDescent="0.35">
      <c r="A36" s="45" t="s">
        <v>80</v>
      </c>
      <c r="B36" s="45"/>
      <c r="E36" s="45"/>
      <c r="F36" s="45"/>
      <c r="G36" s="45"/>
      <c r="H36" s="45"/>
      <c r="I36" s="45"/>
      <c r="J36" s="267"/>
      <c r="K36" s="267"/>
      <c r="L36" s="267"/>
      <c r="M36" s="267"/>
      <c r="N36" s="267"/>
      <c r="O36" s="267"/>
      <c r="P36" s="267"/>
      <c r="Q36" s="267"/>
      <c r="R36" s="267"/>
      <c r="S36" s="267"/>
      <c r="T36" s="267"/>
      <c r="U36" s="267"/>
      <c r="V36" s="267"/>
      <c r="W36" s="267"/>
      <c r="X36" s="267"/>
      <c r="Y36" s="267"/>
      <c r="Z36" s="267"/>
      <c r="AA36" s="267"/>
      <c r="AB36" s="267"/>
      <c r="AC36" s="267"/>
      <c r="AD36" s="267"/>
      <c r="AE36" s="267"/>
      <c r="AF36" s="267"/>
      <c r="AG36" s="267"/>
      <c r="AH36" s="267"/>
      <c r="AI36" s="267"/>
      <c r="AJ36" s="267"/>
      <c r="AK36" s="267"/>
      <c r="AL36" s="267"/>
      <c r="AM36" s="267"/>
      <c r="AN36" s="267"/>
      <c r="AO36" s="267"/>
      <c r="AP36" s="267"/>
      <c r="AQ36" s="267"/>
      <c r="AR36" s="267"/>
      <c r="AS36" s="267"/>
      <c r="AT36" s="267"/>
      <c r="AU36" s="267"/>
      <c r="AV36" s="267"/>
      <c r="AW36" s="267"/>
      <c r="AX36" s="267"/>
      <c r="AY36" s="267"/>
      <c r="AZ36" s="267"/>
      <c r="BA36" s="267"/>
      <c r="BB36" s="267"/>
      <c r="BC36" s="267"/>
      <c r="BD36" s="267"/>
      <c r="BE36" s="267"/>
      <c r="BF36" s="267"/>
      <c r="BG36" s="267"/>
      <c r="BH36" s="267"/>
      <c r="BI36" s="267"/>
      <c r="BJ36" s="267"/>
      <c r="BK36" s="267"/>
      <c r="BL36" s="267"/>
      <c r="BM36" s="267"/>
      <c r="BN36" s="267"/>
      <c r="BO36" s="267"/>
      <c r="BP36" s="267"/>
      <c r="BQ36" s="267"/>
      <c r="BR36" s="267"/>
      <c r="BS36" s="267"/>
      <c r="BT36" s="267"/>
      <c r="BU36" s="267"/>
      <c r="BV36" s="267"/>
      <c r="BW36" s="267"/>
      <c r="BX36" s="267"/>
      <c r="BY36" s="267"/>
      <c r="BZ36" s="267"/>
      <c r="CA36" s="267"/>
      <c r="CB36" s="267"/>
      <c r="CC36" s="267"/>
      <c r="CD36" s="267"/>
      <c r="CE36" s="267"/>
      <c r="CF36" s="267"/>
      <c r="CG36" s="267"/>
      <c r="CH36" s="267"/>
      <c r="CI36" s="267"/>
      <c r="CJ36" s="267"/>
      <c r="CK36" s="267"/>
      <c r="CL36" s="267"/>
      <c r="CM36" s="267"/>
      <c r="CN36" s="267"/>
      <c r="CO36" s="267"/>
      <c r="CP36" s="267"/>
      <c r="CQ36" s="267"/>
      <c r="CR36" s="267"/>
      <c r="CS36" s="267"/>
      <c r="CT36" s="267"/>
      <c r="CU36" s="267"/>
      <c r="CV36" s="267"/>
      <c r="CW36" s="267"/>
      <c r="CX36" s="267"/>
      <c r="CY36" s="267"/>
      <c r="CZ36" s="267"/>
      <c r="DA36" s="267"/>
      <c r="DB36" s="267"/>
      <c r="DC36" s="267"/>
      <c r="DD36" s="267"/>
      <c r="DE36" s="267"/>
      <c r="DF36" s="267"/>
      <c r="DG36" s="267"/>
      <c r="DH36" s="267"/>
      <c r="DI36" s="267"/>
      <c r="DJ36" s="267"/>
      <c r="DK36" s="267"/>
      <c r="DL36" s="267"/>
      <c r="DM36" s="267"/>
      <c r="DN36" s="267"/>
      <c r="DO36" s="267"/>
      <c r="DP36" s="267"/>
      <c r="DQ36" s="267"/>
      <c r="DR36" s="267"/>
      <c r="DS36" s="267"/>
      <c r="DT36" s="267"/>
      <c r="DU36" s="267"/>
      <c r="DV36" s="267"/>
      <c r="DW36" s="267"/>
      <c r="DX36" s="267"/>
      <c r="DY36" s="267"/>
      <c r="DZ36" s="267"/>
      <c r="EA36" s="267"/>
      <c r="EB36" s="267"/>
      <c r="EC36" s="267"/>
      <c r="ED36" s="267"/>
      <c r="EE36" s="267"/>
      <c r="EF36" s="267"/>
      <c r="EG36" s="267"/>
      <c r="EH36" s="267"/>
      <c r="EI36" s="267"/>
      <c r="EJ36" s="267"/>
      <c r="EK36" s="267"/>
      <c r="EL36" s="267"/>
      <c r="EM36" s="267"/>
      <c r="EN36" s="267"/>
      <c r="EO36" s="267"/>
      <c r="EP36" s="267"/>
      <c r="EQ36" s="267"/>
      <c r="ER36" s="267"/>
      <c r="ES36" s="267"/>
      <c r="ET36" s="267"/>
      <c r="EU36" s="267"/>
      <c r="EV36" s="267"/>
      <c r="EW36" s="267"/>
      <c r="EX36" s="267"/>
      <c r="EY36" s="267"/>
      <c r="EZ36" s="267"/>
      <c r="FA36" s="267"/>
      <c r="FB36" s="267"/>
      <c r="FC36" s="267"/>
      <c r="FD36" s="267"/>
      <c r="FE36" s="267"/>
      <c r="FF36" s="267"/>
      <c r="FG36" s="267"/>
      <c r="FH36" s="267"/>
      <c r="FI36" s="267"/>
      <c r="FJ36" s="267"/>
      <c r="FK36" s="267"/>
      <c r="FL36" s="267"/>
      <c r="FM36" s="267"/>
      <c r="FN36" s="267"/>
      <c r="FO36" s="267"/>
      <c r="FP36" s="267"/>
      <c r="FQ36" s="267"/>
      <c r="FR36" s="267"/>
      <c r="FS36" s="267"/>
      <c r="FT36" s="267"/>
      <c r="FU36" s="267"/>
      <c r="FV36" s="267"/>
      <c r="FW36" s="267"/>
      <c r="FX36" s="267"/>
      <c r="FY36" s="267"/>
      <c r="FZ36" s="267"/>
      <c r="GA36" s="267"/>
      <c r="GB36" s="267"/>
      <c r="GC36" s="267"/>
      <c r="GD36" s="267"/>
      <c r="GE36" s="267"/>
      <c r="GF36" s="267"/>
      <c r="GG36" s="267"/>
      <c r="GH36" s="267"/>
      <c r="GI36" s="267"/>
      <c r="GJ36" s="267"/>
      <c r="GK36" s="267"/>
      <c r="GL36" s="267"/>
      <c r="GM36" s="267"/>
      <c r="GN36" s="267"/>
      <c r="GO36" s="267"/>
      <c r="GP36" s="267"/>
      <c r="GQ36" s="267"/>
      <c r="GR36" s="267"/>
      <c r="GS36" s="267"/>
      <c r="GT36" s="267"/>
      <c r="GU36" s="267"/>
      <c r="GV36" s="267"/>
      <c r="GW36" s="267"/>
      <c r="GX36" s="267"/>
      <c r="GY36" s="267"/>
      <c r="GZ36" s="267"/>
      <c r="HA36" s="267"/>
      <c r="HB36" s="267"/>
      <c r="HC36" s="267"/>
      <c r="HD36" s="267"/>
      <c r="HE36" s="267"/>
      <c r="HF36" s="267"/>
      <c r="HG36" s="267"/>
      <c r="HH36" s="267"/>
      <c r="HI36" s="267"/>
      <c r="HJ36" s="267"/>
      <c r="HK36" s="267"/>
      <c r="HL36" s="267"/>
      <c r="HM36" s="267"/>
      <c r="HN36" s="267"/>
      <c r="HO36" s="267"/>
      <c r="HP36" s="267"/>
      <c r="HQ36" s="267"/>
      <c r="HR36" s="267"/>
      <c r="HS36" s="267"/>
      <c r="HT36" s="267"/>
      <c r="HU36" s="267"/>
      <c r="HV36" s="267"/>
      <c r="HW36" s="267"/>
      <c r="HX36" s="267"/>
      <c r="HY36" s="267"/>
      <c r="HZ36" s="267"/>
      <c r="IA36" s="267"/>
      <c r="IB36" s="267"/>
      <c r="IC36" s="267"/>
      <c r="ID36" s="267"/>
      <c r="IE36" s="267"/>
      <c r="IF36" s="267"/>
      <c r="IG36" s="267"/>
      <c r="IH36" s="267"/>
      <c r="II36" s="267"/>
      <c r="IJ36" s="267"/>
      <c r="IK36" s="267"/>
      <c r="IL36" s="267"/>
      <c r="IM36" s="267"/>
      <c r="IN36" s="267"/>
      <c r="IO36" s="267"/>
      <c r="IP36" s="267"/>
      <c r="IQ36" s="267"/>
      <c r="IR36" s="267"/>
      <c r="IS36" s="267"/>
      <c r="IT36" s="267"/>
    </row>
    <row r="37" spans="1:254" s="44" customFormat="1" ht="16.5" customHeight="1" thickBot="1" x14ac:dyDescent="0.4">
      <c r="A37" s="42"/>
      <c r="B37" s="42"/>
      <c r="C37" s="60">
        <f ca="1">SUM(C39:C40)</f>
        <v>1039715.99</v>
      </c>
      <c r="D37" s="60">
        <f ca="1">SUM(D39:D40)</f>
        <v>1247660</v>
      </c>
      <c r="E37" s="42"/>
      <c r="F37" s="42"/>
      <c r="G37" s="42"/>
      <c r="I37" s="42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  <c r="GE37" s="43"/>
      <c r="GF37" s="43"/>
      <c r="GG37" s="43"/>
      <c r="GH37" s="43"/>
      <c r="GI37" s="43"/>
      <c r="GJ37" s="43"/>
      <c r="GK37" s="43"/>
      <c r="GL37" s="43"/>
      <c r="GM37" s="43"/>
      <c r="GN37" s="43"/>
      <c r="GO37" s="43"/>
      <c r="GP37" s="43"/>
      <c r="GQ37" s="43"/>
      <c r="GR37" s="43"/>
      <c r="GS37" s="43"/>
      <c r="GT37" s="43"/>
      <c r="GU37" s="43"/>
      <c r="GV37" s="43"/>
      <c r="GW37" s="43"/>
      <c r="GX37" s="43"/>
      <c r="GY37" s="43"/>
      <c r="GZ37" s="43"/>
      <c r="HA37" s="43"/>
      <c r="HB37" s="43"/>
      <c r="HC37" s="43"/>
      <c r="HD37" s="43"/>
      <c r="HE37" s="43"/>
      <c r="HF37" s="43"/>
      <c r="HG37" s="43"/>
      <c r="HH37" s="43"/>
      <c r="HI37" s="43"/>
      <c r="HJ37" s="43"/>
      <c r="HK37" s="43"/>
      <c r="HL37" s="43"/>
      <c r="HM37" s="43"/>
      <c r="HN37" s="43"/>
      <c r="HO37" s="43"/>
      <c r="HP37" s="43"/>
      <c r="HQ37" s="43"/>
      <c r="HR37" s="43"/>
      <c r="HS37" s="43"/>
      <c r="HT37" s="43"/>
      <c r="HU37" s="43"/>
      <c r="HV37" s="43"/>
      <c r="HW37" s="43"/>
      <c r="HX37" s="43"/>
      <c r="HY37" s="43"/>
      <c r="HZ37" s="43"/>
      <c r="IA37" s="43"/>
      <c r="IB37" s="43"/>
      <c r="IC37" s="43"/>
      <c r="ID37" s="43"/>
      <c r="IE37" s="43"/>
      <c r="IF37" s="43"/>
      <c r="IG37" s="43"/>
      <c r="IH37" s="43"/>
      <c r="II37" s="43"/>
      <c r="IJ37" s="43"/>
      <c r="IK37" s="43"/>
      <c r="IL37" s="43"/>
      <c r="IM37" s="43"/>
      <c r="IN37" s="43"/>
      <c r="IO37" s="43"/>
      <c r="IP37" s="43"/>
      <c r="IQ37" s="43"/>
      <c r="IR37" s="43"/>
      <c r="IS37" s="43"/>
      <c r="IT37" s="43"/>
    </row>
    <row r="38" spans="1:254" ht="12.75" customHeight="1" thickTop="1" x14ac:dyDescent="0.2"/>
    <row r="39" spans="1:254" x14ac:dyDescent="0.2">
      <c r="A39" s="9" t="s">
        <v>258</v>
      </c>
      <c r="B39" s="13"/>
      <c r="C39" s="54">
        <f ca="1">Материалы!B15</f>
        <v>908401.29</v>
      </c>
      <c r="D39" s="54">
        <f ca="1">MROUND(C39*1.2,1)</f>
        <v>1090082</v>
      </c>
    </row>
    <row r="40" spans="1:254" x14ac:dyDescent="0.2">
      <c r="A40" s="9" t="s">
        <v>70</v>
      </c>
      <c r="B40" s="34"/>
      <c r="C40" s="54">
        <f ca="1">IF(D24="Да",Материалы!B32,0)</f>
        <v>131314.70000000001</v>
      </c>
      <c r="D40" s="54">
        <f ca="1">MROUND(C40*1.2,1)</f>
        <v>157578</v>
      </c>
    </row>
    <row r="41" spans="1:254" x14ac:dyDescent="0.2">
      <c r="B41" s="39"/>
      <c r="C41" s="63"/>
      <c r="D41" s="63"/>
    </row>
    <row r="42" spans="1:254" s="49" customFormat="1" ht="16.5" customHeight="1" x14ac:dyDescent="0.35">
      <c r="A42" s="47" t="s">
        <v>81</v>
      </c>
      <c r="B42" s="47"/>
      <c r="C42" s="59">
        <f ca="1">C29+C37</f>
        <v>1325977.01</v>
      </c>
      <c r="D42" s="59">
        <f ca="1">SUM(D39:D40)</f>
        <v>1247660</v>
      </c>
      <c r="E42" s="47"/>
      <c r="F42" s="47"/>
      <c r="G42" s="47"/>
      <c r="H42" s="47"/>
      <c r="I42" s="47"/>
      <c r="J42" s="266"/>
      <c r="K42" s="266"/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  <c r="X42" s="266"/>
      <c r="Y42" s="266"/>
      <c r="Z42" s="266"/>
      <c r="AA42" s="266"/>
      <c r="AB42" s="266"/>
      <c r="AC42" s="266"/>
      <c r="AD42" s="266"/>
      <c r="AE42" s="266"/>
      <c r="AF42" s="266"/>
      <c r="AG42" s="266"/>
      <c r="AH42" s="266"/>
      <c r="AI42" s="266"/>
      <c r="AJ42" s="266"/>
      <c r="AK42" s="266"/>
      <c r="AL42" s="266"/>
      <c r="AM42" s="266"/>
      <c r="AN42" s="266"/>
      <c r="AO42" s="266"/>
      <c r="AP42" s="266"/>
      <c r="AQ42" s="266"/>
      <c r="AR42" s="266"/>
      <c r="AS42" s="266"/>
      <c r="AT42" s="266"/>
      <c r="AU42" s="266"/>
      <c r="AV42" s="266"/>
      <c r="AW42" s="266"/>
      <c r="AX42" s="266"/>
      <c r="AY42" s="266"/>
      <c r="AZ42" s="266"/>
      <c r="BA42" s="266"/>
      <c r="BB42" s="266"/>
      <c r="BC42" s="266"/>
      <c r="BD42" s="266"/>
      <c r="BE42" s="266"/>
      <c r="BF42" s="266"/>
      <c r="BG42" s="266"/>
      <c r="BH42" s="266"/>
      <c r="BI42" s="266"/>
      <c r="BJ42" s="266"/>
      <c r="BK42" s="266"/>
      <c r="BL42" s="266"/>
      <c r="BM42" s="266"/>
      <c r="BN42" s="266"/>
      <c r="BO42" s="266"/>
      <c r="BP42" s="266"/>
      <c r="BQ42" s="266"/>
      <c r="BR42" s="266"/>
      <c r="BS42" s="266"/>
      <c r="BT42" s="266"/>
      <c r="BU42" s="266"/>
      <c r="BV42" s="266"/>
      <c r="BW42" s="266"/>
      <c r="BX42" s="266"/>
      <c r="BY42" s="266"/>
      <c r="BZ42" s="266"/>
      <c r="CA42" s="266"/>
      <c r="CB42" s="266"/>
      <c r="CC42" s="266"/>
      <c r="CD42" s="266"/>
      <c r="CE42" s="266"/>
      <c r="CF42" s="266"/>
      <c r="CG42" s="266"/>
      <c r="CH42" s="266"/>
      <c r="CI42" s="266"/>
      <c r="CJ42" s="266"/>
      <c r="CK42" s="266"/>
      <c r="CL42" s="266"/>
      <c r="CM42" s="266"/>
      <c r="CN42" s="266"/>
      <c r="CO42" s="266"/>
      <c r="CP42" s="266"/>
      <c r="CQ42" s="266"/>
      <c r="CR42" s="266"/>
      <c r="CS42" s="266"/>
      <c r="CT42" s="266"/>
      <c r="CU42" s="266"/>
      <c r="CV42" s="266"/>
      <c r="CW42" s="266"/>
      <c r="CX42" s="266"/>
      <c r="CY42" s="266"/>
      <c r="CZ42" s="266"/>
      <c r="DA42" s="266"/>
      <c r="DB42" s="266"/>
      <c r="DC42" s="266"/>
      <c r="DD42" s="266"/>
      <c r="DE42" s="266"/>
      <c r="DF42" s="266"/>
      <c r="DG42" s="266"/>
      <c r="DH42" s="266"/>
      <c r="DI42" s="266"/>
      <c r="DJ42" s="266"/>
      <c r="DK42" s="266"/>
      <c r="DL42" s="266"/>
      <c r="DM42" s="266"/>
      <c r="DN42" s="266"/>
      <c r="DO42" s="266"/>
      <c r="DP42" s="266"/>
      <c r="DQ42" s="266"/>
      <c r="DR42" s="266"/>
      <c r="DS42" s="266"/>
      <c r="DT42" s="266"/>
      <c r="DU42" s="266"/>
      <c r="DV42" s="266"/>
      <c r="DW42" s="266"/>
      <c r="DX42" s="266"/>
      <c r="DY42" s="266"/>
      <c r="DZ42" s="266"/>
      <c r="EA42" s="266"/>
      <c r="EB42" s="266"/>
      <c r="EC42" s="266"/>
      <c r="ED42" s="266"/>
      <c r="EE42" s="266"/>
      <c r="EF42" s="266"/>
      <c r="EG42" s="266"/>
      <c r="EH42" s="266"/>
      <c r="EI42" s="266"/>
      <c r="EJ42" s="266"/>
      <c r="EK42" s="266"/>
      <c r="EL42" s="266"/>
      <c r="EM42" s="266"/>
      <c r="EN42" s="266"/>
      <c r="EO42" s="266"/>
      <c r="EP42" s="266"/>
      <c r="EQ42" s="266"/>
      <c r="ER42" s="266"/>
      <c r="ES42" s="266"/>
      <c r="ET42" s="266"/>
      <c r="EU42" s="266"/>
      <c r="EV42" s="266"/>
      <c r="EW42" s="266"/>
      <c r="EX42" s="266"/>
      <c r="EY42" s="266"/>
      <c r="EZ42" s="266"/>
      <c r="FA42" s="266"/>
      <c r="FB42" s="266"/>
      <c r="FC42" s="266"/>
      <c r="FD42" s="266"/>
      <c r="FE42" s="266"/>
      <c r="FF42" s="266"/>
      <c r="FG42" s="266"/>
      <c r="FH42" s="266"/>
      <c r="FI42" s="266"/>
      <c r="FJ42" s="266"/>
      <c r="FK42" s="266"/>
      <c r="FL42" s="266"/>
      <c r="FM42" s="266"/>
      <c r="FN42" s="266"/>
      <c r="FO42" s="266"/>
      <c r="FP42" s="266"/>
      <c r="FQ42" s="266"/>
      <c r="FR42" s="266"/>
      <c r="FS42" s="266"/>
      <c r="FT42" s="266"/>
      <c r="FU42" s="266"/>
      <c r="FV42" s="266"/>
      <c r="FW42" s="266"/>
      <c r="FX42" s="266"/>
      <c r="FY42" s="266"/>
      <c r="FZ42" s="266"/>
      <c r="GA42" s="266"/>
      <c r="GB42" s="266"/>
      <c r="GC42" s="266"/>
      <c r="GD42" s="266"/>
      <c r="GE42" s="266"/>
      <c r="GF42" s="266"/>
      <c r="GG42" s="266"/>
      <c r="GH42" s="266"/>
      <c r="GI42" s="266"/>
      <c r="GJ42" s="266"/>
      <c r="GK42" s="266"/>
      <c r="GL42" s="266"/>
      <c r="GM42" s="266"/>
      <c r="GN42" s="266"/>
      <c r="GO42" s="266"/>
      <c r="GP42" s="266"/>
      <c r="GQ42" s="266"/>
      <c r="GR42" s="266"/>
      <c r="GS42" s="266"/>
      <c r="GT42" s="266"/>
      <c r="GU42" s="266"/>
      <c r="GV42" s="266"/>
      <c r="GW42" s="266"/>
      <c r="GX42" s="266"/>
      <c r="GY42" s="266"/>
      <c r="GZ42" s="266"/>
      <c r="HA42" s="266"/>
      <c r="HB42" s="266"/>
      <c r="HC42" s="266"/>
      <c r="HD42" s="266"/>
      <c r="HE42" s="266"/>
      <c r="HF42" s="266"/>
      <c r="HG42" s="266"/>
      <c r="HH42" s="266"/>
      <c r="HI42" s="266"/>
      <c r="HJ42" s="266"/>
      <c r="HK42" s="266"/>
      <c r="HL42" s="266"/>
      <c r="HM42" s="266"/>
      <c r="HN42" s="266"/>
      <c r="HO42" s="266"/>
      <c r="HP42" s="266"/>
      <c r="HQ42" s="266"/>
      <c r="HR42" s="266"/>
      <c r="HS42" s="266"/>
      <c r="HT42" s="266"/>
      <c r="HU42" s="266"/>
      <c r="HV42" s="266"/>
      <c r="HW42" s="266"/>
      <c r="HX42" s="266"/>
      <c r="HY42" s="266"/>
      <c r="HZ42" s="266"/>
      <c r="IA42" s="266"/>
      <c r="IB42" s="266"/>
      <c r="IC42" s="266"/>
      <c r="ID42" s="266"/>
      <c r="IE42" s="266"/>
      <c r="IF42" s="266"/>
      <c r="IG42" s="266"/>
      <c r="IH42" s="266"/>
      <c r="II42" s="266"/>
      <c r="IJ42" s="266"/>
      <c r="IK42" s="266"/>
      <c r="IL42" s="266"/>
      <c r="IM42" s="266"/>
      <c r="IN42" s="266"/>
      <c r="IO42" s="266"/>
      <c r="IP42" s="266"/>
      <c r="IQ42" s="266"/>
      <c r="IR42" s="266"/>
      <c r="IS42" s="266"/>
      <c r="IT42" s="266"/>
    </row>
    <row r="43" spans="1:254" x14ac:dyDescent="0.2">
      <c r="C43" s="31"/>
      <c r="D43" s="31"/>
    </row>
    <row r="44" spans="1:254" s="46" customFormat="1" ht="16.5" customHeight="1" x14ac:dyDescent="0.35">
      <c r="A44" s="45" t="s">
        <v>95</v>
      </c>
      <c r="B44" s="45"/>
      <c r="E44" s="45"/>
      <c r="F44" s="45"/>
      <c r="G44" s="45"/>
      <c r="H44" s="45"/>
      <c r="I44" s="45"/>
      <c r="J44" s="267"/>
      <c r="K44" s="267"/>
      <c r="L44" s="267"/>
      <c r="M44" s="267"/>
      <c r="N44" s="267"/>
      <c r="O44" s="267"/>
      <c r="P44" s="267"/>
      <c r="Q44" s="267"/>
      <c r="R44" s="267"/>
      <c r="S44" s="267"/>
      <c r="T44" s="267"/>
      <c r="U44" s="267"/>
      <c r="V44" s="267"/>
      <c r="W44" s="267"/>
      <c r="X44" s="267"/>
      <c r="Y44" s="267"/>
      <c r="Z44" s="267"/>
      <c r="AA44" s="267"/>
      <c r="AB44" s="267"/>
      <c r="AC44" s="267"/>
      <c r="AD44" s="267"/>
      <c r="AE44" s="267"/>
      <c r="AF44" s="267"/>
      <c r="AG44" s="267"/>
      <c r="AH44" s="267"/>
      <c r="AI44" s="267"/>
      <c r="AJ44" s="267"/>
      <c r="AK44" s="267"/>
      <c r="AL44" s="267"/>
      <c r="AM44" s="267"/>
      <c r="AN44" s="267"/>
      <c r="AO44" s="267"/>
      <c r="AP44" s="267"/>
      <c r="AQ44" s="267"/>
      <c r="AR44" s="267"/>
      <c r="AS44" s="267"/>
      <c r="AT44" s="267"/>
      <c r="AU44" s="267"/>
      <c r="AV44" s="267"/>
      <c r="AW44" s="267"/>
      <c r="AX44" s="267"/>
      <c r="AY44" s="267"/>
      <c r="AZ44" s="267"/>
      <c r="BA44" s="267"/>
      <c r="BB44" s="267"/>
      <c r="BC44" s="267"/>
      <c r="BD44" s="267"/>
      <c r="BE44" s="267"/>
      <c r="BF44" s="267"/>
      <c r="BG44" s="267"/>
      <c r="BH44" s="267"/>
      <c r="BI44" s="267"/>
      <c r="BJ44" s="267"/>
      <c r="BK44" s="267"/>
      <c r="BL44" s="267"/>
      <c r="BM44" s="267"/>
      <c r="BN44" s="267"/>
      <c r="BO44" s="267"/>
      <c r="BP44" s="267"/>
      <c r="BQ44" s="267"/>
      <c r="BR44" s="267"/>
      <c r="BS44" s="267"/>
      <c r="BT44" s="267"/>
      <c r="BU44" s="267"/>
      <c r="BV44" s="267"/>
      <c r="BW44" s="267"/>
      <c r="BX44" s="267"/>
      <c r="BY44" s="267"/>
      <c r="BZ44" s="267"/>
      <c r="CA44" s="267"/>
      <c r="CB44" s="267"/>
      <c r="CC44" s="267"/>
      <c r="CD44" s="267"/>
      <c r="CE44" s="267"/>
      <c r="CF44" s="267"/>
      <c r="CG44" s="267"/>
      <c r="CH44" s="267"/>
      <c r="CI44" s="267"/>
      <c r="CJ44" s="267"/>
      <c r="CK44" s="267"/>
      <c r="CL44" s="267"/>
      <c r="CM44" s="267"/>
      <c r="CN44" s="267"/>
      <c r="CO44" s="267"/>
      <c r="CP44" s="267"/>
      <c r="CQ44" s="267"/>
      <c r="CR44" s="267"/>
      <c r="CS44" s="267"/>
      <c r="CT44" s="267"/>
      <c r="CU44" s="267"/>
      <c r="CV44" s="267"/>
      <c r="CW44" s="267"/>
      <c r="CX44" s="267"/>
      <c r="CY44" s="267"/>
      <c r="CZ44" s="267"/>
      <c r="DA44" s="267"/>
      <c r="DB44" s="267"/>
      <c r="DC44" s="267"/>
      <c r="DD44" s="267"/>
      <c r="DE44" s="267"/>
      <c r="DF44" s="267"/>
      <c r="DG44" s="267"/>
      <c r="DH44" s="267"/>
      <c r="DI44" s="267"/>
      <c r="DJ44" s="267"/>
      <c r="DK44" s="267"/>
      <c r="DL44" s="267"/>
      <c r="DM44" s="267"/>
      <c r="DN44" s="267"/>
      <c r="DO44" s="267"/>
      <c r="DP44" s="267"/>
      <c r="DQ44" s="267"/>
      <c r="DR44" s="267"/>
      <c r="DS44" s="267"/>
      <c r="DT44" s="267"/>
      <c r="DU44" s="267"/>
      <c r="DV44" s="267"/>
      <c r="DW44" s="267"/>
      <c r="DX44" s="267"/>
      <c r="DY44" s="267"/>
      <c r="DZ44" s="267"/>
      <c r="EA44" s="267"/>
      <c r="EB44" s="267"/>
      <c r="EC44" s="267"/>
      <c r="ED44" s="267"/>
      <c r="EE44" s="267"/>
      <c r="EF44" s="267"/>
      <c r="EG44" s="267"/>
      <c r="EH44" s="267"/>
      <c r="EI44" s="267"/>
      <c r="EJ44" s="267"/>
      <c r="EK44" s="267"/>
      <c r="EL44" s="267"/>
      <c r="EM44" s="267"/>
      <c r="EN44" s="267"/>
      <c r="EO44" s="267"/>
      <c r="EP44" s="267"/>
      <c r="EQ44" s="267"/>
      <c r="ER44" s="267"/>
      <c r="ES44" s="267"/>
      <c r="ET44" s="267"/>
      <c r="EU44" s="267"/>
      <c r="EV44" s="267"/>
      <c r="EW44" s="267"/>
      <c r="EX44" s="267"/>
      <c r="EY44" s="267"/>
      <c r="EZ44" s="267"/>
      <c r="FA44" s="267"/>
      <c r="FB44" s="267"/>
      <c r="FC44" s="267"/>
      <c r="FD44" s="267"/>
      <c r="FE44" s="267"/>
      <c r="FF44" s="267"/>
      <c r="FG44" s="267"/>
      <c r="FH44" s="267"/>
      <c r="FI44" s="267"/>
      <c r="FJ44" s="267"/>
      <c r="FK44" s="267"/>
      <c r="FL44" s="267"/>
      <c r="FM44" s="267"/>
      <c r="FN44" s="267"/>
      <c r="FO44" s="267"/>
      <c r="FP44" s="267"/>
      <c r="FQ44" s="267"/>
      <c r="FR44" s="267"/>
      <c r="FS44" s="267"/>
      <c r="FT44" s="267"/>
      <c r="FU44" s="267"/>
      <c r="FV44" s="267"/>
      <c r="FW44" s="267"/>
      <c r="FX44" s="267"/>
      <c r="FY44" s="267"/>
      <c r="FZ44" s="267"/>
      <c r="GA44" s="267"/>
      <c r="GB44" s="267"/>
      <c r="GC44" s="267"/>
      <c r="GD44" s="267"/>
      <c r="GE44" s="267"/>
      <c r="GF44" s="267"/>
      <c r="GG44" s="267"/>
      <c r="GH44" s="267"/>
      <c r="GI44" s="267"/>
      <c r="GJ44" s="267"/>
      <c r="GK44" s="267"/>
      <c r="GL44" s="267"/>
      <c r="GM44" s="267"/>
      <c r="GN44" s="267"/>
      <c r="GO44" s="267"/>
      <c r="GP44" s="267"/>
      <c r="GQ44" s="267"/>
      <c r="GR44" s="267"/>
      <c r="GS44" s="267"/>
      <c r="GT44" s="267"/>
      <c r="GU44" s="267"/>
      <c r="GV44" s="267"/>
      <c r="GW44" s="267"/>
      <c r="GX44" s="267"/>
      <c r="GY44" s="267"/>
      <c r="GZ44" s="267"/>
      <c r="HA44" s="267"/>
      <c r="HB44" s="267"/>
      <c r="HC44" s="267"/>
      <c r="HD44" s="267"/>
      <c r="HE44" s="267"/>
      <c r="HF44" s="267"/>
      <c r="HG44" s="267"/>
      <c r="HH44" s="267"/>
      <c r="HI44" s="267"/>
      <c r="HJ44" s="267"/>
      <c r="HK44" s="267"/>
      <c r="HL44" s="267"/>
      <c r="HM44" s="267"/>
      <c r="HN44" s="267"/>
      <c r="HO44" s="267"/>
      <c r="HP44" s="267"/>
      <c r="HQ44" s="267"/>
      <c r="HR44" s="267"/>
      <c r="HS44" s="267"/>
      <c r="HT44" s="267"/>
      <c r="HU44" s="267"/>
      <c r="HV44" s="267"/>
      <c r="HW44" s="267"/>
      <c r="HX44" s="267"/>
      <c r="HY44" s="267"/>
      <c r="HZ44" s="267"/>
      <c r="IA44" s="267"/>
      <c r="IB44" s="267"/>
      <c r="IC44" s="267"/>
      <c r="ID44" s="267"/>
      <c r="IE44" s="267"/>
      <c r="IF44" s="267"/>
      <c r="IG44" s="267"/>
      <c r="IH44" s="267"/>
      <c r="II44" s="267"/>
      <c r="IJ44" s="267"/>
      <c r="IK44" s="267"/>
      <c r="IL44" s="267"/>
      <c r="IM44" s="267"/>
      <c r="IN44" s="267"/>
      <c r="IO44" s="267"/>
      <c r="IP44" s="267"/>
      <c r="IQ44" s="267"/>
      <c r="IR44" s="267"/>
      <c r="IS44" s="267"/>
      <c r="IT44" s="267"/>
    </row>
    <row r="45" spans="1:254" ht="12.75" customHeight="1" thickBot="1" x14ac:dyDescent="0.25"/>
    <row r="46" spans="1:254" x14ac:dyDescent="0.2">
      <c r="A46" s="64" t="s">
        <v>96</v>
      </c>
      <c r="B46" s="65">
        <v>1.9</v>
      </c>
      <c r="C46" s="66">
        <f ca="1">ROUNDUP($C$42*B46,0)</f>
        <v>2519357</v>
      </c>
      <c r="D46" s="67">
        <f ca="1">ROUNDUP(D42*B46,0)</f>
        <v>2370554</v>
      </c>
      <c r="E46" t="s">
        <v>88</v>
      </c>
      <c r="K46" s="68"/>
    </row>
    <row r="47" spans="1:254" x14ac:dyDescent="0.2">
      <c r="A47" s="4"/>
      <c r="B47" s="69" t="s">
        <v>101</v>
      </c>
      <c r="C47" s="2"/>
      <c r="D47" s="70"/>
      <c r="E47" s="71"/>
    </row>
    <row r="48" spans="1:254" x14ac:dyDescent="0.2">
      <c r="A48" s="72" t="s">
        <v>89</v>
      </c>
      <c r="B48" s="28"/>
      <c r="C48" s="63">
        <f>D48/118*100</f>
        <v>0</v>
      </c>
      <c r="D48" s="73">
        <v>0</v>
      </c>
    </row>
    <row r="49" spans="1:254" x14ac:dyDescent="0.2">
      <c r="A49" s="4"/>
      <c r="B49" s="69"/>
      <c r="C49" s="2"/>
      <c r="D49" s="70"/>
      <c r="E49" s="71"/>
    </row>
    <row r="50" spans="1:254" ht="25.5" x14ac:dyDescent="0.2">
      <c r="A50" s="74" t="s">
        <v>90</v>
      </c>
      <c r="B50" s="69"/>
      <c r="C50" s="75">
        <f ca="1">C46+C48</f>
        <v>2519357</v>
      </c>
      <c r="D50" s="70">
        <f ca="1">D46+D48</f>
        <v>2370554</v>
      </c>
      <c r="E50" s="71"/>
    </row>
    <row r="51" spans="1:254" ht="13.5" thickBot="1" x14ac:dyDescent="0.25">
      <c r="A51" s="32" t="s">
        <v>91</v>
      </c>
      <c r="B51" s="76"/>
      <c r="C51" s="77">
        <f ca="1">C50-C48-C42</f>
        <v>1193379.99</v>
      </c>
      <c r="D51" s="78">
        <f ca="1">D50-D48-D42</f>
        <v>1122894</v>
      </c>
      <c r="E51" s="71"/>
    </row>
    <row r="52" spans="1:254" ht="13.5" thickBot="1" x14ac:dyDescent="0.25">
      <c r="E52" s="68"/>
    </row>
    <row r="53" spans="1:254" ht="38.25" x14ac:dyDescent="0.2">
      <c r="A53" s="64" t="s">
        <v>92</v>
      </c>
      <c r="B53" s="79">
        <v>0</v>
      </c>
      <c r="C53" s="80">
        <f ca="1">C55*B53</f>
        <v>0</v>
      </c>
      <c r="D53" s="81">
        <f ca="1">D55*B53</f>
        <v>0</v>
      </c>
    </row>
    <row r="54" spans="1:254" ht="25.5" hidden="1" x14ac:dyDescent="0.2">
      <c r="A54" s="74" t="s">
        <v>84</v>
      </c>
      <c r="B54" s="82">
        <v>0.25</v>
      </c>
      <c r="C54" s="83">
        <f ca="1">C53*B54</f>
        <v>0</v>
      </c>
      <c r="D54" s="84">
        <f ca="1">D53*B54</f>
        <v>0</v>
      </c>
      <c r="E54" s="68"/>
    </row>
    <row r="55" spans="1:254" ht="26.25" thickBot="1" x14ac:dyDescent="0.25">
      <c r="A55" s="85" t="str">
        <f>CONCATENATE("Цена решетки для договора ",IF(D48&gt;0,"с доставкой","без доставки"),IF(B53&gt;0,", с обременением",", без обременения"))</f>
        <v>Цена решетки для договора без доставки, без обременения</v>
      </c>
      <c r="B55" s="33"/>
      <c r="C55" s="77">
        <f ca="1">C50/(1-B53*(1+B54))</f>
        <v>2519357</v>
      </c>
      <c r="D55" s="86">
        <f ca="1">D50/(1-B53*(1+B54))</f>
        <v>2370554</v>
      </c>
      <c r="E55" s="68"/>
      <c r="H55" s="68"/>
    </row>
    <row r="56" spans="1:254" x14ac:dyDescent="0.2">
      <c r="C56" s="68"/>
      <c r="D56" s="68"/>
    </row>
    <row r="57" spans="1:254" s="49" customFormat="1" ht="16.5" customHeight="1" x14ac:dyDescent="0.35">
      <c r="A57" s="47" t="s">
        <v>83</v>
      </c>
      <c r="B57" s="47"/>
      <c r="C57" s="50">
        <f ca="1">C55</f>
        <v>2519357</v>
      </c>
      <c r="D57" s="50">
        <f ca="1">D55</f>
        <v>2370554</v>
      </c>
      <c r="F57" s="47"/>
      <c r="G57" s="47"/>
      <c r="H57" s="47"/>
      <c r="I57" s="47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266"/>
      <c r="Z57" s="266"/>
      <c r="AA57" s="266"/>
      <c r="AB57" s="266"/>
      <c r="AC57" s="266"/>
      <c r="AD57" s="266"/>
      <c r="AE57" s="266"/>
      <c r="AF57" s="266"/>
      <c r="AG57" s="266"/>
      <c r="AH57" s="266"/>
      <c r="AI57" s="266"/>
      <c r="AJ57" s="266"/>
      <c r="AK57" s="266"/>
      <c r="AL57" s="266"/>
      <c r="AM57" s="266"/>
      <c r="AN57" s="266"/>
      <c r="AO57" s="266"/>
      <c r="AP57" s="266"/>
      <c r="AQ57" s="266"/>
      <c r="AR57" s="266"/>
      <c r="AS57" s="266"/>
      <c r="AT57" s="266"/>
      <c r="AU57" s="266"/>
      <c r="AV57" s="266"/>
      <c r="AW57" s="266"/>
      <c r="AX57" s="266"/>
      <c r="AY57" s="266"/>
      <c r="AZ57" s="266"/>
      <c r="BA57" s="266"/>
      <c r="BB57" s="266"/>
      <c r="BC57" s="266"/>
      <c r="BD57" s="266"/>
      <c r="BE57" s="266"/>
      <c r="BF57" s="266"/>
      <c r="BG57" s="266"/>
      <c r="BH57" s="266"/>
      <c r="BI57" s="266"/>
      <c r="BJ57" s="266"/>
      <c r="BK57" s="266"/>
      <c r="BL57" s="266"/>
      <c r="BM57" s="266"/>
      <c r="BN57" s="266"/>
      <c r="BO57" s="266"/>
      <c r="BP57" s="266"/>
      <c r="BQ57" s="266"/>
      <c r="BR57" s="266"/>
      <c r="BS57" s="266"/>
      <c r="BT57" s="266"/>
      <c r="BU57" s="266"/>
      <c r="BV57" s="266"/>
      <c r="BW57" s="266"/>
      <c r="BX57" s="266"/>
      <c r="BY57" s="266"/>
      <c r="BZ57" s="266"/>
      <c r="CA57" s="266"/>
      <c r="CB57" s="266"/>
      <c r="CC57" s="266"/>
      <c r="CD57" s="266"/>
      <c r="CE57" s="266"/>
      <c r="CF57" s="266"/>
      <c r="CG57" s="266"/>
      <c r="CH57" s="266"/>
      <c r="CI57" s="266"/>
      <c r="CJ57" s="266"/>
      <c r="CK57" s="266"/>
      <c r="CL57" s="266"/>
      <c r="CM57" s="266"/>
      <c r="CN57" s="266"/>
      <c r="CO57" s="266"/>
      <c r="CP57" s="266"/>
      <c r="CQ57" s="266"/>
      <c r="CR57" s="266"/>
      <c r="CS57" s="266"/>
      <c r="CT57" s="266"/>
      <c r="CU57" s="266"/>
      <c r="CV57" s="266"/>
      <c r="CW57" s="266"/>
      <c r="CX57" s="266"/>
      <c r="CY57" s="266"/>
      <c r="CZ57" s="266"/>
      <c r="DA57" s="266"/>
      <c r="DB57" s="266"/>
      <c r="DC57" s="266"/>
      <c r="DD57" s="266"/>
      <c r="DE57" s="266"/>
      <c r="DF57" s="266"/>
      <c r="DG57" s="266"/>
      <c r="DH57" s="266"/>
      <c r="DI57" s="266"/>
      <c r="DJ57" s="266"/>
      <c r="DK57" s="266"/>
      <c r="DL57" s="266"/>
      <c r="DM57" s="266"/>
      <c r="DN57" s="266"/>
      <c r="DO57" s="266"/>
      <c r="DP57" s="266"/>
      <c r="DQ57" s="266"/>
      <c r="DR57" s="266"/>
      <c r="DS57" s="266"/>
      <c r="DT57" s="266"/>
      <c r="DU57" s="266"/>
      <c r="DV57" s="266"/>
      <c r="DW57" s="266"/>
      <c r="DX57" s="266"/>
      <c r="DY57" s="266"/>
      <c r="DZ57" s="266"/>
      <c r="EA57" s="266"/>
      <c r="EB57" s="266"/>
      <c r="EC57" s="266"/>
      <c r="ED57" s="266"/>
      <c r="EE57" s="266"/>
      <c r="EF57" s="266"/>
      <c r="EG57" s="266"/>
      <c r="EH57" s="266"/>
      <c r="EI57" s="266"/>
      <c r="EJ57" s="266"/>
      <c r="EK57" s="266"/>
      <c r="EL57" s="266"/>
      <c r="EM57" s="266"/>
      <c r="EN57" s="266"/>
      <c r="EO57" s="266"/>
      <c r="EP57" s="266"/>
      <c r="EQ57" s="266"/>
      <c r="ER57" s="266"/>
      <c r="ES57" s="266"/>
      <c r="ET57" s="266"/>
      <c r="EU57" s="266"/>
      <c r="EV57" s="266"/>
      <c r="EW57" s="266"/>
      <c r="EX57" s="266"/>
      <c r="EY57" s="266"/>
      <c r="EZ57" s="266"/>
      <c r="FA57" s="266"/>
      <c r="FB57" s="266"/>
      <c r="FC57" s="266"/>
      <c r="FD57" s="266"/>
      <c r="FE57" s="266"/>
      <c r="FF57" s="266"/>
      <c r="FG57" s="266"/>
      <c r="FH57" s="266"/>
      <c r="FI57" s="266"/>
      <c r="FJ57" s="266"/>
      <c r="FK57" s="266"/>
      <c r="FL57" s="266"/>
      <c r="FM57" s="266"/>
      <c r="FN57" s="266"/>
      <c r="FO57" s="266"/>
      <c r="FP57" s="266"/>
      <c r="FQ57" s="266"/>
      <c r="FR57" s="266"/>
      <c r="FS57" s="266"/>
      <c r="FT57" s="266"/>
      <c r="FU57" s="266"/>
      <c r="FV57" s="266"/>
      <c r="FW57" s="266"/>
      <c r="FX57" s="266"/>
      <c r="FY57" s="266"/>
      <c r="FZ57" s="266"/>
      <c r="GA57" s="266"/>
      <c r="GB57" s="266"/>
      <c r="GC57" s="266"/>
      <c r="GD57" s="266"/>
      <c r="GE57" s="266"/>
      <c r="GF57" s="266"/>
      <c r="GG57" s="266"/>
      <c r="GH57" s="266"/>
      <c r="GI57" s="266"/>
      <c r="GJ57" s="266"/>
      <c r="GK57" s="266"/>
      <c r="GL57" s="266"/>
      <c r="GM57" s="266"/>
      <c r="GN57" s="266"/>
      <c r="GO57" s="266"/>
      <c r="GP57" s="266"/>
      <c r="GQ57" s="266"/>
      <c r="GR57" s="266"/>
      <c r="GS57" s="266"/>
      <c r="GT57" s="266"/>
      <c r="GU57" s="266"/>
      <c r="GV57" s="266"/>
      <c r="GW57" s="266"/>
      <c r="GX57" s="266"/>
      <c r="GY57" s="266"/>
      <c r="GZ57" s="266"/>
      <c r="HA57" s="266"/>
      <c r="HB57" s="266"/>
      <c r="HC57" s="266"/>
      <c r="HD57" s="266"/>
      <c r="HE57" s="266"/>
      <c r="HF57" s="266"/>
      <c r="HG57" s="266"/>
      <c r="HH57" s="266"/>
      <c r="HI57" s="266"/>
      <c r="HJ57" s="266"/>
      <c r="HK57" s="266"/>
      <c r="HL57" s="266"/>
      <c r="HM57" s="266"/>
      <c r="HN57" s="266"/>
      <c r="HO57" s="266"/>
      <c r="HP57" s="266"/>
      <c r="HQ57" s="266"/>
      <c r="HR57" s="266"/>
      <c r="HS57" s="266"/>
      <c r="HT57" s="266"/>
      <c r="HU57" s="266"/>
      <c r="HV57" s="266"/>
      <c r="HW57" s="266"/>
      <c r="HX57" s="266"/>
      <c r="HY57" s="266"/>
      <c r="HZ57" s="266"/>
      <c r="IA57" s="266"/>
      <c r="IB57" s="266"/>
      <c r="IC57" s="266"/>
      <c r="ID57" s="266"/>
      <c r="IE57" s="266"/>
      <c r="IF57" s="266"/>
      <c r="IG57" s="266"/>
      <c r="IH57" s="266"/>
      <c r="II57" s="266"/>
      <c r="IJ57" s="266"/>
      <c r="IK57" s="266"/>
      <c r="IL57" s="266"/>
      <c r="IM57" s="266"/>
      <c r="IN57" s="266"/>
      <c r="IO57" s="266"/>
      <c r="IP57" s="266"/>
      <c r="IQ57" s="266"/>
      <c r="IR57" s="266"/>
      <c r="IS57" s="266"/>
      <c r="IT57" s="266"/>
    </row>
  </sheetData>
  <dataConsolidate/>
  <mergeCells count="173"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X1:CH1"/>
    <mergeCell ref="CI1:CS1"/>
    <mergeCell ref="CT1:DD1"/>
    <mergeCell ref="DE1:DO1"/>
    <mergeCell ref="BB13:BL13"/>
    <mergeCell ref="BM13:BW13"/>
    <mergeCell ref="BX13:CH13"/>
    <mergeCell ref="CI13:CS13"/>
    <mergeCell ref="CT13:DD13"/>
    <mergeCell ref="DE13:DO13"/>
    <mergeCell ref="HK13:HU13"/>
    <mergeCell ref="DP1:DZ1"/>
    <mergeCell ref="EA1:EK1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IR13:IT13"/>
    <mergeCell ref="A18:A19"/>
    <mergeCell ref="B18:C18"/>
    <mergeCell ref="B19:C19"/>
    <mergeCell ref="A20:A21"/>
    <mergeCell ref="B20:C20"/>
    <mergeCell ref="B21:C21"/>
    <mergeCell ref="GD13:GN13"/>
    <mergeCell ref="GO13:GY13"/>
    <mergeCell ref="GZ13:HJ13"/>
    <mergeCell ref="J13:T13"/>
    <mergeCell ref="U13:AE13"/>
    <mergeCell ref="AF13:AP13"/>
    <mergeCell ref="AQ13:BA13"/>
    <mergeCell ref="B22:C22"/>
    <mergeCell ref="B23:C23"/>
    <mergeCell ref="B24:C24"/>
    <mergeCell ref="J28:T28"/>
    <mergeCell ref="U28:AE28"/>
    <mergeCell ref="A22:A25"/>
    <mergeCell ref="B25:C25"/>
    <mergeCell ref="AF28:AP28"/>
    <mergeCell ref="AQ28:BA28"/>
    <mergeCell ref="BB28:BL28"/>
    <mergeCell ref="BM28:BW28"/>
    <mergeCell ref="BX28:CH28"/>
    <mergeCell ref="CI28:CS28"/>
    <mergeCell ref="CT28:DD28"/>
    <mergeCell ref="DE28:DO28"/>
    <mergeCell ref="DP28:DZ28"/>
    <mergeCell ref="EA28:EK28"/>
    <mergeCell ref="EL28:EV28"/>
    <mergeCell ref="EW28:FG28"/>
    <mergeCell ref="FH28:FR28"/>
    <mergeCell ref="FS28:GC28"/>
    <mergeCell ref="GD28:GN28"/>
    <mergeCell ref="GO28:GY28"/>
    <mergeCell ref="GZ28:HJ28"/>
    <mergeCell ref="HK28:HU28"/>
    <mergeCell ref="HV28:IF28"/>
    <mergeCell ref="IG28:IQ28"/>
    <mergeCell ref="IR28:IT28"/>
    <mergeCell ref="J36:T36"/>
    <mergeCell ref="U36:AE36"/>
    <mergeCell ref="AF36:AP36"/>
    <mergeCell ref="AQ36:BA36"/>
    <mergeCell ref="BB36:BL36"/>
    <mergeCell ref="BM36:BW36"/>
    <mergeCell ref="BX36:CH36"/>
    <mergeCell ref="CI36:CS36"/>
    <mergeCell ref="CT36:DD36"/>
    <mergeCell ref="DE36:DO36"/>
    <mergeCell ref="DP36:DZ36"/>
    <mergeCell ref="EA36:EK36"/>
    <mergeCell ref="EL36:EV36"/>
    <mergeCell ref="EW36:FG36"/>
    <mergeCell ref="FH36:FR36"/>
    <mergeCell ref="FS36:GC36"/>
    <mergeCell ref="GD36:GN36"/>
    <mergeCell ref="GO36:GY36"/>
    <mergeCell ref="GZ36:HJ36"/>
    <mergeCell ref="HK36:HU36"/>
    <mergeCell ref="HV36:IF36"/>
    <mergeCell ref="IG36:IQ36"/>
    <mergeCell ref="IR36:IT36"/>
    <mergeCell ref="J42:T42"/>
    <mergeCell ref="U42:AE42"/>
    <mergeCell ref="AF42:AP42"/>
    <mergeCell ref="AQ42:BA42"/>
    <mergeCell ref="BB42:BL42"/>
    <mergeCell ref="BM42:BW42"/>
    <mergeCell ref="BX42:CH42"/>
    <mergeCell ref="CI42:CS42"/>
    <mergeCell ref="CT42:DD42"/>
    <mergeCell ref="GD44:GN44"/>
    <mergeCell ref="GO44:GY44"/>
    <mergeCell ref="GZ44:HJ44"/>
    <mergeCell ref="DE42:DO42"/>
    <mergeCell ref="DP42:DZ42"/>
    <mergeCell ref="EA42:EK42"/>
    <mergeCell ref="EL42:EV42"/>
    <mergeCell ref="EW42:FG42"/>
    <mergeCell ref="FH42:FR42"/>
    <mergeCell ref="FS42:GC42"/>
    <mergeCell ref="GD42:GN42"/>
    <mergeCell ref="GO42:GY42"/>
    <mergeCell ref="IR57:IT57"/>
    <mergeCell ref="EL57:EV57"/>
    <mergeCell ref="EW57:FG57"/>
    <mergeCell ref="GZ42:HJ42"/>
    <mergeCell ref="HK42:HU42"/>
    <mergeCell ref="HV42:IF42"/>
    <mergeCell ref="IG42:IQ42"/>
    <mergeCell ref="IR42:IT42"/>
    <mergeCell ref="J44:T44"/>
    <mergeCell ref="U44:AE44"/>
    <mergeCell ref="AF44:AP44"/>
    <mergeCell ref="AQ44:BA44"/>
    <mergeCell ref="BB44:BL44"/>
    <mergeCell ref="BM44:BW44"/>
    <mergeCell ref="BX44:CH44"/>
    <mergeCell ref="CI44:CS44"/>
    <mergeCell ref="CT44:DD44"/>
    <mergeCell ref="DE44:DO44"/>
    <mergeCell ref="DP44:DZ44"/>
    <mergeCell ref="EA44:EK44"/>
    <mergeCell ref="EL44:EV44"/>
    <mergeCell ref="EW44:FG44"/>
    <mergeCell ref="FH44:FR44"/>
    <mergeCell ref="FS44:GC44"/>
    <mergeCell ref="FH57:FR57"/>
    <mergeCell ref="FS57:GC57"/>
    <mergeCell ref="GD57:GN57"/>
    <mergeCell ref="HK44:HU44"/>
    <mergeCell ref="HV44:IF44"/>
    <mergeCell ref="IG44:IQ44"/>
    <mergeCell ref="IR44:IT44"/>
    <mergeCell ref="J57:T57"/>
    <mergeCell ref="U57:AE57"/>
    <mergeCell ref="AF57:AP57"/>
    <mergeCell ref="AQ57:BA57"/>
    <mergeCell ref="BB57:BL57"/>
    <mergeCell ref="BM57:BW57"/>
    <mergeCell ref="GO57:GY57"/>
    <mergeCell ref="BX57:CH57"/>
    <mergeCell ref="CI57:CS57"/>
    <mergeCell ref="CT57:DD57"/>
    <mergeCell ref="DE57:DO57"/>
    <mergeCell ref="DP57:DZ57"/>
    <mergeCell ref="EA57:EK57"/>
    <mergeCell ref="GZ57:HJ57"/>
    <mergeCell ref="HK57:HU57"/>
    <mergeCell ref="HV57:IF57"/>
    <mergeCell ref="IG57:IQ57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J36"/>
  <sheetViews>
    <sheetView topLeftCell="D1" zoomScaleNormal="100" workbookViewId="0">
      <selection activeCell="H34" sqref="H34"/>
    </sheetView>
  </sheetViews>
  <sheetFormatPr defaultRowHeight="12.75" x14ac:dyDescent="0.2"/>
  <cols>
    <col min="1" max="1" width="38.85546875" customWidth="1"/>
    <col min="2" max="2" width="10.5703125" customWidth="1"/>
    <col min="3" max="3" width="14.28515625" customWidth="1"/>
    <col min="4" max="4" width="15.42578125" customWidth="1"/>
    <col min="5" max="5" width="40.28515625" customWidth="1"/>
    <col min="6" max="6" width="13" customWidth="1"/>
    <col min="7" max="7" width="18.140625" customWidth="1"/>
    <col min="8" max="8" width="24.7109375" customWidth="1"/>
    <col min="9" max="9" width="8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0" s="122" customFormat="1" x14ac:dyDescent="0.2">
      <c r="A1" s="119" t="s">
        <v>10</v>
      </c>
      <c r="B1" s="120"/>
      <c r="C1" s="121"/>
      <c r="D1" s="150"/>
      <c r="E1" s="154" t="s">
        <v>279</v>
      </c>
      <c r="F1" s="182">
        <f>Параметры!B3</f>
        <v>309</v>
      </c>
    </row>
    <row r="2" spans="1:10" s="122" customFormat="1" x14ac:dyDescent="0.2">
      <c r="A2" s="123" t="s">
        <v>183</v>
      </c>
      <c r="B2" s="124">
        <f ca="1">ROUNDUP(F22+F29+F36,0)</f>
        <v>243</v>
      </c>
      <c r="C2" s="125"/>
      <c r="D2" s="150"/>
      <c r="E2" s="154" t="s">
        <v>202</v>
      </c>
      <c r="F2" s="182">
        <f>Параметры!B112</f>
        <v>1.5</v>
      </c>
      <c r="J2" s="127"/>
    </row>
    <row r="3" spans="1:10" s="122" customFormat="1" x14ac:dyDescent="0.2">
      <c r="A3" s="122" t="s">
        <v>185</v>
      </c>
      <c r="B3" s="122">
        <f>ROUNDUP(F2*F12/60,0)</f>
        <v>36</v>
      </c>
      <c r="C3" s="125"/>
      <c r="D3" s="150"/>
      <c r="E3" s="154" t="s">
        <v>280</v>
      </c>
      <c r="F3" s="182">
        <f>Параметры!B4</f>
        <v>1.82</v>
      </c>
      <c r="J3"/>
    </row>
    <row r="4" spans="1:10" s="122" customFormat="1" x14ac:dyDescent="0.2">
      <c r="A4" s="123" t="s">
        <v>186</v>
      </c>
      <c r="B4" s="124">
        <f ca="1">(B2+B3)*F1</f>
        <v>86211</v>
      </c>
      <c r="C4" s="125"/>
      <c r="D4" s="150"/>
      <c r="J4"/>
    </row>
    <row r="5" spans="1:10" s="122" customFormat="1" ht="13.5" thickBot="1" x14ac:dyDescent="0.25">
      <c r="A5" s="123" t="s">
        <v>187</v>
      </c>
      <c r="B5" s="124">
        <f ca="1">MROUND(B4*F3,1)</f>
        <v>156904</v>
      </c>
      <c r="C5" s="132"/>
      <c r="D5" s="150"/>
      <c r="J5"/>
    </row>
    <row r="6" spans="1:10" s="122" customFormat="1" ht="15" thickBot="1" x14ac:dyDescent="0.25">
      <c r="A6" s="134" t="s">
        <v>188</v>
      </c>
      <c r="B6" s="135">
        <f ca="1">B5+B4</f>
        <v>243115</v>
      </c>
      <c r="C6" s="161"/>
      <c r="D6" s="150"/>
      <c r="J6"/>
    </row>
    <row r="7" spans="1:10" x14ac:dyDescent="0.2">
      <c r="E7" s="154" t="s">
        <v>255</v>
      </c>
      <c r="F7" s="180">
        <f>Цена!B16</f>
        <v>1000</v>
      </c>
      <c r="G7" s="122"/>
      <c r="H7" s="122"/>
    </row>
    <row r="8" spans="1:10" x14ac:dyDescent="0.2">
      <c r="E8" s="165" t="s">
        <v>3</v>
      </c>
      <c r="F8" s="180">
        <f>Цена!C16</f>
        <v>1400</v>
      </c>
      <c r="G8" s="122"/>
      <c r="H8" s="122"/>
    </row>
    <row r="9" spans="1:10" x14ac:dyDescent="0.2">
      <c r="E9" s="154" t="s">
        <v>256</v>
      </c>
      <c r="F9" s="137">
        <f>Цена!H16</f>
        <v>1300</v>
      </c>
      <c r="G9" s="122"/>
      <c r="H9" s="122"/>
    </row>
    <row r="10" spans="1:10" x14ac:dyDescent="0.2">
      <c r="E10" s="154" t="s">
        <v>257</v>
      </c>
      <c r="F10" s="137">
        <f>Цена!D16</f>
        <v>1200</v>
      </c>
      <c r="G10" s="122"/>
      <c r="H10" s="122"/>
    </row>
    <row r="11" spans="1:10" x14ac:dyDescent="0.2">
      <c r="E11" s="154" t="s">
        <v>13</v>
      </c>
      <c r="F11" s="137">
        <f>Цена!E16</f>
        <v>16</v>
      </c>
      <c r="G11" s="122"/>
      <c r="H11" s="122"/>
    </row>
    <row r="12" spans="1:10" x14ac:dyDescent="0.2">
      <c r="E12" s="179" t="s">
        <v>278</v>
      </c>
      <c r="F12" s="181">
        <f>Материалы!B3</f>
        <v>1416</v>
      </c>
    </row>
    <row r="14" spans="1:10" ht="14.25" x14ac:dyDescent="0.2">
      <c r="E14" s="178" t="s">
        <v>262</v>
      </c>
      <c r="F14" s="3"/>
      <c r="G14" s="3"/>
    </row>
    <row r="15" spans="1:10" ht="25.5" x14ac:dyDescent="0.2">
      <c r="E15" s="168" t="s">
        <v>260</v>
      </c>
      <c r="F15" s="169" t="s">
        <v>259</v>
      </c>
      <c r="G15" s="170" t="s">
        <v>277</v>
      </c>
      <c r="H15" s="154" t="s">
        <v>197</v>
      </c>
    </row>
    <row r="16" spans="1:10" x14ac:dyDescent="0.2">
      <c r="E16" s="172" t="s">
        <v>267</v>
      </c>
      <c r="F16" s="127">
        <v>224.64449999999999</v>
      </c>
      <c r="G16" s="11">
        <v>1</v>
      </c>
      <c r="H16" s="174">
        <f>IF(F7&lt;=1900,1,0)</f>
        <v>1</v>
      </c>
    </row>
    <row r="17" spans="5:8" x14ac:dyDescent="0.2">
      <c r="E17" s="172" t="s">
        <v>268</v>
      </c>
      <c r="F17" s="127">
        <v>236.4684</v>
      </c>
      <c r="G17" s="11">
        <v>2</v>
      </c>
      <c r="H17" s="174">
        <f>IF(H16=1,0,1)</f>
        <v>0</v>
      </c>
    </row>
    <row r="18" spans="5:8" x14ac:dyDescent="0.2">
      <c r="E18" s="122"/>
      <c r="F18" s="122"/>
      <c r="G18" s="122"/>
      <c r="H18" s="122"/>
    </row>
    <row r="19" spans="5:8" x14ac:dyDescent="0.2">
      <c r="E19" t="s">
        <v>275</v>
      </c>
      <c r="F19">
        <f ca="1">OFFSET(E15,MATCH(1,H16:H17,0),1,1,1)</f>
        <v>224.64449999999999</v>
      </c>
    </row>
    <row r="20" spans="5:8" x14ac:dyDescent="0.2">
      <c r="E20" t="s">
        <v>276</v>
      </c>
      <c r="F20">
        <f ca="1">((F8-F7)+(F10-850))/100*OFFSET(E15,MATCH(1,H16:H17,0),2,1,1)</f>
        <v>7.5</v>
      </c>
    </row>
    <row r="22" spans="5:8" x14ac:dyDescent="0.2">
      <c r="E22" s="177" t="s">
        <v>269</v>
      </c>
      <c r="F22" s="175">
        <f ca="1">F19+F20</f>
        <v>232.14449999999999</v>
      </c>
    </row>
    <row r="23" spans="5:8" x14ac:dyDescent="0.2">
      <c r="E23" s="122"/>
      <c r="F23" s="122"/>
    </row>
    <row r="24" spans="5:8" ht="14.25" x14ac:dyDescent="0.2">
      <c r="E24" s="178" t="s">
        <v>263</v>
      </c>
      <c r="F24" s="173"/>
      <c r="G24" s="173"/>
    </row>
    <row r="25" spans="5:8" x14ac:dyDescent="0.2">
      <c r="E25" s="171" t="s">
        <v>261</v>
      </c>
      <c r="F25" s="122">
        <f>Гидравлика!C15</f>
        <v>32</v>
      </c>
    </row>
    <row r="26" spans="5:8" x14ac:dyDescent="0.2">
      <c r="E26" s="92" t="s">
        <v>264</v>
      </c>
      <c r="F26">
        <v>6.2</v>
      </c>
    </row>
    <row r="27" spans="5:8" x14ac:dyDescent="0.2">
      <c r="E27" s="92" t="s">
        <v>265</v>
      </c>
      <c r="F27">
        <v>34</v>
      </c>
    </row>
    <row r="28" spans="5:8" x14ac:dyDescent="0.2">
      <c r="E28" s="92"/>
    </row>
    <row r="29" spans="5:8" x14ac:dyDescent="0.2">
      <c r="E29" s="177" t="s">
        <v>266</v>
      </c>
      <c r="F29" s="176">
        <f>ROUNDUP((F25*F26+34)/60,2)</f>
        <v>3.88</v>
      </c>
    </row>
    <row r="31" spans="5:8" ht="14.25" x14ac:dyDescent="0.2">
      <c r="E31" s="178" t="s">
        <v>270</v>
      </c>
    </row>
    <row r="32" spans="5:8" x14ac:dyDescent="0.2">
      <c r="E32" s="92" t="s">
        <v>272</v>
      </c>
      <c r="F32">
        <f>F25-1</f>
        <v>31</v>
      </c>
    </row>
    <row r="33" spans="5:6" x14ac:dyDescent="0.2">
      <c r="E33" s="92" t="s">
        <v>273</v>
      </c>
      <c r="F33">
        <v>5.0999999999999996</v>
      </c>
    </row>
    <row r="34" spans="5:6" x14ac:dyDescent="0.2">
      <c r="E34" s="92" t="s">
        <v>271</v>
      </c>
      <c r="F34">
        <f>6*35</f>
        <v>210</v>
      </c>
    </row>
    <row r="36" spans="5:6" x14ac:dyDescent="0.2">
      <c r="E36" s="177" t="s">
        <v>274</v>
      </c>
      <c r="F36" s="176">
        <f>ROUNDUP((F34+F32*F33)/60,2)</f>
        <v>6.14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O58"/>
  <sheetViews>
    <sheetView zoomScaleNormal="100" workbookViewId="0">
      <selection activeCell="E44" sqref="E44"/>
    </sheetView>
  </sheetViews>
  <sheetFormatPr defaultColWidth="14.5703125" defaultRowHeight="12.75" x14ac:dyDescent="0.2"/>
  <cols>
    <col min="1" max="1" width="44.42578125" style="122" customWidth="1"/>
    <col min="2" max="2" width="12.140625" style="122" customWidth="1"/>
    <col min="3" max="3" width="12.7109375" style="122" customWidth="1"/>
    <col min="4" max="4" width="9.140625" style="122" customWidth="1"/>
    <col min="5" max="5" width="54.28515625" style="122" customWidth="1"/>
    <col min="6" max="6" width="13.140625" style="122" customWidth="1"/>
    <col min="7" max="7" width="10.28515625" style="122" customWidth="1"/>
    <col min="8" max="8" width="16.42578125" style="122" customWidth="1"/>
    <col min="9" max="9" width="29.28515625" style="122" customWidth="1"/>
    <col min="10" max="10" width="60.28515625" style="122" customWidth="1"/>
    <col min="11" max="11" width="11.7109375" style="122" customWidth="1"/>
    <col min="12" max="12" width="11.5703125" style="122" customWidth="1"/>
    <col min="13" max="13" width="10.28515625" style="122" customWidth="1"/>
    <col min="14" max="14" width="18.85546875" style="122" customWidth="1"/>
    <col min="15" max="15" width="16.85546875" style="122" customWidth="1"/>
    <col min="16" max="252" width="9.140625" style="122" customWidth="1"/>
    <col min="253" max="253" width="31.140625" style="122" customWidth="1"/>
    <col min="254" max="254" width="12.140625" style="122" customWidth="1"/>
    <col min="255" max="255" width="12.5703125" style="122" customWidth="1"/>
    <col min="256" max="16384" width="14.5703125" style="122"/>
  </cols>
  <sheetData>
    <row r="1" spans="1:15" x14ac:dyDescent="0.2">
      <c r="A1" s="148" t="s">
        <v>190</v>
      </c>
      <c r="B1" s="149"/>
      <c r="C1" s="125"/>
      <c r="D1" s="150"/>
      <c r="E1" s="122" t="s">
        <v>182</v>
      </c>
      <c r="F1" s="152">
        <f>Цена!B3</f>
        <v>95</v>
      </c>
    </row>
    <row r="2" spans="1:15" x14ac:dyDescent="0.2">
      <c r="A2" s="136" t="s">
        <v>191</v>
      </c>
      <c r="B2" s="136"/>
      <c r="C2" s="125"/>
      <c r="D2" s="150"/>
      <c r="F2" s="126"/>
      <c r="I2" s="127" t="s">
        <v>184</v>
      </c>
      <c r="J2" s="127" t="s">
        <v>152</v>
      </c>
    </row>
    <row r="3" spans="1:15" x14ac:dyDescent="0.2">
      <c r="A3" s="151" t="s">
        <v>201</v>
      </c>
      <c r="B3" s="124">
        <f>Вес!C34</f>
        <v>1416</v>
      </c>
      <c r="C3" s="125"/>
      <c r="D3" s="150"/>
      <c r="E3" s="154" t="s">
        <v>255</v>
      </c>
      <c r="F3" s="166">
        <f>Цена!B16</f>
        <v>1000</v>
      </c>
      <c r="I3" s="129"/>
      <c r="J3" s="130"/>
    </row>
    <row r="4" spans="1:15" x14ac:dyDescent="0.2">
      <c r="A4" s="128" t="s">
        <v>192</v>
      </c>
      <c r="B4" s="124">
        <f>B3/F12</f>
        <v>1770</v>
      </c>
      <c r="C4" s="125"/>
      <c r="D4" s="150"/>
      <c r="E4" s="165" t="s">
        <v>3</v>
      </c>
      <c r="F4" s="166">
        <f>Цена!C16</f>
        <v>1400</v>
      </c>
      <c r="I4" s="129" t="s">
        <v>71</v>
      </c>
      <c r="J4" s="131">
        <f>Параметры!B11</f>
        <v>205</v>
      </c>
    </row>
    <row r="5" spans="1:15" x14ac:dyDescent="0.2">
      <c r="A5" s="139" t="s">
        <v>193</v>
      </c>
      <c r="B5" s="124">
        <f ca="1">B4*$G$10</f>
        <v>486750</v>
      </c>
      <c r="C5" s="125"/>
      <c r="D5" s="150"/>
      <c r="E5" s="154" t="s">
        <v>256</v>
      </c>
      <c r="F5" s="167">
        <f>Цена!H16</f>
        <v>1300</v>
      </c>
      <c r="I5" s="129" t="s">
        <v>8</v>
      </c>
      <c r="J5" s="131">
        <f>Параметры!B12</f>
        <v>275</v>
      </c>
    </row>
    <row r="6" spans="1:15" x14ac:dyDescent="0.2">
      <c r="A6" s="136" t="s">
        <v>194</v>
      </c>
      <c r="B6" s="136"/>
      <c r="C6" s="125"/>
      <c r="D6" s="150"/>
      <c r="E6" s="154" t="s">
        <v>257</v>
      </c>
      <c r="F6" s="167">
        <f>Цена!D16</f>
        <v>1200</v>
      </c>
      <c r="I6" s="129" t="s">
        <v>9</v>
      </c>
      <c r="J6" s="131">
        <f>Параметры!B13</f>
        <v>390</v>
      </c>
    </row>
    <row r="7" spans="1:15" x14ac:dyDescent="0.2">
      <c r="A7" s="151" t="s">
        <v>203</v>
      </c>
      <c r="B7" s="141">
        <f ca="1">ROUNDUP(OFFSET(J13,MATCH(1,O15:O16,0)+1,MATCH(1,K17:M17,0),1,1)*F1,0)</f>
        <v>374585</v>
      </c>
      <c r="C7" s="125"/>
      <c r="E7" s="154" t="s">
        <v>13</v>
      </c>
      <c r="F7" s="167">
        <f>Цена!E16</f>
        <v>16</v>
      </c>
      <c r="I7" s="129" t="s">
        <v>72</v>
      </c>
      <c r="J7" s="131">
        <f>Параметры!B14</f>
        <v>310</v>
      </c>
    </row>
    <row r="8" spans="1:15" x14ac:dyDescent="0.2">
      <c r="A8" s="154" t="s">
        <v>244</v>
      </c>
      <c r="B8" s="126">
        <f>ROUNDUP(F16*F17,1)</f>
        <v>450</v>
      </c>
      <c r="C8" s="142"/>
      <c r="I8" s="129" t="s">
        <v>250</v>
      </c>
      <c r="J8" s="131">
        <v>3650</v>
      </c>
    </row>
    <row r="9" spans="1:15" ht="12.75" customHeight="1" x14ac:dyDescent="0.2">
      <c r="A9" s="138" t="s">
        <v>249</v>
      </c>
      <c r="B9" s="147">
        <f>F20</f>
        <v>6611</v>
      </c>
      <c r="C9" s="125"/>
      <c r="E9" s="128" t="s">
        <v>12</v>
      </c>
      <c r="F9" s="133">
        <f>Параметры!B5</f>
        <v>0.03</v>
      </c>
    </row>
    <row r="10" spans="1:15" x14ac:dyDescent="0.2">
      <c r="A10" s="154" t="s">
        <v>251</v>
      </c>
      <c r="B10" s="147">
        <f>ROUNDUP((F3/1000-0.1-0.1)*0.25*Материалы!J8,0)</f>
        <v>730</v>
      </c>
      <c r="C10" s="125"/>
      <c r="E10" s="122" t="s">
        <v>189</v>
      </c>
      <c r="F10" s="153" t="str">
        <f>Цена!D22</f>
        <v>AISI 304</v>
      </c>
      <c r="G10" s="128">
        <f ca="1">OFFSET($I$2,MATCH(F10,$I$3:$I$8,0),1,1,1)</f>
        <v>275</v>
      </c>
      <c r="H10" s="122" t="s">
        <v>152</v>
      </c>
    </row>
    <row r="11" spans="1:15" x14ac:dyDescent="0.2">
      <c r="A11" s="157" t="s">
        <v>204</v>
      </c>
      <c r="B11" s="147">
        <f>F19</f>
        <v>11467</v>
      </c>
      <c r="C11" s="125"/>
      <c r="E11" s="154" t="s">
        <v>22</v>
      </c>
      <c r="F11" s="153">
        <f>Цена!D23</f>
        <v>68</v>
      </c>
    </row>
    <row r="12" spans="1:15" x14ac:dyDescent="0.2">
      <c r="A12" s="157" t="s">
        <v>375</v>
      </c>
      <c r="B12" s="147">
        <f>B8*3</f>
        <v>1350</v>
      </c>
      <c r="C12" s="125"/>
      <c r="E12" s="122" t="s">
        <v>195</v>
      </c>
      <c r="F12" s="140">
        <f>Параметры!B111</f>
        <v>0.8</v>
      </c>
    </row>
    <row r="13" spans="1:15" x14ac:dyDescent="0.2">
      <c r="A13" s="122" t="s">
        <v>198</v>
      </c>
      <c r="B13" s="126">
        <f ca="1">SUM(B5:B12)*F9</f>
        <v>26458.289999999997</v>
      </c>
      <c r="C13" s="125"/>
      <c r="E13" s="154" t="s">
        <v>158</v>
      </c>
      <c r="F13" s="140">
        <f>Параметры!B113</f>
        <v>1</v>
      </c>
      <c r="I13" s="293"/>
      <c r="J13" s="294" t="s">
        <v>69</v>
      </c>
      <c r="K13" s="292" t="s">
        <v>196</v>
      </c>
      <c r="L13" s="293"/>
      <c r="M13" s="293"/>
      <c r="N13" s="146"/>
      <c r="O13" s="160" t="s">
        <v>197</v>
      </c>
    </row>
    <row r="14" spans="1:15" ht="13.5" thickBot="1" x14ac:dyDescent="0.25">
      <c r="C14" s="125"/>
      <c r="E14" s="154" t="s">
        <v>202</v>
      </c>
      <c r="F14" s="143">
        <f>Параметры!B112</f>
        <v>1.5</v>
      </c>
      <c r="I14" s="293"/>
      <c r="J14" s="294"/>
      <c r="K14" s="159">
        <v>55</v>
      </c>
      <c r="L14" s="159">
        <v>66</v>
      </c>
      <c r="M14" s="159">
        <v>68</v>
      </c>
      <c r="N14" s="160" t="s">
        <v>351</v>
      </c>
      <c r="O14" s="146"/>
    </row>
    <row r="15" spans="1:15" ht="14.25" customHeight="1" thickBot="1" x14ac:dyDescent="0.25">
      <c r="A15" s="134" t="s">
        <v>199</v>
      </c>
      <c r="B15" s="135">
        <f ca="1">SUM(B5:B13)</f>
        <v>908401.29</v>
      </c>
      <c r="C15" s="132"/>
      <c r="F15" s="137"/>
      <c r="I15" s="130"/>
      <c r="J15" s="209" t="str">
        <f>Параметры!A116</f>
        <v>Мотор-редуктор СВPP-85-225,4-KWO 37/6/80B5 LFB</v>
      </c>
      <c r="K15" s="145">
        <f>Параметры!B116</f>
        <v>1088</v>
      </c>
      <c r="L15" s="145">
        <f>Параметры!C116</f>
        <v>1125</v>
      </c>
      <c r="M15" s="145">
        <f>Параметры!D116</f>
        <v>2813</v>
      </c>
      <c r="N15" s="146">
        <v>0.37</v>
      </c>
      <c r="O15" s="146">
        <f>IF(O16=1,0,1)</f>
        <v>0</v>
      </c>
    </row>
    <row r="16" spans="1:15" ht="13.5" customHeight="1" x14ac:dyDescent="0.2">
      <c r="E16" s="154" t="s">
        <v>245</v>
      </c>
      <c r="F16" s="158">
        <f>IF(Цена!C16&lt;3000,7.5,ROUNDUP((Цена!C16+Цена!D16+1700+3000)/1000,1))</f>
        <v>7.5</v>
      </c>
      <c r="I16" s="130"/>
      <c r="J16" s="209" t="str">
        <f>Параметры!A117</f>
        <v>Мотор-редуктор СВPP-110-225,4-KWO.55,IP66/6/80B5 LFB М3</v>
      </c>
      <c r="K16" s="145">
        <f>Параметры!B117</f>
        <v>1538</v>
      </c>
      <c r="L16" s="145">
        <f>Параметры!C117</f>
        <v>1577</v>
      </c>
      <c r="M16" s="145">
        <f>Параметры!D117</f>
        <v>3943</v>
      </c>
      <c r="N16" s="146">
        <v>0.55000000000000004</v>
      </c>
      <c r="O16" s="146">
        <f>IF(OR(F3&gt;1000,F4&gt;1000),1,0)</f>
        <v>1</v>
      </c>
    </row>
    <row r="17" spans="1:15" x14ac:dyDescent="0.2">
      <c r="E17" s="154" t="s">
        <v>376</v>
      </c>
      <c r="F17" s="137">
        <f>Параметры!B155</f>
        <v>60</v>
      </c>
      <c r="I17" s="160" t="s">
        <v>197</v>
      </c>
      <c r="J17" s="146"/>
      <c r="K17" s="144">
        <f>IF(K14=$F$11,1,0)</f>
        <v>0</v>
      </c>
      <c r="L17" s="144">
        <f>IF(L14=$F$11,1,0)</f>
        <v>0</v>
      </c>
      <c r="M17" s="144">
        <f>IF(M14=$F$11,1,0)</f>
        <v>1</v>
      </c>
      <c r="N17" s="146"/>
      <c r="O17" s="146"/>
    </row>
    <row r="19" spans="1:15" x14ac:dyDescent="0.2">
      <c r="E19" s="154" t="s">
        <v>246</v>
      </c>
      <c r="F19" s="137">
        <f>Параметры!E152</f>
        <v>11467</v>
      </c>
    </row>
    <row r="20" spans="1:15" ht="14.25" customHeight="1" x14ac:dyDescent="0.2">
      <c r="E20" s="154" t="s">
        <v>249</v>
      </c>
      <c r="F20" s="137">
        <f>Параметры!B156</f>
        <v>6611</v>
      </c>
    </row>
    <row r="21" spans="1:15" ht="13.5" thickBot="1" x14ac:dyDescent="0.25">
      <c r="E21" s="126"/>
    </row>
    <row r="22" spans="1:15" s="215" customFormat="1" ht="13.5" thickBot="1" x14ac:dyDescent="0.25">
      <c r="A22" s="295" t="s">
        <v>76</v>
      </c>
      <c r="B22" s="296"/>
    </row>
    <row r="23" spans="1:15" s="219" customFormat="1" x14ac:dyDescent="0.2">
      <c r="A23" s="216"/>
      <c r="B23" s="217"/>
      <c r="C23" s="218"/>
      <c r="D23" s="218"/>
    </row>
    <row r="24" spans="1:15" s="219" customFormat="1" ht="15" x14ac:dyDescent="0.25">
      <c r="A24" s="220" t="s">
        <v>357</v>
      </c>
      <c r="B24" s="221">
        <f>Параметры!B168</f>
        <v>880</v>
      </c>
      <c r="C24" s="218"/>
      <c r="E24" s="218" t="s">
        <v>358</v>
      </c>
      <c r="F24" s="222" t="str">
        <f>Цена!D24</f>
        <v>Да</v>
      </c>
      <c r="I24" s="226" t="s">
        <v>359</v>
      </c>
      <c r="J24" s="227" t="s">
        <v>360</v>
      </c>
    </row>
    <row r="25" spans="1:15" s="219" customFormat="1" ht="15" x14ac:dyDescent="0.25">
      <c r="A25" s="223" t="s">
        <v>354</v>
      </c>
      <c r="B25" s="221">
        <f ca="1">OFFSET(I28,MATCH(1,H29:H31,0),1,1,1)</f>
        <v>264</v>
      </c>
      <c r="C25" s="218"/>
      <c r="E25" s="224" t="s">
        <v>354</v>
      </c>
      <c r="F25" s="225" t="str">
        <f>Цена!D25</f>
        <v>ModBus TCP</v>
      </c>
      <c r="H25" s="229">
        <f>K17</f>
        <v>0</v>
      </c>
      <c r="I25" s="230" t="s">
        <v>23</v>
      </c>
      <c r="J25" s="239">
        <f>Параметры!B161</f>
        <v>66</v>
      </c>
    </row>
    <row r="26" spans="1:15" s="219" customFormat="1" ht="15" x14ac:dyDescent="0.25">
      <c r="A26" s="220" t="s">
        <v>361</v>
      </c>
      <c r="B26" s="221">
        <f ca="1">OFFSET(I24,MATCH(1,H25:H27,0),1,1,1)</f>
        <v>198</v>
      </c>
      <c r="C26" s="218"/>
      <c r="E26" s="218" t="s">
        <v>362</v>
      </c>
      <c r="F26" s="228">
        <f>IF(F11="IP 68","IP 67",F11)</f>
        <v>68</v>
      </c>
      <c r="H26" s="229">
        <f>L17</f>
        <v>0</v>
      </c>
      <c r="I26" s="230" t="s">
        <v>24</v>
      </c>
      <c r="J26" s="239">
        <f>Параметры!B162</f>
        <v>88</v>
      </c>
    </row>
    <row r="27" spans="1:15" s="219" customFormat="1" ht="15" x14ac:dyDescent="0.25">
      <c r="B27" s="231"/>
      <c r="C27" s="218"/>
      <c r="D27" s="218"/>
      <c r="H27" s="229">
        <f>M17</f>
        <v>1</v>
      </c>
      <c r="I27" s="232" t="s">
        <v>98</v>
      </c>
      <c r="J27" s="240">
        <f>Параметры!B163</f>
        <v>198</v>
      </c>
    </row>
    <row r="28" spans="1:15" s="219" customFormat="1" x14ac:dyDescent="0.2">
      <c r="A28" s="219" t="s">
        <v>363</v>
      </c>
      <c r="B28" s="221">
        <f ca="1">SUM(B24:B26)</f>
        <v>1342</v>
      </c>
    </row>
    <row r="29" spans="1:15" s="219" customFormat="1" x14ac:dyDescent="0.2">
      <c r="A29" s="219" t="s">
        <v>364</v>
      </c>
      <c r="B29" s="231">
        <f ca="1">B28*F1</f>
        <v>127490</v>
      </c>
      <c r="H29" s="229">
        <f>IF(I29=$F$25,1,0)</f>
        <v>0</v>
      </c>
      <c r="I29" s="233" t="s">
        <v>21</v>
      </c>
      <c r="J29" s="234">
        <v>0</v>
      </c>
    </row>
    <row r="30" spans="1:15" s="219" customFormat="1" x14ac:dyDescent="0.2">
      <c r="A30" s="219" t="s">
        <v>12</v>
      </c>
      <c r="B30" s="231">
        <f ca="1">ROUND(B29*F9,1)</f>
        <v>3824.7</v>
      </c>
      <c r="H30" s="229">
        <f>IF(I30=$F$25,1,0)</f>
        <v>0</v>
      </c>
      <c r="I30" s="235" t="s">
        <v>365</v>
      </c>
      <c r="J30" s="259">
        <v>0</v>
      </c>
    </row>
    <row r="31" spans="1:15" s="219" customFormat="1" ht="13.5" thickBot="1" x14ac:dyDescent="0.25">
      <c r="B31" s="231"/>
      <c r="H31" s="229">
        <f>IF(I31=$F$25,1,0)</f>
        <v>1</v>
      </c>
      <c r="I31" s="238" t="s">
        <v>367</v>
      </c>
      <c r="J31" s="241">
        <f>Параметры!B166</f>
        <v>264</v>
      </c>
    </row>
    <row r="32" spans="1:15" s="219" customFormat="1" ht="13.5" thickBot="1" x14ac:dyDescent="0.25">
      <c r="A32" s="236" t="s">
        <v>366</v>
      </c>
      <c r="B32" s="237">
        <f ca="1">B29+B30</f>
        <v>131314.70000000001</v>
      </c>
      <c r="H32" s="122"/>
      <c r="I32" s="122"/>
      <c r="J32" s="122"/>
    </row>
    <row r="53" spans="9:9" x14ac:dyDescent="0.2">
      <c r="I53" s="138"/>
    </row>
    <row r="54" spans="9:9" x14ac:dyDescent="0.2">
      <c r="I54" s="138"/>
    </row>
    <row r="55" spans="9:9" x14ac:dyDescent="0.2">
      <c r="I55" s="138"/>
    </row>
    <row r="56" spans="9:9" x14ac:dyDescent="0.2">
      <c r="I56" s="138"/>
    </row>
    <row r="57" spans="9:9" x14ac:dyDescent="0.2">
      <c r="I57" s="138"/>
    </row>
    <row r="58" spans="9:9" x14ac:dyDescent="0.2">
      <c r="I58" s="138"/>
    </row>
  </sheetData>
  <mergeCells count="4">
    <mergeCell ref="K13:M13"/>
    <mergeCell ref="J13:J14"/>
    <mergeCell ref="I13:I14"/>
    <mergeCell ref="A22:B2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B38"/>
  <sheetViews>
    <sheetView workbookViewId="0">
      <selection activeCell="K20" sqref="K20"/>
    </sheetView>
  </sheetViews>
  <sheetFormatPr defaultRowHeight="18.75" x14ac:dyDescent="0.3"/>
  <cols>
    <col min="1" max="1" width="10.5703125" style="15" customWidth="1"/>
    <col min="2" max="11" width="9.140625" style="15"/>
    <col min="12" max="12" width="14.85546875" style="15" customWidth="1"/>
    <col min="13" max="13" width="14.28515625" style="15" customWidth="1"/>
    <col min="14" max="15" width="8" style="15" customWidth="1"/>
    <col min="16" max="16" width="7.85546875" style="15" customWidth="1"/>
    <col min="17" max="17" width="9.140625" style="15"/>
    <col min="18" max="18" width="12.7109375" style="15" customWidth="1"/>
    <col min="19" max="19" width="12.5703125" style="15" customWidth="1"/>
    <col min="20" max="27" width="9.140625" style="15"/>
    <col min="28" max="28" width="9.140625" style="15" customWidth="1"/>
    <col min="29" max="16384" width="9.140625" style="15"/>
  </cols>
  <sheetData>
    <row r="1" spans="1:28" ht="19.5" customHeight="1" thickBot="1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R1" s="322" t="s">
        <v>38</v>
      </c>
      <c r="S1" s="323"/>
      <c r="T1" s="329" t="s">
        <v>39</v>
      </c>
      <c r="U1" s="330"/>
      <c r="V1" s="330"/>
      <c r="W1" s="330"/>
      <c r="X1" s="330"/>
      <c r="Y1" s="330"/>
      <c r="Z1" s="330"/>
      <c r="AA1" s="330"/>
      <c r="AB1" s="331"/>
    </row>
    <row r="2" spans="1:28" ht="22.5" customHeight="1" x14ac:dyDescent="0.3">
      <c r="A2" s="162"/>
      <c r="B2" s="346"/>
      <c r="C2" s="346"/>
      <c r="D2" s="17"/>
      <c r="E2" s="18"/>
      <c r="F2" s="17"/>
      <c r="G2" s="17"/>
      <c r="H2" s="17"/>
      <c r="I2" s="17"/>
      <c r="J2" s="17"/>
      <c r="K2" s="17"/>
      <c r="L2" s="17"/>
      <c r="M2" s="17"/>
      <c r="N2" s="16"/>
      <c r="O2" s="163"/>
      <c r="P2" s="14"/>
      <c r="R2" s="324"/>
      <c r="S2" s="325"/>
      <c r="T2" s="333">
        <v>5</v>
      </c>
      <c r="U2" s="335">
        <v>10</v>
      </c>
      <c r="V2" s="335">
        <v>20</v>
      </c>
      <c r="W2" s="335">
        <v>50</v>
      </c>
      <c r="X2" s="335">
        <v>100</v>
      </c>
      <c r="Y2" s="335">
        <v>300</v>
      </c>
      <c r="Z2" s="335">
        <v>500</v>
      </c>
      <c r="AA2" s="335">
        <v>1000</v>
      </c>
      <c r="AB2" s="338" t="s">
        <v>43</v>
      </c>
    </row>
    <row r="3" spans="1:28" ht="19.5" thickBot="1" x14ac:dyDescent="0.35">
      <c r="A3" s="162" t="s">
        <v>25</v>
      </c>
      <c r="B3" s="347">
        <f>Цена!E16</f>
        <v>16</v>
      </c>
      <c r="C3" s="348"/>
      <c r="D3" s="17" t="s">
        <v>0</v>
      </c>
      <c r="E3" s="18" t="s">
        <v>26</v>
      </c>
      <c r="F3" s="17"/>
      <c r="G3" s="17"/>
      <c r="H3" s="17"/>
      <c r="I3" s="17"/>
      <c r="J3" s="17"/>
      <c r="K3" s="17"/>
      <c r="L3" s="17"/>
      <c r="M3" s="17"/>
      <c r="N3" s="16"/>
      <c r="O3" s="163"/>
      <c r="P3" s="14"/>
      <c r="R3" s="326"/>
      <c r="S3" s="327"/>
      <c r="T3" s="334"/>
      <c r="U3" s="336"/>
      <c r="V3" s="336"/>
      <c r="W3" s="336"/>
      <c r="X3" s="336"/>
      <c r="Y3" s="336"/>
      <c r="Z3" s="336"/>
      <c r="AA3" s="336"/>
      <c r="AB3" s="339"/>
    </row>
    <row r="4" spans="1:28" x14ac:dyDescent="0.3">
      <c r="A4" s="162" t="s">
        <v>27</v>
      </c>
      <c r="B4" s="337">
        <f>F15</f>
        <v>0.45135999999999998</v>
      </c>
      <c r="C4" s="337"/>
      <c r="D4" s="17" t="s">
        <v>28</v>
      </c>
      <c r="E4" s="18" t="s">
        <v>29</v>
      </c>
      <c r="F4" s="17"/>
      <c r="G4" s="17"/>
      <c r="H4" s="17"/>
      <c r="I4" s="17"/>
      <c r="J4" s="17"/>
      <c r="K4" s="17"/>
      <c r="L4" s="19">
        <f>B4*3600</f>
        <v>1624.896</v>
      </c>
      <c r="M4" s="20" t="s">
        <v>30</v>
      </c>
      <c r="N4" s="16"/>
      <c r="O4" s="163"/>
      <c r="P4" s="14"/>
      <c r="R4" s="342" t="s">
        <v>48</v>
      </c>
      <c r="S4" s="343"/>
      <c r="T4" s="320">
        <v>2.5</v>
      </c>
      <c r="U4" s="297">
        <v>2.1</v>
      </c>
      <c r="V4" s="297">
        <v>1.9</v>
      </c>
      <c r="W4" s="297">
        <v>1.7</v>
      </c>
      <c r="X4" s="297">
        <v>1.6</v>
      </c>
      <c r="Y4" s="297">
        <v>1.55</v>
      </c>
      <c r="Z4" s="297">
        <v>1.5</v>
      </c>
      <c r="AA4" s="297">
        <v>1.47</v>
      </c>
      <c r="AB4" s="340">
        <v>1.44</v>
      </c>
    </row>
    <row r="5" spans="1:28" x14ac:dyDescent="0.3">
      <c r="A5" s="162" t="s">
        <v>31</v>
      </c>
      <c r="B5" s="328">
        <f>Цена!B16/1000</f>
        <v>1</v>
      </c>
      <c r="C5" s="328"/>
      <c r="D5" s="17" t="s">
        <v>32</v>
      </c>
      <c r="E5" s="18" t="s">
        <v>62</v>
      </c>
      <c r="F5" s="17"/>
      <c r="G5" s="17"/>
      <c r="H5" s="17"/>
      <c r="I5" s="17"/>
      <c r="J5" s="17"/>
      <c r="K5" s="17"/>
      <c r="L5" s="17"/>
      <c r="M5" s="17"/>
      <c r="N5" s="16"/>
      <c r="O5" s="163"/>
      <c r="P5" s="14"/>
      <c r="R5" s="344"/>
      <c r="S5" s="345"/>
      <c r="T5" s="321"/>
      <c r="U5" s="298"/>
      <c r="V5" s="298"/>
      <c r="W5" s="298"/>
      <c r="X5" s="298"/>
      <c r="Y5" s="298"/>
      <c r="Z5" s="298"/>
      <c r="AA5" s="298"/>
      <c r="AB5" s="341"/>
    </row>
    <row r="6" spans="1:28" x14ac:dyDescent="0.3">
      <c r="A6" s="162" t="s">
        <v>33</v>
      </c>
      <c r="B6" s="328">
        <f>Цена!H16/1000</f>
        <v>1.3</v>
      </c>
      <c r="C6" s="328"/>
      <c r="D6" s="17" t="s">
        <v>32</v>
      </c>
      <c r="E6" s="18" t="s">
        <v>63</v>
      </c>
      <c r="F6" s="17"/>
      <c r="G6" s="17"/>
      <c r="H6" s="17"/>
      <c r="I6" s="17"/>
      <c r="J6" s="17"/>
      <c r="K6" s="17"/>
      <c r="L6" s="17"/>
      <c r="M6" s="17"/>
      <c r="N6" s="16"/>
      <c r="O6" s="163"/>
      <c r="P6" s="14"/>
      <c r="R6" s="314" t="s">
        <v>51</v>
      </c>
      <c r="S6" s="315"/>
      <c r="T6" s="318">
        <v>0.38</v>
      </c>
      <c r="U6" s="299">
        <v>0.45</v>
      </c>
      <c r="V6" s="299">
        <v>0.5</v>
      </c>
      <c r="W6" s="299">
        <v>0.55000000000000004</v>
      </c>
      <c r="X6" s="299">
        <v>0.59</v>
      </c>
      <c r="Y6" s="299">
        <v>0.62</v>
      </c>
      <c r="Z6" s="299">
        <v>0.66</v>
      </c>
      <c r="AA6" s="299">
        <v>0.69</v>
      </c>
      <c r="AB6" s="301">
        <v>0.71</v>
      </c>
    </row>
    <row r="7" spans="1:28" ht="19.5" thickBot="1" x14ac:dyDescent="0.35">
      <c r="A7" s="162" t="s">
        <v>34</v>
      </c>
      <c r="B7" s="328">
        <f>B6-B8</f>
        <v>1</v>
      </c>
      <c r="C7" s="328"/>
      <c r="D7" s="17" t="s">
        <v>32</v>
      </c>
      <c r="E7" s="18" t="s">
        <v>35</v>
      </c>
      <c r="F7" s="17"/>
      <c r="G7" s="17"/>
      <c r="H7" s="17"/>
      <c r="I7" s="17"/>
      <c r="J7" s="17"/>
      <c r="K7" s="17"/>
      <c r="L7" s="17"/>
      <c r="M7" s="17"/>
      <c r="N7" s="16"/>
      <c r="O7" s="163"/>
      <c r="P7" s="14"/>
      <c r="R7" s="316"/>
      <c r="S7" s="317"/>
      <c r="T7" s="319"/>
      <c r="U7" s="300"/>
      <c r="V7" s="300"/>
      <c r="W7" s="300"/>
      <c r="X7" s="300"/>
      <c r="Y7" s="300"/>
      <c r="Z7" s="300"/>
      <c r="AA7" s="300"/>
      <c r="AB7" s="302"/>
    </row>
    <row r="8" spans="1:28" ht="19.5" customHeight="1" x14ac:dyDescent="0.3">
      <c r="A8" s="164" t="s">
        <v>36</v>
      </c>
      <c r="B8" s="304">
        <v>0.3</v>
      </c>
      <c r="C8" s="304"/>
      <c r="D8" s="17" t="s">
        <v>32</v>
      </c>
      <c r="E8" s="18" t="s">
        <v>37</v>
      </c>
      <c r="F8" s="17"/>
      <c r="G8" s="17"/>
      <c r="H8" s="17"/>
      <c r="I8" s="17"/>
      <c r="J8" s="17"/>
      <c r="K8" s="17"/>
      <c r="L8" s="17"/>
      <c r="M8" s="17"/>
      <c r="N8" s="16"/>
      <c r="O8" s="163"/>
      <c r="P8" s="14"/>
      <c r="R8" s="305" t="s">
        <v>52</v>
      </c>
      <c r="S8" s="306"/>
      <c r="T8" s="306"/>
      <c r="U8" s="306"/>
      <c r="V8" s="306"/>
      <c r="W8" s="306"/>
      <c r="X8" s="306"/>
      <c r="Y8" s="306"/>
      <c r="Z8" s="306"/>
      <c r="AA8" s="306"/>
      <c r="AB8" s="307"/>
    </row>
    <row r="9" spans="1:28" ht="21" customHeight="1" x14ac:dyDescent="0.3">
      <c r="A9" s="162" t="s">
        <v>40</v>
      </c>
      <c r="B9" s="332">
        <v>1</v>
      </c>
      <c r="C9" s="332"/>
      <c r="D9" s="17" t="s">
        <v>41</v>
      </c>
      <c r="E9" s="18" t="s">
        <v>42</v>
      </c>
      <c r="F9" s="17"/>
      <c r="G9" s="17"/>
      <c r="H9" s="17"/>
      <c r="I9" s="17"/>
      <c r="J9" s="17"/>
      <c r="K9" s="17"/>
      <c r="L9" s="17"/>
      <c r="M9" s="17"/>
      <c r="N9" s="16"/>
      <c r="O9" s="163"/>
      <c r="P9" s="14"/>
      <c r="R9" s="308"/>
      <c r="S9" s="309"/>
      <c r="T9" s="309"/>
      <c r="U9" s="309"/>
      <c r="V9" s="309"/>
      <c r="W9" s="309"/>
      <c r="X9" s="309"/>
      <c r="Y9" s="309"/>
      <c r="Z9" s="309"/>
      <c r="AA9" s="309"/>
      <c r="AB9" s="310"/>
    </row>
    <row r="10" spans="1:28" ht="20.25" customHeight="1" x14ac:dyDescent="0.3">
      <c r="A10" s="162" t="s">
        <v>44</v>
      </c>
      <c r="B10" s="348">
        <v>0.7</v>
      </c>
      <c r="C10" s="348"/>
      <c r="D10" s="17" t="s">
        <v>41</v>
      </c>
      <c r="E10" s="18" t="s">
        <v>45</v>
      </c>
      <c r="F10" s="16"/>
      <c r="G10" s="16"/>
      <c r="H10" s="16"/>
      <c r="I10" s="16"/>
      <c r="J10" s="16"/>
      <c r="K10" s="17"/>
      <c r="L10" s="17"/>
      <c r="M10" s="17"/>
      <c r="N10" s="16"/>
      <c r="O10" s="163"/>
      <c r="P10" s="14"/>
      <c r="R10" s="308"/>
      <c r="S10" s="309"/>
      <c r="T10" s="309"/>
      <c r="U10" s="309"/>
      <c r="V10" s="309"/>
      <c r="W10" s="309"/>
      <c r="X10" s="309"/>
      <c r="Y10" s="309"/>
      <c r="Z10" s="309"/>
      <c r="AA10" s="309"/>
      <c r="AB10" s="310"/>
    </row>
    <row r="11" spans="1:28" ht="18.75" customHeight="1" x14ac:dyDescent="0.3">
      <c r="A11" s="162" t="s">
        <v>46</v>
      </c>
      <c r="B11" s="348">
        <v>10</v>
      </c>
      <c r="C11" s="348"/>
      <c r="D11" s="17" t="s">
        <v>0</v>
      </c>
      <c r="E11" s="18" t="s">
        <v>47</v>
      </c>
      <c r="F11" s="16"/>
      <c r="G11" s="16"/>
      <c r="H11" s="16"/>
      <c r="I11" s="16"/>
      <c r="J11" s="16"/>
      <c r="K11" s="17"/>
      <c r="L11" s="17"/>
      <c r="M11" s="17"/>
      <c r="N11" s="16"/>
      <c r="O11" s="163"/>
      <c r="P11" s="14"/>
      <c r="R11" s="308"/>
      <c r="S11" s="309"/>
      <c r="T11" s="309"/>
      <c r="U11" s="309"/>
      <c r="V11" s="309"/>
      <c r="W11" s="309"/>
      <c r="X11" s="309"/>
      <c r="Y11" s="309"/>
      <c r="Z11" s="309"/>
      <c r="AA11" s="309"/>
      <c r="AB11" s="310"/>
    </row>
    <row r="12" spans="1:28" ht="21" customHeight="1" x14ac:dyDescent="0.3">
      <c r="A12" s="162" t="s">
        <v>49</v>
      </c>
      <c r="B12" s="303">
        <v>2.7</v>
      </c>
      <c r="C12" s="303"/>
      <c r="D12" s="21"/>
      <c r="E12" s="18" t="s">
        <v>50</v>
      </c>
      <c r="F12" s="16"/>
      <c r="G12" s="16"/>
      <c r="H12" s="16"/>
      <c r="I12" s="16"/>
      <c r="J12" s="16"/>
      <c r="K12" s="17"/>
      <c r="L12" s="17"/>
      <c r="M12" s="17"/>
      <c r="N12" s="16"/>
      <c r="O12" s="163"/>
      <c r="P12" s="14"/>
      <c r="R12" s="308"/>
      <c r="S12" s="309"/>
      <c r="T12" s="309"/>
      <c r="U12" s="309"/>
      <c r="V12" s="309"/>
      <c r="W12" s="309"/>
      <c r="X12" s="309"/>
      <c r="Y12" s="309"/>
      <c r="Z12" s="309"/>
      <c r="AA12" s="309"/>
      <c r="AB12" s="310"/>
    </row>
    <row r="13" spans="1:28" ht="16.5" customHeight="1" thickBot="1" x14ac:dyDescent="0.35">
      <c r="A13" s="23"/>
      <c r="B13" s="24"/>
      <c r="C13" s="24"/>
      <c r="D13" s="25"/>
      <c r="E13" s="26"/>
      <c r="F13" s="22"/>
      <c r="G13" s="22"/>
      <c r="H13" s="22"/>
      <c r="I13" s="22"/>
      <c r="J13" s="22"/>
      <c r="K13" s="27"/>
      <c r="L13" s="27"/>
      <c r="M13" s="27"/>
      <c r="N13" s="14"/>
      <c r="O13" s="14"/>
      <c r="P13" s="14"/>
      <c r="R13" s="311"/>
      <c r="S13" s="312"/>
      <c r="T13" s="312"/>
      <c r="U13" s="312"/>
      <c r="V13" s="312"/>
      <c r="W13" s="312"/>
      <c r="X13" s="312"/>
      <c r="Y13" s="312"/>
      <c r="Z13" s="312"/>
      <c r="AA13" s="312"/>
      <c r="AB13" s="313"/>
    </row>
    <row r="14" spans="1:28" ht="144" x14ac:dyDescent="0.3">
      <c r="A14" s="183" t="s">
        <v>53</v>
      </c>
      <c r="B14" s="184" t="s">
        <v>54</v>
      </c>
      <c r="C14" s="184" t="s">
        <v>55</v>
      </c>
      <c r="D14" s="185" t="s">
        <v>56</v>
      </c>
      <c r="E14" s="184" t="s">
        <v>57</v>
      </c>
      <c r="F14" s="184" t="s">
        <v>58</v>
      </c>
      <c r="G14" s="184" t="s">
        <v>59</v>
      </c>
      <c r="H14" s="184" t="s">
        <v>60</v>
      </c>
      <c r="I14" s="184" t="s">
        <v>61</v>
      </c>
    </row>
    <row r="15" spans="1:28" x14ac:dyDescent="0.3">
      <c r="A15" s="186">
        <f>B3</f>
        <v>16</v>
      </c>
      <c r="B15" s="187">
        <f>(B5-0.1)*1000</f>
        <v>900</v>
      </c>
      <c r="C15" s="188">
        <f>(((((ROUNDUP(((B15/2)-44)/(B3+$B$11),0))))))*2</f>
        <v>32</v>
      </c>
      <c r="D15" s="188">
        <f>C15-1</f>
        <v>31</v>
      </c>
      <c r="E15" s="189">
        <f>(B7-0.09)*B3/1000*D15</f>
        <v>0.45135999999999998</v>
      </c>
      <c r="F15" s="190">
        <f>E15*G15</f>
        <v>0.45135999999999998</v>
      </c>
      <c r="G15" s="190">
        <v>1</v>
      </c>
      <c r="H15" s="188">
        <f>ROUND(3.36*G15-1.32,2)</f>
        <v>2.04</v>
      </c>
      <c r="I15" s="191">
        <f>($B$12*($B$11/A15)^(4/3)*SIN(RADIANS(90))*$B$10^2*H15)/(2*9.8)</f>
        <v>7.3582402455431614E-2</v>
      </c>
    </row>
    <row r="16" spans="1:28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91"/>
      <c r="O17" s="14"/>
      <c r="P17" s="14"/>
    </row>
    <row r="18" spans="1:16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1:16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6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16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6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6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6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16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6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1:16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16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spans="1:16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spans="1:16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1:16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1:16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</sheetData>
  <mergeCells count="43">
    <mergeCell ref="B2:C2"/>
    <mergeCell ref="B3:C3"/>
    <mergeCell ref="B5:C5"/>
    <mergeCell ref="B6:C6"/>
    <mergeCell ref="B11:C11"/>
    <mergeCell ref="B10:C10"/>
    <mergeCell ref="R1:S3"/>
    <mergeCell ref="B7:C7"/>
    <mergeCell ref="T1:AB1"/>
    <mergeCell ref="B9:C9"/>
    <mergeCell ref="T2:T3"/>
    <mergeCell ref="U2:U3"/>
    <mergeCell ref="V2:V3"/>
    <mergeCell ref="B4:C4"/>
    <mergeCell ref="Y2:Y3"/>
    <mergeCell ref="Z2:Z3"/>
    <mergeCell ref="AA2:AA3"/>
    <mergeCell ref="AB2:AB3"/>
    <mergeCell ref="X2:X3"/>
    <mergeCell ref="W2:W3"/>
    <mergeCell ref="AB4:AB5"/>
    <mergeCell ref="R4:S5"/>
    <mergeCell ref="B12:C12"/>
    <mergeCell ref="X6:X7"/>
    <mergeCell ref="W4:W5"/>
    <mergeCell ref="X4:X5"/>
    <mergeCell ref="B8:C8"/>
    <mergeCell ref="V6:V7"/>
    <mergeCell ref="W6:W7"/>
    <mergeCell ref="R8:AB13"/>
    <mergeCell ref="R6:S7"/>
    <mergeCell ref="T6:T7"/>
    <mergeCell ref="U6:U7"/>
    <mergeCell ref="T4:T5"/>
    <mergeCell ref="U4:U5"/>
    <mergeCell ref="V4:V5"/>
    <mergeCell ref="Y4:Y5"/>
    <mergeCell ref="Z4:Z5"/>
    <mergeCell ref="AA4:AA5"/>
    <mergeCell ref="Y6:Y7"/>
    <mergeCell ref="Z6:Z7"/>
    <mergeCell ref="AA6:AA7"/>
    <mergeCell ref="AB6:AB7"/>
  </mergeCells>
  <conditionalFormatting sqref="F15">
    <cfRule type="cellIs" dxfId="5" priority="1" stopIfTrue="1" operator="greaterThanOrEqual">
      <formula>#REF!</formula>
    </cfRule>
    <cfRule type="cellIs" dxfId="4" priority="2" stopIfTrue="1" operator="lessThan">
      <formula>#REF!</formula>
    </cfRule>
  </conditionalFormatting>
  <conditionalFormatting sqref="I15">
    <cfRule type="cellIs" dxfId="3" priority="3" stopIfTrue="1" operator="greaterThan">
      <formula>$B$8*0.15</formula>
    </cfRule>
    <cfRule type="cellIs" dxfId="2" priority="4" stopIfTrue="1" operator="lessThanOrEqual">
      <formula>$B$8*0.15</formula>
    </cfRule>
  </conditionalFormatting>
  <conditionalFormatting sqref="G15">
    <cfRule type="cellIs" dxfId="1" priority="16" stopIfTrue="1" operator="between">
      <formula>0.8</formula>
      <formula>1.02</formula>
    </cfRule>
    <cfRule type="cellIs" dxfId="0" priority="17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workbookViewId="0">
      <selection activeCell="C17" sqref="C17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</cols>
  <sheetData>
    <row r="1" spans="1:8" ht="38.25" x14ac:dyDescent="0.2">
      <c r="A1" s="11" t="str">
        <f>A4</f>
        <v>Маркировка</v>
      </c>
      <c r="B1" s="12" t="s">
        <v>113</v>
      </c>
      <c r="C1" s="12" t="s">
        <v>108</v>
      </c>
      <c r="D1" s="12" t="s">
        <v>109</v>
      </c>
      <c r="E1" s="12" t="s">
        <v>110</v>
      </c>
      <c r="F1" s="12" t="s">
        <v>111</v>
      </c>
      <c r="G1" s="12" t="s">
        <v>112</v>
      </c>
    </row>
    <row r="2" spans="1:8" ht="114.75" x14ac:dyDescent="0.2">
      <c r="A2" s="93" t="str">
        <f>A5</f>
        <v>РВГО 1000.1400.1200.16</v>
      </c>
      <c r="B2" s="9" t="str">
        <f ca="1">CONCATENATE(E5,E6," ",E7," ",E8," ",E9," ",E10," ",E11," ",E12," ",E13," ",E14," ",E15,E16)</f>
        <v>Решетка вертикальная грабельная с обратной граблиной. Максимальная производительность - 1630 м3/ч.; прозор - 16 мм.; ширина канала - 1000 мм.; глубина канала - 1400 мм.; высота фильтровального экрана - 1300 мм.; высота выгрузки отбросов - 1200 мм.; вес решетки в сборе - 1470 кг.; мощность привода - 0,55 кВт.; степень защиты привода - IP68; материал исполнения - AISI 304; в комплекте с ШУ и ВПУ.</v>
      </c>
      <c r="C2" s="13">
        <f>C12</f>
        <v>1470</v>
      </c>
      <c r="D2" s="11">
        <f ca="1">C13</f>
        <v>0.55000000000000004</v>
      </c>
      <c r="E2" s="11">
        <v>1</v>
      </c>
      <c r="F2" s="13">
        <f ca="1">MROUND(Цена!C42,100)</f>
        <v>1326000</v>
      </c>
      <c r="G2" s="13">
        <f ca="1">F2*E2</f>
        <v>1326000</v>
      </c>
      <c r="H2" s="68"/>
    </row>
    <row r="3" spans="1:8" x14ac:dyDescent="0.2">
      <c r="A3" s="93"/>
      <c r="B3" s="9"/>
      <c r="C3" s="13"/>
      <c r="D3" s="11"/>
      <c r="E3" s="11"/>
      <c r="F3" s="13"/>
      <c r="G3" s="13"/>
      <c r="H3" s="68"/>
    </row>
    <row r="4" spans="1:8" x14ac:dyDescent="0.2">
      <c r="A4" t="s">
        <v>103</v>
      </c>
      <c r="B4" t="s">
        <v>104</v>
      </c>
      <c r="C4" t="s">
        <v>107</v>
      </c>
    </row>
    <row r="5" spans="1:8" x14ac:dyDescent="0.2">
      <c r="A5" t="str">
        <f>Цена!I4</f>
        <v>РВГО 1000.1400.1200.16</v>
      </c>
      <c r="B5" s="31" t="str">
        <f>"вертикальная грабельная с обратной граблиной"</f>
        <v>вертикальная грабельная с обратной граблиной</v>
      </c>
      <c r="E5" t="str">
        <f>CONCATENATE("Решетка ",B5,". ")</f>
        <v xml:space="preserve">Решетка вертикальная грабельная с обратной граблиной. </v>
      </c>
    </row>
    <row r="6" spans="1:8" x14ac:dyDescent="0.2">
      <c r="B6" s="31" t="s">
        <v>105</v>
      </c>
      <c r="C6" s="94">
        <f>ROUNDUP(Гидравлика!L4,-1)</f>
        <v>1630</v>
      </c>
      <c r="D6" t="s">
        <v>30</v>
      </c>
      <c r="E6" t="str">
        <f>CONCATENATE(B6," ",C6," ",D6,".;")</f>
        <v>Максимальная производительность - 1630 м3/ч.;</v>
      </c>
    </row>
    <row r="7" spans="1:8" x14ac:dyDescent="0.2">
      <c r="B7" s="31" t="s">
        <v>114</v>
      </c>
      <c r="C7" s="13">
        <f>Цена!E16</f>
        <v>16</v>
      </c>
      <c r="D7" t="s">
        <v>64</v>
      </c>
      <c r="E7" t="str">
        <f t="shared" ref="E7:E13" si="0">CONCATENATE(B7," ",C7," ",D7,";")</f>
        <v>прозор - 16 мм.;</v>
      </c>
    </row>
    <row r="8" spans="1:8" x14ac:dyDescent="0.2">
      <c r="B8" s="31" t="s">
        <v>115</v>
      </c>
      <c r="C8" s="13">
        <f>Цена!B16</f>
        <v>1000</v>
      </c>
      <c r="D8" t="s">
        <v>64</v>
      </c>
      <c r="E8" t="str">
        <f t="shared" si="0"/>
        <v>ширина канала - 1000 мм.;</v>
      </c>
    </row>
    <row r="9" spans="1:8" x14ac:dyDescent="0.2">
      <c r="B9" s="31" t="s">
        <v>116</v>
      </c>
      <c r="C9" s="13">
        <f>Цена!C16</f>
        <v>1400</v>
      </c>
      <c r="D9" t="s">
        <v>64</v>
      </c>
      <c r="E9" t="str">
        <f t="shared" si="0"/>
        <v>глубина канала - 1400 мм.;</v>
      </c>
    </row>
    <row r="10" spans="1:8" x14ac:dyDescent="0.2">
      <c r="B10" s="31" t="s">
        <v>252</v>
      </c>
      <c r="C10" s="13">
        <f>Цена!H16</f>
        <v>1300</v>
      </c>
      <c r="D10" t="s">
        <v>64</v>
      </c>
      <c r="E10" t="str">
        <f t="shared" si="0"/>
        <v>высота фильтровального экрана - 1300 мм.;</v>
      </c>
    </row>
    <row r="11" spans="1:8" x14ac:dyDescent="0.2">
      <c r="B11" s="31" t="s">
        <v>117</v>
      </c>
      <c r="C11" s="13">
        <f>Цена!D16</f>
        <v>1200</v>
      </c>
      <c r="D11" t="s">
        <v>64</v>
      </c>
      <c r="E11" t="str">
        <f t="shared" si="0"/>
        <v>высота выгрузки отбросов - 1200 мм.;</v>
      </c>
    </row>
    <row r="12" spans="1:8" x14ac:dyDescent="0.2">
      <c r="B12" s="31" t="s">
        <v>118</v>
      </c>
      <c r="C12" s="13">
        <f>ROUNDUP(Цена!D19,-1)</f>
        <v>1470</v>
      </c>
      <c r="D12" t="s">
        <v>66</v>
      </c>
      <c r="E12" t="str">
        <f t="shared" si="0"/>
        <v>вес решетки в сборе - 1470 кг.;</v>
      </c>
    </row>
    <row r="13" spans="1:8" x14ac:dyDescent="0.2">
      <c r="B13" s="31" t="s">
        <v>119</v>
      </c>
      <c r="C13" s="95">
        <f ca="1">OFFSET(Материалы!N14,MATCH(1,Материалы!O15:O16,0),0,1,1)</f>
        <v>0.55000000000000004</v>
      </c>
      <c r="D13" t="s">
        <v>106</v>
      </c>
      <c r="E13" t="str">
        <f t="shared" ca="1" si="0"/>
        <v>мощность привода - 0,55 кВт.;</v>
      </c>
    </row>
    <row r="14" spans="1:8" x14ac:dyDescent="0.2">
      <c r="B14" s="31" t="s">
        <v>120</v>
      </c>
      <c r="C14" s="13">
        <f>Цена!D23</f>
        <v>68</v>
      </c>
      <c r="E14" t="str">
        <f>CONCATENATE(B14," IP",C14,";")</f>
        <v>степень защиты привода - IP68;</v>
      </c>
    </row>
    <row r="15" spans="1:8" x14ac:dyDescent="0.2">
      <c r="B15" s="31" t="s">
        <v>121</v>
      </c>
      <c r="C15" s="13" t="str">
        <f>Цена!D22</f>
        <v>AISI 304</v>
      </c>
      <c r="E15" t="str">
        <f>CONCATENATE(B15," ",C15)</f>
        <v>материал исполнения - AISI 304</v>
      </c>
    </row>
    <row r="16" spans="1:8" x14ac:dyDescent="0.2">
      <c r="B16" s="31" t="s">
        <v>122</v>
      </c>
      <c r="C16" s="13" t="str">
        <f>Цена!D24</f>
        <v>Да</v>
      </c>
      <c r="E16" t="str">
        <f>IF(C16="Да",";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68"/>
      <c r="J18" s="68"/>
      <c r="K18" s="68"/>
      <c r="L18" s="68"/>
      <c r="M18" s="68"/>
      <c r="N18" s="68"/>
      <c r="O18" s="68"/>
    </row>
    <row r="20" spans="2:15" x14ac:dyDescent="0.2">
      <c r="B20" s="96" t="s">
        <v>136</v>
      </c>
    </row>
    <row r="21" spans="2:15" s="101" customFormat="1" x14ac:dyDescent="0.2">
      <c r="B21" s="99" t="s">
        <v>137</v>
      </c>
      <c r="C21" s="100" t="s">
        <v>138</v>
      </c>
      <c r="D21" s="100">
        <f>Цена!B9</f>
        <v>8659</v>
      </c>
    </row>
    <row r="22" spans="2:15" x14ac:dyDescent="0.2">
      <c r="B22" s="31" t="s">
        <v>125</v>
      </c>
      <c r="C22" s="92"/>
      <c r="D22" s="92" t="str">
        <f>CONCATENATE("ТКП №",Цена!I3)</f>
        <v>ТКП №8659 0 0 23.02.22</v>
      </c>
    </row>
    <row r="23" spans="2:15" s="101" customFormat="1" x14ac:dyDescent="0.2">
      <c r="B23" s="99" t="s">
        <v>126</v>
      </c>
      <c r="C23" s="102" t="s">
        <v>283</v>
      </c>
      <c r="D23" s="102" t="str">
        <f>Цена!I4</f>
        <v>РВГО 1000.1400.1200.16</v>
      </c>
    </row>
    <row r="24" spans="2:15" s="101" customFormat="1" x14ac:dyDescent="0.2">
      <c r="B24" s="99" t="s">
        <v>127</v>
      </c>
      <c r="C24" s="100" t="s">
        <v>282</v>
      </c>
      <c r="D24" s="100">
        <f>Цена!E16</f>
        <v>16</v>
      </c>
    </row>
    <row r="25" spans="2:15" s="101" customFormat="1" x14ac:dyDescent="0.2">
      <c r="B25" s="99" t="s">
        <v>128</v>
      </c>
      <c r="C25" s="100" t="s">
        <v>284</v>
      </c>
      <c r="D25" s="100">
        <f>Цена!B16</f>
        <v>1000</v>
      </c>
    </row>
    <row r="26" spans="2:15" s="101" customFormat="1" x14ac:dyDescent="0.2">
      <c r="B26" s="99" t="s">
        <v>129</v>
      </c>
      <c r="C26" s="100" t="s">
        <v>285</v>
      </c>
      <c r="D26" s="100">
        <f>Цена!C16</f>
        <v>1400</v>
      </c>
    </row>
    <row r="27" spans="2:15" s="101" customFormat="1" x14ac:dyDescent="0.2">
      <c r="B27" s="99" t="s">
        <v>130</v>
      </c>
      <c r="C27" s="100" t="s">
        <v>286</v>
      </c>
      <c r="D27" s="100">
        <f>Цена!D16</f>
        <v>1200</v>
      </c>
    </row>
    <row r="28" spans="2:15" s="101" customFormat="1" x14ac:dyDescent="0.2">
      <c r="B28" s="99" t="s">
        <v>131</v>
      </c>
      <c r="C28" s="102" t="s">
        <v>287</v>
      </c>
      <c r="D28" s="100">
        <f>D27+1700+IF(D25&gt;1000,400,0)</f>
        <v>2900</v>
      </c>
    </row>
    <row r="29" spans="2:15" s="101" customFormat="1" x14ac:dyDescent="0.2">
      <c r="B29" s="99" t="s">
        <v>288</v>
      </c>
      <c r="C29" s="102" t="s">
        <v>293</v>
      </c>
      <c r="D29" s="100">
        <f>C10</f>
        <v>1300</v>
      </c>
    </row>
    <row r="30" spans="2:15" x14ac:dyDescent="0.2">
      <c r="B30" s="31" t="s">
        <v>124</v>
      </c>
      <c r="C30" s="92"/>
      <c r="D30" s="92" t="str">
        <f>IF(C14="IP 55","IP 54",IF(C14="IP 66","IP 65","IP 67"))</f>
        <v>IP 67</v>
      </c>
    </row>
    <row r="31" spans="2:15" s="101" customFormat="1" x14ac:dyDescent="0.2">
      <c r="B31" s="99" t="s">
        <v>135</v>
      </c>
      <c r="C31" s="101" t="s">
        <v>289</v>
      </c>
      <c r="D31" s="101">
        <f>C14</f>
        <v>68</v>
      </c>
    </row>
    <row r="32" spans="2:15" s="101" customFormat="1" x14ac:dyDescent="0.2">
      <c r="B32" s="99" t="s">
        <v>123</v>
      </c>
      <c r="C32" s="103" t="s">
        <v>290</v>
      </c>
      <c r="D32" s="103">
        <f>C6</f>
        <v>1630</v>
      </c>
    </row>
    <row r="33" spans="2:6" s="101" customFormat="1" x14ac:dyDescent="0.2">
      <c r="B33" s="99" t="s">
        <v>132</v>
      </c>
      <c r="C33" s="102" t="s">
        <v>291</v>
      </c>
      <c r="D33" s="102">
        <f ca="1">D2</f>
        <v>0.55000000000000004</v>
      </c>
    </row>
    <row r="34" spans="2:6" s="101" customFormat="1" x14ac:dyDescent="0.2">
      <c r="B34" s="99" t="s">
        <v>133</v>
      </c>
      <c r="C34" s="100" t="s">
        <v>294</v>
      </c>
      <c r="D34" s="100">
        <f>C12</f>
        <v>1470</v>
      </c>
    </row>
    <row r="35" spans="2:6" s="101" customFormat="1" x14ac:dyDescent="0.2">
      <c r="B35" s="99" t="s">
        <v>134</v>
      </c>
      <c r="C35" s="101" t="s">
        <v>292</v>
      </c>
      <c r="D35" s="101" t="str">
        <f>C15</f>
        <v>AISI 304</v>
      </c>
    </row>
    <row r="36" spans="2:6" s="101" customFormat="1" x14ac:dyDescent="0.2">
      <c r="B36" s="99" t="s">
        <v>139</v>
      </c>
      <c r="C36" s="101" t="s">
        <v>295</v>
      </c>
      <c r="D36" s="101" t="str">
        <f>IF(C16="Да","в комплекте с ШУ и ВПУ.","без ШУ.")</f>
        <v>в комплекте с ШУ и ВПУ.</v>
      </c>
    </row>
    <row r="37" spans="2:6" s="101" customFormat="1" x14ac:dyDescent="0.2">
      <c r="B37" s="99" t="s">
        <v>140</v>
      </c>
      <c r="C37" s="101" t="s">
        <v>296</v>
      </c>
      <c r="D37" s="101" t="str">
        <f>IF(C16="Да","- Шкаф управления ШУ;","")</f>
        <v>- Шкаф управления ШУ;</v>
      </c>
    </row>
    <row r="38" spans="2:6" s="101" customFormat="1" x14ac:dyDescent="0.2">
      <c r="B38" s="99" t="s">
        <v>141</v>
      </c>
      <c r="C38" s="101" t="s">
        <v>297</v>
      </c>
      <c r="D38" s="101" t="str">
        <f>IF(C16="Да","- Выносной пульт управления ВПУ;","")</f>
        <v>- Выносной пульт управления ВПУ;</v>
      </c>
    </row>
    <row r="39" spans="2:6" x14ac:dyDescent="0.2">
      <c r="B39" s="97" t="s">
        <v>142</v>
      </c>
      <c r="C39" s="98" t="s">
        <v>298</v>
      </c>
      <c r="D39" s="98" t="str">
        <f>IF(C16="Да",", ШУ, ВПУ","")</f>
        <v>, ШУ, ВПУ</v>
      </c>
    </row>
    <row r="40" spans="2:6" s="101" customFormat="1" x14ac:dyDescent="0.2">
      <c r="B40" s="99" t="s">
        <v>300</v>
      </c>
      <c r="C40" s="102" t="s">
        <v>299</v>
      </c>
      <c r="D40" s="100">
        <f>D25-200</f>
        <v>800</v>
      </c>
    </row>
    <row r="41" spans="2:6" s="242" customFormat="1" x14ac:dyDescent="0.2">
      <c r="B41" s="243" t="s">
        <v>369</v>
      </c>
      <c r="D41" s="244" t="str">
        <f>IF(D31="IP 68","14÷16","8÷10")</f>
        <v>8÷10</v>
      </c>
      <c r="E41" s="243"/>
      <c r="F41" s="245" t="s">
        <v>370</v>
      </c>
    </row>
    <row r="42" spans="2:6" x14ac:dyDescent="0.2">
      <c r="B42" s="31"/>
    </row>
    <row r="100" spans="1:8" s="9" customFormat="1" ht="38.25" x14ac:dyDescent="0.2">
      <c r="A100" s="12" t="s">
        <v>100</v>
      </c>
      <c r="B100" s="12" t="s">
        <v>301</v>
      </c>
      <c r="C100" s="12" t="s">
        <v>302</v>
      </c>
      <c r="D100" s="12" t="s">
        <v>303</v>
      </c>
      <c r="E100" s="12" t="s">
        <v>108</v>
      </c>
      <c r="F100" s="12" t="s">
        <v>87</v>
      </c>
      <c r="G100" s="12" t="s">
        <v>304</v>
      </c>
      <c r="H100" s="12" t="s">
        <v>86</v>
      </c>
    </row>
    <row r="101" spans="1:8" x14ac:dyDescent="0.2">
      <c r="A101" s="193">
        <f>Цена!B8</f>
        <v>0</v>
      </c>
      <c r="B101" s="195" t="str">
        <f>Цена!B10</f>
        <v/>
      </c>
      <c r="C101" s="13">
        <f ca="1">MROUND((Цена!C42-Спецификация!D101),5)</f>
        <v>1151515</v>
      </c>
      <c r="D101" s="13">
        <f ca="1">MROUND(Цена!C40+Цена!C33*2.82,5)</f>
        <v>174460</v>
      </c>
      <c r="E101" s="13">
        <f>C2</f>
        <v>1470</v>
      </c>
      <c r="F101" s="13" t="str">
        <f>CONCATENATE("IP ",Цена!D23)</f>
        <v>IP 68</v>
      </c>
      <c r="G101" s="11">
        <f ca="1">D2</f>
        <v>0.55000000000000004</v>
      </c>
      <c r="H101" s="13" t="str">
        <f>Цена!D22</f>
        <v>AISI 304</v>
      </c>
    </row>
    <row r="115" spans="1:7" s="122" customFormat="1" x14ac:dyDescent="0.2">
      <c r="A115" s="197" t="s">
        <v>305</v>
      </c>
    </row>
    <row r="116" spans="1:7" s="122" customFormat="1" x14ac:dyDescent="0.2">
      <c r="A116" s="197"/>
    </row>
    <row r="117" spans="1:7" s="122" customFormat="1" x14ac:dyDescent="0.2">
      <c r="A117" s="127" t="s">
        <v>103</v>
      </c>
      <c r="B117" s="127" t="s">
        <v>306</v>
      </c>
      <c r="C117" s="127" t="s">
        <v>307</v>
      </c>
      <c r="D117" s="127" t="s">
        <v>308</v>
      </c>
      <c r="E117" s="122" t="s">
        <v>309</v>
      </c>
      <c r="F117" s="122" t="s">
        <v>310</v>
      </c>
      <c r="G117" s="154" t="s">
        <v>311</v>
      </c>
    </row>
    <row r="118" spans="1:7" s="122" customFormat="1" x14ac:dyDescent="0.2">
      <c r="A118" s="198" t="str">
        <f>A2</f>
        <v>РВГО 1000.1400.1200.16</v>
      </c>
      <c r="B118" s="199">
        <f ca="1">C101</f>
        <v>1151515</v>
      </c>
      <c r="C118" s="126">
        <f ca="1">Цена!C31/Параметры!B3</f>
        <v>243</v>
      </c>
      <c r="D118" s="126">
        <f>Цена!C32/Параметры!B3</f>
        <v>36</v>
      </c>
      <c r="E118" s="126">
        <f ca="1">IF(B118=0,0,(C118+D118)*Параметры!B3*(1+Параметры!B4))</f>
        <v>243115.02000000002</v>
      </c>
      <c r="F118" s="126">
        <f ca="1">B118-E118</f>
        <v>908399.98</v>
      </c>
      <c r="G118" s="122" t="str">
        <f ca="1">CONCATENATE(A118," (",H101,"; ",G101," кВт.; ",F101,")")</f>
        <v>РВГО 1000.1400.1200.16 (AISI 304; 0,55 кВт.; IP 68)</v>
      </c>
    </row>
    <row r="119" spans="1:7" s="122" customFormat="1" x14ac:dyDescent="0.2">
      <c r="A119" s="154" t="s">
        <v>312</v>
      </c>
      <c r="B119" s="199">
        <f ca="1">IF(Цена!D24="Да",Спецификация!D101,0)</f>
        <v>174460</v>
      </c>
      <c r="C119" s="126">
        <f ca="1">IF(B119=0,0,Цена!C33/Параметры!B7)</f>
        <v>45</v>
      </c>
      <c r="D119" s="126">
        <v>0</v>
      </c>
      <c r="E119" s="126">
        <f ca="1">IF(B119=0,0,(C119+D119)*Параметры!B7*(1+Параметры!B4))</f>
        <v>43146.000000000007</v>
      </c>
      <c r="F119" s="126">
        <f ca="1">B119-E119</f>
        <v>131314</v>
      </c>
      <c r="G119" s="122" t="str">
        <f ca="1">IF(B119=0,"-",CONCATENATE(A119," (","ШУ - IP54; ВПУ - ",IF(F101="IP 68","IP 67",F101),")"))</f>
        <v>ШУ-РВГО (ШУ - IP54; ВПУ - IP 67)</v>
      </c>
    </row>
    <row r="120" spans="1:7" s="122" customFormat="1" x14ac:dyDescent="0.2"/>
    <row r="121" spans="1:7" s="122" customFormat="1" x14ac:dyDescent="0.2">
      <c r="B121" s="199">
        <f ca="1">SUM(B118:B119)</f>
        <v>1325975</v>
      </c>
      <c r="C121" s="147">
        <f ca="1">SUM(C118:C119)</f>
        <v>288</v>
      </c>
      <c r="D121" s="147">
        <f>SUM(D118:D119)</f>
        <v>36</v>
      </c>
      <c r="E121" s="147">
        <f ca="1">SUM(E118:E119)</f>
        <v>286261.02</v>
      </c>
      <c r="F121" s="147">
        <f ca="1">SUM(F118:F119)</f>
        <v>1039713.98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ver.vont</vt:lpstr>
      <vt:lpstr>Параметры</vt:lpstr>
      <vt:lpstr>Вес</vt:lpstr>
      <vt:lpstr>Цена</vt:lpstr>
      <vt:lpstr>ФОТ</vt:lpstr>
      <vt:lpstr>Материалы</vt:lpstr>
      <vt:lpstr>Гидравлика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2022-02-23T14:31:35Z</dcterms:modified>
</cp:coreProperties>
</file>