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h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G30" i="6" s="1"/>
  <c r="G42" i="6" s="1"/>
  <c r="B16" i="6"/>
  <c r="E4" i="6" s="1"/>
  <c r="F4" i="6" s="1"/>
  <c r="C16" i="6"/>
  <c r="C10" i="13"/>
  <c r="C13" i="13"/>
  <c r="D14" i="13" s="1"/>
  <c r="D16" i="6"/>
  <c r="E79" i="16"/>
  <c r="K85" i="16"/>
  <c r="E15" i="16"/>
  <c r="E80" i="16"/>
  <c r="K81" i="16" s="1"/>
  <c r="C9" i="13"/>
  <c r="D9" i="13" s="1"/>
  <c r="C12" i="13"/>
  <c r="D12" i="13"/>
  <c r="C11" i="13"/>
  <c r="D11" i="13" s="1"/>
  <c r="C40" i="13"/>
  <c r="D20" i="12"/>
  <c r="E7" i="16" s="1"/>
  <c r="E11" i="16"/>
  <c r="E3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1" i="14" s="1"/>
  <c r="C14" i="14"/>
  <c r="E14" i="14"/>
  <c r="C13" i="14"/>
  <c r="D33" i="14" s="1"/>
  <c r="D42" i="14" s="1"/>
  <c r="D32" i="14"/>
  <c r="C10" i="14"/>
  <c r="D30" i="14" s="1"/>
  <c r="C9" i="14"/>
  <c r="E9" i="14" s="1"/>
  <c r="C8" i="14"/>
  <c r="E8" i="14" s="1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/>
  <c r="F23" i="6"/>
  <c r="F21" i="6" s="1"/>
  <c r="Y39" i="6"/>
  <c r="O30" i="6"/>
  <c r="O31" i="6" s="1"/>
  <c r="O32" i="6" s="1"/>
  <c r="O33" i="6" s="1"/>
  <c r="O34" i="6" s="1"/>
  <c r="O35" i="6" s="1"/>
  <c r="O36" i="6" s="1"/>
  <c r="B5" i="14"/>
  <c r="E5" i="14" s="1"/>
  <c r="C52" i="13"/>
  <c r="D37" i="14"/>
  <c r="K86" i="16"/>
  <c r="K25" i="6"/>
  <c r="K24" i="6" s="1"/>
  <c r="K23" i="6" s="1"/>
  <c r="E5" i="6"/>
  <c r="F5" i="6" s="1"/>
  <c r="C43" i="13"/>
  <c r="C45" i="13"/>
  <c r="C35" i="12" s="1"/>
  <c r="B35" i="12" s="1"/>
  <c r="N30" i="6"/>
  <c r="N31" i="6" s="1"/>
  <c r="N32" i="6" s="1"/>
  <c r="N33" i="6" s="1"/>
  <c r="N34" i="6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H24" i="6"/>
  <c r="H28" i="6" s="1"/>
  <c r="Q31" i="6"/>
  <c r="Q32" i="6" s="1"/>
  <c r="I24" i="6"/>
  <c r="I29" i="6" s="1"/>
  <c r="F30" i="6"/>
  <c r="F32" i="6" s="1"/>
  <c r="L26" i="6"/>
  <c r="A16" i="6"/>
  <c r="B14" i="6" s="1"/>
  <c r="U35" i="6"/>
  <c r="V36" i="6"/>
  <c r="S33" i="6"/>
  <c r="S34" i="6" s="1"/>
  <c r="S35" i="6" s="1"/>
  <c r="S36" i="6" s="1"/>
  <c r="S37" i="6"/>
  <c r="S38" i="6" s="1"/>
  <c r="S39" i="6" s="1"/>
  <c r="S40" i="6" s="1"/>
  <c r="S41" i="6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 s="1"/>
  <c r="AA39" i="6" s="1"/>
  <c r="AA38" i="6" s="1"/>
  <c r="AA37" i="6" s="1"/>
  <c r="AA36" i="6" s="1"/>
  <c r="AA35" i="6" s="1"/>
  <c r="AA34" i="6" s="1"/>
  <c r="AA33" i="6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42" i="6" s="1"/>
  <c r="P30" i="6"/>
  <c r="K30" i="6"/>
  <c r="K31" i="6"/>
  <c r="K32" i="6" s="1"/>
  <c r="K33" i="6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AA42" i="6"/>
  <c r="AA43" i="6" s="1"/>
  <c r="AA44" i="6" s="1"/>
  <c r="AA45" i="6" s="1"/>
  <c r="AA46" i="6" s="1"/>
  <c r="AA47" i="6" s="1"/>
  <c r="AA48" i="6" s="1"/>
  <c r="AA49" i="6" s="1"/>
  <c r="AA50" i="6" s="1"/>
  <c r="Q33" i="6"/>
  <c r="Q34" i="6"/>
  <c r="Q35" i="6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/>
  <c r="Q23" i="6" s="1"/>
  <c r="Q22" i="6" s="1"/>
  <c r="Q21" i="6" s="1"/>
  <c r="S32" i="6"/>
  <c r="S31" i="6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L27" i="6"/>
  <c r="L28" i="6" s="1"/>
  <c r="L29" i="6" s="1"/>
  <c r="G18" i="8"/>
  <c r="H11" i="8"/>
  <c r="V18" i="8" s="1"/>
  <c r="D10" i="13"/>
  <c r="C29" i="13"/>
  <c r="C53" i="6" s="1"/>
  <c r="F11" i="16"/>
  <c r="V35" i="6"/>
  <c r="V34" i="6"/>
  <c r="V33" i="6" s="1"/>
  <c r="V32" i="6" s="1"/>
  <c r="V31" i="6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/>
  <c r="V39" i="6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D38" i="14"/>
  <c r="E15" i="14"/>
  <c r="D40" i="14"/>
  <c r="O37" i="6"/>
  <c r="O38" i="6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K22" i="6"/>
  <c r="K21" i="6"/>
  <c r="U30" i="13"/>
  <c r="Q10" i="16"/>
  <c r="Q11" i="16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D23" i="14"/>
  <c r="A5" i="14"/>
  <c r="A2" i="14" s="1"/>
  <c r="A118" i="14" s="1"/>
  <c r="H8" i="8"/>
  <c r="W18" i="8" s="1"/>
  <c r="C31" i="13"/>
  <c r="D16" i="13"/>
  <c r="D72" i="6"/>
  <c r="H7" i="8"/>
  <c r="D63" i="6"/>
  <c r="D39" i="14"/>
  <c r="K84" i="16"/>
  <c r="B79" i="16"/>
  <c r="F26" i="6"/>
  <c r="G50" i="6" l="1"/>
  <c r="G48" i="6"/>
  <c r="G45" i="6"/>
  <c r="H45" i="6"/>
  <c r="G33" i="6"/>
  <c r="G44" i="6"/>
  <c r="K80" i="16"/>
  <c r="F46" i="6"/>
  <c r="F38" i="6"/>
  <c r="P31" i="6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29" i="6"/>
  <c r="P28" i="6" s="1"/>
  <c r="P27" i="6" s="1"/>
  <c r="P26" i="6" s="1"/>
  <c r="P25" i="6" s="1"/>
  <c r="P24" i="6" s="1"/>
  <c r="P23" i="6" s="1"/>
  <c r="P22" i="6" s="1"/>
  <c r="P21" i="6" s="1"/>
  <c r="K26" i="6"/>
  <c r="K27" i="6" s="1"/>
  <c r="K28" i="6" s="1"/>
  <c r="K29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T34" i="6"/>
  <c r="J25" i="6"/>
  <c r="J27" i="6" s="1"/>
  <c r="G23" i="6"/>
  <c r="G27" i="6" s="1"/>
  <c r="X38" i="6"/>
  <c r="Z40" i="6"/>
  <c r="E22" i="6"/>
  <c r="E29" i="6" s="1"/>
  <c r="C21" i="6"/>
  <c r="C24" i="6" s="1"/>
  <c r="J30" i="6"/>
  <c r="J37" i="6" s="1"/>
  <c r="D22" i="6"/>
  <c r="D23" i="6" s="1"/>
  <c r="N28" i="6"/>
  <c r="N27" i="6" s="1"/>
  <c r="N26" i="6" s="1"/>
  <c r="N25" i="6" s="1"/>
  <c r="N24" i="6" s="1"/>
  <c r="N23" i="6" s="1"/>
  <c r="N22" i="6" s="1"/>
  <c r="N21" i="6" s="1"/>
  <c r="R32" i="6"/>
  <c r="O29" i="6"/>
  <c r="O28" i="6" s="1"/>
  <c r="O27" i="6" s="1"/>
  <c r="O26" i="6" s="1"/>
  <c r="O25" i="6" s="1"/>
  <c r="O24" i="6" s="1"/>
  <c r="O23" i="6" s="1"/>
  <c r="O22" i="6" s="1"/>
  <c r="O21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W37" i="6"/>
  <c r="N29" i="6"/>
  <c r="D30" i="6"/>
  <c r="D49" i="6" s="1"/>
  <c r="I30" i="6"/>
  <c r="I42" i="6" s="1"/>
  <c r="M27" i="6"/>
  <c r="E30" i="6"/>
  <c r="E46" i="6" s="1"/>
  <c r="G35" i="6"/>
  <c r="G49" i="6"/>
  <c r="G41" i="6"/>
  <c r="E35" i="6"/>
  <c r="D64" i="6"/>
  <c r="G36" i="6"/>
  <c r="G31" i="6"/>
  <c r="G39" i="6"/>
  <c r="G34" i="6"/>
  <c r="G37" i="6"/>
  <c r="D21" i="12"/>
  <c r="E8" i="16" s="1"/>
  <c r="B7" i="16" s="1"/>
  <c r="D66" i="6" s="1"/>
  <c r="E10" i="14"/>
  <c r="G47" i="6"/>
  <c r="G38" i="6"/>
  <c r="G40" i="6"/>
  <c r="G46" i="6"/>
  <c r="G32" i="6"/>
  <c r="G43" i="6"/>
  <c r="H53" i="6"/>
  <c r="H54" i="6" s="1"/>
  <c r="F53" i="6"/>
  <c r="F54" i="6" s="1"/>
  <c r="J53" i="6"/>
  <c r="J54" i="6" s="1"/>
  <c r="D53" i="6"/>
  <c r="D54" i="6" s="1"/>
  <c r="C54" i="6"/>
  <c r="G53" i="6"/>
  <c r="G54" i="6" s="1"/>
  <c r="E53" i="6"/>
  <c r="E54" i="6" s="1"/>
  <c r="I53" i="6"/>
  <c r="I54" i="6" s="1"/>
  <c r="F34" i="6"/>
  <c r="U19" i="13"/>
  <c r="U20" i="13"/>
  <c r="D31" i="14"/>
  <c r="Q12" i="16"/>
  <c r="Q15" i="16" s="1"/>
  <c r="J21" i="6"/>
  <c r="F47" i="6"/>
  <c r="F28" i="6"/>
  <c r="K26" i="13"/>
  <c r="K25" i="13"/>
  <c r="D17" i="13"/>
  <c r="K24" i="13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 s="1"/>
  <c r="K18" i="8" s="1"/>
  <c r="O18" i="8" s="1"/>
  <c r="Q13" i="16"/>
  <c r="B9" i="16"/>
  <c r="B10" i="16" s="1"/>
  <c r="C43" i="12" s="1"/>
  <c r="D43" i="12" s="1"/>
  <c r="Q14" i="16"/>
  <c r="D23" i="12"/>
  <c r="C12" i="14" s="1"/>
  <c r="E12" i="14" s="1"/>
  <c r="E26" i="6"/>
  <c r="C46" i="6"/>
  <c r="I25" i="6"/>
  <c r="I23" i="6"/>
  <c r="H34" i="6"/>
  <c r="H21" i="6"/>
  <c r="J50" i="6"/>
  <c r="I28" i="6"/>
  <c r="C50" i="6"/>
  <c r="C26" i="6"/>
  <c r="C49" i="6"/>
  <c r="H29" i="6"/>
  <c r="J42" i="6"/>
  <c r="D26" i="6"/>
  <c r="C41" i="6"/>
  <c r="F22" i="6"/>
  <c r="D32" i="6"/>
  <c r="H41" i="6"/>
  <c r="I44" i="6"/>
  <c r="G25" i="6"/>
  <c r="H47" i="6"/>
  <c r="D47" i="6"/>
  <c r="D38" i="6"/>
  <c r="D34" i="6"/>
  <c r="H43" i="6"/>
  <c r="D33" i="6"/>
  <c r="D50" i="6"/>
  <c r="H46" i="6"/>
  <c r="D46" i="6"/>
  <c r="F36" i="6"/>
  <c r="F40" i="6"/>
  <c r="H38" i="6"/>
  <c r="H39" i="6"/>
  <c r="H48" i="6"/>
  <c r="D21" i="6"/>
  <c r="D24" i="6"/>
  <c r="H36" i="6"/>
  <c r="H44" i="6"/>
  <c r="F24" i="6"/>
  <c r="E43" i="6"/>
  <c r="D28" i="6"/>
  <c r="H33" i="6"/>
  <c r="H35" i="6"/>
  <c r="H31" i="6"/>
  <c r="H50" i="6"/>
  <c r="F27" i="6"/>
  <c r="F25" i="6"/>
  <c r="D29" i="6"/>
  <c r="F29" i="6"/>
  <c r="H40" i="6"/>
  <c r="H49" i="6"/>
  <c r="E31" i="6"/>
  <c r="D25" i="6"/>
  <c r="H37" i="6"/>
  <c r="H32" i="6"/>
  <c r="E40" i="6"/>
  <c r="H27" i="6"/>
  <c r="I27" i="6"/>
  <c r="F49" i="6"/>
  <c r="F42" i="6"/>
  <c r="F35" i="6"/>
  <c r="F41" i="6"/>
  <c r="F31" i="6"/>
  <c r="I40" i="6"/>
  <c r="I33" i="6"/>
  <c r="I39" i="6"/>
  <c r="H25" i="6"/>
  <c r="I34" i="6"/>
  <c r="H23" i="6"/>
  <c r="I22" i="6"/>
  <c r="F39" i="6"/>
  <c r="H26" i="6"/>
  <c r="I21" i="6"/>
  <c r="F48" i="6"/>
  <c r="F45" i="6"/>
  <c r="F33" i="6"/>
  <c r="I48" i="6"/>
  <c r="I35" i="6"/>
  <c r="H22" i="6"/>
  <c r="F44" i="6"/>
  <c r="F50" i="6"/>
  <c r="I26" i="6"/>
  <c r="F37" i="6"/>
  <c r="F43" i="6"/>
  <c r="I46" i="6"/>
  <c r="I5" i="12"/>
  <c r="D2" i="14" l="1"/>
  <c r="G101" i="14" s="1"/>
  <c r="G118" i="14" s="1"/>
  <c r="E48" i="6"/>
  <c r="G29" i="6"/>
  <c r="D39" i="6"/>
  <c r="D31" i="6"/>
  <c r="D27" i="6"/>
  <c r="I36" i="6"/>
  <c r="I32" i="6"/>
  <c r="I43" i="6"/>
  <c r="I50" i="6"/>
  <c r="J26" i="6"/>
  <c r="I49" i="6"/>
  <c r="E23" i="6"/>
  <c r="J43" i="6"/>
  <c r="E24" i="6"/>
  <c r="E36" i="6"/>
  <c r="E25" i="6"/>
  <c r="J24" i="6"/>
  <c r="J23" i="6"/>
  <c r="I41" i="6"/>
  <c r="I31" i="6"/>
  <c r="I37" i="6"/>
  <c r="I47" i="6"/>
  <c r="E27" i="6"/>
  <c r="C43" i="6"/>
  <c r="C44" i="6"/>
  <c r="C32" i="6"/>
  <c r="C38" i="6"/>
  <c r="C42" i="6"/>
  <c r="C36" i="6"/>
  <c r="C37" i="6"/>
  <c r="C25" i="6"/>
  <c r="C34" i="6"/>
  <c r="C35" i="6"/>
  <c r="C31" i="6"/>
  <c r="C22" i="6"/>
  <c r="C39" i="6"/>
  <c r="C40" i="6"/>
  <c r="G26" i="6"/>
  <c r="C30" i="6"/>
  <c r="C27" i="6"/>
  <c r="C47" i="6"/>
  <c r="C48" i="6"/>
  <c r="C23" i="6"/>
  <c r="C33" i="6"/>
  <c r="C29" i="6"/>
  <c r="C28" i="6"/>
  <c r="C45" i="6"/>
  <c r="E47" i="6"/>
  <c r="E37" i="6"/>
  <c r="E39" i="6"/>
  <c r="E34" i="6"/>
  <c r="E33" i="6"/>
  <c r="E49" i="6"/>
  <c r="E45" i="6"/>
  <c r="E41" i="6"/>
  <c r="E44" i="6"/>
  <c r="E38" i="6"/>
  <c r="J39" i="6"/>
  <c r="E32" i="6"/>
  <c r="J40" i="6"/>
  <c r="J41" i="6"/>
  <c r="J33" i="6"/>
  <c r="K82" i="16"/>
  <c r="B80" i="16"/>
  <c r="B82" i="16" s="1"/>
  <c r="B83" i="16" s="1"/>
  <c r="B84" i="16" s="1"/>
  <c r="B86" i="16" s="1"/>
  <c r="C46" i="12" s="1"/>
  <c r="D101" i="14" s="1"/>
  <c r="B119" i="14" s="1"/>
  <c r="J38" i="6"/>
  <c r="J46" i="6"/>
  <c r="J49" i="6"/>
  <c r="J32" i="6"/>
  <c r="J34" i="6"/>
  <c r="J47" i="6"/>
  <c r="J45" i="6"/>
  <c r="J35" i="6"/>
  <c r="E50" i="6"/>
  <c r="E42" i="6"/>
  <c r="J48" i="6"/>
  <c r="J44" i="6"/>
  <c r="M28" i="6"/>
  <c r="M29" i="6" s="1"/>
  <c r="M26" i="6"/>
  <c r="M25" i="6" s="1"/>
  <c r="M24" i="6" s="1"/>
  <c r="M23" i="6" s="1"/>
  <c r="M22" i="6" s="1"/>
  <c r="M21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G21" i="6"/>
  <c r="G22" i="6"/>
  <c r="G24" i="6"/>
  <c r="G28" i="6"/>
  <c r="I38" i="6"/>
  <c r="I45" i="6"/>
  <c r="E28" i="6"/>
  <c r="E21" i="6"/>
  <c r="J28" i="6"/>
  <c r="J29" i="6"/>
  <c r="J22" i="6"/>
  <c r="D44" i="6"/>
  <c r="D41" i="6"/>
  <c r="D42" i="6"/>
  <c r="D40" i="6"/>
  <c r="D36" i="6"/>
  <c r="D35" i="6"/>
  <c r="D48" i="6"/>
  <c r="D37" i="6"/>
  <c r="D45" i="6"/>
  <c r="D43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J31" i="6"/>
  <c r="J36" i="6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A42" i="12"/>
  <c r="B8" i="16"/>
  <c r="C42" i="12" s="1"/>
  <c r="D42" i="12" s="1"/>
  <c r="C22" i="13"/>
  <c r="C30" i="13"/>
  <c r="E6" i="14"/>
  <c r="D34" i="14"/>
  <c r="D35" i="14"/>
  <c r="D46" i="12" l="1"/>
  <c r="D62" i="6"/>
  <c r="C32" i="13"/>
  <c r="U11" i="13"/>
  <c r="U32" i="13"/>
  <c r="C26" i="13"/>
  <c r="C119" i="14"/>
  <c r="G119" i="14"/>
  <c r="D74" i="6" l="1"/>
  <c r="D19" i="12" s="1"/>
  <c r="C11" i="14" s="1"/>
  <c r="D70" i="6"/>
  <c r="D18" i="12" s="1"/>
  <c r="C48" i="13" s="1"/>
  <c r="C51" i="13" s="1"/>
  <c r="D68" i="6"/>
  <c r="D75" i="6" s="1"/>
  <c r="B3" i="16" s="1"/>
  <c r="B4" i="16" s="1"/>
  <c r="B5" i="16" s="1"/>
  <c r="K29" i="13"/>
  <c r="C118" i="14"/>
  <c r="C121" i="14" s="1"/>
  <c r="K34" i="13"/>
  <c r="C37" i="13" s="1"/>
  <c r="C33" i="12" s="1"/>
  <c r="E119" i="14"/>
  <c r="F119" i="14" s="1"/>
  <c r="B13" i="16" l="1"/>
  <c r="C41" i="12"/>
  <c r="C54" i="13"/>
  <c r="C34" i="12" s="1"/>
  <c r="B34" i="12" s="1"/>
  <c r="D118" i="14"/>
  <c r="D121" i="14" s="1"/>
  <c r="D36" i="14"/>
  <c r="E11" i="14"/>
  <c r="B2" i="14" s="1"/>
  <c r="C2" i="14"/>
  <c r="E101" i="14" s="1"/>
  <c r="B33" i="12"/>
  <c r="C47" i="12" l="1"/>
  <c r="D47" i="12" s="1"/>
  <c r="D41" i="12"/>
  <c r="C39" i="12"/>
  <c r="C36" i="12"/>
  <c r="C31" i="12" s="1"/>
  <c r="D39" i="12" l="1"/>
  <c r="C49" i="12"/>
  <c r="F2" i="14" l="1"/>
  <c r="G2" i="14" s="1"/>
  <c r="C53" i="12"/>
  <c r="C57" i="12" s="1"/>
  <c r="D49" i="12"/>
  <c r="D53" i="12" s="1"/>
  <c r="D57" i="12" s="1"/>
  <c r="C101" i="14"/>
  <c r="B118" i="14" s="1"/>
  <c r="E118" i="14" l="1"/>
  <c r="E121" i="14" s="1"/>
  <c r="B121" i="14"/>
  <c r="D62" i="12"/>
  <c r="D58" i="12"/>
  <c r="C58" i="12"/>
  <c r="C62" i="12"/>
  <c r="D64" i="12" l="1"/>
  <c r="D60" i="12"/>
  <c r="D61" i="12" s="1"/>
  <c r="F118" i="14"/>
  <c r="F121" i="14" s="1"/>
  <c r="C64" i="12"/>
  <c r="C60" i="12"/>
  <c r="C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<sst xmlns="http://schemas.openxmlformats.org/spreadsheetml/2006/main" count="715" uniqueCount="503">
  <si>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</si>
  <si>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</si>
  <si>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</si>
  <si>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</si>
  <si>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</si>
  <si>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</si>
  <si>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</si>
  <si>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</si>
  <si>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</si>
  <si>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</si>
  <si>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</si>
  <si>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</si>
  <si>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</si>
  <si>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</si>
  <si>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</si>
  <si>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</si>
  <si>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</si>
  <si>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</si>
  <si>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</si>
  <si>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</si>
  <si>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</si>
  <si>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</si>
  <si>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</si>
  <si>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</si>
  <si>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</si>
  <si>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</si>
  <si>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</si>
  <si>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</si>
  <si>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</si>
  <si>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</si>
  <si>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</si>
  <si>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</si>
  <si>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</si>
  <si>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</si>
  <si>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</si>
  <si>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</si>
  <si>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</si>
  <si>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</si>
  <si>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</si>
  <si>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</si>
  <si>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</si>
  <si>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</si>
  <si>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</si>
  <si>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</si>
  <si>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</si>
  <si>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</si>
  <si>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</si>
  <si>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</si>
  <si>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</si>
  <si>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</si>
  <si>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</si>
  <si>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</si>
  <si>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</si>
  <si>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</si>
  <si>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</si>
  <si>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</si>
  <si>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</si>
  <si>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</si>
  <si>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</si>
  <si>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</si>
  <si>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</si>
  <si>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</si>
  <si>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</si>
  <si>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</si>
  <si>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</si>
  <si>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</si>
  <si>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</si>
  <si>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</si>
  <si>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</si>
  <si>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</si>
  <si>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</si>
  <si>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</si>
  <si>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</si>
  <si>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</si>
  <si>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</si>
  <si>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</si>
  <si>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</si>
  <si>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</si>
  <si>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</si>
  <si>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</si>
  <si>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</si>
  <si>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</si>
  <si>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</si>
  <si>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</si>
  <si>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</si>
  <si>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</si>
  <si>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</si>
  <si>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</si>
  <si>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</si>
  <si>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</si>
  <si>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</si>
  <si>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</si>
  <si>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</si>
  <si>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</si>
  <si>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</si>
  <si>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</si>
  <si>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</si>
  <si>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</si>
  <si>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</si>
  <si>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</si>
  <si>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</si>
  <si>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</si>
  <si>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</si>
  <si>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</si>
  <si>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</si>
  <si>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</si>
  <si>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</si>
  <si>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</si>
  <si>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</si>
  <si>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</si>
  <si>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</si>
  <si>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</si>
  <si>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</si>
  <si>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</si>
  <si>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</si>
  <si>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</si>
  <si>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</si>
  <si>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</si>
  <si>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</si>
  <si>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</si>
  <si>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</si>
  <si>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</si>
  <si>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</si>
  <si>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</si>
  <si>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</si>
  <si>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</si>
  <si>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</si>
  <si>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</si>
  <si>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</si>
  <si>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</si>
  <si>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</si>
  <si>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</si>
  <si>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</si>
  <si>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</si>
  <si>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</si>
  <si>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</si>
  <si>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</si>
  <si>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</si>
  <si>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</si>
  <si>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</si>
  <si>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</si>
  <si>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</si>
  <si>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</si>
  <si>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</si>
  <si>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</si>
  <si>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</si>
  <si>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</si>
  <si>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</si>
  <si>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</si>
  <si>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</si>
  <si>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</si>
  <si>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</si>
  <si>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</si>
  <si>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</si>
  <si>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</si>
  <si>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</si>
  <si>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</si>
  <si>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</si>
  <si>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</si>
  <si>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</si>
  <si>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</si>
  <si>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</si>
  <si>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</si>
  <si>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</si>
  <si>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</si>
  <si>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</si>
  <si>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</si>
  <si>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</si>
  <si>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</si>
  <si>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</si>
  <si>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</si>
  <si>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</si>
  <si>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</si>
  <si>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</si>
  <si>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</si>
  <si>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</si>
  <si>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</si>
  <si>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</si>
  <si>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</si>
  <si>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</si>
  <si>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</si>
  <si>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</si>
  <si>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</si>
  <si>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</si>
  <si>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</si>
  <si>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</si>
  <si>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</si>
  <si>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</si>
  <si>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</si>
  <si>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</si>
  <si>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</si>
  <si>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</si>
  <si>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</si>
  <si>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</si>
  <si>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</si>
  <si>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</si>
  <si>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</si>
  <si>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</si>
  <si>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</si>
  <si>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</si>
  <si>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</si>
  <si>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</si>
  <si>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</si>
  <si>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</si>
  <si>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</si>
  <si>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</si>
  <si>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</si>
  <si>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</si>
  <si>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</si>
  <si>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</si>
  <si>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</si>
  <si>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</si>
  <si>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</si>
  <si>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</si>
  <si>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</si>
  <si>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</si>
  <si>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</si>
  <si>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</si>
  <si>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</si>
  <si>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</si>
  <si>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</si>
  <si>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</si>
  <si>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</si>
  <si>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</si>
  <si>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</si>
  <si>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</si>
  <si>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</si>
  <si>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</si>
  <si>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</si>
  <si>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</si>
  <si>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</si>
  <si>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</si>
  <si>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</si>
  <si>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</si>
  <si>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</si>
  <si>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</si>
  <si>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</si>
  <si>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</si>
  <si>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</si>
  <si>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</si>
  <si>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</si>
  <si>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</si>
  <si>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</si>
  <si>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</si>
  <si>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</si>
  <si>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</si>
  <si>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</si>
  <si>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</si>
  <si>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</si>
  <si>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</si>
  <si>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</si>
  <si>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</si>
  <si>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</si>
  <si>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</si>
  <si>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</si>
  <si>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</si>
  <si>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</si>
  <si>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</si>
  <si>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</si>
  <si>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</si>
  <si>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</si>
  <si>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</si>
  <si>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</si>
  <si>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</si>
  <si>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</si>
  <si>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</si>
  <si>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</si>
  <si>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</si>
  <si>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</si>
  <si>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</si>
  <si>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</si>
  <si>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</si>
  <si>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</si>
  <si>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</si>
  <si>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</si>
  <si>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</si>
  <si>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</si>
  <si>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</si>
  <si>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</si>
  <si>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</si>
  <si>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</si>
  <si>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</si>
  <si>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</si>
  <si>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</si>
  <si>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</si>
  <si>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</si>
  <si>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</si>
  <si>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</si>
  <si>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</si>
  <si>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</si>
  <si>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</si>
  <si>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</si>
  <si>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</si>
  <si>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</si>
  <si>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</si>
  <si>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</si>
  <si>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</si>
  <si>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</si>
  <si>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</si>
  <si>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</si>
  <si>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</si>
  <si>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</si>
  <si>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</si>
  <si>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</si>
  <si>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</si>
  <si>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</si>
  <si>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</si>
  <si>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</si>
  <si>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</si>
  <si>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</si>
  <si>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</si>
  <si>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</si>
  <si>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</si>
  <si>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</si>
  <si>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</si>
  <si>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</si>
  <si>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</si>
  <si>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</si>
  <si>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</si>
  <si>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</si>
  <si>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</si>
  <si>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</si>
  <si>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</si>
  <si>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</si>
  <si>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</si>
  <si>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</si>
  <si>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</si>
  <si>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</si>
  <si>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</si>
  <si>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</si>
  <si>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</si>
  <si>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</si>
  <si>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</si>
  <si>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</si>
  <si>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</si>
  <si>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</si>
  <si>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</si>
  <si>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</si>
  <si>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</si>
  <si>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</si>
  <si>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</si>
  <si>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</si>
  <si>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</si>
  <si>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</si>
  <si>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</si>
  <si>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</si>
  <si>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</si>
  <si>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</si>
  <si>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</si>
  <si>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</si>
  <si>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</si>
  <si>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</si>
  <si>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</si>
  <si>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</si>
  <si>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</si>
  <si>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</si>
  <si>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</si>
  <si>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</si>
  <si>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</si>
  <si>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</si>
  <si>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</si>
  <si>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</si>
  <si>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</si>
  <si>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</si>
  <si>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</si>
  <si>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</si>
  <si>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</si>
  <si>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</si>
  <si>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</si>
  <si>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</si>
  <si>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</si>
  <si>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</si>
  <si>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</si>
  <si>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</si>
  <si>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</si>
  <si>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</si>
  <si>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</si>
  <si>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</si>
  <si>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</si>
  <si>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</si>
  <si>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</si>
  <si>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</si>
  <si>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</si>
  <si>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</si>
  <si>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</si>
  <si>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</si>
  <si>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</si>
  <si>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</si>
  <si>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</si>
  <si>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</si>
  <si>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</si>
  <si>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</si>
  <si>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</si>
  <si>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</si>
  <si>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</si>
  <si>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</si>
  <si>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</si>
  <si>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</si>
  <si>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</si>
  <si>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</si>
  <si>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</si>
  <si>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</si>
  <si>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</si>
  <si>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</si>
  <si>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</si>
  <si>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</si>
  <si>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</si>
  <si>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</si>
  <si>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</si>
  <si>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</si>
  <si>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</si>
  <si>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</si>
  <si>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</si>
  <si>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</si>
  <si>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</si>
  <si>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</si>
  <si>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</si>
  <si>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</si>
  <si>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</si>
  <si>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</si>
  <si>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</si>
  <si>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</si>
  <si>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</si>
  <si>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</si>
  <si>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</si>
  <si>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</si>
  <si>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</si>
  <si>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</si>
  <si>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</si>
  <si>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</si>
  <si>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</si>
  <si>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</si>
  <si>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</si>
  <si>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</si>
  <si>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</si>
  <si>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</si>
  <si>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</si>
  <si>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</si>
  <si>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</si>
  <si>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</si>
  <si>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</si>
  <si>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</si>
  <si>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</si>
  <si>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</si>
  <si>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</si>
  <si>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</si>
  <si>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</si>
  <si>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</si>
  <si>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</si>
  <si>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</si>
  <si>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</si>
  <si>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</si>
  <si>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</si>
  <si>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</si>
  <si>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</si>
  <si>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</si>
  <si>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</si>
  <si>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</si>
  <si>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</si>
  <si>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</si>
  <si>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</si>
  <si>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</si>
  <si>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</si>
  <si>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</si>
  <si>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</si>
  <si>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</si>
  <si>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</si>
  <si>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</si>
  <si>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</si>
  <si>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</si>
  <si>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</si>
  <si>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</si>
  <si>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</si>
  <si>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</si>
  <si>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</si>
  <si>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</si>
  <si>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</si>
  <si>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</si>
  <si>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</si>
  <si>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</si>
  <si>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</si>
  <si>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</si>
  <si>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</si>
  <si>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</si>
  <si>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</si>
  <si>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</si>
  <si>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</si>
  <si>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</si>
  <si>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</si>
  <si>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</si>
  <si>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</si>
  <si>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</si>
  <si>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</si>
  <si>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</si>
  <si>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</si>
  <si>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</si>
  <si>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</si>
  <si>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17.12.2021</t>
  </si>
  <si>
    <t>Андронова Е. В.</t>
  </si>
  <si>
    <t>Белоруссия</t>
  </si>
  <si>
    <t>Курск</t>
  </si>
  <si>
    <t>КОС</t>
  </si>
  <si>
    <t>Туалет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</si>
</sst>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22</v>
      </c>
      <c r="F4">
        <f>E4+C4</f>
        <v>44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44</v>
      </c>
      <c r="F5">
        <f>E5+C5</f>
        <v>85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РГО 1500.1800.850.16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РГО </v>
      </c>
      <c r="B16" s="65">
        <f>Цена!B16</f>
        <v>1500</v>
      </c>
      <c r="C16" s="65">
        <f>Цена!C16</f>
        <v>1800</v>
      </c>
      <c r="D16" s="65">
        <f>Цена!D16</f>
        <v>850</v>
      </c>
      <c r="E16" s="65">
        <f>Цена!E16</f>
        <v>16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232</v>
      </c>
      <c r="D21" s="326">
        <f ca="1">$D$22+OFFSET($AQ$34,MATCH($E$16,$AQ$35:$AQ$42,0),3,1,1)*(B21-$B$22)/100</f>
        <v>241</v>
      </c>
      <c r="E21" s="327">
        <f ca="1">$E$22+OFFSET($AQ$45,MATCH($E$16,$AQ$46:$AQ$53,0),3,1,1)*(B21-$B$22)/100</f>
        <v>248</v>
      </c>
      <c r="F21" s="327">
        <f ca="1">$F$23+OFFSET($AQ$56,MATCH($E$16,$AQ$57:$AQ$64,0),3,1,1)*(B21-$B$23)/100</f>
        <v>257</v>
      </c>
      <c r="G21" s="327">
        <f ca="1">$G$23+OFFSET($AQ$69,MATCH($E$16,$AQ$70:$AQ$77,0),3,1,1)*(B21-$B$23)/100</f>
        <v>263</v>
      </c>
      <c r="H21" s="327">
        <f ca="1">$H$24+OFFSET($AQ$80,MATCH($E$16,$AQ$81:$AQ$88,0),3,1,1)*(B21-$B$24)/100</f>
        <v>272</v>
      </c>
      <c r="I21" s="327">
        <f ca="1">$I$24+OFFSET($AQ$91,MATCH($E$16,$AQ$92:$AQ$99,0),3,1,1)*(B21-$B$24)/100</f>
        <v>281</v>
      </c>
      <c r="J21" s="328">
        <f ca="1">$J$25+OFFSET($AQ$102,MATCH($E$16,$AQ$103:$AQ$110,0),3,1,1)*(B21-$B$25)/100</f>
        <v>291</v>
      </c>
      <c r="K21" s="327">
        <f>K22-IF($E$16=6,14,IF($E$16=8,13,IF($E$16=10,13.5,IF($E$16=12,12.75,IF($E$16=14,12.25,IF($E$16=16,11.75,IF($E$16=20,11.75,IF($E$16=40,10,0))))))))</f>
        <v>417</v>
      </c>
      <c r="L21" s="327">
        <f>L22-IF($E$16=6,15.33,IF($E$16=8,14,IF($E$16=10,14.33,IF($E$16=12,14.33,IF($E$16=14,13.33,IF($E$16=16,12.67,IF($E$16=20,12.67,IF($E$16=40,10.67,0))))))))</f>
        <v>441.64999999999992</v>
      </c>
      <c r="M21" s="327">
        <f t="shared" ref="M21:M26" si="0">M22-IF($E$16=6,16.5,IF($E$16=8,15.5,IF($E$16=10,15.5,IF($E$16=12,15,IF($E$16=14,13.5,IF($E$16=16,13.5,IF($E$16=20,13.5,IF($E$16=40,11,0))))))))</f>
        <v>464</v>
      </c>
      <c r="N21" s="327">
        <f t="shared" ref="N21:N26" si="1">N22-($N$31-$N$30)</f>
        <v>485.83000000000038</v>
      </c>
      <c r="O21" s="327">
        <f t="shared" ref="O21:O27" si="2">O22-($O$31-$O$30)</f>
        <v>509.35999999999967</v>
      </c>
      <c r="P21" s="327">
        <f t="shared" ref="P21:P28" si="3">P22-($P$32-$P$31)</f>
        <v>515.3499999999998</v>
      </c>
      <c r="Q21" s="327">
        <f t="shared" ref="Q21:Q29" si="4">Q22-IF($E$16=6,21.25,IF($E$16=8,18.42,IF($E$16=10,18.83,IF($E$16=12,17.75,IF($E$16=14,16.67,IF($E$16=16,16,IF($E$16=20,16,IF($E$16=40,12.75,0))))))))</f>
        <v>543</v>
      </c>
      <c r="R21" s="327">
        <f t="shared" ref="R21:R29" si="5">R22-IF($E$16=6,22.36,IF($E$16=8,20.36,IF($E$16=10,20.82,IF($E$16=12,19.45,IF($E$16=14,18.27,IF($E$16=16,17.55,IF($E$16=20,17.36,IF($E$16=40,13.55,0))))))))</f>
        <v>558.9500000000005</v>
      </c>
      <c r="S21" s="327">
        <f t="shared" ref="S21:S29" si="6">S22-IF($E$16=6,23.1,IF($E$16=8,21.4,IF($E$16=10,21.8,IF($E$16=12,20.4,IF($E$16=14,19.3,IF($E$16=16,18.3,IF($E$16=20,18.3,IF($E$16=40,14,0))))))))</f>
        <v>580.40000000000055</v>
      </c>
      <c r="T21" s="327">
        <f t="shared" ref="T21:T29" si="7">T22-IF($E$16=6,24.89,IF($E$16=8,22.33,IF($E$16=10,22.89,IF($E$16=12,21.33,IF($E$16=14,20,IF($E$16=16,19.11,IF($E$16=20,19,IF($E$16=40,14.56,0))))))))</f>
        <v>600.56999999999982</v>
      </c>
      <c r="U21" s="327">
        <f t="shared" ref="U21:U29" si="8">U22-IF($E$16=6,25.88,IF($E$16=8,23.38,IF($E$16=10,24,IF($E$16=12,22.38,IF($E$16=14,21,IF($E$16=16,19.88,IF($E$16=20,19.75,IF($E$16=40,15,0))))))))</f>
        <v>621.68000000000006</v>
      </c>
      <c r="V21" s="327">
        <f t="shared" ref="V21:V29" si="9">V22-IF($E$16=6,27.29,IF($E$16=8,24.43,IF($E$16=10,25,IF($E$16=12,23.29,IF($E$16=14,21.71,IF($E$16=16,20.57,IF($E$16=20,20.71,IF($E$16=40,15.43,0))))))))</f>
        <v>644.44999999999925</v>
      </c>
      <c r="W21" s="327">
        <f t="shared" ref="W21:W29" si="10">W22-IF($E$16=6,28.33,IF($E$16=8,25.33,IF($E$16=10,26.17,IF($E$16=12,24.17,IF($E$16=14,22.67,IF($E$16=16,21.33,IF($E$16=20,21.33,IF($E$16=40,16,0))))))))</f>
        <v>665.71999999999935</v>
      </c>
      <c r="X21" s="327">
        <f t="shared" ref="X21:X29" si="11">X22-IF($E$16=6,29.4,IF($E$16=8,26.4,IF($E$16=10,27.2,IF($E$16=12,25.2,IF($E$16=14,23.6,IF($E$16=16,22.2,IF($E$16=20,22,IF($E$16=40,16.4,0))))))))</f>
        <v>689.59999999999923</v>
      </c>
      <c r="Y21" s="327">
        <f t="shared" ref="Y21:Y29" si="12">Y22-IF($E$16=6,31,IF($E$16=8,27.5,IF($E$16=10,28.25,IF($E$16=12,26.25,IF($E$16=14,24.25,IF($E$16=16,23,IF($E$16=20,23,IF($E$16=40,16.75,0))))))))</f>
        <v>710</v>
      </c>
      <c r="Z21" s="327">
        <f t="shared" ref="Z21:Z29" si="13">Z22-IF($E$16=6,35,IF($E$16=8,28.67,IF($E$16=10,29.33,IF($E$16=12,27,IF($E$16=14,25.33,IF($E$16=16,23.67,IF($E$16=20,23.67,IF($E$16=40,17.33,0))))))))</f>
        <v>733.2700000000001</v>
      </c>
      <c r="AA21" s="346">
        <f t="shared" ref="AA21:AA29" si="14">AA22-IF($E$16=6,33,IF($E$16=8,29.5,IF($E$16=10,30.5,IF($E$16=12,28,IF($E$16=14,26,IF($E$16=16,24.5,IF($E$16=20,24.5,IF($E$16=40,17.5,0))))))))</f>
        <v>753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238</v>
      </c>
      <c r="D22" s="313">
        <f ca="1">OFFSET($AQ$34,MATCH($E$16,$AQ$35:$AQ$42,0),1,1,1)</f>
        <v>248</v>
      </c>
      <c r="E22" s="313">
        <f ca="1">OFFSET($AQ$45,MATCH($E$16,$AQ$46:$AQ$53,0),1,1,1)</f>
        <v>256</v>
      </c>
      <c r="F22" s="317">
        <f ca="1">$F$23+OFFSET($AQ$56,MATCH($E$16,$AQ$57:$AQ$64,0),3,1,1)*(B22-$B$23)/100</f>
        <v>265</v>
      </c>
      <c r="G22" s="317">
        <f ca="1">$G$23+OFFSET($AQ$69,MATCH($E$16,$AQ$70:$AQ$77,0),3,1,1)*(B22-$B$23)/100</f>
        <v>272</v>
      </c>
      <c r="H22" s="317">
        <f ca="1">$H$24+OFFSET($AQ$80,MATCH($E$16,$AQ$81:$AQ$88,0),3,1,1)*(B22-$B$24)/100</f>
        <v>281</v>
      </c>
      <c r="I22" s="317">
        <f ca="1">$I$24+OFFSET($AQ$91,MATCH($E$16,$AQ$92:$AQ$99,0),3,1,1)*(B22-$B$24)/100</f>
        <v>290</v>
      </c>
      <c r="J22" s="322">
        <f ca="1">$J$25+OFFSET($AQ$102,MATCH($E$16,$AQ$103:$AQ$110,0),3,1,1)*(B22-$B$25)/100</f>
        <v>300</v>
      </c>
      <c r="K22" s="317">
        <f>K23-IF($E$16=6,14,IF($E$16=8,13,IF($E$16=10,13.5,IF($E$16=12,12.75,IF($E$16=14,12.25,IF($E$16=16,11.75,IF($E$16=20,11.75,IF($E$16=40,10,0))))))))</f>
        <v>428.75</v>
      </c>
      <c r="L22" s="317">
        <f>L23-IF($E$16=6,15.33,IF($E$16=8,14,IF($E$16=10,14.33,IF($E$16=12,14.33,IF($E$16=14,13.33,IF($E$16=16,12.67,IF($E$16=20,12.67,IF($E$16=40,10.67,0))))))))</f>
        <v>454.31999999999994</v>
      </c>
      <c r="M22" s="317">
        <f t="shared" si="0"/>
        <v>477.5</v>
      </c>
      <c r="N22" s="317">
        <f t="shared" si="1"/>
        <v>500.14000000000033</v>
      </c>
      <c r="O22" s="317">
        <f t="shared" si="2"/>
        <v>524.43999999999971</v>
      </c>
      <c r="P22" s="317">
        <f t="shared" si="3"/>
        <v>531.19999999999982</v>
      </c>
      <c r="Q22" s="317">
        <f t="shared" si="4"/>
        <v>559</v>
      </c>
      <c r="R22" s="317">
        <f t="shared" si="5"/>
        <v>576.50000000000045</v>
      </c>
      <c r="S22" s="317">
        <f t="shared" si="6"/>
        <v>598.7000000000005</v>
      </c>
      <c r="T22" s="317">
        <f t="shared" si="7"/>
        <v>619.67999999999984</v>
      </c>
      <c r="U22" s="317">
        <f t="shared" si="8"/>
        <v>641.56000000000006</v>
      </c>
      <c r="V22" s="317">
        <f t="shared" si="9"/>
        <v>665.0199999999993</v>
      </c>
      <c r="W22" s="317">
        <f t="shared" si="10"/>
        <v>687.04999999999939</v>
      </c>
      <c r="X22" s="317">
        <f t="shared" si="11"/>
        <v>711.79999999999927</v>
      </c>
      <c r="Y22" s="317">
        <f t="shared" si="12"/>
        <v>733</v>
      </c>
      <c r="Z22" s="317">
        <f t="shared" si="13"/>
        <v>756.94</v>
      </c>
      <c r="AA22" s="329">
        <f t="shared" si="14"/>
        <v>777.5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244</v>
      </c>
      <c r="D23" s="185">
        <f t="shared" ref="D23:D29" ca="1" si="16">$D$22+OFFSET($AQ$34,MATCH($E$16,$AQ$35:$AQ$42,0),3,1,1)*(B23-$B$22)/100</f>
        <v>255</v>
      </c>
      <c r="E23" s="185">
        <f t="shared" ref="E23:E29" ca="1" si="17">$E$22+OFFSET($AQ$45,MATCH($E$16,$AQ$46:$AQ$53,0),3,1,1)*(B23-$B$22)/100</f>
        <v>264</v>
      </c>
      <c r="F23" s="313">
        <f ca="1">OFFSET($AQ$56,MATCH($E$16,$AQ$57:$AQ$64,0),1,1,1)</f>
        <v>273</v>
      </c>
      <c r="G23" s="313">
        <f ca="1">OFFSET($AQ$69,MATCH($E$16,$AQ$70:$AQ$77,0),1,1,1)</f>
        <v>281</v>
      </c>
      <c r="H23" s="317">
        <f ca="1">$H$24+OFFSET($AQ$80,MATCH($E$16,$AQ$81:$AQ$88,0),3,1,1)*(B23-$B$24)/100</f>
        <v>290</v>
      </c>
      <c r="I23" s="317">
        <f ca="1">$I$24+OFFSET($AQ$91,MATCH($E$16,$AQ$92:$AQ$99,0),3,1,1)*(B23-$B$24)/100</f>
        <v>299</v>
      </c>
      <c r="J23" s="322">
        <f ca="1">$J$25+OFFSET($AQ$102,MATCH($E$16,$AQ$103:$AQ$110,0),3,1,1)*(B23-$B$25)/100</f>
        <v>309</v>
      </c>
      <c r="K23" s="317">
        <f>K24-IF($E$16=6,14,IF($E$16=8,13,IF($E$16=10,13.5,IF($E$16=12,12.75,IF($E$16=14,12.25,IF($E$16=16,11.75,IF($E$16=20,11.75,IF($E$16=40,10,0))))))))</f>
        <v>440.5</v>
      </c>
      <c r="L23" s="317">
        <f>L24-IF($E$16=6,15.33,IF($E$16=8,14,IF($E$16=10,14.33,IF($E$16=12,14.33,IF($E$16=14,13.33,IF($E$16=16,12.67,IF($E$16=20,12.67,IF($E$16=40,10.67,0))))))))</f>
        <v>466.98999999999995</v>
      </c>
      <c r="M23" s="317">
        <f t="shared" si="0"/>
        <v>491</v>
      </c>
      <c r="N23" s="317">
        <f t="shared" si="1"/>
        <v>514.45000000000027</v>
      </c>
      <c r="O23" s="317">
        <f t="shared" si="2"/>
        <v>539.51999999999975</v>
      </c>
      <c r="P23" s="317">
        <f t="shared" si="3"/>
        <v>547.04999999999984</v>
      </c>
      <c r="Q23" s="317">
        <f t="shared" si="4"/>
        <v>575</v>
      </c>
      <c r="R23" s="317">
        <f t="shared" si="5"/>
        <v>594.05000000000041</v>
      </c>
      <c r="S23" s="317">
        <f t="shared" si="6"/>
        <v>617.00000000000045</v>
      </c>
      <c r="T23" s="317">
        <f t="shared" si="7"/>
        <v>638.78999999999985</v>
      </c>
      <c r="U23" s="317">
        <f t="shared" si="8"/>
        <v>661.44</v>
      </c>
      <c r="V23" s="317">
        <f t="shared" si="9"/>
        <v>685.58999999999935</v>
      </c>
      <c r="W23" s="317">
        <f t="shared" si="10"/>
        <v>708.37999999999943</v>
      </c>
      <c r="X23" s="317">
        <f t="shared" si="11"/>
        <v>733.99999999999932</v>
      </c>
      <c r="Y23" s="317">
        <f t="shared" si="12"/>
        <v>756</v>
      </c>
      <c r="Z23" s="317">
        <f t="shared" si="13"/>
        <v>780.61</v>
      </c>
      <c r="AA23" s="329">
        <f t="shared" si="14"/>
        <v>802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250</v>
      </c>
      <c r="D24" s="185">
        <f t="shared" ca="1" si="16"/>
        <v>262</v>
      </c>
      <c r="E24" s="185">
        <f t="shared" ca="1" si="17"/>
        <v>272</v>
      </c>
      <c r="F24" s="185">
        <f t="shared" ref="F24:F29" ca="1" si="18">$F$23+OFFSET($AQ$56,MATCH($E$16,$AQ$57:$AQ$64,0),3,1,1)*(B24-$B$23)/100</f>
        <v>281</v>
      </c>
      <c r="G24" s="185">
        <f t="shared" ref="G24:G29" ca="1" si="19">$G$23+OFFSET($AQ$69,MATCH($E$16,$AQ$70:$AQ$77,0),3,1,1)*(B24-$B$23)/100</f>
        <v>290</v>
      </c>
      <c r="H24" s="313">
        <f ca="1">OFFSET($AQ$80,MATCH($E$16,$AQ$81:$AQ$88,0),1,1,1)</f>
        <v>299</v>
      </c>
      <c r="I24" s="313">
        <f ca="1">OFFSET($AQ$91,MATCH($E$16,$AQ$92:$AQ$99,0),1,1,1)</f>
        <v>308</v>
      </c>
      <c r="J24" s="322">
        <f ca="1">$J$25+OFFSET($AQ$102,MATCH($E$16,$AQ$103:$AQ$110,0),3,1,1)*(B24-$B$25)/100</f>
        <v>318</v>
      </c>
      <c r="K24" s="317">
        <f>K25-IF($E$16=6,14,IF($E$16=8,13,IF($E$16=10,13.5,IF($E$16=12,12.75,IF($E$16=14,12.25,IF($E$16=16,11.75,IF($E$16=20,11.75,IF($E$16=40,10,0))))))))</f>
        <v>452.25</v>
      </c>
      <c r="L24" s="317">
        <f>L25-IF($E$16=6,15.33,IF($E$16=8,14,IF($E$16=10,14.33,IF($E$16=12,14.33,IF($E$16=14,13.33,IF($E$16=16,12.67,IF($E$16=20,12.67,IF($E$16=40,10.67,0))))))))</f>
        <v>479.65999999999997</v>
      </c>
      <c r="M24" s="317">
        <f t="shared" si="0"/>
        <v>504.5</v>
      </c>
      <c r="N24" s="317">
        <f t="shared" si="1"/>
        <v>528.76000000000022</v>
      </c>
      <c r="O24" s="317">
        <f t="shared" si="2"/>
        <v>554.5999999999998</v>
      </c>
      <c r="P24" s="317">
        <f t="shared" si="3"/>
        <v>562.89999999999986</v>
      </c>
      <c r="Q24" s="317">
        <f t="shared" si="4"/>
        <v>591</v>
      </c>
      <c r="R24" s="317">
        <f t="shared" si="5"/>
        <v>611.60000000000036</v>
      </c>
      <c r="S24" s="317">
        <f t="shared" si="6"/>
        <v>635.30000000000041</v>
      </c>
      <c r="T24" s="317">
        <f t="shared" si="7"/>
        <v>657.89999999999986</v>
      </c>
      <c r="U24" s="317">
        <f t="shared" si="8"/>
        <v>681.32</v>
      </c>
      <c r="V24" s="317">
        <f t="shared" si="9"/>
        <v>706.1599999999994</v>
      </c>
      <c r="W24" s="317">
        <f t="shared" si="10"/>
        <v>729.70999999999947</v>
      </c>
      <c r="X24" s="317">
        <f t="shared" si="11"/>
        <v>756.19999999999936</v>
      </c>
      <c r="Y24" s="317">
        <f t="shared" si="12"/>
        <v>779</v>
      </c>
      <c r="Z24" s="317">
        <f t="shared" si="13"/>
        <v>804.28</v>
      </c>
      <c r="AA24" s="329">
        <f t="shared" si="14"/>
        <v>826.5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256</v>
      </c>
      <c r="D25" s="185">
        <f t="shared" ca="1" si="16"/>
        <v>269</v>
      </c>
      <c r="E25" s="185">
        <f t="shared" ca="1" si="17"/>
        <v>280</v>
      </c>
      <c r="F25" s="185">
        <f t="shared" ca="1" si="18"/>
        <v>289</v>
      </c>
      <c r="G25" s="185">
        <f t="shared" ca="1" si="19"/>
        <v>299</v>
      </c>
      <c r="H25" s="185">
        <f ca="1">$H$24+OFFSET($AQ$80,MATCH($E$16,$AQ$81:$AQ$88,0),3,1,1)*(B25-$B$24)/100</f>
        <v>308</v>
      </c>
      <c r="I25" s="185">
        <f ca="1">$I$24+OFFSET($AQ$91,MATCH($E$16,$AQ$92:$AQ$99,0),3,1,1)*(B25-$B$24)/100</f>
        <v>317</v>
      </c>
      <c r="J25" s="319">
        <f ca="1">OFFSET($AQ$102,MATCH($E$16,$AQ$103:$AQ$110,0),1,1,1)</f>
        <v>327</v>
      </c>
      <c r="K25" s="284">
        <f>IF($E$16=6,487,IF($E$16=8,482,IF($E$16=10,480,IF($E$16=12,474,IF($E$16=14,468,IF($E$16=16,464,IF($E$16=20,463,IF($E$16=40,443,0))))))))</f>
        <v>464</v>
      </c>
      <c r="L25" s="317">
        <f>L26-IF($E$16=6,15.33,IF($E$16=8,14,IF($E$16=10,14.33,IF($E$16=12,14.33,IF($E$16=14,13.33,IF($E$16=16,12.67,IF($E$16=20,12.67,IF($E$16=40,10.67,0))))))))</f>
        <v>492.33</v>
      </c>
      <c r="M25" s="317">
        <f t="shared" si="0"/>
        <v>518</v>
      </c>
      <c r="N25" s="317">
        <f t="shared" si="1"/>
        <v>543.07000000000016</v>
      </c>
      <c r="O25" s="317">
        <f t="shared" si="2"/>
        <v>569.67999999999984</v>
      </c>
      <c r="P25" s="317">
        <f t="shared" si="3"/>
        <v>578.74999999999989</v>
      </c>
      <c r="Q25" s="317">
        <f t="shared" si="4"/>
        <v>607</v>
      </c>
      <c r="R25" s="317">
        <f t="shared" si="5"/>
        <v>629.15000000000032</v>
      </c>
      <c r="S25" s="317">
        <f t="shared" si="6"/>
        <v>653.60000000000036</v>
      </c>
      <c r="T25" s="317">
        <f t="shared" si="7"/>
        <v>677.00999999999988</v>
      </c>
      <c r="U25" s="317">
        <f t="shared" si="8"/>
        <v>701.2</v>
      </c>
      <c r="V25" s="317">
        <f t="shared" si="9"/>
        <v>726.72999999999945</v>
      </c>
      <c r="W25" s="317">
        <f t="shared" si="10"/>
        <v>751.03999999999951</v>
      </c>
      <c r="X25" s="317">
        <f t="shared" si="11"/>
        <v>778.39999999999941</v>
      </c>
      <c r="Y25" s="317">
        <f t="shared" si="12"/>
        <v>802</v>
      </c>
      <c r="Z25" s="317">
        <f t="shared" si="13"/>
        <v>827.94999999999993</v>
      </c>
      <c r="AA25" s="329">
        <f t="shared" si="14"/>
        <v>851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262</v>
      </c>
      <c r="D26" s="185">
        <f t="shared" ca="1" si="16"/>
        <v>276</v>
      </c>
      <c r="E26" s="185">
        <f t="shared" ca="1" si="17"/>
        <v>288</v>
      </c>
      <c r="F26" s="185">
        <f t="shared" ca="1" si="18"/>
        <v>297</v>
      </c>
      <c r="G26" s="185">
        <f t="shared" ca="1" si="19"/>
        <v>308</v>
      </c>
      <c r="H26" s="185">
        <f ca="1">$H$24+OFFSET($AQ$80,MATCH($E$16,$AQ$81:$AQ$88,0),3,1,1)*(B26-$B$24)/100</f>
        <v>317</v>
      </c>
      <c r="I26" s="185">
        <f ca="1">$I$24+OFFSET($AQ$91,MATCH($E$16,$AQ$92:$AQ$99,0),3,1,1)*(B26-$B$24)/100</f>
        <v>326</v>
      </c>
      <c r="J26" s="320">
        <f ca="1">$J$25+OFFSET($AQ$102,MATCH($E$16,$AQ$103:$AQ$110,0),3,1,1)*(B26-$B$25)/100</f>
        <v>336</v>
      </c>
      <c r="K26" s="284">
        <f>K25+IF($E$16=6,14,IF($E$16=8,13,IF($E$16=10,13.5,IF($E$16=12,12.75,IF($E$16=14,12.25,IF($E$16=16,11.75,IF($E$16=20,11.75,IF($E$16=40,10,0))))))))</f>
        <v>475.75</v>
      </c>
      <c r="L26" s="185">
        <f>IF($E$16=6,532,IF($E$16=8,527,IF($E$16=10,525,IF($E$16=12,516,IF($E$16=14,509,IF($E$16=16,505,IF($E$16=20,500,IF($E$16=40,479,0))))))))</f>
        <v>505</v>
      </c>
      <c r="M26" s="317">
        <f t="shared" si="0"/>
        <v>531.5</v>
      </c>
      <c r="N26" s="317">
        <f t="shared" si="1"/>
        <v>557.38000000000011</v>
      </c>
      <c r="O26" s="317">
        <f t="shared" si="2"/>
        <v>584.75999999999988</v>
      </c>
      <c r="P26" s="317">
        <f t="shared" si="3"/>
        <v>594.59999999999991</v>
      </c>
      <c r="Q26" s="317">
        <f t="shared" si="4"/>
        <v>623</v>
      </c>
      <c r="R26" s="317">
        <f t="shared" si="5"/>
        <v>646.70000000000027</v>
      </c>
      <c r="S26" s="317">
        <f t="shared" si="6"/>
        <v>671.90000000000032</v>
      </c>
      <c r="T26" s="317">
        <f t="shared" si="7"/>
        <v>696.11999999999989</v>
      </c>
      <c r="U26" s="317">
        <f t="shared" si="8"/>
        <v>721.08</v>
      </c>
      <c r="V26" s="317">
        <f t="shared" si="9"/>
        <v>747.2999999999995</v>
      </c>
      <c r="W26" s="317">
        <f t="shared" si="10"/>
        <v>772.36999999999955</v>
      </c>
      <c r="X26" s="317">
        <f t="shared" si="11"/>
        <v>800.59999999999945</v>
      </c>
      <c r="Y26" s="317">
        <f t="shared" si="12"/>
        <v>825</v>
      </c>
      <c r="Z26" s="317">
        <f t="shared" si="13"/>
        <v>851.61999999999989</v>
      </c>
      <c r="AA26" s="329">
        <f t="shared" si="14"/>
        <v>875.5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268</v>
      </c>
      <c r="D27" s="185">
        <f t="shared" ca="1" si="16"/>
        <v>283</v>
      </c>
      <c r="E27" s="185">
        <f t="shared" ca="1" si="17"/>
        <v>296</v>
      </c>
      <c r="F27" s="185">
        <f t="shared" ca="1" si="18"/>
        <v>305</v>
      </c>
      <c r="G27" s="185">
        <f t="shared" ca="1" si="19"/>
        <v>317</v>
      </c>
      <c r="H27" s="185">
        <f ca="1">$H$24+OFFSET($AQ$80,MATCH($E$16,$AQ$81:$AQ$88,0),3,1,1)*(B27-$B$24)/100</f>
        <v>326</v>
      </c>
      <c r="I27" s="185">
        <f ca="1">$I$24+OFFSET($AQ$91,MATCH($E$16,$AQ$92:$AQ$99,0),3,1,1)*(B27-$B$24)/100</f>
        <v>335</v>
      </c>
      <c r="J27" s="320">
        <f ca="1">$J$25+OFFSET($AQ$102,MATCH($E$16,$AQ$103:$AQ$110,0),3,1,1)*(B27-$B$25)/100</f>
        <v>345</v>
      </c>
      <c r="K27" s="284">
        <f>K26+IF($E$16=6,14,IF($E$16=8,13,IF($E$16=10,13.5,IF($E$16=12,12.75,IF($E$16=14,12.25,IF($E$16=16,11.75,IF($E$16=20,11.75,IF($E$16=40,10,0))))))))</f>
        <v>487.5</v>
      </c>
      <c r="L27" s="185">
        <f>L26+IF($E$16=6,15.33,IF($E$16=8,14,IF($E$16=10,14.33,IF($E$16=12,14.33,IF($E$16=14,13.33,IF($E$16=16,12.67,IF($E$16=20,12.67,IF($E$16=40,10.67,0))))))))</f>
        <v>517.66999999999996</v>
      </c>
      <c r="M27" s="185">
        <f>IF($E$16=6,581,IF($E$16=8,572,IF($E$16=10,569,IF($E$16=12,559,IF($E$16=14,550,IF($E$16=16,545,IF($E$16=20,539,IF($E$16=40,510,0))))))))</f>
        <v>545</v>
      </c>
      <c r="N27" s="317">
        <f>N28-($N$31-$N$30)</f>
        <v>571.69000000000005</v>
      </c>
      <c r="O27" s="317">
        <f t="shared" si="2"/>
        <v>599.83999999999992</v>
      </c>
      <c r="P27" s="317">
        <f t="shared" si="3"/>
        <v>610.44999999999993</v>
      </c>
      <c r="Q27" s="317">
        <f t="shared" si="4"/>
        <v>639</v>
      </c>
      <c r="R27" s="317">
        <f t="shared" si="5"/>
        <v>664.25000000000023</v>
      </c>
      <c r="S27" s="317">
        <f t="shared" si="6"/>
        <v>690.20000000000027</v>
      </c>
      <c r="T27" s="317">
        <f t="shared" si="7"/>
        <v>715.2299999999999</v>
      </c>
      <c r="U27" s="317">
        <f t="shared" si="8"/>
        <v>740.96</v>
      </c>
      <c r="V27" s="317">
        <f t="shared" si="9"/>
        <v>767.86999999999955</v>
      </c>
      <c r="W27" s="317">
        <f t="shared" si="10"/>
        <v>793.69999999999959</v>
      </c>
      <c r="X27" s="317">
        <f t="shared" si="11"/>
        <v>822.7999999999995</v>
      </c>
      <c r="Y27" s="317">
        <f t="shared" si="12"/>
        <v>848</v>
      </c>
      <c r="Z27" s="317">
        <f t="shared" si="13"/>
        <v>875.28999999999985</v>
      </c>
      <c r="AA27" s="329">
        <f t="shared" si="14"/>
        <v>900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274</v>
      </c>
      <c r="D28" s="185">
        <f t="shared" ca="1" si="16"/>
        <v>290</v>
      </c>
      <c r="E28" s="185">
        <f t="shared" ca="1" si="17"/>
        <v>304</v>
      </c>
      <c r="F28" s="185">
        <f t="shared" ca="1" si="18"/>
        <v>313</v>
      </c>
      <c r="G28" s="185">
        <f t="shared" ca="1" si="19"/>
        <v>326</v>
      </c>
      <c r="H28" s="185">
        <f ca="1">$H$24+OFFSET($AQ$80,MATCH($E$16,$AQ$81:$AQ$88,0),3,1,1)*(B28-$B$24)/100</f>
        <v>335</v>
      </c>
      <c r="I28" s="185">
        <f ca="1">$I$24+OFFSET($AQ$91,MATCH($E$16,$AQ$92:$AQ$99,0),3,1,1)*(B28-$B$24)/100</f>
        <v>344</v>
      </c>
      <c r="J28" s="320">
        <f ca="1">$J$25+OFFSET($AQ$102,MATCH($E$16,$AQ$103:$AQ$110,0),3,1,1)*(B28-$B$25)/100</f>
        <v>354</v>
      </c>
      <c r="K28" s="284">
        <f>K27+IF($E$16=6,14,IF($E$16=8,13,IF($E$16=10,13.5,IF($E$16=12,12.75,IF($E$16=14,12.25,IF($E$16=16,11.75,IF($E$16=20,11.75,IF($E$16=40,10,0))))))))</f>
        <v>499.25</v>
      </c>
      <c r="L28" s="185">
        <f>L27+IF($E$16=6,15.33,IF($E$16=8,14,IF($E$16=10,14.33,IF($E$16=12,14.33,IF($E$16=14,13.33,IF($E$16=16,12.67,IF($E$16=20,12.67,IF($E$16=40,10.67,0))))))))</f>
        <v>530.33999999999992</v>
      </c>
      <c r="M28" s="185">
        <f>M27+IF($E$16=6,16.5,IF($E$16=8,15.5,IF($E$16=10,15.5,IF($E$16=12,15,IF($E$16=14,13.5,IF($E$16=16,13.5,IF($E$16=20,13.5,IF($E$16=40,11,0))))))))</f>
        <v>558.5</v>
      </c>
      <c r="N28" s="185">
        <f>IF($E$16=6,630,IF($E$16=8,619,IF($E$16=10,618,IF($E$16=12,605,IF($E$16=14,594,IF($E$16=16,586,IF($E$16=20,583,IF($E$16=40,548,0))))))))</f>
        <v>586</v>
      </c>
      <c r="O28" s="317">
        <f>O29-($O$31-$O$30)</f>
        <v>614.91999999999996</v>
      </c>
      <c r="P28" s="317">
        <f t="shared" si="3"/>
        <v>626.29999999999995</v>
      </c>
      <c r="Q28" s="317">
        <f t="shared" si="4"/>
        <v>655</v>
      </c>
      <c r="R28" s="317">
        <f t="shared" si="5"/>
        <v>681.80000000000018</v>
      </c>
      <c r="S28" s="317">
        <f t="shared" si="6"/>
        <v>708.50000000000023</v>
      </c>
      <c r="T28" s="317">
        <f t="shared" si="7"/>
        <v>734.33999999999992</v>
      </c>
      <c r="U28" s="317">
        <f t="shared" si="8"/>
        <v>760.84</v>
      </c>
      <c r="V28" s="317">
        <f t="shared" si="9"/>
        <v>788.4399999999996</v>
      </c>
      <c r="W28" s="317">
        <f t="shared" si="10"/>
        <v>815.02999999999963</v>
      </c>
      <c r="X28" s="317">
        <f t="shared" si="11"/>
        <v>844.99999999999955</v>
      </c>
      <c r="Y28" s="317">
        <f t="shared" si="12"/>
        <v>871</v>
      </c>
      <c r="Z28" s="317">
        <f t="shared" si="13"/>
        <v>898.95999999999981</v>
      </c>
      <c r="AA28" s="329">
        <f t="shared" si="14"/>
        <v>924.5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280</v>
      </c>
      <c r="D29" s="321">
        <f t="shared" ca="1" si="16"/>
        <v>297</v>
      </c>
      <c r="E29" s="321">
        <f t="shared" ca="1" si="17"/>
        <v>312</v>
      </c>
      <c r="F29" s="321">
        <f t="shared" ca="1" si="18"/>
        <v>321</v>
      </c>
      <c r="G29" s="321">
        <f t="shared" ca="1" si="19"/>
        <v>335</v>
      </c>
      <c r="H29" s="321">
        <f ca="1">$H$24+OFFSET($AQ$80,MATCH($E$16,$AQ$81:$AQ$88,0),3,1,1)*(B29-$B$24)/100</f>
        <v>344</v>
      </c>
      <c r="I29" s="321">
        <f ca="1">$I$24+OFFSET($AQ$91,MATCH($E$16,$AQ$92:$AQ$99,0),3,1,1)*(B29-$B$24)/100</f>
        <v>353</v>
      </c>
      <c r="J29" s="336">
        <f ca="1">$J$25+OFFSET($AQ$102,MATCH($E$16,$AQ$103:$AQ$110,0),3,1,1)*(B29-$B$25)/100</f>
        <v>363</v>
      </c>
      <c r="K29" s="337">
        <f>K28+IF($E$16=6,14,IF($E$16=8,13,IF($E$16=10,13.5,IF($E$16=12,12.75,IF($E$16=14,12.25,IF($E$16=16,11.75,IF($E$16=20,11.75,IF($E$16=40,10,0))))))))</f>
        <v>511</v>
      </c>
      <c r="L29" s="321">
        <f>L28+IF($E$16=6,15.33,IF($E$16=8,14,IF($E$16=10,14.33,IF($E$16=12,14.33,IF($E$16=14,13.33,IF($E$16=16,12.67,IF($E$16=20,12.67,IF($E$16=40,10.67,0))))))))</f>
        <v>543.00999999999988</v>
      </c>
      <c r="M29" s="321">
        <f>M28+IF($E$16=6,16.5,IF($E$16=8,15.5,IF($E$16=10,15.5,IF($E$16=12,15,IF($E$16=14,13.5,IF($E$16=16,13.5,IF($E$16=20,13.5,IF($E$16=40,11,0))))))))</f>
        <v>572</v>
      </c>
      <c r="N29" s="321">
        <f>IF($E$16=6,648,IF($E$16=8,636,IF($E$16=10,634,IF($E$16=12,620,IF($E$16=14,609,IF($E$16=16,601,IF($E$16=20,597,IF($E$16=40,560,0))))))))</f>
        <v>601</v>
      </c>
      <c r="O29" s="321">
        <f>IF($E$16=6,665,IF($E$16=8,669,IF($E$16=10,666,IF($E$16=12,652,IF($E$16=14,641,IF($E$16=16,630,IF($E$16=20,625,IF($E$16=40,584,0))))))))</f>
        <v>630</v>
      </c>
      <c r="P29" s="317">
        <f>P30-($P$32-$P$31)</f>
        <v>642.15</v>
      </c>
      <c r="Q29" s="317">
        <f t="shared" si="4"/>
        <v>671</v>
      </c>
      <c r="R29" s="317">
        <f t="shared" si="5"/>
        <v>699.35000000000014</v>
      </c>
      <c r="S29" s="317">
        <f t="shared" si="6"/>
        <v>726.80000000000018</v>
      </c>
      <c r="T29" s="317">
        <f t="shared" si="7"/>
        <v>753.44999999999993</v>
      </c>
      <c r="U29" s="317">
        <f t="shared" si="8"/>
        <v>780.72</v>
      </c>
      <c r="V29" s="317">
        <f t="shared" si="9"/>
        <v>809.00999999999965</v>
      </c>
      <c r="W29" s="317">
        <f t="shared" si="10"/>
        <v>836.35999999999967</v>
      </c>
      <c r="X29" s="317">
        <f t="shared" si="11"/>
        <v>867.19999999999959</v>
      </c>
      <c r="Y29" s="317">
        <f t="shared" si="12"/>
        <v>894</v>
      </c>
      <c r="Z29" s="317">
        <f t="shared" si="13"/>
        <v>922.62999999999977</v>
      </c>
      <c r="AA29" s="329">
        <f t="shared" si="14"/>
        <v>949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286</v>
      </c>
      <c r="D30" s="315">
        <f ca="1">OFFSET($AQ$34,MATCH($E$16,$AQ$35:$AQ$42,0),2,1,1)</f>
        <v>296</v>
      </c>
      <c r="E30" s="314">
        <f ca="1">OFFSET($AQ$45,MATCH($E$16,$AQ$46:$AQ$53,0),2,1,1)</f>
        <v>307</v>
      </c>
      <c r="F30" s="314">
        <f ca="1">OFFSET($AQ$56,MATCH($E$16,$AQ$57:$AQ$64,0),2,1,1)</f>
        <v>325</v>
      </c>
      <c r="G30" s="314">
        <f ca="1">OFFSET($AQ$69,MATCH($E$16,$AQ$70:$AQ$77,0),2,1,1)</f>
        <v>336</v>
      </c>
      <c r="H30" s="314">
        <f ca="1">OFFSET($AQ$80,MATCH($E$16,$AQ$81:$AQ$88,0),2,1,1)</f>
        <v>346</v>
      </c>
      <c r="I30" s="314">
        <f ca="1">OFFSET($AQ$91,MATCH($E$16,$AQ$92:$AQ$99,0),2,1,1)</f>
        <v>356</v>
      </c>
      <c r="J30" s="314">
        <f ca="1">OFFSET($AQ$102,MATCH($E$16,$AQ$103:$AQ$110,0),2,1,1)</f>
        <v>368</v>
      </c>
      <c r="K30" s="316">
        <f>IF($E$16=6,544,IF($E$16=8,536,IF($E$16=10,535,IF($E$16=12,528,IF($E$16=14,520,IF($E$16=16,515,IF($E$16=20,514,IF($E$16=40,490,0))))))))</f>
        <v>515</v>
      </c>
      <c r="L30" s="183">
        <f>IF($E$16=6,577,IF($E$16=8,570,IF($E$16=10,569,IF($E$16=12,559,IF($E$16=14,551,IF($E$16=16,546,IF($E$16=20,541,IF($E$16=40,517,0))))))))</f>
        <v>546</v>
      </c>
      <c r="M30" s="183">
        <f>IF($E$16=6,612,IF($E$16=8,602,IF($E$16=10,599,IF($E$16=12,589,IF($E$16=14,579,IF($E$16=16,574,IF($E$16=20,569,IF($E$16=40,538,0))))))))</f>
        <v>574</v>
      </c>
      <c r="N30" s="183">
        <f>IF($E$16=6,645,IF($E$16=8,634,IF($E$16=10,632,IF($E$16=12,620,IF($E$16=14,610,IF($E$16=16,602,IF($E$16=20,599,IF($E$16=40,565,0))))))))</f>
        <v>602</v>
      </c>
      <c r="O30" s="183">
        <f>IF($E$16=6,677,IF($E$16=8,666,IF($E$16=10,663,IF($E$16=12,650,IF($E$16=14,640,IF($E$16=16,630,IF($E$16=20,626,IF($E$16=40,589,0))))))))</f>
        <v>630</v>
      </c>
      <c r="P30" s="183">
        <f>IF($E$16=6,712,IF($E$16=8,698,IF($E$16=10,696,IF($E$16=12,681,IF($E$16=14,668,IF($E$16=16,658,IF($E$16=20,656,IF($E$16=40,614,0))))))))</f>
        <v>658</v>
      </c>
      <c r="Q30" s="323">
        <f>Q31-IF($E$16=6,21.25,IF($E$16=8,18.42,IF($E$16=10,18.83,IF($E$16=12,17.75,IF($E$16=14,16.67,IF($E$16=16,16,IF($E$16=20,16,IF($E$16=40,12.75,0))))))))</f>
        <v>687</v>
      </c>
      <c r="R30" s="323">
        <f>R31-IF($E$16=6,22.36,IF($E$16=8,20.36,IF($E$16=10,20.82,IF($E$16=12,19.45,IF($E$16=14,18.27,IF($E$16=16,17.55,IF($E$16=20,17.36,IF($E$16=40,13.55,0))))))))</f>
        <v>716.90000000000009</v>
      </c>
      <c r="S30" s="323">
        <f>S31-IF($E$16=6,23.1,IF($E$16=8,21.4,IF($E$16=10,21.8,IF($E$16=12,20.4,IF($E$16=14,19.3,IF($E$16=16,18.3,IF($E$16=20,18.3,IF($E$16=40,14,0))))))))</f>
        <v>745.10000000000014</v>
      </c>
      <c r="T30" s="323">
        <f>T31-IF($E$16=6,24.89,IF($E$16=8,22.33,IF($E$16=10,22.89,IF($E$16=12,21.33,IF($E$16=14,20,IF($E$16=16,19.11,IF($E$16=20,19,IF($E$16=40,14.56,0))))))))</f>
        <v>772.56</v>
      </c>
      <c r="U30" s="323">
        <f>U31-IF($E$16=6,25.88,IF($E$16=8,23.38,IF($E$16=10,24,IF($E$16=12,22.38,IF($E$16=14,21,IF($E$16=16,19.88,IF($E$16=20,19.75,IF($E$16=40,15,0))))))))</f>
        <v>800.6</v>
      </c>
      <c r="V30" s="323">
        <f t="shared" ref="V30:V35" si="20">V31-IF($E$16=6,27.29,IF($E$16=8,24.43,IF($E$16=10,25,IF($E$16=12,23.29,IF($E$16=14,21.71,IF($E$16=16,20.57,IF($E$16=20,20.71,IF($E$16=40,15.43,0))))))))</f>
        <v>829.5799999999997</v>
      </c>
      <c r="W30" s="323">
        <f t="shared" ref="W30:W35" si="21">W31-IF($E$16=6,28.33,IF($E$16=8,25.33,IF($E$16=10,26.17,IF($E$16=12,24.17,IF($E$16=14,22.67,IF($E$16=16,21.33,IF($E$16=20,21.33,IF($E$16=40,16,0))))))))</f>
        <v>857.68999999999971</v>
      </c>
      <c r="X30" s="323">
        <f t="shared" ref="X30:X36" si="22">X31-IF($E$16=6,29.4,IF($E$16=8,26.4,IF($E$16=10,27.2,IF($E$16=12,25.2,IF($E$16=14,23.6,IF($E$16=16,22.2,IF($E$16=20,22,IF($E$16=40,16.4,0))))))))</f>
        <v>889.39999999999964</v>
      </c>
      <c r="Y30" s="323">
        <f t="shared" ref="Y30:Y37" si="23">Y31-IF($E$16=6,31,IF($E$16=8,27.5,IF($E$16=10,28.25,IF($E$16=12,26.25,IF($E$16=14,24.25,IF($E$16=16,23,IF($E$16=20,23,IF($E$16=40,16.75,0))))))))</f>
        <v>917</v>
      </c>
      <c r="Z30" s="323">
        <f t="shared" ref="Z30:Z38" si="24">Z31-IF($E$16=6,35,IF($E$16=8,28.67,IF($E$16=10,29.33,IF($E$16=12,27,IF($E$16=14,25.33,IF($E$16=16,23.67,IF($E$16=20,23.67,IF($E$16=40,17.33,0))))))))</f>
        <v>946.29999999999973</v>
      </c>
      <c r="AA30" s="338">
        <f t="shared" ref="AA30:AA39" si="25">AA31-IF($E$16=6,33,IF($E$16=8,29.5,IF($E$16=10,30.5,IF($E$16=12,28,IF($E$16=14,26,IF($E$16=16,24.5,IF($E$16=20,24.5,IF($E$16=40,17.5,0))))))))</f>
        <v>973.5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292</v>
      </c>
      <c r="D31" s="316">
        <f ca="1">$D$30+OFFSET($AQ$34,MATCH($E$16,$AQ$35:$AQ$42,0),3,1,1)*(B31-$B$30)/100</f>
        <v>303</v>
      </c>
      <c r="E31" s="184">
        <f t="shared" ref="E31:E37" ca="1" si="27">$E$30+OFFSET($AQ$45,MATCH($E$16,$AQ$46:$AQ$53,0),3,1,1)*(B31-$B$30)/100</f>
        <v>315</v>
      </c>
      <c r="F31" s="184">
        <f ca="1">$F$30+OFFSET($AQ$56,MATCH($E$16,$AQ$57:$AQ$64,0),3,1,1)*(B31-$B$30)/100</f>
        <v>333</v>
      </c>
      <c r="G31" s="184">
        <f t="shared" ref="G31:G50" ca="1" si="28">$G$30+OFFSET($AQ$69,MATCH($E$16,$AQ$70:$AQ$77,0),3,1,1)*(B31-$B$30)/100</f>
        <v>345</v>
      </c>
      <c r="H31" s="184">
        <f t="shared" ref="H31:H50" ca="1" si="29">$H$30+OFFSET($AQ$80,MATCH($E$16,$AQ$81:$AQ$88,0),3,1,1)*(B31-$B$30)/100</f>
        <v>355</v>
      </c>
      <c r="I31" s="184">
        <f t="shared" ref="I31:I50" ca="1" si="30">$I$30+OFFSET($AQ$91,MATCH($E$16,$AQ$92:$AQ$99,0),3,1,1)*(B31-$B$30)/100</f>
        <v>365</v>
      </c>
      <c r="J31" s="183">
        <f t="shared" ref="J31:J50" ca="1" si="31">$J$30+OFFSET($AQ$102,MATCH($E$16,$AQ$103:$AQ$110,0),3,1,1)*(B31-$B$30)/100</f>
        <v>377</v>
      </c>
      <c r="K31" s="286">
        <f>K30+IF($E$16=6,14.09,IF($E$16=8,13.09,IF($E$16=10,13.36,IF($E$16=12,12.73,IF($E$16=14,12.18,IF($E$16=16,11.82,IF($E$16=20,11.91,IF($E$16=40,9.91,0))))))))</f>
        <v>526.82000000000005</v>
      </c>
      <c r="L31" s="184">
        <f>L30+IF($E$16=6,15.23,IF($E$16=8,14.23,IF($E$16=10,14.46,IF($E$16=12,13.69,IF($E$16=14,13.15,IF($E$16=16,12.77,IF($E$16=20,12.62,IF($E$16=40,10.69,0))))))))</f>
        <v>558.77</v>
      </c>
      <c r="M31" s="184">
        <f>M30+IF($E$16=6,16.62,IF($E$16=8,15.23,IF($E$16=10,15.46,IF($E$16=12,14.69,IF($E$16=14,13.92,IF($E$16=16,13.54,IF($E$16=20,13.23,IF($E$16=40,10.92,0))))))))</f>
        <v>587.54</v>
      </c>
      <c r="N31" s="184">
        <f>N30+IF($E$16=6,17.62,IF($E$16=8,16.23,IF($E$16=10,16.62,IF($E$16=12,15.62,IF($E$16=14,14.85,IF($E$16=16,14.31,IF($E$16=20,14.23,IF($E$16=40,11.69,0))))))))</f>
        <v>616.30999999999995</v>
      </c>
      <c r="O31" s="184">
        <f>O30+IF($E$16=6,17.5408,IF($E$16=8,17.23,IF($E$16=10,17.54,IF($E$16=12,16.62,IF($E$16=14,15.85,IF($E$16=16,15.08,IF($E$16=20,14.92,IF($E$16=40,12.15,0))))))))</f>
        <v>645.08000000000004</v>
      </c>
      <c r="P31" s="184">
        <f>P30+IF($E$16=6,20.08,IF($E$16=8,18.23,IF($E$16=10,18.69,IF($E$16=12,17.54,IF($E$16=14,16.62,IF($E$16=16,15.85,IF($E$16=20,15.92,IF($E$16=40,12.54,0))))))))</f>
        <v>673.85</v>
      </c>
      <c r="Q31" s="183">
        <f>IF($E$16=6,766,IF($E$16=8,750,IF($E$16=10,746,IF($E$16=12,730,IF($E$16=14,714,IF($E$16=16,703,IF($E$16=20,700,IF($E$16=40,651,0))))))))</f>
        <v>703</v>
      </c>
      <c r="R31" s="317">
        <f>R32-IF($E$16=6,22.36,IF($E$16=8,20.36,IF($E$16=10,20.82,IF($E$16=12,19.45,IF($E$16=14,18.27,IF($E$16=16,17.55,IF($E$16=20,17.36,IF($E$16=40,13.55,0))))))))</f>
        <v>734.45</v>
      </c>
      <c r="S31" s="317">
        <f>S32-IF($E$16=6,23.1,IF($E$16=8,21.4,IF($E$16=10,21.8,IF($E$16=12,20.4,IF($E$16=14,19.3,IF($E$16=16,18.3,IF($E$16=20,18.3,IF($E$16=40,14,0))))))))</f>
        <v>763.40000000000009</v>
      </c>
      <c r="T31" s="317">
        <f>T32-IF($E$16=6,24.89,IF($E$16=8,22.33,IF($E$16=10,22.89,IF($E$16=12,21.33,IF($E$16=14,20,IF($E$16=16,19.11,IF($E$16=20,19,IF($E$16=40,14.56,0))))))))</f>
        <v>791.67</v>
      </c>
      <c r="U31" s="317">
        <f>U32-IF($E$16=6,25.88,IF($E$16=8,23.38,IF($E$16=10,24,IF($E$16=12,22.38,IF($E$16=14,21,IF($E$16=16,19.88,IF($E$16=20,19.75,IF($E$16=40,15,0))))))))</f>
        <v>820.48</v>
      </c>
      <c r="V31" s="317">
        <f t="shared" si="20"/>
        <v>850.14999999999975</v>
      </c>
      <c r="W31" s="317">
        <f t="shared" si="21"/>
        <v>879.01999999999975</v>
      </c>
      <c r="X31" s="317">
        <f t="shared" si="22"/>
        <v>911.59999999999968</v>
      </c>
      <c r="Y31" s="317">
        <f t="shared" si="23"/>
        <v>940</v>
      </c>
      <c r="Z31" s="317">
        <f t="shared" si="24"/>
        <v>969.96999999999969</v>
      </c>
      <c r="AA31" s="329">
        <f t="shared" si="25"/>
        <v>998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298</v>
      </c>
      <c r="D32" s="316">
        <f t="shared" ref="D32:D50" ca="1" si="32">$D$30+OFFSET($AQ$34,MATCH($E$16,$AQ$35:$AQ$42,0),3,1,1)*(B32-$B$30)/100</f>
        <v>310</v>
      </c>
      <c r="E32" s="184">
        <f t="shared" ca="1" si="27"/>
        <v>323</v>
      </c>
      <c r="F32" s="184">
        <f t="shared" ref="F32:F50" ca="1" si="33">$F$30+OFFSET($AQ$56,MATCH($E$16,$AQ$57:$AQ$64,0),3,1,1)*(B32-$B$30)/100</f>
        <v>341</v>
      </c>
      <c r="G32" s="184">
        <f t="shared" ca="1" si="28"/>
        <v>354</v>
      </c>
      <c r="H32" s="184">
        <f t="shared" ca="1" si="29"/>
        <v>364</v>
      </c>
      <c r="I32" s="184">
        <f t="shared" ca="1" si="30"/>
        <v>374</v>
      </c>
      <c r="J32" s="183">
        <f t="shared" ca="1" si="31"/>
        <v>386</v>
      </c>
      <c r="K32" s="286">
        <f t="shared" ref="K32:K50" si="34">K31+IF($E$16=6,14.09,IF($E$16=8,13.09,IF($E$16=10,13.36,IF($E$16=12,12.73,IF($E$16=14,12.18,IF($E$16=16,11.82,IF($E$16=20,11.91,IF($E$16=40,9.91,0))))))))</f>
        <v>538.6400000000001</v>
      </c>
      <c r="L32" s="184">
        <f t="shared" ref="L32:L50" si="35">L31+IF($E$16=6,15.23,IF($E$16=8,14.23,IF($E$16=10,14.46,IF($E$16=12,13.69,IF($E$16=14,13.15,IF($E$16=16,12.77,IF($E$16=20,12.62,IF($E$16=40,10.69,0))))))))</f>
        <v>571.54</v>
      </c>
      <c r="M32" s="184">
        <f t="shared" ref="M32:M50" si="36">M31+IF($E$16=6,16.62,IF($E$16=8,15.23,IF($E$16=10,15.46,IF($E$16=12,14.69,IF($E$16=14,13.92,IF($E$16=16,13.54,IF($E$16=20,13.23,IF($E$16=40,10.92,0))))))))</f>
        <v>601.07999999999993</v>
      </c>
      <c r="N32" s="184">
        <f t="shared" ref="N32:N50" si="37">N31+IF($E$16=6,17.62,IF($E$16=8,16.23,IF($E$16=10,16.62,IF($E$16=12,15.62,IF($E$16=14,14.85,IF($E$16=16,14.31,IF($E$16=20,14.23,IF($E$16=40,11.69,0))))))))</f>
        <v>630.61999999999989</v>
      </c>
      <c r="O32" s="184">
        <f t="shared" ref="O32:O50" si="38">O31+IF($E$16=6,17.5408,IF($E$16=8,17.23,IF($E$16=10,17.54,IF($E$16=12,16.62,IF($E$16=14,15.85,IF($E$16=16,15.08,IF($E$16=20,14.92,IF($E$16=40,12.15,0))))))))</f>
        <v>660.16000000000008</v>
      </c>
      <c r="P32" s="184">
        <f t="shared" ref="P32:P50" si="39">P31+IF($E$16=6,20.08,IF($E$16=8,18.23,IF($E$16=10,18.69,IF($E$16=12,17.54,IF($E$16=14,16.62,IF($E$16=16,15.85,IF($E$16=20,15.92,IF($E$16=40,12.54,0))))))))</f>
        <v>689.7</v>
      </c>
      <c r="Q32" s="184">
        <f>Q31+IF($E$16=6,21.25,IF($E$16=8,18.42,IF($E$16=10,18.83,IF($E$16=12,17.75,IF($E$16=14,16.67,IF($E$16=16,16,IF($E$16=20,16,IF($E$16=40,12.75,0))))))))</f>
        <v>719</v>
      </c>
      <c r="R32" s="183">
        <f>IF($E$16=6,823,IF($E$16=8,805,IF($E$16=10,801,IF($E$16=12,781,IF($E$16=14,764,IF($E$16=16,752,IF($E$16=20,745,IF($E$16=40,689,0))))))))</f>
        <v>752</v>
      </c>
      <c r="S32" s="317">
        <f>S33-IF($E$16=6,23.1,IF($E$16=8,21.4,IF($E$16=10,21.8,IF($E$16=12,20.4,IF($E$16=14,19.3,IF($E$16=16,18.3,IF($E$16=20,18.3,IF($E$16=40,14,0))))))))</f>
        <v>781.7</v>
      </c>
      <c r="T32" s="317">
        <f>T33-IF($E$16=6,24.89,IF($E$16=8,22.33,IF($E$16=10,22.89,IF($E$16=12,21.33,IF($E$16=14,20,IF($E$16=16,19.11,IF($E$16=20,19,IF($E$16=40,14.56,0))))))))</f>
        <v>810.78</v>
      </c>
      <c r="U32" s="317">
        <f>U33-IF($E$16=6,25.88,IF($E$16=8,23.38,IF($E$16=10,24,IF($E$16=12,22.38,IF($E$16=14,21,IF($E$16=16,19.88,IF($E$16=20,19.75,IF($E$16=40,15,0))))))))</f>
        <v>840.36</v>
      </c>
      <c r="V32" s="317">
        <f t="shared" si="20"/>
        <v>870.7199999999998</v>
      </c>
      <c r="W32" s="317">
        <f t="shared" si="21"/>
        <v>900.3499999999998</v>
      </c>
      <c r="X32" s="317">
        <f t="shared" si="22"/>
        <v>933.79999999999973</v>
      </c>
      <c r="Y32" s="317">
        <f t="shared" si="23"/>
        <v>963</v>
      </c>
      <c r="Z32" s="317">
        <f t="shared" si="24"/>
        <v>993.63999999999965</v>
      </c>
      <c r="AA32" s="329">
        <f t="shared" si="25"/>
        <v>1022.5</v>
      </c>
    </row>
    <row r="33" spans="1:52" x14ac:dyDescent="0.2">
      <c r="A33" s="495"/>
      <c r="B33" s="7">
        <v>1600</v>
      </c>
      <c r="C33" s="350">
        <f t="shared" ca="1" si="26"/>
        <v>304</v>
      </c>
      <c r="D33" s="316">
        <f t="shared" ca="1" si="32"/>
        <v>317</v>
      </c>
      <c r="E33" s="184">
        <f t="shared" ca="1" si="27"/>
        <v>331</v>
      </c>
      <c r="F33" s="184">
        <f t="shared" ca="1" si="33"/>
        <v>349</v>
      </c>
      <c r="G33" s="184">
        <f t="shared" ca="1" si="28"/>
        <v>363</v>
      </c>
      <c r="H33" s="184">
        <f t="shared" ca="1" si="29"/>
        <v>373</v>
      </c>
      <c r="I33" s="184">
        <f t="shared" ca="1" si="30"/>
        <v>383</v>
      </c>
      <c r="J33" s="183">
        <f t="shared" ca="1" si="31"/>
        <v>395</v>
      </c>
      <c r="K33" s="286">
        <f t="shared" si="34"/>
        <v>550.46000000000015</v>
      </c>
      <c r="L33" s="184">
        <f t="shared" si="35"/>
        <v>584.30999999999995</v>
      </c>
      <c r="M33" s="184">
        <f t="shared" si="36"/>
        <v>614.61999999999989</v>
      </c>
      <c r="N33" s="184">
        <f t="shared" si="37"/>
        <v>644.92999999999984</v>
      </c>
      <c r="O33" s="184">
        <f t="shared" si="38"/>
        <v>675.24000000000012</v>
      </c>
      <c r="P33" s="184">
        <f t="shared" si="39"/>
        <v>705.55000000000007</v>
      </c>
      <c r="Q33" s="184">
        <f t="shared" ref="Q33:Q50" si="40">Q32+IF($E$16=6,21.25,IF($E$16=8,18.42,IF($E$16=10,18.83,IF($E$16=12,17.75,IF($E$16=14,16.67,IF($E$16=16,16,IF($E$16=20,16,IF($E$16=40,12.75,0))))))))</f>
        <v>735</v>
      </c>
      <c r="R33" s="184">
        <f>R32+IF($E$16=6,22.36,IF($E$16=8,20.36,IF($E$16=10,20.82,IF($E$16=12,19.45,IF($E$16=14,18.27,IF($E$16=16,17.55,IF($E$16=20,17.36,IF($E$16=40,13.55,0))))))))</f>
        <v>769.55</v>
      </c>
      <c r="S33" s="183">
        <f>IF($E$16=6,889,IF($E$16=8,860,IF($E$16=10,855,IF($E$16=12,834,IF($E$16=14,815,IF($E$16=16,800,IF($E$16=20,795,IF($E$16=40,728,0))))))))</f>
        <v>800</v>
      </c>
      <c r="T33" s="317">
        <f>T34-IF($E$16=6,24.89,IF($E$16=8,22.33,IF($E$16=10,22.89,IF($E$16=12,21.33,IF($E$16=14,20,IF($E$16=16,19.11,IF($E$16=20,19,IF($E$16=40,14.56,0))))))))</f>
        <v>829.89</v>
      </c>
      <c r="U33" s="317">
        <f>U34-IF($E$16=6,25.88,IF($E$16=8,23.38,IF($E$16=10,24,IF($E$16=12,22.38,IF($E$16=14,21,IF($E$16=16,19.88,IF($E$16=20,19.75,IF($E$16=40,15,0))))))))</f>
        <v>860.24</v>
      </c>
      <c r="V33" s="317">
        <f t="shared" si="20"/>
        <v>891.28999999999985</v>
      </c>
      <c r="W33" s="317">
        <f t="shared" si="21"/>
        <v>921.67999999999984</v>
      </c>
      <c r="X33" s="317">
        <f t="shared" si="22"/>
        <v>955.99999999999977</v>
      </c>
      <c r="Y33" s="317">
        <f t="shared" si="23"/>
        <v>986</v>
      </c>
      <c r="Z33" s="317">
        <f t="shared" si="24"/>
        <v>1017.3099999999996</v>
      </c>
      <c r="AA33" s="329">
        <f t="shared" si="25"/>
        <v>1047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310</v>
      </c>
      <c r="D34" s="317">
        <f t="shared" ca="1" si="32"/>
        <v>324</v>
      </c>
      <c r="E34" s="184">
        <f t="shared" ca="1" si="27"/>
        <v>339</v>
      </c>
      <c r="F34" s="184">
        <f t="shared" ca="1" si="33"/>
        <v>357</v>
      </c>
      <c r="G34" s="184">
        <f t="shared" ca="1" si="28"/>
        <v>372</v>
      </c>
      <c r="H34" s="184">
        <f t="shared" ca="1" si="29"/>
        <v>382</v>
      </c>
      <c r="I34" s="184">
        <f t="shared" ca="1" si="30"/>
        <v>392</v>
      </c>
      <c r="J34" s="183">
        <f t="shared" ca="1" si="31"/>
        <v>404</v>
      </c>
      <c r="K34" s="286">
        <f t="shared" si="34"/>
        <v>562.2800000000002</v>
      </c>
      <c r="L34" s="184">
        <f t="shared" si="35"/>
        <v>597.07999999999993</v>
      </c>
      <c r="M34" s="184">
        <f t="shared" si="36"/>
        <v>628.15999999999985</v>
      </c>
      <c r="N34" s="184">
        <f t="shared" si="37"/>
        <v>659.23999999999978</v>
      </c>
      <c r="O34" s="184">
        <f t="shared" si="38"/>
        <v>690.32000000000016</v>
      </c>
      <c r="P34" s="184">
        <f t="shared" si="39"/>
        <v>721.40000000000009</v>
      </c>
      <c r="Q34" s="184">
        <f t="shared" si="40"/>
        <v>751</v>
      </c>
      <c r="R34" s="184">
        <f t="shared" ref="R34:R50" si="41">R33+IF($E$16=6,22.36,IF($E$16=8,20.36,IF($E$16=10,20.82,IF($E$16=12,19.45,IF($E$16=14,18.27,IF($E$16=16,17.55,IF($E$16=20,17.36,IF($E$16=40,13.55,0))))))))</f>
        <v>787.09999999999991</v>
      </c>
      <c r="S34" s="183">
        <f>S33+IF($E$16=6,23.1,IF($E$16=8,21.4,IF($E$16=10,21.8,IF($E$16=12,20.4,IF($E$16=14,19.3,IF($E$16=16,18.3,IF($E$16=20,18.3,IF($E$16=40,14,0))))))))</f>
        <v>818.3</v>
      </c>
      <c r="T34" s="183">
        <f>IF($E$16=6,944,IF($E$16=8,918,IF($E$16=10,915,IF($E$16=12,889,IF($E$16=14,866,IF($E$16=16,849,IF($E$16=20,844,IF($E$16=40,768,0))))))))</f>
        <v>849</v>
      </c>
      <c r="U34" s="317">
        <f>U35-IF($E$16=6,25.88,IF($E$16=8,23.38,IF($E$16=10,24,IF($E$16=12,22.38,IF($E$16=14,21,IF($E$16=16,19.88,IF($E$16=20,19.75,IF($E$16=40,15,0))))))))</f>
        <v>880.12</v>
      </c>
      <c r="V34" s="317">
        <f t="shared" si="20"/>
        <v>911.8599999999999</v>
      </c>
      <c r="W34" s="317">
        <f t="shared" si="21"/>
        <v>943.00999999999988</v>
      </c>
      <c r="X34" s="317">
        <f t="shared" si="22"/>
        <v>978.19999999999982</v>
      </c>
      <c r="Y34" s="317">
        <f t="shared" si="23"/>
        <v>1009</v>
      </c>
      <c r="Z34" s="317">
        <f t="shared" si="24"/>
        <v>1040.9799999999996</v>
      </c>
      <c r="AA34" s="329">
        <f t="shared" si="25"/>
        <v>1071.5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316</v>
      </c>
      <c r="D35" s="317">
        <f t="shared" ca="1" si="32"/>
        <v>331</v>
      </c>
      <c r="E35" s="184">
        <f t="shared" ca="1" si="27"/>
        <v>347</v>
      </c>
      <c r="F35" s="184">
        <f t="shared" ca="1" si="33"/>
        <v>365</v>
      </c>
      <c r="G35" s="184">
        <f t="shared" ca="1" si="28"/>
        <v>381</v>
      </c>
      <c r="H35" s="184">
        <f t="shared" ca="1" si="29"/>
        <v>391</v>
      </c>
      <c r="I35" s="184">
        <f t="shared" ca="1" si="30"/>
        <v>401</v>
      </c>
      <c r="J35" s="183">
        <f t="shared" ca="1" si="31"/>
        <v>413</v>
      </c>
      <c r="K35" s="286">
        <f t="shared" si="34"/>
        <v>574.10000000000025</v>
      </c>
      <c r="L35" s="184">
        <f t="shared" si="35"/>
        <v>609.84999999999991</v>
      </c>
      <c r="M35" s="184">
        <f t="shared" si="36"/>
        <v>641.69999999999982</v>
      </c>
      <c r="N35" s="184">
        <f t="shared" si="37"/>
        <v>673.54999999999973</v>
      </c>
      <c r="O35" s="184">
        <f t="shared" si="38"/>
        <v>705.4000000000002</v>
      </c>
      <c r="P35" s="184">
        <f t="shared" si="39"/>
        <v>737.25000000000011</v>
      </c>
      <c r="Q35" s="184">
        <f t="shared" si="40"/>
        <v>767</v>
      </c>
      <c r="R35" s="184">
        <f t="shared" si="41"/>
        <v>804.64999999999986</v>
      </c>
      <c r="S35" s="183">
        <f t="shared" ref="S35:S50" si="42">S34+IF($E$16=6,23.1,IF($E$16=8,21.4,IF($E$16=10,21.8,IF($E$16=12,20.4,IF($E$16=14,19.3,IF($E$16=16,18.3,IF($E$16=20,18.3,IF($E$16=40,14,0))))))))</f>
        <v>836.59999999999991</v>
      </c>
      <c r="T35" s="183">
        <f>T34+IF($E$16=6,24.89,IF($E$16=8,22.33,IF($E$16=10,22.89,IF($E$16=12,21.33,IF($E$16=14,20,IF($E$16=16,19.11,IF($E$16=20,19,IF($E$16=40,14.56,0))))))))</f>
        <v>868.11</v>
      </c>
      <c r="U35" s="183">
        <f>IF($E$16=6,1008,IF($E$16=8,977,IF($E$16=10,977,IF($E$16=12,945,IF($E$16=14,921,IF($E$16=16,900,IF($E$16=20,893,IF($E$16=40,809,0))))))))</f>
        <v>900</v>
      </c>
      <c r="V35" s="317">
        <f t="shared" si="20"/>
        <v>932.43</v>
      </c>
      <c r="W35" s="317">
        <f t="shared" si="21"/>
        <v>964.33999999999992</v>
      </c>
      <c r="X35" s="317">
        <f t="shared" si="22"/>
        <v>1000.3999999999999</v>
      </c>
      <c r="Y35" s="317">
        <f t="shared" si="23"/>
        <v>1032</v>
      </c>
      <c r="Z35" s="317">
        <f t="shared" si="24"/>
        <v>1064.6499999999996</v>
      </c>
      <c r="AA35" s="329">
        <f t="shared" si="25"/>
        <v>1096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322</v>
      </c>
      <c r="D36" s="317">
        <f t="shared" ca="1" si="32"/>
        <v>338</v>
      </c>
      <c r="E36" s="184">
        <f t="shared" ca="1" si="27"/>
        <v>355</v>
      </c>
      <c r="F36" s="184">
        <f t="shared" ca="1" si="33"/>
        <v>373</v>
      </c>
      <c r="G36" s="184">
        <f t="shared" ca="1" si="28"/>
        <v>390</v>
      </c>
      <c r="H36" s="184">
        <f t="shared" ca="1" si="29"/>
        <v>400</v>
      </c>
      <c r="I36" s="184">
        <f t="shared" ca="1" si="30"/>
        <v>410</v>
      </c>
      <c r="J36" s="183">
        <f t="shared" ca="1" si="31"/>
        <v>422</v>
      </c>
      <c r="K36" s="286">
        <f t="shared" si="34"/>
        <v>585.9200000000003</v>
      </c>
      <c r="L36" s="184">
        <f t="shared" si="35"/>
        <v>622.61999999999989</v>
      </c>
      <c r="M36" s="184">
        <f t="shared" si="36"/>
        <v>655.23999999999978</v>
      </c>
      <c r="N36" s="184">
        <f t="shared" si="37"/>
        <v>687.85999999999967</v>
      </c>
      <c r="O36" s="184">
        <f t="shared" si="38"/>
        <v>720.48000000000025</v>
      </c>
      <c r="P36" s="184">
        <f t="shared" si="39"/>
        <v>753.10000000000014</v>
      </c>
      <c r="Q36" s="184">
        <f t="shared" si="40"/>
        <v>783</v>
      </c>
      <c r="R36" s="184">
        <f t="shared" si="41"/>
        <v>822.19999999999982</v>
      </c>
      <c r="S36" s="183">
        <f t="shared" si="42"/>
        <v>854.89999999999986</v>
      </c>
      <c r="T36" s="183">
        <f t="shared" ref="T36:T50" si="43">T35+IF($E$16=6,24.89,IF($E$16=8,22.33,IF($E$16=10,22.89,IF($E$16=12,21.33,IF($E$16=14,20,IF($E$16=16,19.11,IF($E$16=20,19,IF($E$16=40,14.56,0))))))))</f>
        <v>887.22</v>
      </c>
      <c r="U36" s="183">
        <f>U35+IF($E$16=6,25.88,IF($E$16=8,23.38,IF($E$16=10,24,IF($E$16=12,22.38,IF($E$16=14,21,IF($E$16=16,19.88,IF($E$16=20,19.75,IF($E$16=40,15,0))))))))</f>
        <v>919.88</v>
      </c>
      <c r="V36" s="183">
        <f>IF($E$16=6,1076,IF($E$16=8,1038,IF($E$16=10,1037,IF($E$16=12,1004,IF($E$16=14,975,IF($E$16=16,953,IF($E$16=20,949,IF($E$16=40,851,0))))))))</f>
        <v>953</v>
      </c>
      <c r="W36" s="317">
        <f>W37-IF($E$16=6,28.33,IF($E$16=8,25.33,IF($E$16=10,26.17,IF($E$16=12,24.17,IF($E$16=14,22.67,IF($E$16=16,21.33,IF($E$16=20,21.33,IF($E$16=40,16,0))))))))</f>
        <v>985.67</v>
      </c>
      <c r="X36" s="317">
        <f t="shared" si="22"/>
        <v>1022.5999999999999</v>
      </c>
      <c r="Y36" s="317">
        <f t="shared" si="23"/>
        <v>1055</v>
      </c>
      <c r="Z36" s="317">
        <f t="shared" si="24"/>
        <v>1088.3199999999997</v>
      </c>
      <c r="AA36" s="329">
        <f t="shared" si="25"/>
        <v>1120.5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328</v>
      </c>
      <c r="D37" s="317">
        <f t="shared" ca="1" si="32"/>
        <v>345</v>
      </c>
      <c r="E37" s="317">
        <f t="shared" ca="1" si="27"/>
        <v>363</v>
      </c>
      <c r="F37" s="184">
        <f t="shared" ca="1" si="33"/>
        <v>381</v>
      </c>
      <c r="G37" s="184">
        <f t="shared" ca="1" si="28"/>
        <v>399</v>
      </c>
      <c r="H37" s="184">
        <f t="shared" ca="1" si="29"/>
        <v>409</v>
      </c>
      <c r="I37" s="184">
        <f t="shared" ca="1" si="30"/>
        <v>419</v>
      </c>
      <c r="J37" s="183">
        <f t="shared" ca="1" si="31"/>
        <v>431</v>
      </c>
      <c r="K37" s="286">
        <f t="shared" si="34"/>
        <v>597.74000000000035</v>
      </c>
      <c r="L37" s="184">
        <f t="shared" si="35"/>
        <v>635.38999999999987</v>
      </c>
      <c r="M37" s="184">
        <f t="shared" si="36"/>
        <v>668.77999999999975</v>
      </c>
      <c r="N37" s="184">
        <f t="shared" si="37"/>
        <v>702.16999999999962</v>
      </c>
      <c r="O37" s="184">
        <f t="shared" si="38"/>
        <v>735.56000000000029</v>
      </c>
      <c r="P37" s="184">
        <f t="shared" si="39"/>
        <v>768.95000000000016</v>
      </c>
      <c r="Q37" s="184">
        <f t="shared" si="40"/>
        <v>799</v>
      </c>
      <c r="R37" s="184">
        <f t="shared" si="41"/>
        <v>839.74999999999977</v>
      </c>
      <c r="S37" s="183">
        <f t="shared" si="42"/>
        <v>873.19999999999982</v>
      </c>
      <c r="T37" s="183">
        <f t="shared" si="43"/>
        <v>906.33</v>
      </c>
      <c r="U37" s="183">
        <f t="shared" ref="U37:U50" si="44">U36+IF($E$16=6,25.88,IF($E$16=8,23.38,IF($E$16=10,24,IF($E$16=12,22.38,IF($E$16=14,21,IF($E$16=16,19.88,IF($E$16=20,19.75,IF($E$16=40,15,0))))))))</f>
        <v>939.76</v>
      </c>
      <c r="V37" s="183">
        <f>V36+IF($E$16=6,27.29,IF($E$16=8,24.43,IF($E$16=10,25,IF($E$16=12,23.29,IF($E$16=14,21.71,IF($E$16=16,20.57,IF($E$16=20,20.71,IF($E$16=40,15.43,0))))))))</f>
        <v>973.57</v>
      </c>
      <c r="W37" s="183">
        <f>IF($E$16=6,1144,IF($E$16=8,1102,IF($E$16=10,1103,IF($E$16=12,1065,IF($E$16=14,1034,IF($E$16=16,1007,IF($E$16=20,1002,IF($E$16=40,894,0))))))))</f>
        <v>1007</v>
      </c>
      <c r="X37" s="317">
        <f>X38-IF($E$16=6,29.4,IF($E$16=8,26.4,IF($E$16=10,27.2,IF($E$16=12,25.2,IF($E$16=14,23.6,IF($E$16=16,22.2,IF($E$16=20,22,IF($E$16=40,16.4,0))))))))</f>
        <v>1044.8</v>
      </c>
      <c r="Y37" s="317">
        <f t="shared" si="23"/>
        <v>1078</v>
      </c>
      <c r="Z37" s="317">
        <f t="shared" si="24"/>
        <v>1111.9899999999998</v>
      </c>
      <c r="AA37" s="329">
        <f t="shared" si="25"/>
        <v>1145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334</v>
      </c>
      <c r="D38" s="317">
        <f t="shared" ca="1" si="32"/>
        <v>352</v>
      </c>
      <c r="E38" s="317">
        <f t="shared" ref="E38:E50" ca="1" si="45">$E$30+OFFSET($AQ$45,MATCH($E$16,$AQ$46:$AQ$53,0),3,1,1)*(B38-$B$30)/100</f>
        <v>371</v>
      </c>
      <c r="F38" s="184">
        <f t="shared" ca="1" si="33"/>
        <v>389</v>
      </c>
      <c r="G38" s="184">
        <f t="shared" ca="1" si="28"/>
        <v>408</v>
      </c>
      <c r="H38" s="184">
        <f t="shared" ca="1" si="29"/>
        <v>418</v>
      </c>
      <c r="I38" s="184">
        <f t="shared" ca="1" si="30"/>
        <v>428</v>
      </c>
      <c r="J38" s="183">
        <f t="shared" ca="1" si="31"/>
        <v>440</v>
      </c>
      <c r="K38" s="286">
        <f t="shared" si="34"/>
        <v>609.5600000000004</v>
      </c>
      <c r="L38" s="184">
        <f t="shared" si="35"/>
        <v>648.15999999999985</v>
      </c>
      <c r="M38" s="184">
        <f t="shared" si="36"/>
        <v>682.31999999999971</v>
      </c>
      <c r="N38" s="184">
        <f t="shared" si="37"/>
        <v>716.47999999999956</v>
      </c>
      <c r="O38" s="184">
        <f t="shared" si="38"/>
        <v>750.64000000000033</v>
      </c>
      <c r="P38" s="184">
        <f t="shared" si="39"/>
        <v>784.80000000000018</v>
      </c>
      <c r="Q38" s="184">
        <f t="shared" si="40"/>
        <v>815</v>
      </c>
      <c r="R38" s="184">
        <f t="shared" si="41"/>
        <v>857.29999999999973</v>
      </c>
      <c r="S38" s="183">
        <f t="shared" si="42"/>
        <v>891.49999999999977</v>
      </c>
      <c r="T38" s="183">
        <f t="shared" si="43"/>
        <v>925.44</v>
      </c>
      <c r="U38" s="183">
        <f t="shared" si="44"/>
        <v>959.64</v>
      </c>
      <c r="V38" s="183">
        <f t="shared" ref="V38:V50" si="46">V37+IF($E$16=6,27.29,IF($E$16=8,24.43,IF($E$16=10,25,IF($E$16=12,23.29,IF($E$16=14,21.71,IF($E$16=16,20.57,IF($E$16=20,20.71,IF($E$16=40,15.43,0))))))))</f>
        <v>994.1400000000001</v>
      </c>
      <c r="W38" s="183">
        <f>W37+IF($E$16=6,28.33,IF($E$16=8,25.33,IF($E$16=10,26.17,IF($E$16=12,24.17,IF($E$16=14,22.67,IF($E$16=16,21.33,IF($E$16=20,21.33,IF($E$16=40,16,0))))))))</f>
        <v>1028.33</v>
      </c>
      <c r="X38" s="183">
        <f>IF($E$16=6,1215,IF($E$16=8,1167,IF($E$16=10,1167,IF($E$16=12,1127,IF($E$16=14,1095,IF($E$16=16,1067,IF($E$16=20,1057,IF($E$16=40,938,0))))))))</f>
        <v>1067</v>
      </c>
      <c r="Y38" s="317">
        <f>Y39-IF($E$16=6,31,IF($E$16=8,27.5,IF($E$16=10,28.25,IF($E$16=12,26.25,IF($E$16=14,24.25,IF($E$16=16,23,IF($E$16=20,23,IF($E$16=40,16.75,0))))))))</f>
        <v>1101</v>
      </c>
      <c r="Z38" s="317">
        <f t="shared" si="24"/>
        <v>1135.6599999999999</v>
      </c>
      <c r="AA38" s="329">
        <f t="shared" si="25"/>
        <v>1169.5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340</v>
      </c>
      <c r="D39" s="317">
        <f t="shared" ca="1" si="32"/>
        <v>359</v>
      </c>
      <c r="E39" s="317">
        <f t="shared" ca="1" si="45"/>
        <v>379</v>
      </c>
      <c r="F39" s="317">
        <f t="shared" ca="1" si="33"/>
        <v>397</v>
      </c>
      <c r="G39" s="184">
        <f t="shared" ca="1" si="28"/>
        <v>417</v>
      </c>
      <c r="H39" s="184">
        <f t="shared" ca="1" si="29"/>
        <v>427</v>
      </c>
      <c r="I39" s="184">
        <f t="shared" ca="1" si="30"/>
        <v>437</v>
      </c>
      <c r="J39" s="183">
        <f t="shared" ca="1" si="31"/>
        <v>449</v>
      </c>
      <c r="K39" s="286">
        <f t="shared" si="34"/>
        <v>621.38000000000045</v>
      </c>
      <c r="L39" s="184">
        <f t="shared" si="35"/>
        <v>660.92999999999984</v>
      </c>
      <c r="M39" s="184">
        <f t="shared" si="36"/>
        <v>695.85999999999967</v>
      </c>
      <c r="N39" s="184">
        <f t="shared" si="37"/>
        <v>730.78999999999951</v>
      </c>
      <c r="O39" s="184">
        <f t="shared" si="38"/>
        <v>765.72000000000037</v>
      </c>
      <c r="P39" s="184">
        <f t="shared" si="39"/>
        <v>800.6500000000002</v>
      </c>
      <c r="Q39" s="184">
        <f t="shared" si="40"/>
        <v>831</v>
      </c>
      <c r="R39" s="184">
        <f t="shared" si="41"/>
        <v>874.84999999999968</v>
      </c>
      <c r="S39" s="183">
        <f t="shared" si="42"/>
        <v>909.79999999999973</v>
      </c>
      <c r="T39" s="183">
        <f t="shared" si="43"/>
        <v>944.55000000000007</v>
      </c>
      <c r="U39" s="183">
        <f t="shared" si="44"/>
        <v>979.52</v>
      </c>
      <c r="V39" s="183">
        <f t="shared" si="46"/>
        <v>1014.7100000000002</v>
      </c>
      <c r="W39" s="183">
        <f t="shared" ref="W39:W50" si="47">W38+IF($E$16=6,28.33,IF($E$16=8,25.33,IF($E$16=10,26.17,IF($E$16=12,24.17,IF($E$16=14,22.67,IF($E$16=16,21.33,IF($E$16=20,21.33,IF($E$16=40,16,0))))))))</f>
        <v>1049.6599999999999</v>
      </c>
      <c r="X39" s="183">
        <f>X38+IF($E$16=6,29.4,IF($E$16=8,26.4,IF($E$16=10,27.2,IF($E$16=12,25.2,IF($E$16=14,23.6,IF($E$16=16,22.2,IF($E$16=20,22,IF($E$16=40,16.4,0))))))))</f>
        <v>1089.2</v>
      </c>
      <c r="Y39" s="183">
        <f>IF($E$16=6,1290,IF($E$16=8,1238,IF($E$16=10,1238,IF($E$16=12,1191,IF($E$16=14,1154,IF($E$16=16,1124,IF($E$16=20,1117,IF($E$16=40,983,0))))))))</f>
        <v>1124</v>
      </c>
      <c r="Z39" s="317">
        <f>Z40-IF($E$16=6,35,IF($E$16=8,28.67,IF($E$16=10,29.33,IF($E$16=12,27,IF($E$16=14,25.33,IF($E$16=16,23.67,IF($E$16=20,23.67,IF($E$16=40,17.33,0))))))))</f>
        <v>1159.33</v>
      </c>
      <c r="AA39" s="329">
        <f t="shared" si="25"/>
        <v>1194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346</v>
      </c>
      <c r="D40" s="317">
        <f t="shared" ca="1" si="32"/>
        <v>366</v>
      </c>
      <c r="E40" s="317">
        <f t="shared" ca="1" si="45"/>
        <v>387</v>
      </c>
      <c r="F40" s="317">
        <f t="shared" ca="1" si="33"/>
        <v>405</v>
      </c>
      <c r="G40" s="184">
        <f t="shared" ca="1" si="28"/>
        <v>426</v>
      </c>
      <c r="H40" s="184">
        <f t="shared" ca="1" si="29"/>
        <v>436</v>
      </c>
      <c r="I40" s="184">
        <f t="shared" ca="1" si="30"/>
        <v>446</v>
      </c>
      <c r="J40" s="183">
        <f t="shared" ca="1" si="31"/>
        <v>458</v>
      </c>
      <c r="K40" s="286">
        <f t="shared" si="34"/>
        <v>633.2000000000005</v>
      </c>
      <c r="L40" s="184">
        <f t="shared" si="35"/>
        <v>673.69999999999982</v>
      </c>
      <c r="M40" s="184">
        <f t="shared" si="36"/>
        <v>709.39999999999964</v>
      </c>
      <c r="N40" s="184">
        <f t="shared" si="37"/>
        <v>745.09999999999945</v>
      </c>
      <c r="O40" s="184">
        <f t="shared" si="38"/>
        <v>780.80000000000041</v>
      </c>
      <c r="P40" s="184">
        <f t="shared" si="39"/>
        <v>816.50000000000023</v>
      </c>
      <c r="Q40" s="184">
        <f t="shared" si="40"/>
        <v>847</v>
      </c>
      <c r="R40" s="184">
        <f t="shared" si="41"/>
        <v>892.39999999999964</v>
      </c>
      <c r="S40" s="183">
        <f t="shared" si="42"/>
        <v>928.09999999999968</v>
      </c>
      <c r="T40" s="183">
        <f t="shared" si="43"/>
        <v>963.66000000000008</v>
      </c>
      <c r="U40" s="183">
        <f t="shared" si="44"/>
        <v>999.4</v>
      </c>
      <c r="V40" s="183">
        <f t="shared" si="46"/>
        <v>1035.2800000000002</v>
      </c>
      <c r="W40" s="183">
        <f t="shared" si="47"/>
        <v>1070.9899999999998</v>
      </c>
      <c r="X40" s="183">
        <f>X39+IF($E$16=6,29.4,IF($E$16=8,26.4,IF($E$16=10,27.2,IF($E$16=12,25.2,IF($E$16=14,23.6,IF($E$16=16,22.2,IF($E$16=20,22,IF($E$16=40,16.4,0))))))))</f>
        <v>1111.4000000000001</v>
      </c>
      <c r="Y40" s="183">
        <f>Y39+IF($E$16=6,31,IF($E$16=8,27.5,IF($E$16=10,28.25,IF($E$16=12,26.25,IF($E$16=14,24.25,IF($E$16=16,23,IF($E$16=20,23,IF($E$16=40,16.75,0))))))))</f>
        <v>1147</v>
      </c>
      <c r="Z40" s="183">
        <f>IF($E$16=6,1356,IF($E$16=8,1307,IF($E$16=10,1306,IF($E$16=12,1258,IF($E$16=14,1218,IF($E$16=16,1183,IF($E$16=20,1175,IF($E$16=40,1029,0))))))))</f>
        <v>1183</v>
      </c>
      <c r="AA40" s="329">
        <f>AA41-IF($E$16=6,33,IF($E$16=8,29.5,IF($E$16=10,30.5,IF($E$16=12,28,IF($E$16=14,26,IF($E$16=16,24.5,IF($E$16=20,24.5,IF($E$16=40,17.5,0))))))))</f>
        <v>1218.5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352</v>
      </c>
      <c r="D41" s="317">
        <f t="shared" ca="1" si="32"/>
        <v>373</v>
      </c>
      <c r="E41" s="317">
        <f t="shared" ca="1" si="45"/>
        <v>395</v>
      </c>
      <c r="F41" s="317">
        <f t="shared" ca="1" si="33"/>
        <v>413</v>
      </c>
      <c r="G41" s="317">
        <f t="shared" ca="1" si="28"/>
        <v>435</v>
      </c>
      <c r="H41" s="184">
        <f t="shared" ca="1" si="29"/>
        <v>445</v>
      </c>
      <c r="I41" s="184">
        <f t="shared" ca="1" si="30"/>
        <v>455</v>
      </c>
      <c r="J41" s="183">
        <f t="shared" ca="1" si="31"/>
        <v>467</v>
      </c>
      <c r="K41" s="316">
        <f t="shared" si="34"/>
        <v>645.02000000000055</v>
      </c>
      <c r="L41" s="287">
        <f t="shared" si="35"/>
        <v>686.4699999999998</v>
      </c>
      <c r="M41" s="287">
        <f t="shared" si="36"/>
        <v>722.9399999999996</v>
      </c>
      <c r="N41" s="287">
        <f t="shared" si="37"/>
        <v>759.4099999999994</v>
      </c>
      <c r="O41" s="287">
        <f t="shared" si="38"/>
        <v>795.88000000000045</v>
      </c>
      <c r="P41" s="184">
        <f t="shared" si="39"/>
        <v>832.35000000000025</v>
      </c>
      <c r="Q41" s="184">
        <f t="shared" si="40"/>
        <v>863</v>
      </c>
      <c r="R41" s="184">
        <f t="shared" si="41"/>
        <v>909.94999999999959</v>
      </c>
      <c r="S41" s="183">
        <f t="shared" si="42"/>
        <v>946.39999999999964</v>
      </c>
      <c r="T41" s="183">
        <f t="shared" si="43"/>
        <v>982.7700000000001</v>
      </c>
      <c r="U41" s="183">
        <f t="shared" si="44"/>
        <v>1019.28</v>
      </c>
      <c r="V41" s="183">
        <f t="shared" si="46"/>
        <v>1055.8500000000001</v>
      </c>
      <c r="W41" s="183">
        <f t="shared" si="47"/>
        <v>1092.3199999999997</v>
      </c>
      <c r="X41" s="183">
        <f>X40+IF($E$16=6,29.4,IF($E$16=8,26.4,IF($E$16=10,27.2,IF($E$16=12,25.2,IF($E$16=14,23.6,IF($E$16=16,22.2,IF($E$16=20,22,IF($E$16=40,16.4,0))))))))</f>
        <v>1133.6000000000001</v>
      </c>
      <c r="Y41" s="183">
        <f>Y40+IF($E$16=6,31,IF($E$16=8,27.5,IF($E$16=10,28.25,IF($E$16=12,26.25,IF($E$16=14,24.25,IF($E$16=16,23,IF($E$16=20,23,IF($E$16=40,16.75,0))))))))</f>
        <v>1170</v>
      </c>
      <c r="Z41" s="183">
        <f>Z40+IF($E$16=6,35,IF($E$16=8,28.67,IF($E$16=10,29.33,IF($E$16=12,27,IF($E$16=14,25.33,IF($E$16=16,23.67,IF($E$16=20,23.67,IF($E$16=40,17.33,0))))))))</f>
        <v>1206.67</v>
      </c>
      <c r="AA41" s="288">
        <f>IF($E$16=6,1408,IF($E$16=8,1379,IF($E$16=10,1381,IF($E$16=12,1326,IF($E$16=14,1280,IF($E$16=16,1243,IF($E$16=20,1233,IF($E$16=40,1070,0))))))))</f>
        <v>1243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358</v>
      </c>
      <c r="D42" s="317">
        <f t="shared" ca="1" si="32"/>
        <v>380</v>
      </c>
      <c r="E42" s="317">
        <f t="shared" ca="1" si="45"/>
        <v>403</v>
      </c>
      <c r="F42" s="317">
        <f t="shared" ca="1" si="33"/>
        <v>421</v>
      </c>
      <c r="G42" s="317">
        <f t="shared" ca="1" si="28"/>
        <v>444</v>
      </c>
      <c r="H42" s="184">
        <f t="shared" ca="1" si="29"/>
        <v>454</v>
      </c>
      <c r="I42" s="184">
        <f t="shared" ca="1" si="30"/>
        <v>464</v>
      </c>
      <c r="J42" s="183">
        <f t="shared" ca="1" si="31"/>
        <v>476</v>
      </c>
      <c r="K42" s="316">
        <f t="shared" si="34"/>
        <v>656.8400000000006</v>
      </c>
      <c r="L42" s="183">
        <f t="shared" si="35"/>
        <v>699.23999999999978</v>
      </c>
      <c r="M42" s="183">
        <f t="shared" si="36"/>
        <v>736.47999999999956</v>
      </c>
      <c r="N42" s="183">
        <f t="shared" si="37"/>
        <v>773.71999999999935</v>
      </c>
      <c r="O42" s="183">
        <f t="shared" si="38"/>
        <v>810.96000000000049</v>
      </c>
      <c r="P42" s="286">
        <f t="shared" si="39"/>
        <v>848.20000000000027</v>
      </c>
      <c r="Q42" s="184">
        <f t="shared" si="40"/>
        <v>879</v>
      </c>
      <c r="R42" s="184">
        <f t="shared" si="41"/>
        <v>927.49999999999955</v>
      </c>
      <c r="S42" s="183">
        <f t="shared" si="42"/>
        <v>964.69999999999959</v>
      </c>
      <c r="T42" s="183">
        <f t="shared" si="43"/>
        <v>1001.8800000000001</v>
      </c>
      <c r="U42" s="183">
        <f t="shared" si="44"/>
        <v>1039.1600000000001</v>
      </c>
      <c r="V42" s="183">
        <f t="shared" si="46"/>
        <v>1076.42</v>
      </c>
      <c r="W42" s="183">
        <f t="shared" si="47"/>
        <v>1113.6499999999996</v>
      </c>
      <c r="X42" s="183">
        <f>X41+IF($E$16=6,29.4,IF($E$16=8,26.4,IF($E$16=10,27.2,IF($E$16=12,25.2,IF($E$16=14,23.6,IF($E$16=16,22.2,IF($E$16=20,22,IF($E$16=40,16.4,0))))))))</f>
        <v>1155.8000000000002</v>
      </c>
      <c r="Y42" s="183">
        <f>Y41+IF($E$16=6,31,IF($E$16=8,27.5,IF($E$16=10,28.25,IF($E$16=12,26.25,IF($E$16=14,24.25,IF($E$16=16,23,IF($E$16=20,23,IF($E$16=40,16.75,0))))))))</f>
        <v>1193</v>
      </c>
      <c r="Z42" s="183">
        <f>Z41+IF($E$16=6,35,IF($E$16=8,28.67,IF($E$16=10,29.33,IF($E$16=12,27,IF($E$16=14,25.33,IF($E$16=16,23.67,IF($E$16=20,23.67,IF($E$16=40,17.33,0))))))))</f>
        <v>1230.3400000000001</v>
      </c>
      <c r="AA42" s="288">
        <f>AA41+IF($E$16=6,33,IF($E$16=8,29.5,IF($E$16=10,30.5,IF($E$16=12,28,IF($E$16=14,26,IF($E$16=16,24.5,IF($E$16=20,24.5,IF($E$16=40,17.5,0))))))))</f>
        <v>1267.5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364</v>
      </c>
      <c r="D43" s="317">
        <f t="shared" ca="1" si="32"/>
        <v>387</v>
      </c>
      <c r="E43" s="317">
        <f t="shared" ca="1" si="45"/>
        <v>411</v>
      </c>
      <c r="F43" s="317">
        <f t="shared" ca="1" si="33"/>
        <v>429</v>
      </c>
      <c r="G43" s="317">
        <f t="shared" ca="1" si="28"/>
        <v>453</v>
      </c>
      <c r="H43" s="317">
        <f t="shared" ca="1" si="29"/>
        <v>463</v>
      </c>
      <c r="I43" s="287">
        <f t="shared" ca="1" si="30"/>
        <v>473</v>
      </c>
      <c r="J43" s="332">
        <f t="shared" ca="1" si="31"/>
        <v>485</v>
      </c>
      <c r="K43" s="333">
        <f t="shared" si="34"/>
        <v>668.66000000000065</v>
      </c>
      <c r="L43" s="332">
        <f t="shared" si="35"/>
        <v>712.00999999999976</v>
      </c>
      <c r="M43" s="332">
        <f t="shared" si="36"/>
        <v>750.01999999999953</v>
      </c>
      <c r="N43" s="332">
        <f t="shared" si="37"/>
        <v>788.02999999999929</v>
      </c>
      <c r="O43" s="332">
        <f t="shared" si="38"/>
        <v>826.04000000000053</v>
      </c>
      <c r="P43" s="334">
        <f t="shared" si="39"/>
        <v>864.0500000000003</v>
      </c>
      <c r="Q43" s="287">
        <f t="shared" si="40"/>
        <v>895</v>
      </c>
      <c r="R43" s="287">
        <f t="shared" si="41"/>
        <v>945.0499999999995</v>
      </c>
      <c r="S43" s="332">
        <f t="shared" si="42"/>
        <v>982.99999999999955</v>
      </c>
      <c r="T43" s="332">
        <f t="shared" si="43"/>
        <v>1020.9900000000001</v>
      </c>
      <c r="U43" s="332">
        <f t="shared" si="44"/>
        <v>1059.0400000000002</v>
      </c>
      <c r="V43" s="332">
        <f t="shared" si="46"/>
        <v>1096.99</v>
      </c>
      <c r="W43" s="332">
        <f t="shared" si="47"/>
        <v>1134.9799999999996</v>
      </c>
      <c r="X43" s="332">
        <f>X42+IF($E$16=6,29.4,IF($E$16=8,26.4,IF($E$16=10,27.2,IF($E$16=12,25.2,IF($E$16=14,23.6,IF($E$16=16,22.2,IF($E$16=20,22,IF($E$16=40,16.4,0))))))))</f>
        <v>1178.0000000000002</v>
      </c>
      <c r="Y43" s="332">
        <f>Y42+IF($E$16=6,31,IF($E$16=8,27.5,IF($E$16=10,28.25,IF($E$16=12,26.25,IF($E$16=14,24.25,IF($E$16=16,23,IF($E$16=20,23,IF($E$16=40,16.75,0))))))))</f>
        <v>1216</v>
      </c>
      <c r="Z43" s="332">
        <f>Z42+IF($E$16=6,35,IF($E$16=8,28.67,IF($E$16=10,29.33,IF($E$16=12,27,IF($E$16=14,25.33,IF($E$16=16,23.67,IF($E$16=20,23.67,IF($E$16=40,17.33,0))))))))</f>
        <v>1254.0100000000002</v>
      </c>
      <c r="AA43" s="335">
        <f>AA42+IF($E$16=6,33,IF($E$16=8,29.5,IF($E$16=10,30.5,IF($E$16=12,28,IF($E$16=14,26,IF($E$16=16,24.5,IF($E$16=20,24.5,IF($E$16=40,17.5,0))))))))</f>
        <v>1292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370</v>
      </c>
      <c r="D44" s="323">
        <f t="shared" ca="1" si="32"/>
        <v>394</v>
      </c>
      <c r="E44" s="323">
        <f t="shared" ca="1" si="45"/>
        <v>419</v>
      </c>
      <c r="F44" s="323">
        <f t="shared" ca="1" si="33"/>
        <v>437</v>
      </c>
      <c r="G44" s="323">
        <f t="shared" ca="1" si="28"/>
        <v>462</v>
      </c>
      <c r="H44" s="323">
        <f t="shared" ca="1" si="29"/>
        <v>472</v>
      </c>
      <c r="I44" s="289">
        <f t="shared" ca="1" si="30"/>
        <v>482</v>
      </c>
      <c r="J44" s="290">
        <f t="shared" ca="1" si="31"/>
        <v>494</v>
      </c>
      <c r="K44" s="318">
        <f t="shared" si="34"/>
        <v>680.4800000000007</v>
      </c>
      <c r="L44" s="290">
        <f t="shared" si="35"/>
        <v>724.77999999999975</v>
      </c>
      <c r="M44" s="290">
        <f t="shared" si="36"/>
        <v>763.55999999999949</v>
      </c>
      <c r="N44" s="290">
        <f t="shared" si="37"/>
        <v>802.33999999999924</v>
      </c>
      <c r="O44" s="290">
        <f t="shared" si="38"/>
        <v>841.12000000000057</v>
      </c>
      <c r="P44" s="291">
        <f t="shared" si="39"/>
        <v>879.90000000000032</v>
      </c>
      <c r="Q44" s="289">
        <f t="shared" si="40"/>
        <v>911</v>
      </c>
      <c r="R44" s="289">
        <f t="shared" si="41"/>
        <v>962.59999999999945</v>
      </c>
      <c r="S44" s="290">
        <f t="shared" si="42"/>
        <v>1001.2999999999995</v>
      </c>
      <c r="T44" s="290">
        <f t="shared" si="43"/>
        <v>1040.1000000000001</v>
      </c>
      <c r="U44" s="290">
        <f t="shared" si="44"/>
        <v>1078.9200000000003</v>
      </c>
      <c r="V44" s="290">
        <f t="shared" si="46"/>
        <v>1117.56</v>
      </c>
      <c r="W44" s="290">
        <f t="shared" si="47"/>
        <v>1156.3099999999995</v>
      </c>
      <c r="X44" s="290">
        <f t="shared" ref="X44:X50" si="48">X43+IF($E$16=6,29.4,IF($E$16=8,26.4,IF($E$16=10,27.2,IF($E$16=12,25.2,IF($E$16=14,23.6,IF($E$16=16,22.2,IF($E$16=20,22,IF($E$16=40,16.4,0))))))))</f>
        <v>1200.2000000000003</v>
      </c>
      <c r="Y44" s="290">
        <f t="shared" ref="Y44:Y50" si="49">Y43+IF($E$16=6,31,IF($E$16=8,27.5,IF($E$16=10,28.25,IF($E$16=12,26.25,IF($E$16=14,24.25,IF($E$16=16,23,IF($E$16=20,23,IF($E$16=40,16.75,0))))))))</f>
        <v>1239</v>
      </c>
      <c r="Z44" s="290">
        <f t="shared" ref="Z44:Z50" si="50">Z43+IF($E$16=6,35,IF($E$16=8,28.67,IF($E$16=10,29.33,IF($E$16=12,27,IF($E$16=14,25.33,IF($E$16=16,23.67,IF($E$16=20,23.67,IF($E$16=40,17.33,0))))))))</f>
        <v>1277.6800000000003</v>
      </c>
      <c r="AA44" s="292">
        <f t="shared" ref="AA44:AA50" si="51">AA43+IF($E$16=6,33,IF($E$16=8,29.5,IF($E$16=10,30.5,IF($E$16=12,28,IF($E$16=14,26,IF($E$16=16,24.5,IF($E$16=20,24.5,IF($E$16=40,17.5,0))))))))</f>
        <v>1316.5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376</v>
      </c>
      <c r="D45" s="317">
        <f t="shared" ca="1" si="32"/>
        <v>401</v>
      </c>
      <c r="E45" s="317">
        <f t="shared" ca="1" si="45"/>
        <v>427</v>
      </c>
      <c r="F45" s="317">
        <f t="shared" ca="1" si="33"/>
        <v>445</v>
      </c>
      <c r="G45" s="317">
        <f t="shared" ca="1" si="28"/>
        <v>471</v>
      </c>
      <c r="H45" s="317">
        <f t="shared" ca="1" si="29"/>
        <v>481</v>
      </c>
      <c r="I45" s="317">
        <f t="shared" ca="1" si="30"/>
        <v>491</v>
      </c>
      <c r="J45" s="290">
        <f t="shared" ca="1" si="31"/>
        <v>503</v>
      </c>
      <c r="K45" s="318">
        <f t="shared" si="34"/>
        <v>692.30000000000075</v>
      </c>
      <c r="L45" s="290">
        <f t="shared" si="35"/>
        <v>737.54999999999973</v>
      </c>
      <c r="M45" s="290">
        <f t="shared" si="36"/>
        <v>777.09999999999945</v>
      </c>
      <c r="N45" s="290">
        <f t="shared" si="37"/>
        <v>816.64999999999918</v>
      </c>
      <c r="O45" s="290">
        <f t="shared" si="38"/>
        <v>856.20000000000061</v>
      </c>
      <c r="P45" s="291">
        <f t="shared" si="39"/>
        <v>895.75000000000034</v>
      </c>
      <c r="Q45" s="289">
        <f t="shared" si="40"/>
        <v>927</v>
      </c>
      <c r="R45" s="289">
        <f t="shared" si="41"/>
        <v>980.14999999999941</v>
      </c>
      <c r="S45" s="290">
        <f t="shared" si="42"/>
        <v>1019.5999999999995</v>
      </c>
      <c r="T45" s="290">
        <f t="shared" si="43"/>
        <v>1059.21</v>
      </c>
      <c r="U45" s="290">
        <f t="shared" si="44"/>
        <v>1098.8000000000004</v>
      </c>
      <c r="V45" s="290">
        <f t="shared" si="46"/>
        <v>1138.1299999999999</v>
      </c>
      <c r="W45" s="290">
        <f t="shared" si="47"/>
        <v>1177.6399999999994</v>
      </c>
      <c r="X45" s="290">
        <f t="shared" si="48"/>
        <v>1222.4000000000003</v>
      </c>
      <c r="Y45" s="290">
        <f t="shared" si="49"/>
        <v>1262</v>
      </c>
      <c r="Z45" s="290">
        <f t="shared" si="50"/>
        <v>1301.3500000000004</v>
      </c>
      <c r="AA45" s="292">
        <f t="shared" si="51"/>
        <v>1341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382</v>
      </c>
      <c r="D46" s="317">
        <f t="shared" ca="1" si="32"/>
        <v>408</v>
      </c>
      <c r="E46" s="317">
        <f t="shared" ca="1" si="45"/>
        <v>435</v>
      </c>
      <c r="F46" s="317">
        <f t="shared" ca="1" si="33"/>
        <v>453</v>
      </c>
      <c r="G46" s="317">
        <f t="shared" ca="1" si="28"/>
        <v>480</v>
      </c>
      <c r="H46" s="317">
        <f t="shared" ca="1" si="29"/>
        <v>490</v>
      </c>
      <c r="I46" s="317">
        <f t="shared" ca="1" si="30"/>
        <v>500</v>
      </c>
      <c r="J46" s="290">
        <f t="shared" ca="1" si="31"/>
        <v>512</v>
      </c>
      <c r="K46" s="318">
        <f t="shared" si="34"/>
        <v>704.1200000000008</v>
      </c>
      <c r="L46" s="290">
        <f t="shared" si="35"/>
        <v>750.31999999999971</v>
      </c>
      <c r="M46" s="290">
        <f t="shared" si="36"/>
        <v>790.63999999999942</v>
      </c>
      <c r="N46" s="290">
        <f t="shared" si="37"/>
        <v>830.95999999999913</v>
      </c>
      <c r="O46" s="290">
        <f t="shared" si="38"/>
        <v>871.28000000000065</v>
      </c>
      <c r="P46" s="291">
        <f t="shared" si="39"/>
        <v>911.60000000000036</v>
      </c>
      <c r="Q46" s="289">
        <f t="shared" si="40"/>
        <v>943</v>
      </c>
      <c r="R46" s="289">
        <f t="shared" si="41"/>
        <v>997.69999999999936</v>
      </c>
      <c r="S46" s="290">
        <f t="shared" si="42"/>
        <v>1037.8999999999994</v>
      </c>
      <c r="T46" s="290">
        <f t="shared" si="43"/>
        <v>1078.32</v>
      </c>
      <c r="U46" s="290">
        <f t="shared" si="44"/>
        <v>1118.6800000000005</v>
      </c>
      <c r="V46" s="290">
        <f t="shared" si="46"/>
        <v>1158.6999999999998</v>
      </c>
      <c r="W46" s="290">
        <f t="shared" si="47"/>
        <v>1198.9699999999993</v>
      </c>
      <c r="X46" s="290">
        <f t="shared" si="48"/>
        <v>1244.6000000000004</v>
      </c>
      <c r="Y46" s="290">
        <f t="shared" si="49"/>
        <v>1285</v>
      </c>
      <c r="Z46" s="290">
        <f t="shared" si="50"/>
        <v>1325.0200000000004</v>
      </c>
      <c r="AA46" s="292">
        <f t="shared" si="51"/>
        <v>1365.5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388</v>
      </c>
      <c r="D47" s="317">
        <f t="shared" ca="1" si="32"/>
        <v>415</v>
      </c>
      <c r="E47" s="317">
        <f t="shared" ca="1" si="45"/>
        <v>443</v>
      </c>
      <c r="F47" s="317">
        <f t="shared" ca="1" si="33"/>
        <v>461</v>
      </c>
      <c r="G47" s="317">
        <f t="shared" ca="1" si="28"/>
        <v>489</v>
      </c>
      <c r="H47" s="317">
        <f t="shared" ca="1" si="29"/>
        <v>499</v>
      </c>
      <c r="I47" s="317">
        <f t="shared" ca="1" si="30"/>
        <v>509</v>
      </c>
      <c r="J47" s="322">
        <f t="shared" ca="1" si="31"/>
        <v>521</v>
      </c>
      <c r="K47" s="318">
        <f t="shared" si="34"/>
        <v>715.94000000000085</v>
      </c>
      <c r="L47" s="290">
        <f t="shared" si="35"/>
        <v>763.08999999999969</v>
      </c>
      <c r="M47" s="290">
        <f t="shared" si="36"/>
        <v>804.17999999999938</v>
      </c>
      <c r="N47" s="290">
        <f t="shared" si="37"/>
        <v>845.26999999999907</v>
      </c>
      <c r="O47" s="290">
        <f t="shared" si="38"/>
        <v>886.3600000000007</v>
      </c>
      <c r="P47" s="291">
        <f t="shared" si="39"/>
        <v>927.45000000000039</v>
      </c>
      <c r="Q47" s="289">
        <f t="shared" si="40"/>
        <v>959</v>
      </c>
      <c r="R47" s="289">
        <f t="shared" si="41"/>
        <v>1015.2499999999993</v>
      </c>
      <c r="S47" s="290">
        <f t="shared" si="42"/>
        <v>1056.1999999999994</v>
      </c>
      <c r="T47" s="290">
        <f t="shared" si="43"/>
        <v>1097.4299999999998</v>
      </c>
      <c r="U47" s="290">
        <f t="shared" si="44"/>
        <v>1138.5600000000006</v>
      </c>
      <c r="V47" s="290">
        <f t="shared" si="46"/>
        <v>1179.2699999999998</v>
      </c>
      <c r="W47" s="290">
        <f t="shared" si="47"/>
        <v>1220.2999999999993</v>
      </c>
      <c r="X47" s="290">
        <f t="shared" si="48"/>
        <v>1266.8000000000004</v>
      </c>
      <c r="Y47" s="290">
        <f t="shared" si="49"/>
        <v>1308</v>
      </c>
      <c r="Z47" s="290">
        <f t="shared" si="50"/>
        <v>1348.6900000000005</v>
      </c>
      <c r="AA47" s="292">
        <f t="shared" si="51"/>
        <v>1390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394</v>
      </c>
      <c r="D48" s="317">
        <f t="shared" ca="1" si="32"/>
        <v>422</v>
      </c>
      <c r="E48" s="317">
        <f t="shared" ca="1" si="45"/>
        <v>451</v>
      </c>
      <c r="F48" s="317">
        <f t="shared" ca="1" si="33"/>
        <v>469</v>
      </c>
      <c r="G48" s="317">
        <f t="shared" ca="1" si="28"/>
        <v>498</v>
      </c>
      <c r="H48" s="317">
        <f t="shared" ca="1" si="29"/>
        <v>508</v>
      </c>
      <c r="I48" s="317">
        <f t="shared" ca="1" si="30"/>
        <v>518</v>
      </c>
      <c r="J48" s="322">
        <f t="shared" ca="1" si="31"/>
        <v>530</v>
      </c>
      <c r="K48" s="318">
        <f t="shared" si="34"/>
        <v>727.7600000000009</v>
      </c>
      <c r="L48" s="290">
        <f t="shared" si="35"/>
        <v>775.85999999999967</v>
      </c>
      <c r="M48" s="290">
        <f t="shared" si="36"/>
        <v>817.71999999999935</v>
      </c>
      <c r="N48" s="290">
        <f t="shared" si="37"/>
        <v>859.57999999999902</v>
      </c>
      <c r="O48" s="290">
        <f t="shared" si="38"/>
        <v>901.44000000000074</v>
      </c>
      <c r="P48" s="291">
        <f t="shared" si="39"/>
        <v>943.30000000000041</v>
      </c>
      <c r="Q48" s="289">
        <f t="shared" si="40"/>
        <v>975</v>
      </c>
      <c r="R48" s="289">
        <f t="shared" si="41"/>
        <v>1032.7999999999993</v>
      </c>
      <c r="S48" s="290">
        <f t="shared" si="42"/>
        <v>1074.4999999999993</v>
      </c>
      <c r="T48" s="290">
        <f t="shared" si="43"/>
        <v>1116.5399999999997</v>
      </c>
      <c r="U48" s="290">
        <f t="shared" si="44"/>
        <v>1158.4400000000007</v>
      </c>
      <c r="V48" s="290">
        <f t="shared" si="46"/>
        <v>1199.8399999999997</v>
      </c>
      <c r="W48" s="290">
        <f t="shared" si="47"/>
        <v>1241.6299999999992</v>
      </c>
      <c r="X48" s="290">
        <f t="shared" si="48"/>
        <v>1289.0000000000005</v>
      </c>
      <c r="Y48" s="290">
        <f t="shared" si="49"/>
        <v>1331</v>
      </c>
      <c r="Z48" s="290">
        <f t="shared" si="50"/>
        <v>1372.3600000000006</v>
      </c>
      <c r="AA48" s="292">
        <f t="shared" si="51"/>
        <v>1414.5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400</v>
      </c>
      <c r="D49" s="317">
        <f t="shared" ca="1" si="32"/>
        <v>429</v>
      </c>
      <c r="E49" s="317">
        <f t="shared" ca="1" si="45"/>
        <v>459</v>
      </c>
      <c r="F49" s="317">
        <f t="shared" ca="1" si="33"/>
        <v>477</v>
      </c>
      <c r="G49" s="317">
        <f t="shared" ca="1" si="28"/>
        <v>507</v>
      </c>
      <c r="H49" s="317">
        <f t="shared" ca="1" si="29"/>
        <v>517</v>
      </c>
      <c r="I49" s="317">
        <f t="shared" ca="1" si="30"/>
        <v>527</v>
      </c>
      <c r="J49" s="322">
        <f t="shared" ca="1" si="31"/>
        <v>539</v>
      </c>
      <c r="K49" s="317">
        <f t="shared" si="34"/>
        <v>739.58000000000095</v>
      </c>
      <c r="L49" s="290">
        <f t="shared" si="35"/>
        <v>788.62999999999965</v>
      </c>
      <c r="M49" s="290">
        <f t="shared" si="36"/>
        <v>831.25999999999931</v>
      </c>
      <c r="N49" s="290">
        <f t="shared" si="37"/>
        <v>873.88999999999896</v>
      </c>
      <c r="O49" s="290">
        <f t="shared" si="38"/>
        <v>916.52000000000078</v>
      </c>
      <c r="P49" s="291">
        <f t="shared" si="39"/>
        <v>959.15000000000043</v>
      </c>
      <c r="Q49" s="289">
        <f t="shared" si="40"/>
        <v>991</v>
      </c>
      <c r="R49" s="289">
        <f t="shared" si="41"/>
        <v>1050.3499999999992</v>
      </c>
      <c r="S49" s="290">
        <f t="shared" si="42"/>
        <v>1092.7999999999993</v>
      </c>
      <c r="T49" s="290">
        <f t="shared" si="43"/>
        <v>1135.6499999999996</v>
      </c>
      <c r="U49" s="290">
        <f t="shared" si="44"/>
        <v>1178.3200000000008</v>
      </c>
      <c r="V49" s="290">
        <f t="shared" si="46"/>
        <v>1220.4099999999996</v>
      </c>
      <c r="W49" s="290">
        <f t="shared" si="47"/>
        <v>1262.9599999999991</v>
      </c>
      <c r="X49" s="290">
        <f t="shared" si="48"/>
        <v>1311.2000000000005</v>
      </c>
      <c r="Y49" s="290">
        <f t="shared" si="49"/>
        <v>1354</v>
      </c>
      <c r="Z49" s="290">
        <f t="shared" si="50"/>
        <v>1396.0300000000007</v>
      </c>
      <c r="AA49" s="292">
        <f t="shared" si="51"/>
        <v>1439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406</v>
      </c>
      <c r="D50" s="330">
        <f t="shared" ca="1" si="32"/>
        <v>436</v>
      </c>
      <c r="E50" s="330">
        <f t="shared" ca="1" si="45"/>
        <v>467</v>
      </c>
      <c r="F50" s="330">
        <f t="shared" ca="1" si="33"/>
        <v>485</v>
      </c>
      <c r="G50" s="330">
        <f t="shared" ca="1" si="28"/>
        <v>516</v>
      </c>
      <c r="H50" s="330">
        <f t="shared" ca="1" si="29"/>
        <v>526</v>
      </c>
      <c r="I50" s="330">
        <f t="shared" ca="1" si="30"/>
        <v>536</v>
      </c>
      <c r="J50" s="331">
        <f t="shared" ca="1" si="31"/>
        <v>548</v>
      </c>
      <c r="K50" s="330">
        <f t="shared" si="34"/>
        <v>751.400000000001</v>
      </c>
      <c r="L50" s="293">
        <f t="shared" si="35"/>
        <v>801.39999999999964</v>
      </c>
      <c r="M50" s="293">
        <f t="shared" si="36"/>
        <v>844.79999999999927</v>
      </c>
      <c r="N50" s="293">
        <f t="shared" si="37"/>
        <v>888.19999999999891</v>
      </c>
      <c r="O50" s="293">
        <f t="shared" si="38"/>
        <v>931.60000000000082</v>
      </c>
      <c r="P50" s="294">
        <f t="shared" si="39"/>
        <v>975.00000000000045</v>
      </c>
      <c r="Q50" s="295">
        <f t="shared" si="40"/>
        <v>1007</v>
      </c>
      <c r="R50" s="295">
        <f t="shared" si="41"/>
        <v>1067.8999999999992</v>
      </c>
      <c r="S50" s="293">
        <f t="shared" si="42"/>
        <v>1111.0999999999992</v>
      </c>
      <c r="T50" s="293">
        <f t="shared" si="43"/>
        <v>1154.7599999999995</v>
      </c>
      <c r="U50" s="293">
        <f t="shared" si="44"/>
        <v>1198.200000000001</v>
      </c>
      <c r="V50" s="293">
        <f t="shared" si="46"/>
        <v>1240.9799999999996</v>
      </c>
      <c r="W50" s="293">
        <f t="shared" si="47"/>
        <v>1284.2899999999991</v>
      </c>
      <c r="X50" s="293">
        <f t="shared" si="48"/>
        <v>1333.4000000000005</v>
      </c>
      <c r="Y50" s="293">
        <f t="shared" si="49"/>
        <v>1377</v>
      </c>
      <c r="Z50" s="293">
        <f t="shared" si="50"/>
        <v>1419.7000000000007</v>
      </c>
      <c r="AA50" s="296">
        <f t="shared" si="51"/>
        <v>1463.5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804.64999999999986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38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16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807.04999999999984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850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789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16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1.0976075000000003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3951.3870000000011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1.5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1.8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1.3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8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16</v>
      </c>
      <c r="H18" s="162">
        <f>H5*1000</f>
        <v>1500</v>
      </c>
      <c r="I18" s="163">
        <f>((((ROUNDUP((((H18/2)-30)-1.5-G18-80)/(H3+$H$11),0))*(H3+$H$11))+1.5)*2)+160</f>
        <v>1411</v>
      </c>
      <c r="J18" s="163">
        <f>H18-I18</f>
        <v>89</v>
      </c>
      <c r="K18" s="163">
        <f>J18/2</f>
        <v>44.5</v>
      </c>
      <c r="L18" s="163">
        <f>((((((((ROUNDUP((((H18/2)-30)-1.5-H3-80)/(H3+$H$11),0)))))+1)*(H3+$H$11))+1.5)*2)+160</f>
        <v>1459</v>
      </c>
      <c r="M18" s="163">
        <f>H18-L18</f>
        <v>41</v>
      </c>
      <c r="N18" s="164">
        <f>M18/2</f>
        <v>20.5</v>
      </c>
      <c r="O18" s="165">
        <f>IF(K18&gt;50,L18,I18)</f>
        <v>1411</v>
      </c>
      <c r="P18" s="166">
        <f>(((((ROUNDUP((((H18/2)-30)-1.5-H3-80)/(H3+$H$11),0))))))*2</f>
        <v>52</v>
      </c>
      <c r="Q18" s="166">
        <f>P18-1</f>
        <v>51</v>
      </c>
      <c r="R18" s="167">
        <f>($H$6-$H$8-$AR$3)*((H3/1000)*(Q18+1)+0.003)</f>
        <v>0.99782500000000018</v>
      </c>
      <c r="S18" s="168">
        <f>R18*T18</f>
        <v>1.0976075000000003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6.1581630057806612E-2</v>
      </c>
      <c r="W18" s="171">
        <f>IF((0.15*$H$8*2*9.8/($H$12*($H$11/G18)^(4/3)*$H$10^2*U18))&gt;1,75,FLOOR(DEGREES(ASIN((0.15*$H$8*2*9.8/($H$12*($H$11/G18)^(4/3)*$H$10^2*U18)))),5))</f>
        <v>75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Курск КОС (8530) 17.12.21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8530 Курск КОС 17.12.21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РГО 1500.1800.850.16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РГО 1500.1800.850.16 (AISI 304; 0,37 кВт.; IP55; с ШУ и ВПУ)</v>
      </c>
      <c r="J5" s="619"/>
      <c r="K5" s="620"/>
      <c r="L5" s="621"/>
    </row>
    <row r="6" spans="1:254" x14ac:dyDescent="0.2">
      <c r="A6" s="182" t="s">
        <v>99</v>
      </c>
      <c r="B6" s="475" t="s">
        <v>500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501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502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8530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РГО</v>
      </c>
      <c r="B16" s="190">
        <v>1500</v>
      </c>
      <c r="C16" s="190">
        <v>1800</v>
      </c>
      <c r="D16" s="191">
        <v>850</v>
      </c>
      <c r="E16" s="190">
        <v>16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807.1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850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3700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3050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1550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86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102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286311.78000000003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263 н.ч.</v>
      </c>
      <c r="C33" s="209">
        <f>ФОТ!C37</f>
        <v>81135</v>
      </c>
    </row>
    <row r="34" spans="1:254" x14ac:dyDescent="0.2">
      <c r="A34" s="71" t="s">
        <v>178</v>
      </c>
      <c r="B34" s="110" t="str">
        <f ca="1">CONCATENATE(ROUNDUP(C34/Параметры!B3,0)," н.ч.")</f>
        <v>26 н.ч.</v>
      </c>
      <c r="C34" s="209">
        <f ca="1">ФОТ!C54</f>
        <v>8034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184782.78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550606.16666666674</v>
      </c>
      <c r="D39" s="215">
        <f ca="1">SUM(D41:D47)</f>
        <v>660727.4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272250</v>
      </c>
      <c r="D41" s="209">
        <f t="shared" ref="D41:D47" ca="1" si="0">C41*1.2</f>
        <v>326700</v>
      </c>
    </row>
    <row r="42" spans="1:254" x14ac:dyDescent="0.2">
      <c r="A42" t="str">
        <f>CONCATENATE("Цепи (",РГО!B7," м.п.)")</f>
        <v>Цепи (15 м.п.)</v>
      </c>
      <c r="B42" s="4"/>
      <c r="C42" s="209">
        <f>РГО!B8</f>
        <v>81000</v>
      </c>
      <c r="D42" s="209">
        <f t="shared" si="0"/>
        <v>97200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88065</v>
      </c>
      <c r="D46" s="209">
        <f t="shared" ca="1" si="0"/>
        <v>105678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16038</v>
      </c>
      <c r="D47" s="209">
        <f t="shared" ca="1" si="0"/>
        <v>19245.599999999999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836918</v>
      </c>
      <c r="D49" s="214">
        <f ca="1">C49*1.2</f>
        <v>1004301.6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1590145</v>
      </c>
      <c r="D53" s="222">
        <f ca="1">ROUNDUP(D49*B53,0)</f>
        <v>1908174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1590145</v>
      </c>
      <c r="D57" s="225">
        <f ca="1">D53+D55</f>
        <v>1908174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753227</v>
      </c>
      <c r="D58" s="233">
        <f ca="1">D57-D55-D49</f>
        <v>903872.4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1590145</v>
      </c>
      <c r="D62" s="241">
        <f ca="1">D57/(1-B60*(1+B61))</f>
        <v>1908174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1590145</v>
      </c>
      <c r="D64" s="205">
        <f ca="1">D62</f>
        <v>1908174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1500</v>
      </c>
      <c r="D9" s="82">
        <f>IF(C9&lt;=750,ROUND(C9/50,0)*50,ROUND(C9/100,0)*100)</f>
        <v>1500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1800</v>
      </c>
      <c r="D10" s="82">
        <f>CEILING(C10,100)</f>
        <v>1800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305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16</v>
      </c>
      <c r="D12" s="84">
        <f>C12</f>
        <v>16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1500</v>
      </c>
      <c r="D13" s="87">
        <f>IF(C10&lt;=1200,C10,C10-250)</f>
        <v>1550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1600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1600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8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51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6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6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51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226.64449999999999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7.1966666666666672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262.56366666666668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50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0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28.722500000000004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54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81132.17300000001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81135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807.1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26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8034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789</v>
      </c>
      <c r="D3" s="401" t="s">
        <v>17</v>
      </c>
      <c r="E3" s="404">
        <f>Цена!B16</f>
        <v>1500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990</v>
      </c>
      <c r="D4" s="401" t="s">
        <v>18</v>
      </c>
      <c r="E4" s="404">
        <f>Цена!C16</f>
        <v>1800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272250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16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15</v>
      </c>
      <c r="D7" s="401" t="s">
        <v>397</v>
      </c>
      <c r="E7" s="408">
        <f>Цена!D20</f>
        <v>3700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81000</v>
      </c>
      <c r="D8" s="401" t="s">
        <v>398</v>
      </c>
      <c r="E8" s="408">
        <f>Цена!D21</f>
        <v>3050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1550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304</v>
      </c>
      <c r="F11" s="401">
        <f ca="1">OFFSET(I3,MATCH(E11,I4:I7,0),1,1,1)</f>
        <v>275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438503.16666666669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0</v>
      </c>
      <c r="C79" s="408"/>
      <c r="D79" s="445" t="s">
        <v>463</v>
      </c>
      <c r="E79" s="457" t="str">
        <f>Цена!D27</f>
        <v>Нет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900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85500</v>
      </c>
    </row>
    <row r="84" spans="1:13" x14ac:dyDescent="0.2">
      <c r="A84" s="401" t="s">
        <v>90</v>
      </c>
      <c r="B84" s="458">
        <f ca="1">ROUND(B83*E17,1)</f>
        <v>2565</v>
      </c>
      <c r="K84" s="450">
        <f>IF(L84=$E$79,1,0)</f>
        <v>1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0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88065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РГО 1500.1800.850.16</v>
      </c>
      <c r="B2" s="71" t="str">
        <f ca="1">CONCATENATE(E5,E6," ",E7," ",E8," ",E9," ",E10," ",E11," ",E12," ",E14,E15)</f>
        <v>Решетка грубой очистки грабельного типа. Максимальная производительность - 3960 м3/ч.; прозор - 16 мм.; ширина канала - 1500 мм.; глубина канала - 1800 мм.; высота выгрузки отбросов - 850 мм.; вес решетки в сборе - 850 кг.; привод - 0,37 кВт.; IP 55; 380 В; 50 Гц;  материал исполнения - AISI 304; в комплекте с ШУ и ВПУ.</v>
      </c>
      <c r="C2" s="110">
        <f ca="1">C11</f>
        <v>850</v>
      </c>
      <c r="D2" s="108">
        <f ca="1">C12</f>
        <v>0.37</v>
      </c>
      <c r="E2" s="108">
        <v>1</v>
      </c>
      <c r="F2" s="110">
        <f ca="1">MROUND(Цена!C49,100)</f>
        <v>836900</v>
      </c>
      <c r="G2" s="110">
        <f ca="1">F2*E2</f>
        <v>836900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РГО 1500.1800.850.16</v>
      </c>
      <c r="B5" s="186" t="str">
        <f>IF(Цена!A16="РТО","тонкой очистки","грубой очистки")</f>
        <v>грубой очистки</v>
      </c>
      <c r="E5" t="str">
        <f>CONCATENATE("Решетка ",B5," грабельного типа. ")</f>
        <v xml:space="preserve">Решетка грубой очистки грабельного типа. </v>
      </c>
    </row>
    <row r="6" spans="1:8" x14ac:dyDescent="0.2">
      <c r="B6" s="186" t="s">
        <v>271</v>
      </c>
      <c r="C6" s="298">
        <f>ROUNDUP(Гидравлика!R4,-1)</f>
        <v>3960</v>
      </c>
      <c r="D6" t="s">
        <v>113</v>
      </c>
      <c r="E6" t="str">
        <f>CONCATENATE(B6," ",C6," ",D6,".;")</f>
        <v>Максимальная производительность - 3960 м3/ч.;</v>
      </c>
    </row>
    <row r="7" spans="1:8" x14ac:dyDescent="0.2">
      <c r="B7" s="186" t="s">
        <v>280</v>
      </c>
      <c r="C7" s="110">
        <f>Цена!E16</f>
        <v>16</v>
      </c>
      <c r="D7" t="s">
        <v>167</v>
      </c>
      <c r="E7" t="str">
        <f>CONCATENATE(B7," ",C7," ",D7,";")</f>
        <v>прозор - 16 мм.;</v>
      </c>
    </row>
    <row r="8" spans="1:8" x14ac:dyDescent="0.2">
      <c r="B8" s="186" t="s">
        <v>281</v>
      </c>
      <c r="C8" s="110">
        <f>Цена!B16</f>
        <v>1500</v>
      </c>
      <c r="D8" t="s">
        <v>167</v>
      </c>
      <c r="E8" t="str">
        <f>CONCATENATE(B8," ",C8," ",D8,";")</f>
        <v>ширина канала - 1500 мм.;</v>
      </c>
    </row>
    <row r="9" spans="1:8" x14ac:dyDescent="0.2">
      <c r="B9" s="186" t="s">
        <v>282</v>
      </c>
      <c r="C9" s="110">
        <f>Цена!C16</f>
        <v>1800</v>
      </c>
      <c r="D9" t="s">
        <v>167</v>
      </c>
      <c r="E9" t="str">
        <f>CONCATENATE(B9," ",C9," ",D9,";")</f>
        <v>глубина канала - 1800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850</v>
      </c>
      <c r="D11" t="s">
        <v>170</v>
      </c>
      <c r="E11" t="str">
        <f ca="1">CONCATENATE(B11," ",C11," ",D11,";")</f>
        <v>вес решетки в сборе - 850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304</v>
      </c>
      <c r="E14" t="str">
        <f>CONCATENATE(B14," ",C14)</f>
        <v>материал исполнения - AISI 304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8530</v>
      </c>
    </row>
    <row r="22" spans="2:15" x14ac:dyDescent="0.2">
      <c r="B22" s="186" t="s">
        <v>289</v>
      </c>
      <c r="C22" s="283"/>
      <c r="D22" s="283" t="str">
        <f>CONCATENATE("ТКП №",Цена!I3)</f>
        <v>ТКП №8530 Курск КОС 17.12.21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РГО 1500.1800.850.16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грубой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РГО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16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1500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1800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3960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850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304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>Туалет</v>
      </c>
      <c r="B101" s="474" t="str">
        <f>Цена!B10</f>
        <v>-</v>
      </c>
      <c r="C101" s="110">
        <f ca="1">MROUND((Цена!C49-Спецификация!D101),5)</f>
        <v>711360</v>
      </c>
      <c r="D101" s="110">
        <f ca="1">IF(Цена!D26="Нет",0,MROUND((Цена!C46*(1+Цена!B47))+Цена!C35*(1+Цена!B36),5))</f>
        <v>125560</v>
      </c>
      <c r="E101" s="110">
        <f ca="1">Спецификация!C2</f>
        <v>850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304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РГО 1500.1800.850.16</v>
      </c>
      <c r="B118" s="481">
        <f ca="1">C101</f>
        <v>711360</v>
      </c>
      <c r="C118" s="482">
        <f>ROUNDUP(ФОТ!K29,0)</f>
        <v>263</v>
      </c>
      <c r="D118" s="482">
        <f ca="1">ФОТ!C51</f>
        <v>26</v>
      </c>
      <c r="E118" s="482">
        <f ca="1">IF(B118=0,0,(C118+D118)*Параметры!B3*(1+Параметры!B4))</f>
        <v>251828.82000000004</v>
      </c>
      <c r="F118" s="482">
        <f ca="1">B118-E118</f>
        <v>459531.17999999993</v>
      </c>
      <c r="G118" s="477" t="str">
        <f ca="1">CONCATENATE(A118," (",H101,"; ",G101," кВт.; ",F101,")")</f>
        <v>РГО 1500.1800.850.16 (AISI 304;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125560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90704.799999999988</v>
      </c>
      <c r="G119" s="477" t="str">
        <f ca="1">IF(B119=0,"-",CONCATENATE(A119," (",IF(Цена!D27="Нет","",CONCATENATE(Цена!D27,"; ")),"ШУ - IP54; ВПУ - ",IF(F101="IP 68","IP 67",F101),")"))</f>
        <v>ШУ-РГ (ШУ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836920</v>
      </c>
      <c r="C121" s="483">
        <f ca="1">SUM(C118:C119)</f>
        <v>303</v>
      </c>
      <c r="D121" s="483">
        <f ca="1">SUM(D118:D119)</f>
        <v>26</v>
      </c>
      <c r="E121" s="483">
        <f ca="1">SUM(E118:E119)</f>
        <v>286684.02</v>
      </c>
      <c r="F121" s="483">
        <f ca="1">SUM(F118:F119)</f>
        <v>550235.98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2021-12-17T16:06:02Z</dcterms:modified>
</cp:coreProperties>
</file>