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B16" i="6"/>
  <c r="E4" i="6" s="1"/>
  <c r="F4" i="6" s="1"/>
  <c r="C16" i="6"/>
  <c r="C10" i="13"/>
  <c r="C13" i="13"/>
  <c r="D14" i="13" s="1"/>
  <c r="D16" i="6"/>
  <c r="E79" i="16"/>
  <c r="K85" i="16"/>
  <c r="E15" i="16"/>
  <c r="E80" i="16" s="1"/>
  <c r="C9" i="13"/>
  <c r="D9" i="13" s="1"/>
  <c r="C12" i="13"/>
  <c r="D12" i="13" s="1"/>
  <c r="C11" i="13"/>
  <c r="D11" i="13" s="1"/>
  <c r="C40" i="13"/>
  <c r="D20" i="12"/>
  <c r="E7" i="16" s="1"/>
  <c r="E11" i="16"/>
  <c r="E3" i="16"/>
  <c r="E4" i="16"/>
  <c r="H101" i="14"/>
  <c r="F101" i="14"/>
  <c r="B101" i="14"/>
  <c r="A101" i="14"/>
  <c r="A16" i="12"/>
  <c r="B5" i="14" s="1"/>
  <c r="E5" i="14" s="1"/>
  <c r="B36" i="12"/>
  <c r="C55" i="12"/>
  <c r="B47" i="12"/>
  <c r="M86" i="16"/>
  <c r="M85" i="16"/>
  <c r="E78" i="16"/>
  <c r="B54" i="15"/>
  <c r="B78" i="16"/>
  <c r="C15" i="14"/>
  <c r="D41" i="14"/>
  <c r="C14" i="14"/>
  <c r="E14" i="14"/>
  <c r="C13" i="14"/>
  <c r="D32" i="14" s="1"/>
  <c r="C10" i="14"/>
  <c r="E10" i="14" s="1"/>
  <c r="C9" i="14"/>
  <c r="E9" i="14" s="1"/>
  <c r="C8" i="14"/>
  <c r="E8" i="14" s="1"/>
  <c r="C7" i="14"/>
  <c r="E7" i="14" s="1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6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29" i="6"/>
  <c r="C52" i="13"/>
  <c r="D37" i="14"/>
  <c r="K86" i="16"/>
  <c r="I30" i="6"/>
  <c r="I38" i="6" s="1"/>
  <c r="K25" i="6"/>
  <c r="D21" i="12"/>
  <c r="E8" i="16" s="1"/>
  <c r="B7" i="16" s="1"/>
  <c r="E5" i="6"/>
  <c r="F5" i="6" s="1"/>
  <c r="C43" i="13"/>
  <c r="C45" i="13" s="1"/>
  <c r="C35" i="12" s="1"/>
  <c r="B35" i="12" s="1"/>
  <c r="R32" i="6"/>
  <c r="Z4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4" i="6" s="1"/>
  <c r="N30" i="6"/>
  <c r="N31" i="6"/>
  <c r="N32" i="6"/>
  <c r="N33" i="6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6" i="6" s="1"/>
  <c r="G23" i="6"/>
  <c r="G21" i="6" s="1"/>
  <c r="N29" i="6"/>
  <c r="H24" i="6"/>
  <c r="H28" i="6" s="1"/>
  <c r="J30" i="6"/>
  <c r="J31" i="6" s="1"/>
  <c r="J25" i="6"/>
  <c r="J28" i="6" s="1"/>
  <c r="W37" i="6"/>
  <c r="Q31" i="6"/>
  <c r="Q32" i="6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/>
  <c r="AA39" i="6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 s="1"/>
  <c r="P32" i="6" s="1"/>
  <c r="K30" i="6"/>
  <c r="K31" i="6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/>
  <c r="AA44" i="6" s="1"/>
  <c r="AA45" i="6" s="1"/>
  <c r="AA46" i="6" s="1"/>
  <c r="AA47" i="6"/>
  <c r="AA48" i="6" s="1"/>
  <c r="AA49" i="6" s="1"/>
  <c r="AA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/>
  <c r="R35" i="6"/>
  <c r="R36" i="6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/>
  <c r="R29" i="6" s="1"/>
  <c r="R28" i="6" s="1"/>
  <c r="R27" i="6" s="1"/>
  <c r="R26" i="6" s="1"/>
  <c r="R25" i="6" s="1"/>
  <c r="R24" i="6" s="1"/>
  <c r="R23" i="6" s="1"/>
  <c r="R22" i="6" s="1"/>
  <c r="R21" i="6" s="1"/>
  <c r="Q33" i="6"/>
  <c r="Q34" i="6"/>
  <c r="Q35" i="6"/>
  <c r="Q36" i="6" s="1"/>
  <c r="Q37" i="6" s="1"/>
  <c r="Q38" i="6"/>
  <c r="Q39" i="6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/>
  <c r="Q26" i="6"/>
  <c r="Q25" i="6" s="1"/>
  <c r="Q24" i="6" s="1"/>
  <c r="Q23" i="6" s="1"/>
  <c r="Q22" i="6" s="1"/>
  <c r="Q21" i="6" s="1"/>
  <c r="S32" i="6"/>
  <c r="S31" i="6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/>
  <c r="L23" i="6"/>
  <c r="L22" i="6" s="1"/>
  <c r="L21" i="6" s="1"/>
  <c r="L27" i="6"/>
  <c r="L28" i="6"/>
  <c r="L29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 s="1"/>
  <c r="F11" i="16"/>
  <c r="N27" i="6"/>
  <c r="N26" i="6"/>
  <c r="N25" i="6"/>
  <c r="N24" i="6" s="1"/>
  <c r="N23" i="6" s="1"/>
  <c r="N22" i="6" s="1"/>
  <c r="N21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T35" i="6"/>
  <c r="T36" i="6"/>
  <c r="T37" i="6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/>
  <c r="O26" i="6" s="1"/>
  <c r="O25" i="6" s="1"/>
  <c r="O24" i="6" s="1"/>
  <c r="O23" i="6" s="1"/>
  <c r="O22" i="6" s="1"/>
  <c r="O21" i="6" s="1"/>
  <c r="K24" i="6"/>
  <c r="K23" i="6"/>
  <c r="K22" i="6" s="1"/>
  <c r="K21" i="6" s="1"/>
  <c r="K26" i="6"/>
  <c r="K27" i="6"/>
  <c r="K28" i="6" s="1"/>
  <c r="K29" i="6" s="1"/>
  <c r="D31" i="14"/>
  <c r="E35" i="6"/>
  <c r="C47" i="6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/>
  <c r="I4" i="12"/>
  <c r="D23" i="14" s="1"/>
  <c r="M28" i="6"/>
  <c r="M29" i="6"/>
  <c r="M26" i="6"/>
  <c r="M25" i="6" s="1"/>
  <c r="M24" i="6" s="1"/>
  <c r="M23" i="6" s="1"/>
  <c r="M22" i="6" s="1"/>
  <c r="M21" i="6" s="1"/>
  <c r="G41" i="6"/>
  <c r="H8" i="8"/>
  <c r="H7" i="8" s="1"/>
  <c r="G49" i="6"/>
  <c r="G48" i="6"/>
  <c r="G31" i="6"/>
  <c r="C31" i="13"/>
  <c r="D16" i="13"/>
  <c r="D72" i="6"/>
  <c r="E45" i="6"/>
  <c r="W18" i="8"/>
  <c r="D63" i="6"/>
  <c r="P29" i="6"/>
  <c r="P28" i="6" s="1"/>
  <c r="P27" i="6" s="1"/>
  <c r="P26" i="6" s="1"/>
  <c r="P25" i="6" s="1"/>
  <c r="P24" i="6" s="1"/>
  <c r="P23" i="6" s="1"/>
  <c r="P22" i="6" s="1"/>
  <c r="P21" i="6" s="1"/>
  <c r="D39" i="14"/>
  <c r="K84" i="16"/>
  <c r="B79" i="16"/>
  <c r="H48" i="6"/>
  <c r="J33" i="6" l="1"/>
  <c r="J37" i="6"/>
  <c r="E32" i="6"/>
  <c r="G50" i="6"/>
  <c r="G47" i="6"/>
  <c r="G32" i="6"/>
  <c r="G38" i="6"/>
  <c r="G36" i="6"/>
  <c r="G43" i="6"/>
  <c r="E43" i="6"/>
  <c r="E39" i="6"/>
  <c r="G35" i="6"/>
  <c r="G46" i="6"/>
  <c r="C50" i="6"/>
  <c r="G34" i="6"/>
  <c r="G37" i="6"/>
  <c r="E44" i="6"/>
  <c r="E33" i="6"/>
  <c r="E40" i="6"/>
  <c r="E49" i="6"/>
  <c r="G40" i="6"/>
  <c r="G33" i="6"/>
  <c r="G39" i="6"/>
  <c r="G45" i="6"/>
  <c r="G44" i="6"/>
  <c r="E34" i="6"/>
  <c r="K80" i="16"/>
  <c r="K81" i="16"/>
  <c r="D33" i="14"/>
  <c r="D42" i="14" s="1"/>
  <c r="D38" i="6"/>
  <c r="D49" i="6"/>
  <c r="B14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G25" i="6"/>
  <c r="D62" i="6" s="1"/>
  <c r="F47" i="6"/>
  <c r="F29" i="6"/>
  <c r="J23" i="6"/>
  <c r="D30" i="14"/>
  <c r="J24" i="6"/>
  <c r="F40" i="6"/>
  <c r="D64" i="6"/>
  <c r="D66" i="6"/>
  <c r="A42" i="12"/>
  <c r="B8" i="16"/>
  <c r="C42" i="12" s="1"/>
  <c r="D42" i="12" s="1"/>
  <c r="U30" i="13"/>
  <c r="U20" i="13"/>
  <c r="C53" i="6"/>
  <c r="U19" i="13"/>
  <c r="Q12" i="16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K26" i="13"/>
  <c r="K24" i="13"/>
  <c r="D17" i="13"/>
  <c r="K25" i="13"/>
  <c r="A5" i="14"/>
  <c r="A2" i="14" s="1"/>
  <c r="A118" i="14" s="1"/>
  <c r="H47" i="6"/>
  <c r="Q11" i="16"/>
  <c r="Q10" i="16"/>
  <c r="J48" i="6"/>
  <c r="C42" i="6"/>
  <c r="J34" i="6"/>
  <c r="C35" i="6"/>
  <c r="H43" i="6"/>
  <c r="J35" i="6"/>
  <c r="J36" i="6"/>
  <c r="C31" i="6"/>
  <c r="C38" i="6"/>
  <c r="E29" i="6"/>
  <c r="J46" i="6"/>
  <c r="D29" i="6"/>
  <c r="C30" i="6"/>
  <c r="C43" i="6"/>
  <c r="C48" i="6"/>
  <c r="C25" i="6"/>
  <c r="C41" i="6"/>
  <c r="E25" i="6"/>
  <c r="J42" i="6"/>
  <c r="J45" i="6"/>
  <c r="J44" i="6"/>
  <c r="J47" i="6"/>
  <c r="J41" i="6"/>
  <c r="C44" i="6"/>
  <c r="C46" i="6"/>
  <c r="C36" i="6"/>
  <c r="C37" i="6"/>
  <c r="C33" i="6"/>
  <c r="C40" i="6"/>
  <c r="C39" i="6"/>
  <c r="C28" i="6"/>
  <c r="E23" i="6"/>
  <c r="E21" i="6"/>
  <c r="J38" i="6"/>
  <c r="J39" i="6"/>
  <c r="J49" i="6"/>
  <c r="E24" i="6"/>
  <c r="E26" i="6"/>
  <c r="E27" i="6"/>
  <c r="J50" i="6"/>
  <c r="J32" i="6"/>
  <c r="J40" i="6"/>
  <c r="J43" i="6"/>
  <c r="D23" i="6"/>
  <c r="C29" i="6"/>
  <c r="C23" i="6"/>
  <c r="C45" i="6"/>
  <c r="C22" i="6"/>
  <c r="C26" i="6"/>
  <c r="C32" i="6"/>
  <c r="C27" i="6"/>
  <c r="C34" i="6"/>
  <c r="C49" i="6"/>
  <c r="H37" i="6"/>
  <c r="H46" i="6"/>
  <c r="F22" i="6"/>
  <c r="H39" i="6"/>
  <c r="D50" i="6"/>
  <c r="F26" i="6"/>
  <c r="H40" i="6"/>
  <c r="H49" i="6"/>
  <c r="D33" i="6"/>
  <c r="H38" i="6"/>
  <c r="H45" i="6"/>
  <c r="D31" i="6"/>
  <c r="D32" i="6"/>
  <c r="F24" i="6"/>
  <c r="D39" i="6"/>
  <c r="D35" i="6"/>
  <c r="D45" i="6"/>
  <c r="D47" i="6"/>
  <c r="G26" i="6"/>
  <c r="G24" i="6"/>
  <c r="D36" i="6"/>
  <c r="J29" i="6"/>
  <c r="F46" i="6"/>
  <c r="G28" i="6"/>
  <c r="G29" i="6"/>
  <c r="D46" i="6"/>
  <c r="F36" i="6"/>
  <c r="J26" i="6"/>
  <c r="F38" i="6"/>
  <c r="F34" i="6"/>
  <c r="G22" i="6"/>
  <c r="D28" i="6"/>
  <c r="E41" i="6"/>
  <c r="J27" i="6"/>
  <c r="D34" i="6"/>
  <c r="D40" i="6"/>
  <c r="J22" i="6"/>
  <c r="D42" i="6"/>
  <c r="G27" i="6"/>
  <c r="D43" i="6"/>
  <c r="D37" i="6"/>
  <c r="D41" i="6"/>
  <c r="J21" i="6"/>
  <c r="D48" i="6"/>
  <c r="H33" i="6"/>
  <c r="H35" i="6"/>
  <c r="H31" i="6"/>
  <c r="H50" i="6"/>
  <c r="F27" i="6"/>
  <c r="F25" i="6"/>
  <c r="E48" i="6"/>
  <c r="D24" i="6"/>
  <c r="E38" i="6"/>
  <c r="H36" i="6"/>
  <c r="H44" i="6"/>
  <c r="H34" i="6"/>
  <c r="E37" i="6"/>
  <c r="E31" i="6"/>
  <c r="D25" i="6"/>
  <c r="H32" i="6"/>
  <c r="D21" i="6"/>
  <c r="D27" i="6"/>
  <c r="E36" i="6"/>
  <c r="E50" i="6"/>
  <c r="E42" i="6"/>
  <c r="H41" i="6"/>
  <c r="F28" i="6"/>
  <c r="I47" i="6"/>
  <c r="E47" i="6"/>
  <c r="H29" i="6"/>
  <c r="I25" i="6"/>
  <c r="I45" i="6"/>
  <c r="I23" i="6"/>
  <c r="I28" i="6"/>
  <c r="H21" i="6"/>
  <c r="I49" i="6"/>
  <c r="I44" i="6"/>
  <c r="I42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D68" i="6"/>
  <c r="D75" i="6" s="1"/>
  <c r="B3" i="16" s="1"/>
  <c r="B4" i="16" s="1"/>
  <c r="B5" i="16" s="1"/>
  <c r="D70" i="6" l="1"/>
  <c r="D18" i="12" s="1"/>
  <c r="C48" i="13" s="1"/>
  <c r="C51" i="13" s="1"/>
  <c r="C54" i="13" s="1"/>
  <c r="C34" i="12" s="1"/>
  <c r="K82" i="16"/>
  <c r="B80" i="16"/>
  <c r="B82" i="16" s="1"/>
  <c r="B83" i="16" s="1"/>
  <c r="B84" i="16" s="1"/>
  <c r="B86" i="16" s="1"/>
  <c r="C46" i="12" s="1"/>
  <c r="D101" i="14" s="1"/>
  <c r="B119" i="14" s="1"/>
  <c r="D74" i="6"/>
  <c r="D19" i="12" s="1"/>
  <c r="C11" i="14" s="1"/>
  <c r="D36" i="14" s="1"/>
  <c r="J53" i="6"/>
  <c r="J54" i="6" s="1"/>
  <c r="F53" i="6"/>
  <c r="F54" i="6" s="1"/>
  <c r="D53" i="6"/>
  <c r="D54" i="6" s="1"/>
  <c r="C54" i="6"/>
  <c r="I53" i="6"/>
  <c r="I54" i="6" s="1"/>
  <c r="G53" i="6"/>
  <c r="G54" i="6" s="1"/>
  <c r="E53" i="6"/>
  <c r="E54" i="6" s="1"/>
  <c r="H53" i="6"/>
  <c r="H54" i="6" s="1"/>
  <c r="D34" i="14"/>
  <c r="E6" i="14"/>
  <c r="C30" i="13"/>
  <c r="C22" i="13"/>
  <c r="Q15" i="16"/>
  <c r="Q14" i="16"/>
  <c r="B9" i="16"/>
  <c r="B10" i="16" s="1"/>
  <c r="C43" i="12" s="1"/>
  <c r="D43" i="12" s="1"/>
  <c r="D23" i="12"/>
  <c r="C12" i="14" s="1"/>
  <c r="Q13" i="16"/>
  <c r="C41" i="12"/>
  <c r="D118" i="14" l="1"/>
  <c r="D121" i="14" s="1"/>
  <c r="E11" i="14"/>
  <c r="C2" i="14"/>
  <c r="E101" i="14" s="1"/>
  <c r="D46" i="12"/>
  <c r="B13" i="16"/>
  <c r="D2" i="14"/>
  <c r="I5" i="12"/>
  <c r="E12" i="14"/>
  <c r="U32" i="13"/>
  <c r="C26" i="13"/>
  <c r="U11" i="13"/>
  <c r="C32" i="13"/>
  <c r="B34" i="12"/>
  <c r="C119" i="14"/>
  <c r="G119" i="14"/>
  <c r="D41" i="12"/>
  <c r="C47" i="12"/>
  <c r="D47" i="12" s="1"/>
  <c r="B2" i="14" l="1"/>
  <c r="K29" i="13"/>
  <c r="C118" i="14" s="1"/>
  <c r="C121" i="14" s="1"/>
  <c r="D35" i="14"/>
  <c r="G101" i="14"/>
  <c r="G118" i="14" s="1"/>
  <c r="E119" i="14"/>
  <c r="F119" i="14" s="1"/>
  <c r="D39" i="12"/>
  <c r="C39" i="12"/>
  <c r="K34" i="13" l="1"/>
  <c r="C37" i="13" s="1"/>
  <c r="C33" i="12" s="1"/>
  <c r="B33" i="12" s="1"/>
  <c r="C36" i="12" l="1"/>
  <c r="C31" i="12" s="1"/>
  <c r="C49" i="12" s="1"/>
  <c r="D49" i="12" s="1"/>
  <c r="D53" i="12" s="1"/>
  <c r="D57" i="12" s="1"/>
  <c r="F2" i="14" l="1"/>
  <c r="G2" i="14" s="1"/>
  <c r="C53" i="12"/>
  <c r="C57" i="12" s="1"/>
  <c r="C101" i="14"/>
  <c r="B118" i="14" s="1"/>
  <c r="E118" i="14" s="1"/>
  <c r="E121" i="14" s="1"/>
  <c r="D58" i="12"/>
  <c r="D62" i="12"/>
  <c r="D60" i="12" s="1"/>
  <c r="D61" i="12" s="1"/>
  <c r="D64" i="12" l="1"/>
  <c r="F118" i="14"/>
  <c r="F121" i="14" s="1"/>
  <c r="B121" i="14"/>
  <c r="C58" i="12"/>
  <c r="C62" i="12"/>
  <c r="C64" i="12" l="1"/>
  <c r="C60" i="12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<sst xmlns="http://schemas.openxmlformats.org/spreadsheetml/2006/main" count="715" uniqueCount="502">
  <si>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</si>
  <si>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</si>
  <si>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</si>
  <si>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</si>
  <si>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</si>
  <si>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</si>
  <si>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</si>
  <si>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</si>
  <si>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</si>
  <si>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</si>
  <si>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</si>
  <si>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</si>
  <si>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</si>
  <si>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</si>
  <si>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</si>
  <si>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</si>
  <si>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</si>
  <si>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</si>
  <si>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</si>
  <si>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</si>
  <si>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</si>
  <si>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</si>
  <si>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</si>
  <si>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</si>
  <si>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</si>
  <si>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</si>
  <si>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</si>
  <si>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</si>
  <si>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</si>
  <si>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</si>
  <si>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</si>
  <si>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</si>
  <si>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</si>
  <si>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</si>
  <si>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</si>
  <si>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</si>
  <si>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</si>
  <si>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</si>
  <si>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</si>
  <si>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</si>
  <si>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</si>
  <si>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</si>
  <si>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</si>
  <si>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</si>
  <si>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</si>
  <si>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</si>
  <si>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</si>
  <si>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</si>
  <si>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</si>
  <si>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</si>
  <si>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</si>
  <si>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</si>
  <si>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</si>
  <si>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</si>
  <si>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</si>
  <si>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</si>
  <si>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</si>
  <si>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</si>
  <si>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</si>
  <si>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</si>
  <si>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</si>
  <si>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</si>
  <si>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</si>
  <si>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</si>
  <si>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</si>
  <si>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</si>
  <si>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</si>
  <si>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</si>
  <si>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</si>
  <si>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</si>
  <si>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</si>
  <si>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</si>
  <si>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</si>
  <si>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</si>
  <si>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</si>
  <si>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</si>
  <si>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</si>
  <si>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</si>
  <si>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</si>
  <si>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</si>
  <si>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</si>
  <si>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</si>
  <si>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</si>
  <si>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</si>
  <si>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</si>
  <si>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</si>
  <si>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</si>
  <si>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</si>
  <si>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</si>
  <si>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</si>
  <si>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</si>
  <si>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</si>
  <si>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</si>
  <si>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</si>
  <si>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</si>
  <si>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</si>
  <si>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</si>
  <si>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</si>
  <si>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</si>
  <si>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</si>
  <si>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</si>
  <si>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</si>
  <si>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</si>
  <si>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</si>
  <si>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</si>
  <si>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</si>
  <si>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</si>
  <si>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</si>
  <si>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</si>
  <si>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</si>
  <si>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</si>
  <si>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</si>
  <si>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</si>
  <si>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</si>
  <si>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</si>
  <si>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</si>
  <si>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</si>
  <si>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</si>
  <si>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</si>
  <si>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</si>
  <si>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</si>
  <si>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</si>
  <si>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</si>
  <si>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</si>
  <si>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</si>
  <si>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</si>
  <si>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</si>
  <si>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</si>
  <si>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</si>
  <si>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</si>
  <si>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</si>
  <si>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</si>
  <si>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</si>
  <si>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</si>
  <si>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</si>
  <si>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</si>
  <si>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</si>
  <si>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</si>
  <si>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</si>
  <si>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</si>
  <si>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</si>
  <si>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</si>
  <si>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</si>
  <si>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</si>
  <si>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</si>
  <si>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</si>
  <si>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</si>
  <si>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</si>
  <si>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</si>
  <si>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</si>
  <si>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</si>
  <si>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</si>
  <si>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</si>
  <si>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</si>
  <si>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</si>
  <si>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</si>
  <si>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</si>
  <si>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</si>
  <si>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</si>
  <si>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</si>
  <si>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</si>
  <si>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</si>
  <si>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</si>
  <si>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</si>
  <si>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</si>
  <si>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</si>
  <si>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</si>
  <si>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</si>
  <si>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</si>
  <si>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</si>
  <si>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</si>
  <si>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</si>
  <si>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</si>
  <si>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</si>
  <si>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</si>
  <si>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</si>
  <si>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</si>
  <si>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</si>
  <si>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</si>
  <si>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</si>
  <si>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</si>
  <si>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</si>
  <si>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</si>
  <si>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</si>
  <si>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</si>
  <si>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</si>
  <si>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</si>
  <si>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</si>
  <si>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</si>
  <si>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</si>
  <si>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</si>
  <si>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</si>
  <si>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</si>
  <si>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</si>
  <si>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</si>
  <si>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</si>
  <si>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</si>
  <si>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</si>
  <si>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</si>
  <si>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</si>
  <si>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</si>
  <si>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</si>
  <si>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</si>
  <si>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</si>
  <si>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</si>
  <si>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</si>
  <si>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</si>
  <si>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</si>
  <si>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</si>
  <si>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</si>
  <si>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</si>
  <si>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</si>
  <si>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</si>
  <si>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</si>
  <si>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</si>
  <si>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</si>
  <si>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</si>
  <si>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</si>
  <si>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</si>
  <si>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</si>
  <si>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</si>
  <si>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</si>
  <si>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</si>
  <si>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</si>
  <si>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</si>
  <si>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</si>
  <si>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</si>
  <si>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</si>
  <si>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</si>
  <si>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</si>
  <si>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</si>
  <si>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</si>
  <si>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</si>
  <si>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</si>
  <si>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</si>
  <si>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</si>
  <si>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</si>
  <si>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</si>
  <si>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</si>
  <si>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</si>
  <si>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</si>
  <si>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</si>
  <si>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</si>
  <si>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</si>
  <si>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</si>
  <si>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</si>
  <si>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</si>
  <si>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</si>
  <si>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</si>
  <si>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</si>
  <si>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</si>
  <si>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</si>
  <si>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</si>
  <si>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</si>
  <si>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</si>
  <si>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</si>
  <si>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</si>
  <si>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</si>
  <si>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</si>
  <si>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</si>
  <si>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</si>
  <si>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</si>
  <si>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</si>
  <si>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</si>
  <si>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</si>
  <si>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</si>
  <si>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</si>
  <si>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</si>
  <si>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</si>
  <si>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</si>
  <si>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</si>
  <si>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</si>
  <si>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</si>
  <si>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</si>
  <si>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</si>
  <si>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</si>
  <si>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</si>
  <si>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</si>
  <si>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</si>
  <si>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</si>
  <si>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</si>
  <si>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</si>
  <si>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</si>
  <si>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</si>
  <si>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</si>
  <si>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</si>
  <si>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</si>
  <si>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</si>
  <si>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</si>
  <si>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</si>
  <si>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</si>
  <si>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</si>
  <si>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</si>
  <si>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</si>
  <si>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</si>
  <si>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</si>
  <si>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</si>
  <si>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</si>
  <si>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</si>
  <si>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</si>
  <si>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</si>
  <si>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</si>
  <si>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</si>
  <si>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</si>
  <si>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</si>
  <si>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</si>
  <si>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</si>
  <si>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</si>
  <si>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</si>
  <si>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</si>
  <si>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</si>
  <si>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</si>
  <si>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</si>
  <si>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</si>
  <si>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</si>
  <si>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</si>
  <si>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</si>
  <si>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</si>
  <si>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</si>
  <si>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</si>
  <si>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</si>
  <si>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</si>
  <si>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</si>
  <si>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</si>
  <si>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</si>
  <si>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</si>
  <si>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</si>
  <si>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</si>
  <si>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</si>
  <si>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</si>
  <si>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</si>
  <si>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</si>
  <si>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</si>
  <si>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</si>
  <si>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</si>
  <si>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</si>
  <si>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</si>
  <si>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</si>
  <si>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</si>
  <si>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</si>
  <si>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</si>
  <si>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</si>
  <si>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</si>
  <si>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</si>
  <si>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</si>
  <si>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</si>
  <si>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</si>
  <si>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</si>
  <si>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</si>
  <si>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</si>
  <si>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</si>
  <si>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</si>
  <si>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</si>
  <si>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</si>
  <si>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</si>
  <si>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</si>
  <si>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</si>
  <si>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</si>
  <si>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</si>
  <si>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</si>
  <si>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</si>
  <si>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</si>
  <si>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</si>
  <si>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</si>
  <si>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</si>
  <si>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</si>
  <si>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</si>
  <si>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</si>
  <si>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</si>
  <si>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</si>
  <si>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</si>
  <si>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</si>
  <si>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</si>
  <si>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</si>
  <si>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</si>
  <si>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</si>
  <si>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</si>
  <si>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</si>
  <si>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</si>
  <si>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</si>
  <si>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</si>
  <si>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</si>
  <si>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</si>
  <si>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</si>
  <si>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</si>
  <si>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</si>
  <si>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</si>
  <si>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</si>
  <si>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</si>
  <si>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</si>
  <si>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</si>
  <si>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</si>
  <si>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</si>
  <si>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</si>
  <si>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</si>
  <si>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</si>
  <si>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</si>
  <si>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</si>
  <si>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</si>
  <si>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</si>
  <si>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</si>
  <si>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</si>
  <si>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</si>
  <si>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</si>
  <si>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</si>
  <si>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</si>
  <si>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</si>
  <si>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</si>
  <si>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</si>
  <si>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</si>
  <si>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</si>
  <si>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</si>
  <si>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</si>
  <si>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</si>
  <si>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</si>
  <si>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</si>
  <si>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</si>
  <si>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</si>
  <si>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</si>
  <si>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</si>
  <si>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</si>
  <si>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</si>
  <si>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</si>
  <si>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</si>
  <si>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</si>
  <si>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</si>
  <si>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</si>
  <si>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</si>
  <si>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</si>
  <si>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</si>
  <si>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</si>
  <si>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</si>
  <si>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</si>
  <si>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</si>
  <si>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</si>
  <si>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</si>
  <si>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</si>
  <si>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</si>
  <si>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</si>
  <si>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</si>
  <si>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</si>
  <si>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</si>
  <si>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</si>
  <si>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</si>
  <si>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</si>
  <si>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</si>
  <si>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</si>
  <si>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</si>
  <si>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</si>
  <si>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</si>
  <si>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</si>
  <si>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</si>
  <si>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</si>
  <si>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</si>
  <si>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</si>
  <si>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</si>
  <si>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</si>
  <si>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</si>
  <si>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</si>
  <si>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</si>
  <si>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</si>
  <si>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</si>
  <si>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</si>
  <si>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</si>
  <si>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</si>
  <si>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</si>
  <si>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</si>
  <si>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</si>
  <si>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</si>
  <si>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</si>
  <si>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</si>
  <si>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</si>
  <si>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</si>
  <si>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</si>
  <si>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</si>
  <si>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</si>
  <si>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</si>
  <si>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</si>
  <si>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</si>
  <si>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</si>
  <si>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</si>
  <si>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</si>
  <si>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</si>
  <si>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</si>
  <si>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</si>
  <si>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</si>
  <si>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</si>
  <si>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</si>
  <si>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</si>
  <si>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</si>
  <si>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</si>
  <si>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</si>
  <si>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</si>
  <si>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</si>
  <si>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</si>
  <si>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</si>
  <si>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</si>
  <si>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21.12.2021</t>
  </si>
  <si>
    <t>Андронова Е. В.</t>
  </si>
  <si>
    <t>Белоруссия</t>
  </si>
  <si>
    <t>Ижевск</t>
  </si>
  <si>
    <t>ГКНС-1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</si>
</sst>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12</v>
      </c>
      <c r="F4">
        <f>E4+C4</f>
        <v>34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24</v>
      </c>
      <c r="F5">
        <f>E5+C5</f>
        <v>65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1000.1500.850.10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1000</v>
      </c>
      <c r="C16" s="65">
        <f>Цена!C16</f>
        <v>1500</v>
      </c>
      <c r="D16" s="65">
        <f>Цена!D16</f>
        <v>850</v>
      </c>
      <c r="E16" s="65">
        <f>Цена!E16</f>
        <v>10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234</v>
      </c>
      <c r="D21" s="326">
        <f ca="1">$D$22+OFFSET($AQ$34,MATCH($E$16,$AQ$35:$AQ$42,0),3,1,1)*(B21-$B$22)/100</f>
        <v>243</v>
      </c>
      <c r="E21" s="327">
        <f ca="1">$E$22+OFFSET($AQ$45,MATCH($E$16,$AQ$46:$AQ$53,0),3,1,1)*(B21-$B$22)/100</f>
        <v>250</v>
      </c>
      <c r="F21" s="327">
        <f ca="1">$F$23+OFFSET($AQ$56,MATCH($E$16,$AQ$57:$AQ$64,0),3,1,1)*(B21-$B$23)/100</f>
        <v>260</v>
      </c>
      <c r="G21" s="327">
        <f ca="1">$G$23+OFFSET($AQ$69,MATCH($E$16,$AQ$70:$AQ$77,0),3,1,1)*(B21-$B$23)/100</f>
        <v>270</v>
      </c>
      <c r="H21" s="327">
        <f ca="1">$H$24+OFFSET($AQ$80,MATCH($E$16,$AQ$81:$AQ$88,0),3,1,1)*(B21-$B$24)/100</f>
        <v>278</v>
      </c>
      <c r="I21" s="327">
        <f ca="1">$I$24+OFFSET($AQ$91,MATCH($E$16,$AQ$92:$AQ$99,0),3,1,1)*(B21-$B$24)/100</f>
        <v>287</v>
      </c>
      <c r="J21" s="328">
        <f ca="1">$J$25+OFFSET($AQ$102,MATCH($E$16,$AQ$103:$AQ$110,0),3,1,1)*(B21-$B$25)/100</f>
        <v>294</v>
      </c>
      <c r="K21" s="327">
        <f>K22-IF($E$16=6,14,IF($E$16=8,13,IF($E$16=10,13.5,IF($E$16=12,12.75,IF($E$16=14,12.25,IF($E$16=16,11.75,IF($E$16=20,11.75,IF($E$16=40,10,0))))))))</f>
        <v>426</v>
      </c>
      <c r="L21" s="327">
        <f>L22-IF($E$16=6,15.33,IF($E$16=8,14,IF($E$16=10,14.33,IF($E$16=12,14.33,IF($E$16=14,13.33,IF($E$16=16,12.67,IF($E$16=20,12.67,IF($E$16=40,10.67,0))))))))</f>
        <v>453.35000000000008</v>
      </c>
      <c r="M21" s="327">
        <f t="shared" ref="M21:M26" si="0">M22-IF($E$16=6,16.5,IF($E$16=8,15.5,IF($E$16=10,15.5,IF($E$16=12,15,IF($E$16=14,13.5,IF($E$16=16,13.5,IF($E$16=20,13.5,IF($E$16=40,11,0))))))))</f>
        <v>476</v>
      </c>
      <c r="N21" s="327">
        <f t="shared" ref="N21:N26" si="1">N22-($N$31-$N$30)</f>
        <v>501.65999999999997</v>
      </c>
      <c r="O21" s="327">
        <f t="shared" ref="O21:O27" si="2">O22-($O$31-$O$30)</f>
        <v>525.68000000000029</v>
      </c>
      <c r="P21" s="327">
        <f t="shared" ref="P21:P28" si="3">P22-($P$32-$P$31)</f>
        <v>527.78999999999951</v>
      </c>
      <c r="Q21" s="327">
        <f t="shared" ref="Q21:Q29" si="4">Q22-IF($E$16=6,21.25,IF($E$16=8,18.42,IF($E$16=10,18.83,IF($E$16=12,17.75,IF($E$16=14,16.67,IF($E$16=16,16,IF($E$16=20,16,IF($E$16=40,12.75,0))))))))</f>
        <v>557.69999999999959</v>
      </c>
      <c r="R21" s="327">
        <f t="shared" ref="R21:R29" si="5">R22-IF($E$16=6,22.36,IF($E$16=8,20.36,IF($E$16=10,20.82,IF($E$16=12,19.45,IF($E$16=14,18.27,IF($E$16=16,17.55,IF($E$16=20,17.36,IF($E$16=40,13.55,0))))))))</f>
        <v>571.97999999999945</v>
      </c>
      <c r="S21" s="327">
        <f t="shared" ref="S21:S29" si="6">S22-IF($E$16=6,23.1,IF($E$16=8,21.4,IF($E$16=10,21.8,IF($E$16=12,20.4,IF($E$16=14,19.3,IF($E$16=16,18.3,IF($E$16=20,18.3,IF($E$16=40,14,0))))))))</f>
        <v>593.40000000000055</v>
      </c>
      <c r="T21" s="327">
        <f t="shared" ref="T21:T29" si="7">T22-IF($E$16=6,24.89,IF($E$16=8,22.33,IF($E$16=10,22.89,IF($E$16=12,21.33,IF($E$16=14,20,IF($E$16=16,19.11,IF($E$16=20,19,IF($E$16=40,14.56,0))))))))</f>
        <v>617.43000000000018</v>
      </c>
      <c r="U21" s="327">
        <f t="shared" ref="U21:U29" si="8">U22-IF($E$16=6,25.88,IF($E$16=8,23.38,IF($E$16=10,24,IF($E$16=12,22.38,IF($E$16=14,21,IF($E$16=16,19.88,IF($E$16=20,19.75,IF($E$16=40,15,0))))))))</f>
        <v>641</v>
      </c>
      <c r="V21" s="327">
        <f t="shared" ref="V21:V29" si="9">V22-IF($E$16=6,27.29,IF($E$16=8,24.43,IF($E$16=10,25,IF($E$16=12,23.29,IF($E$16=14,21.71,IF($E$16=16,20.57,IF($E$16=20,20.71,IF($E$16=40,15.43,0))))))))</f>
        <v>662</v>
      </c>
      <c r="W21" s="327">
        <f t="shared" ref="W21:W29" si="10">W22-IF($E$16=6,28.33,IF($E$16=8,25.33,IF($E$16=10,26.17,IF($E$16=12,24.17,IF($E$16=14,22.67,IF($E$16=16,21.33,IF($E$16=20,21.33,IF($E$16=40,16,0))))))))</f>
        <v>684.28000000000031</v>
      </c>
      <c r="X21" s="327">
        <f t="shared" ref="X21:X29" si="11">X22-IF($E$16=6,29.4,IF($E$16=8,26.4,IF($E$16=10,27.2,IF($E$16=12,25.2,IF($E$16=14,23.6,IF($E$16=16,22.2,IF($E$16=20,22,IF($E$16=40,16.4,0))))))))</f>
        <v>704.59999999999923</v>
      </c>
      <c r="Y21" s="327">
        <f t="shared" ref="Y21:Y29" si="12">Y22-IF($E$16=6,31,IF($E$16=8,27.5,IF($E$16=10,28.25,IF($E$16=12,26.25,IF($E$16=14,24.25,IF($E$16=16,23,IF($E$16=20,23,IF($E$16=40,16.75,0))))))))</f>
        <v>729.5</v>
      </c>
      <c r="Z21" s="327">
        <f t="shared" ref="Z21:Z29" si="13">Z22-IF($E$16=6,35,IF($E$16=8,28.67,IF($E$16=10,29.33,IF($E$16=12,27,IF($E$16=14,25.33,IF($E$16=16,23.67,IF($E$16=20,23.67,IF($E$16=40,17.33,0))))))))</f>
        <v>748.73000000000025</v>
      </c>
      <c r="AA21" s="346">
        <f t="shared" ref="AA21:AA29" si="14">AA22-IF($E$16=6,33,IF($E$16=8,29.5,IF($E$16=10,30.5,IF($E$16=12,28,IF($E$16=14,26,IF($E$16=16,24.5,IF($E$16=20,24.5,IF($E$16=40,17.5,0))))))))</f>
        <v>771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242</v>
      </c>
      <c r="D22" s="313">
        <f ca="1">OFFSET($AQ$34,MATCH($E$16,$AQ$35:$AQ$42,0),1,1,1)</f>
        <v>251</v>
      </c>
      <c r="E22" s="313">
        <f ca="1">OFFSET($AQ$45,MATCH($E$16,$AQ$46:$AQ$53,0),1,1,1)</f>
        <v>259</v>
      </c>
      <c r="F22" s="317">
        <f ca="1">$F$23+OFFSET($AQ$56,MATCH($E$16,$AQ$57:$AQ$64,0),3,1,1)*(B22-$B$23)/100</f>
        <v>269</v>
      </c>
      <c r="G22" s="317">
        <f ca="1">$G$23+OFFSET($AQ$69,MATCH($E$16,$AQ$70:$AQ$77,0),3,1,1)*(B22-$B$23)/100</f>
        <v>279</v>
      </c>
      <c r="H22" s="317">
        <f ca="1">$H$24+OFFSET($AQ$80,MATCH($E$16,$AQ$81:$AQ$88,0),3,1,1)*(B22-$B$24)/100</f>
        <v>288</v>
      </c>
      <c r="I22" s="317">
        <f ca="1">$I$24+OFFSET($AQ$91,MATCH($E$16,$AQ$92:$AQ$99,0),3,1,1)*(B22-$B$24)/100</f>
        <v>297</v>
      </c>
      <c r="J22" s="322">
        <f ca="1">$J$25+OFFSET($AQ$102,MATCH($E$16,$AQ$103:$AQ$110,0),3,1,1)*(B22-$B$25)/100</f>
        <v>305</v>
      </c>
      <c r="K22" s="317">
        <f>K23-IF($E$16=6,14,IF($E$16=8,13,IF($E$16=10,13.5,IF($E$16=12,12.75,IF($E$16=14,12.25,IF($E$16=16,11.75,IF($E$16=20,11.75,IF($E$16=40,10,0))))))))</f>
        <v>439.5</v>
      </c>
      <c r="L22" s="317">
        <f>L23-IF($E$16=6,15.33,IF($E$16=8,14,IF($E$16=10,14.33,IF($E$16=12,14.33,IF($E$16=14,13.33,IF($E$16=16,12.67,IF($E$16=20,12.67,IF($E$16=40,10.67,0))))))))</f>
        <v>467.68000000000006</v>
      </c>
      <c r="M22" s="317">
        <f t="shared" si="0"/>
        <v>491.5</v>
      </c>
      <c r="N22" s="317">
        <f t="shared" si="1"/>
        <v>518.28</v>
      </c>
      <c r="O22" s="317">
        <f t="shared" si="2"/>
        <v>543.22000000000025</v>
      </c>
      <c r="P22" s="317">
        <f t="shared" si="3"/>
        <v>546.47999999999956</v>
      </c>
      <c r="Q22" s="317">
        <f t="shared" si="4"/>
        <v>576.52999999999963</v>
      </c>
      <c r="R22" s="317">
        <f t="shared" si="5"/>
        <v>592.7999999999995</v>
      </c>
      <c r="S22" s="317">
        <f t="shared" si="6"/>
        <v>615.2000000000005</v>
      </c>
      <c r="T22" s="317">
        <f t="shared" si="7"/>
        <v>640.32000000000016</v>
      </c>
      <c r="U22" s="317">
        <f t="shared" si="8"/>
        <v>665</v>
      </c>
      <c r="V22" s="317">
        <f t="shared" si="9"/>
        <v>687</v>
      </c>
      <c r="W22" s="317">
        <f t="shared" si="10"/>
        <v>710.45000000000027</v>
      </c>
      <c r="X22" s="317">
        <f t="shared" si="11"/>
        <v>731.79999999999927</v>
      </c>
      <c r="Y22" s="317">
        <f t="shared" si="12"/>
        <v>757.75</v>
      </c>
      <c r="Z22" s="317">
        <f t="shared" si="13"/>
        <v>778.06000000000029</v>
      </c>
      <c r="AA22" s="329">
        <f t="shared" si="14"/>
        <v>801.5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250</v>
      </c>
      <c r="D23" s="185">
        <f t="shared" ref="D23:D29" ca="1" si="16">$D$22+OFFSET($AQ$34,MATCH($E$16,$AQ$35:$AQ$42,0),3,1,1)*(B23-$B$22)/100</f>
        <v>259</v>
      </c>
      <c r="E23" s="185">
        <f t="shared" ref="E23:E29" ca="1" si="17">$E$22+OFFSET($AQ$45,MATCH($E$16,$AQ$46:$AQ$53,0),3,1,1)*(B23-$B$22)/100</f>
        <v>268</v>
      </c>
      <c r="F23" s="313">
        <f ca="1">OFFSET($AQ$56,MATCH($E$16,$AQ$57:$AQ$64,0),1,1,1)</f>
        <v>278</v>
      </c>
      <c r="G23" s="313">
        <f ca="1">OFFSET($AQ$69,MATCH($E$16,$AQ$70:$AQ$77,0),1,1,1)</f>
        <v>288</v>
      </c>
      <c r="H23" s="317">
        <f ca="1">$H$24+OFFSET($AQ$80,MATCH($E$16,$AQ$81:$AQ$88,0),3,1,1)*(B23-$B$24)/100</f>
        <v>298</v>
      </c>
      <c r="I23" s="317">
        <f ca="1">$I$24+OFFSET($AQ$91,MATCH($E$16,$AQ$92:$AQ$99,0),3,1,1)*(B23-$B$24)/100</f>
        <v>307</v>
      </c>
      <c r="J23" s="322">
        <f ca="1">$J$25+OFFSET($AQ$102,MATCH($E$16,$AQ$103:$AQ$110,0),3,1,1)*(B23-$B$25)/100</f>
        <v>316</v>
      </c>
      <c r="K23" s="317">
        <f>K24-IF($E$16=6,14,IF($E$16=8,13,IF($E$16=10,13.5,IF($E$16=12,12.75,IF($E$16=14,12.25,IF($E$16=16,11.75,IF($E$16=20,11.75,IF($E$16=40,10,0))))))))</f>
        <v>453</v>
      </c>
      <c r="L23" s="317">
        <f>L24-IF($E$16=6,15.33,IF($E$16=8,14,IF($E$16=10,14.33,IF($E$16=12,14.33,IF($E$16=14,13.33,IF($E$16=16,12.67,IF($E$16=20,12.67,IF($E$16=40,10.67,0))))))))</f>
        <v>482.01000000000005</v>
      </c>
      <c r="M23" s="317">
        <f t="shared" si="0"/>
        <v>507</v>
      </c>
      <c r="N23" s="317">
        <f t="shared" si="1"/>
        <v>534.9</v>
      </c>
      <c r="O23" s="317">
        <f t="shared" si="2"/>
        <v>560.76000000000022</v>
      </c>
      <c r="P23" s="317">
        <f t="shared" si="3"/>
        <v>565.16999999999962</v>
      </c>
      <c r="Q23" s="317">
        <f t="shared" si="4"/>
        <v>595.35999999999967</v>
      </c>
      <c r="R23" s="317">
        <f t="shared" si="5"/>
        <v>613.61999999999955</v>
      </c>
      <c r="S23" s="317">
        <f t="shared" si="6"/>
        <v>637.00000000000045</v>
      </c>
      <c r="T23" s="317">
        <f t="shared" si="7"/>
        <v>663.21000000000015</v>
      </c>
      <c r="U23" s="317">
        <f t="shared" si="8"/>
        <v>689</v>
      </c>
      <c r="V23" s="317">
        <f t="shared" si="9"/>
        <v>712</v>
      </c>
      <c r="W23" s="317">
        <f t="shared" si="10"/>
        <v>736.62000000000023</v>
      </c>
      <c r="X23" s="317">
        <f t="shared" si="11"/>
        <v>758.99999999999932</v>
      </c>
      <c r="Y23" s="317">
        <f t="shared" si="12"/>
        <v>786</v>
      </c>
      <c r="Z23" s="317">
        <f t="shared" si="13"/>
        <v>807.39000000000033</v>
      </c>
      <c r="AA23" s="329">
        <f t="shared" si="14"/>
        <v>832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258</v>
      </c>
      <c r="D24" s="185">
        <f t="shared" ca="1" si="16"/>
        <v>267</v>
      </c>
      <c r="E24" s="185">
        <f t="shared" ca="1" si="17"/>
        <v>277</v>
      </c>
      <c r="F24" s="185">
        <f t="shared" ref="F24:F29" ca="1" si="18">$F$23+OFFSET($AQ$56,MATCH($E$16,$AQ$57:$AQ$64,0),3,1,1)*(B24-$B$23)/100</f>
        <v>287</v>
      </c>
      <c r="G24" s="185">
        <f t="shared" ref="G24:G29" ca="1" si="19">$G$23+OFFSET($AQ$69,MATCH($E$16,$AQ$70:$AQ$77,0),3,1,1)*(B24-$B$23)/100</f>
        <v>297</v>
      </c>
      <c r="H24" s="313">
        <f ca="1">OFFSET($AQ$80,MATCH($E$16,$AQ$81:$AQ$88,0),1,1,1)</f>
        <v>308</v>
      </c>
      <c r="I24" s="313">
        <f ca="1">OFFSET($AQ$91,MATCH($E$16,$AQ$92:$AQ$99,0),1,1,1)</f>
        <v>317</v>
      </c>
      <c r="J24" s="322">
        <f ca="1">$J$25+OFFSET($AQ$102,MATCH($E$16,$AQ$103:$AQ$110,0),3,1,1)*(B24-$B$25)/100</f>
        <v>327</v>
      </c>
      <c r="K24" s="317">
        <f>K25-IF($E$16=6,14,IF($E$16=8,13,IF($E$16=10,13.5,IF($E$16=12,12.75,IF($E$16=14,12.25,IF($E$16=16,11.75,IF($E$16=20,11.75,IF($E$16=40,10,0))))))))</f>
        <v>466.5</v>
      </c>
      <c r="L24" s="317">
        <f>L25-IF($E$16=6,15.33,IF($E$16=8,14,IF($E$16=10,14.33,IF($E$16=12,14.33,IF($E$16=14,13.33,IF($E$16=16,12.67,IF($E$16=20,12.67,IF($E$16=40,10.67,0))))))))</f>
        <v>496.34000000000003</v>
      </c>
      <c r="M24" s="317">
        <f t="shared" si="0"/>
        <v>522.5</v>
      </c>
      <c r="N24" s="317">
        <f t="shared" si="1"/>
        <v>551.52</v>
      </c>
      <c r="O24" s="317">
        <f t="shared" si="2"/>
        <v>578.30000000000018</v>
      </c>
      <c r="P24" s="317">
        <f t="shared" si="3"/>
        <v>583.85999999999967</v>
      </c>
      <c r="Q24" s="317">
        <f t="shared" si="4"/>
        <v>614.18999999999971</v>
      </c>
      <c r="R24" s="317">
        <f t="shared" si="5"/>
        <v>634.4399999999996</v>
      </c>
      <c r="S24" s="317">
        <f t="shared" si="6"/>
        <v>658.80000000000041</v>
      </c>
      <c r="T24" s="317">
        <f t="shared" si="7"/>
        <v>686.10000000000014</v>
      </c>
      <c r="U24" s="317">
        <f t="shared" si="8"/>
        <v>713</v>
      </c>
      <c r="V24" s="317">
        <f t="shared" si="9"/>
        <v>737</v>
      </c>
      <c r="W24" s="317">
        <f t="shared" si="10"/>
        <v>762.79000000000019</v>
      </c>
      <c r="X24" s="317">
        <f t="shared" si="11"/>
        <v>786.19999999999936</v>
      </c>
      <c r="Y24" s="317">
        <f t="shared" si="12"/>
        <v>814.25</v>
      </c>
      <c r="Z24" s="317">
        <f t="shared" si="13"/>
        <v>836.72000000000037</v>
      </c>
      <c r="AA24" s="329">
        <f t="shared" si="14"/>
        <v>862.5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266</v>
      </c>
      <c r="D25" s="185">
        <f t="shared" ca="1" si="16"/>
        <v>275</v>
      </c>
      <c r="E25" s="185">
        <f t="shared" ca="1" si="17"/>
        <v>286</v>
      </c>
      <c r="F25" s="185">
        <f t="shared" ca="1" si="18"/>
        <v>296</v>
      </c>
      <c r="G25" s="185">
        <f t="shared" ca="1" si="19"/>
        <v>306</v>
      </c>
      <c r="H25" s="185">
        <f ca="1">$H$24+OFFSET($AQ$80,MATCH($E$16,$AQ$81:$AQ$88,0),3,1,1)*(B25-$B$24)/100</f>
        <v>318</v>
      </c>
      <c r="I25" s="185">
        <f ca="1">$I$24+OFFSET($AQ$91,MATCH($E$16,$AQ$92:$AQ$99,0),3,1,1)*(B25-$B$24)/100</f>
        <v>327</v>
      </c>
      <c r="J25" s="319">
        <f ca="1">OFFSET($AQ$102,MATCH($E$16,$AQ$103:$AQ$110,0),1,1,1)</f>
        <v>338</v>
      </c>
      <c r="K25" s="284">
        <f>IF($E$16=6,487,IF($E$16=8,482,IF($E$16=10,480,IF($E$16=12,474,IF($E$16=14,468,IF($E$16=16,464,IF($E$16=20,463,IF($E$16=40,443,0))))))))</f>
        <v>480</v>
      </c>
      <c r="L25" s="317">
        <f>L26-IF($E$16=6,15.33,IF($E$16=8,14,IF($E$16=10,14.33,IF($E$16=12,14.33,IF($E$16=14,13.33,IF($E$16=16,12.67,IF($E$16=20,12.67,IF($E$16=40,10.67,0))))))))</f>
        <v>510.67</v>
      </c>
      <c r="M25" s="317">
        <f t="shared" si="0"/>
        <v>538</v>
      </c>
      <c r="N25" s="317">
        <f t="shared" si="1"/>
        <v>568.14</v>
      </c>
      <c r="O25" s="317">
        <f t="shared" si="2"/>
        <v>595.84000000000015</v>
      </c>
      <c r="P25" s="317">
        <f t="shared" si="3"/>
        <v>602.54999999999973</v>
      </c>
      <c r="Q25" s="317">
        <f t="shared" si="4"/>
        <v>633.01999999999975</v>
      </c>
      <c r="R25" s="317">
        <f t="shared" si="5"/>
        <v>655.25999999999965</v>
      </c>
      <c r="S25" s="317">
        <f t="shared" si="6"/>
        <v>680.60000000000036</v>
      </c>
      <c r="T25" s="317">
        <f t="shared" si="7"/>
        <v>708.99000000000012</v>
      </c>
      <c r="U25" s="317">
        <f t="shared" si="8"/>
        <v>737</v>
      </c>
      <c r="V25" s="317">
        <f t="shared" si="9"/>
        <v>762</v>
      </c>
      <c r="W25" s="317">
        <f t="shared" si="10"/>
        <v>788.96000000000015</v>
      </c>
      <c r="X25" s="317">
        <f t="shared" si="11"/>
        <v>813.39999999999941</v>
      </c>
      <c r="Y25" s="317">
        <f t="shared" si="12"/>
        <v>842.5</v>
      </c>
      <c r="Z25" s="317">
        <f t="shared" si="13"/>
        <v>866.05000000000041</v>
      </c>
      <c r="AA25" s="329">
        <f t="shared" si="14"/>
        <v>893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274</v>
      </c>
      <c r="D26" s="185">
        <f t="shared" ca="1" si="16"/>
        <v>283</v>
      </c>
      <c r="E26" s="185">
        <f t="shared" ca="1" si="17"/>
        <v>295</v>
      </c>
      <c r="F26" s="185">
        <f t="shared" ca="1" si="18"/>
        <v>305</v>
      </c>
      <c r="G26" s="185">
        <f t="shared" ca="1" si="19"/>
        <v>315</v>
      </c>
      <c r="H26" s="185">
        <f ca="1">$H$24+OFFSET($AQ$80,MATCH($E$16,$AQ$81:$AQ$88,0),3,1,1)*(B26-$B$24)/100</f>
        <v>328</v>
      </c>
      <c r="I26" s="185">
        <f ca="1">$I$24+OFFSET($AQ$91,MATCH($E$16,$AQ$92:$AQ$99,0),3,1,1)*(B26-$B$24)/100</f>
        <v>337</v>
      </c>
      <c r="J26" s="320">
        <f ca="1">$J$25+OFFSET($AQ$102,MATCH($E$16,$AQ$103:$AQ$110,0),3,1,1)*(B26-$B$25)/100</f>
        <v>349</v>
      </c>
      <c r="K26" s="284">
        <f>K25+IF($E$16=6,14,IF($E$16=8,13,IF($E$16=10,13.5,IF($E$16=12,12.75,IF($E$16=14,12.25,IF($E$16=16,11.75,IF($E$16=20,11.75,IF($E$16=40,10,0))))))))</f>
        <v>493.5</v>
      </c>
      <c r="L26" s="185">
        <f>IF($E$16=6,532,IF($E$16=8,527,IF($E$16=10,525,IF($E$16=12,516,IF($E$16=14,509,IF($E$16=16,505,IF($E$16=20,500,IF($E$16=40,479,0))))))))</f>
        <v>525</v>
      </c>
      <c r="M26" s="317">
        <f t="shared" si="0"/>
        <v>553.5</v>
      </c>
      <c r="N26" s="317">
        <f t="shared" si="1"/>
        <v>584.76</v>
      </c>
      <c r="O26" s="317">
        <f t="shared" si="2"/>
        <v>613.38000000000011</v>
      </c>
      <c r="P26" s="317">
        <f t="shared" si="3"/>
        <v>621.23999999999978</v>
      </c>
      <c r="Q26" s="317">
        <f t="shared" si="4"/>
        <v>651.8499999999998</v>
      </c>
      <c r="R26" s="317">
        <f t="shared" si="5"/>
        <v>676.0799999999997</v>
      </c>
      <c r="S26" s="317">
        <f t="shared" si="6"/>
        <v>702.40000000000032</v>
      </c>
      <c r="T26" s="317">
        <f t="shared" si="7"/>
        <v>731.88000000000011</v>
      </c>
      <c r="U26" s="317">
        <f t="shared" si="8"/>
        <v>761</v>
      </c>
      <c r="V26" s="317">
        <f t="shared" si="9"/>
        <v>787</v>
      </c>
      <c r="W26" s="317">
        <f t="shared" si="10"/>
        <v>815.13000000000011</v>
      </c>
      <c r="X26" s="317">
        <f t="shared" si="11"/>
        <v>840.59999999999945</v>
      </c>
      <c r="Y26" s="317">
        <f t="shared" si="12"/>
        <v>870.75</v>
      </c>
      <c r="Z26" s="317">
        <f t="shared" si="13"/>
        <v>895.38000000000045</v>
      </c>
      <c r="AA26" s="329">
        <f t="shared" si="14"/>
        <v>923.5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282</v>
      </c>
      <c r="D27" s="185">
        <f t="shared" ca="1" si="16"/>
        <v>291</v>
      </c>
      <c r="E27" s="185">
        <f t="shared" ca="1" si="17"/>
        <v>304</v>
      </c>
      <c r="F27" s="185">
        <f t="shared" ca="1" si="18"/>
        <v>314</v>
      </c>
      <c r="G27" s="185">
        <f t="shared" ca="1" si="19"/>
        <v>324</v>
      </c>
      <c r="H27" s="185">
        <f ca="1">$H$24+OFFSET($AQ$80,MATCH($E$16,$AQ$81:$AQ$88,0),3,1,1)*(B27-$B$24)/100</f>
        <v>338</v>
      </c>
      <c r="I27" s="185">
        <f ca="1">$I$24+OFFSET($AQ$91,MATCH($E$16,$AQ$92:$AQ$99,0),3,1,1)*(B27-$B$24)/100</f>
        <v>347</v>
      </c>
      <c r="J27" s="320">
        <f ca="1">$J$25+OFFSET($AQ$102,MATCH($E$16,$AQ$103:$AQ$110,0),3,1,1)*(B27-$B$25)/100</f>
        <v>360</v>
      </c>
      <c r="K27" s="284">
        <f>K26+IF($E$16=6,14,IF($E$16=8,13,IF($E$16=10,13.5,IF($E$16=12,12.75,IF($E$16=14,12.25,IF($E$16=16,11.75,IF($E$16=20,11.75,IF($E$16=40,10,0))))))))</f>
        <v>507</v>
      </c>
      <c r="L27" s="185">
        <f>L26+IF($E$16=6,15.33,IF($E$16=8,14,IF($E$16=10,14.33,IF($E$16=12,14.33,IF($E$16=14,13.33,IF($E$16=16,12.67,IF($E$16=20,12.67,IF($E$16=40,10.67,0))))))))</f>
        <v>539.33000000000004</v>
      </c>
      <c r="M27" s="185">
        <f>IF($E$16=6,581,IF($E$16=8,572,IF($E$16=10,569,IF($E$16=12,559,IF($E$16=14,550,IF($E$16=16,545,IF($E$16=20,539,IF($E$16=40,510,0))))))))</f>
        <v>569</v>
      </c>
      <c r="N27" s="317">
        <f>N28-($N$31-$N$30)</f>
        <v>601.38</v>
      </c>
      <c r="O27" s="317">
        <f t="shared" si="2"/>
        <v>630.92000000000007</v>
      </c>
      <c r="P27" s="317">
        <f t="shared" si="3"/>
        <v>639.92999999999984</v>
      </c>
      <c r="Q27" s="317">
        <f t="shared" si="4"/>
        <v>670.67999999999984</v>
      </c>
      <c r="R27" s="317">
        <f t="shared" si="5"/>
        <v>696.89999999999975</v>
      </c>
      <c r="S27" s="317">
        <f t="shared" si="6"/>
        <v>724.20000000000027</v>
      </c>
      <c r="T27" s="317">
        <f t="shared" si="7"/>
        <v>754.7700000000001</v>
      </c>
      <c r="U27" s="317">
        <f t="shared" si="8"/>
        <v>785</v>
      </c>
      <c r="V27" s="317">
        <f t="shared" si="9"/>
        <v>812</v>
      </c>
      <c r="W27" s="317">
        <f t="shared" si="10"/>
        <v>841.30000000000007</v>
      </c>
      <c r="X27" s="317">
        <f t="shared" si="11"/>
        <v>867.7999999999995</v>
      </c>
      <c r="Y27" s="317">
        <f t="shared" si="12"/>
        <v>899</v>
      </c>
      <c r="Z27" s="317">
        <f t="shared" si="13"/>
        <v>924.71000000000049</v>
      </c>
      <c r="AA27" s="329">
        <f t="shared" si="14"/>
        <v>954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290</v>
      </c>
      <c r="D28" s="185">
        <f t="shared" ca="1" si="16"/>
        <v>299</v>
      </c>
      <c r="E28" s="185">
        <f t="shared" ca="1" si="17"/>
        <v>313</v>
      </c>
      <c r="F28" s="185">
        <f t="shared" ca="1" si="18"/>
        <v>323</v>
      </c>
      <c r="G28" s="185">
        <f t="shared" ca="1" si="19"/>
        <v>333</v>
      </c>
      <c r="H28" s="185">
        <f ca="1">$H$24+OFFSET($AQ$80,MATCH($E$16,$AQ$81:$AQ$88,0),3,1,1)*(B28-$B$24)/100</f>
        <v>348</v>
      </c>
      <c r="I28" s="185">
        <f ca="1">$I$24+OFFSET($AQ$91,MATCH($E$16,$AQ$92:$AQ$99,0),3,1,1)*(B28-$B$24)/100</f>
        <v>357</v>
      </c>
      <c r="J28" s="320">
        <f ca="1">$J$25+OFFSET($AQ$102,MATCH($E$16,$AQ$103:$AQ$110,0),3,1,1)*(B28-$B$25)/100</f>
        <v>371</v>
      </c>
      <c r="K28" s="284">
        <f>K27+IF($E$16=6,14,IF($E$16=8,13,IF($E$16=10,13.5,IF($E$16=12,12.75,IF($E$16=14,12.25,IF($E$16=16,11.75,IF($E$16=20,11.75,IF($E$16=40,10,0))))))))</f>
        <v>520.5</v>
      </c>
      <c r="L28" s="185">
        <f>L27+IF($E$16=6,15.33,IF($E$16=8,14,IF($E$16=10,14.33,IF($E$16=12,14.33,IF($E$16=14,13.33,IF($E$16=16,12.67,IF($E$16=20,12.67,IF($E$16=40,10.67,0))))))))</f>
        <v>553.66000000000008</v>
      </c>
      <c r="M28" s="185">
        <f>M27+IF($E$16=6,16.5,IF($E$16=8,15.5,IF($E$16=10,15.5,IF($E$16=12,15,IF($E$16=14,13.5,IF($E$16=16,13.5,IF($E$16=20,13.5,IF($E$16=40,11,0))))))))</f>
        <v>584.5</v>
      </c>
      <c r="N28" s="185">
        <f>IF($E$16=6,630,IF($E$16=8,619,IF($E$16=10,618,IF($E$16=12,605,IF($E$16=14,594,IF($E$16=16,586,IF($E$16=20,583,IF($E$16=40,548,0))))))))</f>
        <v>618</v>
      </c>
      <c r="O28" s="317">
        <f>O29-($O$31-$O$30)</f>
        <v>648.46</v>
      </c>
      <c r="P28" s="317">
        <f t="shared" si="3"/>
        <v>658.61999999999989</v>
      </c>
      <c r="Q28" s="317">
        <f t="shared" si="4"/>
        <v>689.50999999999988</v>
      </c>
      <c r="R28" s="317">
        <f t="shared" si="5"/>
        <v>717.7199999999998</v>
      </c>
      <c r="S28" s="317">
        <f t="shared" si="6"/>
        <v>746.00000000000023</v>
      </c>
      <c r="T28" s="317">
        <f t="shared" si="7"/>
        <v>777.66000000000008</v>
      </c>
      <c r="U28" s="317">
        <f t="shared" si="8"/>
        <v>809</v>
      </c>
      <c r="V28" s="317">
        <f t="shared" si="9"/>
        <v>837</v>
      </c>
      <c r="W28" s="317">
        <f t="shared" si="10"/>
        <v>867.47</v>
      </c>
      <c r="X28" s="317">
        <f t="shared" si="11"/>
        <v>894.99999999999955</v>
      </c>
      <c r="Y28" s="317">
        <f t="shared" si="12"/>
        <v>927.25</v>
      </c>
      <c r="Z28" s="317">
        <f t="shared" si="13"/>
        <v>954.04000000000053</v>
      </c>
      <c r="AA28" s="329">
        <f t="shared" si="14"/>
        <v>984.5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298</v>
      </c>
      <c r="D29" s="321">
        <f t="shared" ca="1" si="16"/>
        <v>307</v>
      </c>
      <c r="E29" s="321">
        <f t="shared" ca="1" si="17"/>
        <v>322</v>
      </c>
      <c r="F29" s="321">
        <f t="shared" ca="1" si="18"/>
        <v>332</v>
      </c>
      <c r="G29" s="321">
        <f t="shared" ca="1" si="19"/>
        <v>342</v>
      </c>
      <c r="H29" s="321">
        <f ca="1">$H$24+OFFSET($AQ$80,MATCH($E$16,$AQ$81:$AQ$88,0),3,1,1)*(B29-$B$24)/100</f>
        <v>358</v>
      </c>
      <c r="I29" s="321">
        <f ca="1">$I$24+OFFSET($AQ$91,MATCH($E$16,$AQ$92:$AQ$99,0),3,1,1)*(B29-$B$24)/100</f>
        <v>367</v>
      </c>
      <c r="J29" s="336">
        <f ca="1">$J$25+OFFSET($AQ$102,MATCH($E$16,$AQ$103:$AQ$110,0),3,1,1)*(B29-$B$25)/100</f>
        <v>382</v>
      </c>
      <c r="K29" s="337">
        <f>K28+IF($E$16=6,14,IF($E$16=8,13,IF($E$16=10,13.5,IF($E$16=12,12.75,IF($E$16=14,12.25,IF($E$16=16,11.75,IF($E$16=20,11.75,IF($E$16=40,10,0))))))))</f>
        <v>534</v>
      </c>
      <c r="L29" s="321">
        <f>L28+IF($E$16=6,15.33,IF($E$16=8,14,IF($E$16=10,14.33,IF($E$16=12,14.33,IF($E$16=14,13.33,IF($E$16=16,12.67,IF($E$16=20,12.67,IF($E$16=40,10.67,0))))))))</f>
        <v>567.99000000000012</v>
      </c>
      <c r="M29" s="321">
        <f>M28+IF($E$16=6,16.5,IF($E$16=8,15.5,IF($E$16=10,15.5,IF($E$16=12,15,IF($E$16=14,13.5,IF($E$16=16,13.5,IF($E$16=20,13.5,IF($E$16=40,11,0))))))))</f>
        <v>600</v>
      </c>
      <c r="N29" s="321">
        <f>IF($E$16=6,648,IF($E$16=8,636,IF($E$16=10,634,IF($E$16=12,620,IF($E$16=14,609,IF($E$16=16,601,IF($E$16=20,597,IF($E$16=40,560,0))))))))</f>
        <v>634</v>
      </c>
      <c r="O29" s="321">
        <f>IF($E$16=6,665,IF($E$16=8,669,IF($E$16=10,666,IF($E$16=12,652,IF($E$16=14,641,IF($E$16=16,630,IF($E$16=20,625,IF($E$16=40,584,0))))))))</f>
        <v>666</v>
      </c>
      <c r="P29" s="317">
        <f>P30-($P$32-$P$31)</f>
        <v>677.31</v>
      </c>
      <c r="Q29" s="317">
        <f t="shared" si="4"/>
        <v>708.33999999999992</v>
      </c>
      <c r="R29" s="317">
        <f t="shared" si="5"/>
        <v>738.53999999999985</v>
      </c>
      <c r="S29" s="317">
        <f t="shared" si="6"/>
        <v>767.80000000000018</v>
      </c>
      <c r="T29" s="317">
        <f t="shared" si="7"/>
        <v>800.55000000000007</v>
      </c>
      <c r="U29" s="317">
        <f t="shared" si="8"/>
        <v>833</v>
      </c>
      <c r="V29" s="317">
        <f t="shared" si="9"/>
        <v>862</v>
      </c>
      <c r="W29" s="317">
        <f t="shared" si="10"/>
        <v>893.64</v>
      </c>
      <c r="X29" s="317">
        <f t="shared" si="11"/>
        <v>922.19999999999959</v>
      </c>
      <c r="Y29" s="317">
        <f t="shared" si="12"/>
        <v>955.5</v>
      </c>
      <c r="Z29" s="317">
        <f t="shared" si="13"/>
        <v>983.37000000000057</v>
      </c>
      <c r="AA29" s="329">
        <f t="shared" si="14"/>
        <v>1015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306</v>
      </c>
      <c r="D30" s="315">
        <f ca="1">OFFSET($AQ$34,MATCH($E$16,$AQ$35:$AQ$42,0),2,1,1)</f>
        <v>302</v>
      </c>
      <c r="E30" s="314">
        <f ca="1">OFFSET($AQ$45,MATCH($E$16,$AQ$46:$AQ$53,0),2,1,1)</f>
        <v>312</v>
      </c>
      <c r="F30" s="314">
        <f ca="1">OFFSET($AQ$56,MATCH($E$16,$AQ$57:$AQ$64,0),2,1,1)</f>
        <v>334</v>
      </c>
      <c r="G30" s="314">
        <f ca="1">OFFSET($AQ$69,MATCH($E$16,$AQ$70:$AQ$77,0),2,1,1)</f>
        <v>346</v>
      </c>
      <c r="H30" s="314">
        <f ca="1">OFFSET($AQ$80,MATCH($E$16,$AQ$81:$AQ$88,0),2,1,1)</f>
        <v>359</v>
      </c>
      <c r="I30" s="314">
        <f ca="1">OFFSET($AQ$91,MATCH($E$16,$AQ$92:$AQ$99,0),2,1,1)</f>
        <v>369</v>
      </c>
      <c r="J30" s="314">
        <f ca="1">OFFSET($AQ$102,MATCH($E$16,$AQ$103:$AQ$110,0),2,1,1)</f>
        <v>383</v>
      </c>
      <c r="K30" s="316">
        <f>IF($E$16=6,544,IF($E$16=8,536,IF($E$16=10,535,IF($E$16=12,528,IF($E$16=14,520,IF($E$16=16,515,IF($E$16=20,514,IF($E$16=40,490,0))))))))</f>
        <v>535</v>
      </c>
      <c r="L30" s="183">
        <f>IF($E$16=6,577,IF($E$16=8,570,IF($E$16=10,569,IF($E$16=12,559,IF($E$16=14,551,IF($E$16=16,546,IF($E$16=20,541,IF($E$16=40,517,0))))))))</f>
        <v>569</v>
      </c>
      <c r="M30" s="183">
        <f>IF($E$16=6,612,IF($E$16=8,602,IF($E$16=10,599,IF($E$16=12,589,IF($E$16=14,579,IF($E$16=16,574,IF($E$16=20,569,IF($E$16=40,538,0))))))))</f>
        <v>599</v>
      </c>
      <c r="N30" s="183">
        <f>IF($E$16=6,645,IF($E$16=8,634,IF($E$16=10,632,IF($E$16=12,620,IF($E$16=14,610,IF($E$16=16,602,IF($E$16=20,599,IF($E$16=40,565,0))))))))</f>
        <v>632</v>
      </c>
      <c r="O30" s="183">
        <f>IF($E$16=6,677,IF($E$16=8,666,IF($E$16=10,663,IF($E$16=12,650,IF($E$16=14,640,IF($E$16=16,630,IF($E$16=20,626,IF($E$16=40,589,0))))))))</f>
        <v>663</v>
      </c>
      <c r="P30" s="183">
        <f>IF($E$16=6,712,IF($E$16=8,698,IF($E$16=10,696,IF($E$16=12,681,IF($E$16=14,668,IF($E$16=16,658,IF($E$16=20,656,IF($E$16=40,614,0))))))))</f>
        <v>696</v>
      </c>
      <c r="Q30" s="323">
        <f>Q31-IF($E$16=6,21.25,IF($E$16=8,18.42,IF($E$16=10,18.83,IF($E$16=12,17.75,IF($E$16=14,16.67,IF($E$16=16,16,IF($E$16=20,16,IF($E$16=40,12.75,0))))))))</f>
        <v>727.17</v>
      </c>
      <c r="R30" s="323">
        <f>R31-IF($E$16=6,22.36,IF($E$16=8,20.36,IF($E$16=10,20.82,IF($E$16=12,19.45,IF($E$16=14,18.27,IF($E$16=16,17.55,IF($E$16=20,17.36,IF($E$16=40,13.55,0))))))))</f>
        <v>759.3599999999999</v>
      </c>
      <c r="S30" s="323">
        <f>S31-IF($E$16=6,23.1,IF($E$16=8,21.4,IF($E$16=10,21.8,IF($E$16=12,20.4,IF($E$16=14,19.3,IF($E$16=16,18.3,IF($E$16=20,18.3,IF($E$16=40,14,0))))))))</f>
        <v>789.60000000000014</v>
      </c>
      <c r="T30" s="323">
        <f>T31-IF($E$16=6,24.89,IF($E$16=8,22.33,IF($E$16=10,22.89,IF($E$16=12,21.33,IF($E$16=14,20,IF($E$16=16,19.11,IF($E$16=20,19,IF($E$16=40,14.56,0))))))))</f>
        <v>823.44</v>
      </c>
      <c r="U30" s="323">
        <f>U31-IF($E$16=6,25.88,IF($E$16=8,23.38,IF($E$16=10,24,IF($E$16=12,22.38,IF($E$16=14,21,IF($E$16=16,19.88,IF($E$16=20,19.75,IF($E$16=40,15,0))))))))</f>
        <v>857</v>
      </c>
      <c r="V30" s="323">
        <f t="shared" ref="V30:V35" si="20">V31-IF($E$16=6,27.29,IF($E$16=8,24.43,IF($E$16=10,25,IF($E$16=12,23.29,IF($E$16=14,21.71,IF($E$16=16,20.57,IF($E$16=20,20.71,IF($E$16=40,15.43,0))))))))</f>
        <v>887</v>
      </c>
      <c r="W30" s="323">
        <f t="shared" ref="W30:W35" si="21">W31-IF($E$16=6,28.33,IF($E$16=8,25.33,IF($E$16=10,26.17,IF($E$16=12,24.17,IF($E$16=14,22.67,IF($E$16=16,21.33,IF($E$16=20,21.33,IF($E$16=40,16,0))))))))</f>
        <v>919.81</v>
      </c>
      <c r="X30" s="323">
        <f t="shared" ref="X30:X36" si="22">X31-IF($E$16=6,29.4,IF($E$16=8,26.4,IF($E$16=10,27.2,IF($E$16=12,25.2,IF($E$16=14,23.6,IF($E$16=16,22.2,IF($E$16=20,22,IF($E$16=40,16.4,0))))))))</f>
        <v>949.39999999999964</v>
      </c>
      <c r="Y30" s="323">
        <f t="shared" ref="Y30:Y37" si="23">Y31-IF($E$16=6,31,IF($E$16=8,27.5,IF($E$16=10,28.25,IF($E$16=12,26.25,IF($E$16=14,24.25,IF($E$16=16,23,IF($E$16=20,23,IF($E$16=40,16.75,0))))))))</f>
        <v>983.75</v>
      </c>
      <c r="Z30" s="323">
        <f t="shared" ref="Z30:Z38" si="24">Z31-IF($E$16=6,35,IF($E$16=8,28.67,IF($E$16=10,29.33,IF($E$16=12,27,IF($E$16=14,25.33,IF($E$16=16,23.67,IF($E$16=20,23.67,IF($E$16=40,17.33,0))))))))</f>
        <v>1012.7000000000006</v>
      </c>
      <c r="AA30" s="338">
        <f t="shared" ref="AA30:AA39" si="25">AA31-IF($E$16=6,33,IF($E$16=8,29.5,IF($E$16=10,30.5,IF($E$16=12,28,IF($E$16=14,26,IF($E$16=16,24.5,IF($E$16=20,24.5,IF($E$16=40,17.5,0))))))))</f>
        <v>1045.5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314</v>
      </c>
      <c r="D31" s="316">
        <f ca="1">$D$30+OFFSET($AQ$34,MATCH($E$16,$AQ$35:$AQ$42,0),3,1,1)*(B31-$B$30)/100</f>
        <v>310</v>
      </c>
      <c r="E31" s="184">
        <f t="shared" ref="E31:E37" ca="1" si="27">$E$30+OFFSET($AQ$45,MATCH($E$16,$AQ$46:$AQ$53,0),3,1,1)*(B31-$B$30)/100</f>
        <v>321</v>
      </c>
      <c r="F31" s="184">
        <f ca="1">$F$30+OFFSET($AQ$56,MATCH($E$16,$AQ$57:$AQ$64,0),3,1,1)*(B31-$B$30)/100</f>
        <v>343</v>
      </c>
      <c r="G31" s="184">
        <f t="shared" ref="G31:G50" ca="1" si="28">$G$30+OFFSET($AQ$69,MATCH($E$16,$AQ$70:$AQ$77,0),3,1,1)*(B31-$B$30)/100</f>
        <v>355</v>
      </c>
      <c r="H31" s="184">
        <f t="shared" ref="H31:H50" ca="1" si="29">$H$30+OFFSET($AQ$80,MATCH($E$16,$AQ$81:$AQ$88,0),3,1,1)*(B31-$B$30)/100</f>
        <v>369</v>
      </c>
      <c r="I31" s="184">
        <f t="shared" ref="I31:I50" ca="1" si="30">$I$30+OFFSET($AQ$91,MATCH($E$16,$AQ$92:$AQ$99,0),3,1,1)*(B31-$B$30)/100</f>
        <v>379</v>
      </c>
      <c r="J31" s="183">
        <f t="shared" ref="J31:J50" ca="1" si="31">$J$30+OFFSET($AQ$102,MATCH($E$16,$AQ$103:$AQ$110,0),3,1,1)*(B31-$B$30)/100</f>
        <v>394</v>
      </c>
      <c r="K31" s="286">
        <f>K30+IF($E$16=6,14.09,IF($E$16=8,13.09,IF($E$16=10,13.36,IF($E$16=12,12.73,IF($E$16=14,12.18,IF($E$16=16,11.82,IF($E$16=20,11.91,IF($E$16=40,9.91,0))))))))</f>
        <v>548.36</v>
      </c>
      <c r="L31" s="184">
        <f>L30+IF($E$16=6,15.23,IF($E$16=8,14.23,IF($E$16=10,14.46,IF($E$16=12,13.69,IF($E$16=14,13.15,IF($E$16=16,12.77,IF($E$16=20,12.62,IF($E$16=40,10.69,0))))))))</f>
        <v>583.46</v>
      </c>
      <c r="M31" s="184">
        <f>M30+IF($E$16=6,16.62,IF($E$16=8,15.23,IF($E$16=10,15.46,IF($E$16=12,14.69,IF($E$16=14,13.92,IF($E$16=16,13.54,IF($E$16=20,13.23,IF($E$16=40,10.92,0))))))))</f>
        <v>614.46</v>
      </c>
      <c r="N31" s="184">
        <f>N30+IF($E$16=6,17.62,IF($E$16=8,16.23,IF($E$16=10,16.62,IF($E$16=12,15.62,IF($E$16=14,14.85,IF($E$16=16,14.31,IF($E$16=20,14.23,IF($E$16=40,11.69,0))))))))</f>
        <v>648.62</v>
      </c>
      <c r="O31" s="184">
        <f>O30+IF($E$16=6,17.5408,IF($E$16=8,17.23,IF($E$16=10,17.54,IF($E$16=12,16.62,IF($E$16=14,15.85,IF($E$16=16,15.08,IF($E$16=20,14.92,IF($E$16=40,12.15,0))))))))</f>
        <v>680.54</v>
      </c>
      <c r="P31" s="184">
        <f>P30+IF($E$16=6,20.08,IF($E$16=8,18.23,IF($E$16=10,18.69,IF($E$16=12,17.54,IF($E$16=14,16.62,IF($E$16=16,15.85,IF($E$16=20,15.92,IF($E$16=40,12.54,0))))))))</f>
        <v>714.69</v>
      </c>
      <c r="Q31" s="183">
        <f>IF($E$16=6,766,IF($E$16=8,750,IF($E$16=10,746,IF($E$16=12,730,IF($E$16=14,714,IF($E$16=16,703,IF($E$16=20,700,IF($E$16=40,651,0))))))))</f>
        <v>746</v>
      </c>
      <c r="R31" s="317">
        <f>R32-IF($E$16=6,22.36,IF($E$16=8,20.36,IF($E$16=10,20.82,IF($E$16=12,19.45,IF($E$16=14,18.27,IF($E$16=16,17.55,IF($E$16=20,17.36,IF($E$16=40,13.55,0))))))))</f>
        <v>780.18</v>
      </c>
      <c r="S31" s="317">
        <f>S32-IF($E$16=6,23.1,IF($E$16=8,21.4,IF($E$16=10,21.8,IF($E$16=12,20.4,IF($E$16=14,19.3,IF($E$16=16,18.3,IF($E$16=20,18.3,IF($E$16=40,14,0))))))))</f>
        <v>811.40000000000009</v>
      </c>
      <c r="T31" s="317">
        <f>T32-IF($E$16=6,24.89,IF($E$16=8,22.33,IF($E$16=10,22.89,IF($E$16=12,21.33,IF($E$16=14,20,IF($E$16=16,19.11,IF($E$16=20,19,IF($E$16=40,14.56,0))))))))</f>
        <v>846.33</v>
      </c>
      <c r="U31" s="317">
        <f>U32-IF($E$16=6,25.88,IF($E$16=8,23.38,IF($E$16=10,24,IF($E$16=12,22.38,IF($E$16=14,21,IF($E$16=16,19.88,IF($E$16=20,19.75,IF($E$16=40,15,0))))))))</f>
        <v>881</v>
      </c>
      <c r="V31" s="317">
        <f t="shared" si="20"/>
        <v>912</v>
      </c>
      <c r="W31" s="317">
        <f t="shared" si="21"/>
        <v>945.9799999999999</v>
      </c>
      <c r="X31" s="317">
        <f t="shared" si="22"/>
        <v>976.59999999999968</v>
      </c>
      <c r="Y31" s="317">
        <f t="shared" si="23"/>
        <v>1012</v>
      </c>
      <c r="Z31" s="317">
        <f t="shared" si="24"/>
        <v>1042.0300000000007</v>
      </c>
      <c r="AA31" s="329">
        <f t="shared" si="25"/>
        <v>1076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322</v>
      </c>
      <c r="D32" s="316">
        <f t="shared" ref="D32:D50" ca="1" si="32">$D$30+OFFSET($AQ$34,MATCH($E$16,$AQ$35:$AQ$42,0),3,1,1)*(B32-$B$30)/100</f>
        <v>318</v>
      </c>
      <c r="E32" s="184">
        <f t="shared" ca="1" si="27"/>
        <v>330</v>
      </c>
      <c r="F32" s="184">
        <f t="shared" ref="F32:F50" ca="1" si="33">$F$30+OFFSET($AQ$56,MATCH($E$16,$AQ$57:$AQ$64,0),3,1,1)*(B32-$B$30)/100</f>
        <v>352</v>
      </c>
      <c r="G32" s="184">
        <f t="shared" ca="1" si="28"/>
        <v>364</v>
      </c>
      <c r="H32" s="184">
        <f t="shared" ca="1" si="29"/>
        <v>379</v>
      </c>
      <c r="I32" s="184">
        <f t="shared" ca="1" si="30"/>
        <v>389</v>
      </c>
      <c r="J32" s="183">
        <f t="shared" ca="1" si="31"/>
        <v>405</v>
      </c>
      <c r="K32" s="286">
        <f t="shared" ref="K32:K50" si="34">K31+IF($E$16=6,14.09,IF($E$16=8,13.09,IF($E$16=10,13.36,IF($E$16=12,12.73,IF($E$16=14,12.18,IF($E$16=16,11.82,IF($E$16=20,11.91,IF($E$16=40,9.91,0))))))))</f>
        <v>561.72</v>
      </c>
      <c r="L32" s="184">
        <f t="shared" ref="L32:L50" si="35">L31+IF($E$16=6,15.23,IF($E$16=8,14.23,IF($E$16=10,14.46,IF($E$16=12,13.69,IF($E$16=14,13.15,IF($E$16=16,12.77,IF($E$16=20,12.62,IF($E$16=40,10.69,0))))))))</f>
        <v>597.92000000000007</v>
      </c>
      <c r="M32" s="184">
        <f t="shared" ref="M32:M50" si="36">M31+IF($E$16=6,16.62,IF($E$16=8,15.23,IF($E$16=10,15.46,IF($E$16=12,14.69,IF($E$16=14,13.92,IF($E$16=16,13.54,IF($E$16=20,13.23,IF($E$16=40,10.92,0))))))))</f>
        <v>629.92000000000007</v>
      </c>
      <c r="N32" s="184">
        <f t="shared" ref="N32:N50" si="37">N31+IF($E$16=6,17.62,IF($E$16=8,16.23,IF($E$16=10,16.62,IF($E$16=12,15.62,IF($E$16=14,14.85,IF($E$16=16,14.31,IF($E$16=20,14.23,IF($E$16=40,11.69,0))))))))</f>
        <v>665.24</v>
      </c>
      <c r="O32" s="184">
        <f t="shared" ref="O32:O50" si="38">O31+IF($E$16=6,17.5408,IF($E$16=8,17.23,IF($E$16=10,17.54,IF($E$16=12,16.62,IF($E$16=14,15.85,IF($E$16=16,15.08,IF($E$16=20,14.92,IF($E$16=40,12.15,0))))))))</f>
        <v>698.07999999999993</v>
      </c>
      <c r="P32" s="184">
        <f t="shared" ref="P32:P50" si="39">P31+IF($E$16=6,20.08,IF($E$16=8,18.23,IF($E$16=10,18.69,IF($E$16=12,17.54,IF($E$16=14,16.62,IF($E$16=16,15.85,IF($E$16=20,15.92,IF($E$16=40,12.54,0))))))))</f>
        <v>733.38000000000011</v>
      </c>
      <c r="Q32" s="184">
        <f>Q31+IF($E$16=6,21.25,IF($E$16=8,18.42,IF($E$16=10,18.83,IF($E$16=12,17.75,IF($E$16=14,16.67,IF($E$16=16,16,IF($E$16=20,16,IF($E$16=40,12.75,0))))))))</f>
        <v>764.83</v>
      </c>
      <c r="R32" s="183">
        <f>IF($E$16=6,823,IF($E$16=8,805,IF($E$16=10,801,IF($E$16=12,781,IF($E$16=14,764,IF($E$16=16,752,IF($E$16=20,745,IF($E$16=40,689,0))))))))</f>
        <v>801</v>
      </c>
      <c r="S32" s="317">
        <f>S33-IF($E$16=6,23.1,IF($E$16=8,21.4,IF($E$16=10,21.8,IF($E$16=12,20.4,IF($E$16=14,19.3,IF($E$16=16,18.3,IF($E$16=20,18.3,IF($E$16=40,14,0))))))))</f>
        <v>833.2</v>
      </c>
      <c r="T32" s="317">
        <f>T33-IF($E$16=6,24.89,IF($E$16=8,22.33,IF($E$16=10,22.89,IF($E$16=12,21.33,IF($E$16=14,20,IF($E$16=16,19.11,IF($E$16=20,19,IF($E$16=40,14.56,0))))))))</f>
        <v>869.22</v>
      </c>
      <c r="U32" s="317">
        <f>U33-IF($E$16=6,25.88,IF($E$16=8,23.38,IF($E$16=10,24,IF($E$16=12,22.38,IF($E$16=14,21,IF($E$16=16,19.88,IF($E$16=20,19.75,IF($E$16=40,15,0))))))))</f>
        <v>905</v>
      </c>
      <c r="V32" s="317">
        <f t="shared" si="20"/>
        <v>937</v>
      </c>
      <c r="W32" s="317">
        <f t="shared" si="21"/>
        <v>972.14999999999986</v>
      </c>
      <c r="X32" s="317">
        <f t="shared" si="22"/>
        <v>1003.7999999999997</v>
      </c>
      <c r="Y32" s="317">
        <f t="shared" si="23"/>
        <v>1040.25</v>
      </c>
      <c r="Z32" s="317">
        <f t="shared" si="24"/>
        <v>1071.3600000000006</v>
      </c>
      <c r="AA32" s="329">
        <f t="shared" si="25"/>
        <v>1106.5</v>
      </c>
    </row>
    <row r="33" spans="1:52" x14ac:dyDescent="0.2">
      <c r="A33" s="495"/>
      <c r="B33" s="7">
        <v>1600</v>
      </c>
      <c r="C33" s="350">
        <f t="shared" ca="1" si="26"/>
        <v>330</v>
      </c>
      <c r="D33" s="316">
        <f t="shared" ca="1" si="32"/>
        <v>326</v>
      </c>
      <c r="E33" s="184">
        <f t="shared" ca="1" si="27"/>
        <v>339</v>
      </c>
      <c r="F33" s="184">
        <f t="shared" ca="1" si="33"/>
        <v>361</v>
      </c>
      <c r="G33" s="184">
        <f t="shared" ca="1" si="28"/>
        <v>373</v>
      </c>
      <c r="H33" s="184">
        <f t="shared" ca="1" si="29"/>
        <v>389</v>
      </c>
      <c r="I33" s="184">
        <f t="shared" ca="1" si="30"/>
        <v>399</v>
      </c>
      <c r="J33" s="183">
        <f t="shared" ca="1" si="31"/>
        <v>416</v>
      </c>
      <c r="K33" s="286">
        <f t="shared" si="34"/>
        <v>575.08000000000004</v>
      </c>
      <c r="L33" s="184">
        <f t="shared" si="35"/>
        <v>612.38000000000011</v>
      </c>
      <c r="M33" s="184">
        <f t="shared" si="36"/>
        <v>645.38000000000011</v>
      </c>
      <c r="N33" s="184">
        <f t="shared" si="37"/>
        <v>681.86</v>
      </c>
      <c r="O33" s="184">
        <f t="shared" si="38"/>
        <v>715.61999999999989</v>
      </c>
      <c r="P33" s="184">
        <f t="shared" si="39"/>
        <v>752.07000000000016</v>
      </c>
      <c r="Q33" s="184">
        <f t="shared" ref="Q33:Q50" si="40">Q32+IF($E$16=6,21.25,IF($E$16=8,18.42,IF($E$16=10,18.83,IF($E$16=12,17.75,IF($E$16=14,16.67,IF($E$16=16,16,IF($E$16=20,16,IF($E$16=40,12.75,0))))))))</f>
        <v>783.66000000000008</v>
      </c>
      <c r="R33" s="184">
        <f>R32+IF($E$16=6,22.36,IF($E$16=8,20.36,IF($E$16=10,20.82,IF($E$16=12,19.45,IF($E$16=14,18.27,IF($E$16=16,17.55,IF($E$16=20,17.36,IF($E$16=40,13.55,0))))))))</f>
        <v>821.82</v>
      </c>
      <c r="S33" s="183">
        <f>IF($E$16=6,889,IF($E$16=8,860,IF($E$16=10,855,IF($E$16=12,834,IF($E$16=14,815,IF($E$16=16,800,IF($E$16=20,795,IF($E$16=40,728,0))))))))</f>
        <v>855</v>
      </c>
      <c r="T33" s="317">
        <f>T34-IF($E$16=6,24.89,IF($E$16=8,22.33,IF($E$16=10,22.89,IF($E$16=12,21.33,IF($E$16=14,20,IF($E$16=16,19.11,IF($E$16=20,19,IF($E$16=40,14.56,0))))))))</f>
        <v>892.11</v>
      </c>
      <c r="U33" s="317">
        <f>U34-IF($E$16=6,25.88,IF($E$16=8,23.38,IF($E$16=10,24,IF($E$16=12,22.38,IF($E$16=14,21,IF($E$16=16,19.88,IF($E$16=20,19.75,IF($E$16=40,15,0))))))))</f>
        <v>929</v>
      </c>
      <c r="V33" s="317">
        <f t="shared" si="20"/>
        <v>962</v>
      </c>
      <c r="W33" s="317">
        <f t="shared" si="21"/>
        <v>998.31999999999982</v>
      </c>
      <c r="X33" s="317">
        <f t="shared" si="22"/>
        <v>1030.9999999999998</v>
      </c>
      <c r="Y33" s="317">
        <f t="shared" si="23"/>
        <v>1068.5</v>
      </c>
      <c r="Z33" s="317">
        <f t="shared" si="24"/>
        <v>1100.6900000000005</v>
      </c>
      <c r="AA33" s="329">
        <f t="shared" si="25"/>
        <v>1137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338</v>
      </c>
      <c r="D34" s="317">
        <f t="shared" ca="1" si="32"/>
        <v>334</v>
      </c>
      <c r="E34" s="184">
        <f t="shared" ca="1" si="27"/>
        <v>348</v>
      </c>
      <c r="F34" s="184">
        <f t="shared" ca="1" si="33"/>
        <v>370</v>
      </c>
      <c r="G34" s="184">
        <f t="shared" ca="1" si="28"/>
        <v>382</v>
      </c>
      <c r="H34" s="184">
        <f t="shared" ca="1" si="29"/>
        <v>399</v>
      </c>
      <c r="I34" s="184">
        <f t="shared" ca="1" si="30"/>
        <v>409</v>
      </c>
      <c r="J34" s="183">
        <f t="shared" ca="1" si="31"/>
        <v>427</v>
      </c>
      <c r="K34" s="286">
        <f t="shared" si="34"/>
        <v>588.44000000000005</v>
      </c>
      <c r="L34" s="184">
        <f t="shared" si="35"/>
        <v>626.84000000000015</v>
      </c>
      <c r="M34" s="184">
        <f t="shared" si="36"/>
        <v>660.84000000000015</v>
      </c>
      <c r="N34" s="184">
        <f t="shared" si="37"/>
        <v>698.48</v>
      </c>
      <c r="O34" s="184">
        <f t="shared" si="38"/>
        <v>733.15999999999985</v>
      </c>
      <c r="P34" s="184">
        <f t="shared" si="39"/>
        <v>770.76000000000022</v>
      </c>
      <c r="Q34" s="184">
        <f t="shared" si="40"/>
        <v>802.49000000000012</v>
      </c>
      <c r="R34" s="184">
        <f t="shared" ref="R34:R50" si="41">R33+IF($E$16=6,22.36,IF($E$16=8,20.36,IF($E$16=10,20.82,IF($E$16=12,19.45,IF($E$16=14,18.27,IF($E$16=16,17.55,IF($E$16=20,17.36,IF($E$16=40,13.55,0))))))))</f>
        <v>842.6400000000001</v>
      </c>
      <c r="S34" s="183">
        <f>S33+IF($E$16=6,23.1,IF($E$16=8,21.4,IF($E$16=10,21.8,IF($E$16=12,20.4,IF($E$16=14,19.3,IF($E$16=16,18.3,IF($E$16=20,18.3,IF($E$16=40,14,0))))))))</f>
        <v>876.8</v>
      </c>
      <c r="T34" s="183">
        <f>IF($E$16=6,944,IF($E$16=8,918,IF($E$16=10,915,IF($E$16=12,889,IF($E$16=14,866,IF($E$16=16,849,IF($E$16=20,844,IF($E$16=40,768,0))))))))</f>
        <v>915</v>
      </c>
      <c r="U34" s="317">
        <f>U35-IF($E$16=6,25.88,IF($E$16=8,23.38,IF($E$16=10,24,IF($E$16=12,22.38,IF($E$16=14,21,IF($E$16=16,19.88,IF($E$16=20,19.75,IF($E$16=40,15,0))))))))</f>
        <v>953</v>
      </c>
      <c r="V34" s="317">
        <f t="shared" si="20"/>
        <v>987</v>
      </c>
      <c r="W34" s="317">
        <f t="shared" si="21"/>
        <v>1024.4899999999998</v>
      </c>
      <c r="X34" s="317">
        <f t="shared" si="22"/>
        <v>1058.1999999999998</v>
      </c>
      <c r="Y34" s="317">
        <f t="shared" si="23"/>
        <v>1096.75</v>
      </c>
      <c r="Z34" s="317">
        <f t="shared" si="24"/>
        <v>1130.0200000000004</v>
      </c>
      <c r="AA34" s="329">
        <f t="shared" si="25"/>
        <v>1167.5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346</v>
      </c>
      <c r="D35" s="317">
        <f t="shared" ca="1" si="32"/>
        <v>342</v>
      </c>
      <c r="E35" s="184">
        <f t="shared" ca="1" si="27"/>
        <v>357</v>
      </c>
      <c r="F35" s="184">
        <f t="shared" ca="1" si="33"/>
        <v>379</v>
      </c>
      <c r="G35" s="184">
        <f t="shared" ca="1" si="28"/>
        <v>391</v>
      </c>
      <c r="H35" s="184">
        <f t="shared" ca="1" si="29"/>
        <v>409</v>
      </c>
      <c r="I35" s="184">
        <f t="shared" ca="1" si="30"/>
        <v>419</v>
      </c>
      <c r="J35" s="183">
        <f t="shared" ca="1" si="31"/>
        <v>438</v>
      </c>
      <c r="K35" s="286">
        <f t="shared" si="34"/>
        <v>601.80000000000007</v>
      </c>
      <c r="L35" s="184">
        <f t="shared" si="35"/>
        <v>641.30000000000018</v>
      </c>
      <c r="M35" s="184">
        <f t="shared" si="36"/>
        <v>676.30000000000018</v>
      </c>
      <c r="N35" s="184">
        <f t="shared" si="37"/>
        <v>715.1</v>
      </c>
      <c r="O35" s="184">
        <f t="shared" si="38"/>
        <v>750.69999999999982</v>
      </c>
      <c r="P35" s="184">
        <f t="shared" si="39"/>
        <v>789.45000000000027</v>
      </c>
      <c r="Q35" s="184">
        <f t="shared" si="40"/>
        <v>821.32000000000016</v>
      </c>
      <c r="R35" s="184">
        <f t="shared" si="41"/>
        <v>863.46000000000015</v>
      </c>
      <c r="S35" s="183">
        <f t="shared" ref="S35:S50" si="42">S34+IF($E$16=6,23.1,IF($E$16=8,21.4,IF($E$16=10,21.8,IF($E$16=12,20.4,IF($E$16=14,19.3,IF($E$16=16,18.3,IF($E$16=20,18.3,IF($E$16=40,14,0))))))))</f>
        <v>898.59999999999991</v>
      </c>
      <c r="T35" s="183">
        <f>T34+IF($E$16=6,24.89,IF($E$16=8,22.33,IF($E$16=10,22.89,IF($E$16=12,21.33,IF($E$16=14,20,IF($E$16=16,19.11,IF($E$16=20,19,IF($E$16=40,14.56,0))))))))</f>
        <v>937.89</v>
      </c>
      <c r="U35" s="183">
        <f>IF($E$16=6,1008,IF($E$16=8,977,IF($E$16=10,977,IF($E$16=12,945,IF($E$16=14,921,IF($E$16=16,900,IF($E$16=20,893,IF($E$16=40,809,0))))))))</f>
        <v>977</v>
      </c>
      <c r="V35" s="317">
        <f t="shared" si="20"/>
        <v>1012</v>
      </c>
      <c r="W35" s="317">
        <f t="shared" si="21"/>
        <v>1050.6599999999999</v>
      </c>
      <c r="X35" s="317">
        <f t="shared" si="22"/>
        <v>1085.3999999999999</v>
      </c>
      <c r="Y35" s="317">
        <f t="shared" si="23"/>
        <v>1125</v>
      </c>
      <c r="Z35" s="317">
        <f t="shared" si="24"/>
        <v>1159.3500000000004</v>
      </c>
      <c r="AA35" s="329">
        <f t="shared" si="25"/>
        <v>1198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354</v>
      </c>
      <c r="D36" s="317">
        <f t="shared" ca="1" si="32"/>
        <v>350</v>
      </c>
      <c r="E36" s="184">
        <f t="shared" ca="1" si="27"/>
        <v>366</v>
      </c>
      <c r="F36" s="184">
        <f t="shared" ca="1" si="33"/>
        <v>388</v>
      </c>
      <c r="G36" s="184">
        <f t="shared" ca="1" si="28"/>
        <v>400</v>
      </c>
      <c r="H36" s="184">
        <f t="shared" ca="1" si="29"/>
        <v>419</v>
      </c>
      <c r="I36" s="184">
        <f t="shared" ca="1" si="30"/>
        <v>429</v>
      </c>
      <c r="J36" s="183">
        <f t="shared" ca="1" si="31"/>
        <v>449</v>
      </c>
      <c r="K36" s="286">
        <f t="shared" si="34"/>
        <v>615.16000000000008</v>
      </c>
      <c r="L36" s="184">
        <f t="shared" si="35"/>
        <v>655.76000000000022</v>
      </c>
      <c r="M36" s="184">
        <f t="shared" si="36"/>
        <v>691.76000000000022</v>
      </c>
      <c r="N36" s="184">
        <f t="shared" si="37"/>
        <v>731.72</v>
      </c>
      <c r="O36" s="184">
        <f t="shared" si="38"/>
        <v>768.23999999999978</v>
      </c>
      <c r="P36" s="184">
        <f t="shared" si="39"/>
        <v>808.14000000000033</v>
      </c>
      <c r="Q36" s="184">
        <f t="shared" si="40"/>
        <v>840.1500000000002</v>
      </c>
      <c r="R36" s="184">
        <f t="shared" si="41"/>
        <v>884.2800000000002</v>
      </c>
      <c r="S36" s="183">
        <f t="shared" si="42"/>
        <v>920.39999999999986</v>
      </c>
      <c r="T36" s="183">
        <f t="shared" ref="T36:T50" si="43">T35+IF($E$16=6,24.89,IF($E$16=8,22.33,IF($E$16=10,22.89,IF($E$16=12,21.33,IF($E$16=14,20,IF($E$16=16,19.11,IF($E$16=20,19,IF($E$16=40,14.56,0))))))))</f>
        <v>960.78</v>
      </c>
      <c r="U36" s="183">
        <f>U35+IF($E$16=6,25.88,IF($E$16=8,23.38,IF($E$16=10,24,IF($E$16=12,22.38,IF($E$16=14,21,IF($E$16=16,19.88,IF($E$16=20,19.75,IF($E$16=40,15,0))))))))</f>
        <v>1001</v>
      </c>
      <c r="V36" s="183">
        <f>IF($E$16=6,1076,IF($E$16=8,1038,IF($E$16=10,1037,IF($E$16=12,1004,IF($E$16=14,975,IF($E$16=16,953,IF($E$16=20,949,IF($E$16=40,851,0))))))))</f>
        <v>1037</v>
      </c>
      <c r="W36" s="317">
        <f>W37-IF($E$16=6,28.33,IF($E$16=8,25.33,IF($E$16=10,26.17,IF($E$16=12,24.17,IF($E$16=14,22.67,IF($E$16=16,21.33,IF($E$16=20,21.33,IF($E$16=40,16,0))))))))</f>
        <v>1076.83</v>
      </c>
      <c r="X36" s="317">
        <f t="shared" si="22"/>
        <v>1112.5999999999999</v>
      </c>
      <c r="Y36" s="317">
        <f t="shared" si="23"/>
        <v>1153.25</v>
      </c>
      <c r="Z36" s="317">
        <f t="shared" si="24"/>
        <v>1188.6800000000003</v>
      </c>
      <c r="AA36" s="329">
        <f t="shared" si="25"/>
        <v>1228.5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362</v>
      </c>
      <c r="D37" s="317">
        <f t="shared" ca="1" si="32"/>
        <v>358</v>
      </c>
      <c r="E37" s="317">
        <f t="shared" ca="1" si="27"/>
        <v>375</v>
      </c>
      <c r="F37" s="184">
        <f t="shared" ca="1" si="33"/>
        <v>397</v>
      </c>
      <c r="G37" s="184">
        <f t="shared" ca="1" si="28"/>
        <v>409</v>
      </c>
      <c r="H37" s="184">
        <f t="shared" ca="1" si="29"/>
        <v>429</v>
      </c>
      <c r="I37" s="184">
        <f t="shared" ca="1" si="30"/>
        <v>439</v>
      </c>
      <c r="J37" s="183">
        <f t="shared" ca="1" si="31"/>
        <v>460</v>
      </c>
      <c r="K37" s="286">
        <f t="shared" si="34"/>
        <v>628.5200000000001</v>
      </c>
      <c r="L37" s="184">
        <f t="shared" si="35"/>
        <v>670.22000000000025</v>
      </c>
      <c r="M37" s="184">
        <f t="shared" si="36"/>
        <v>707.22000000000025</v>
      </c>
      <c r="N37" s="184">
        <f t="shared" si="37"/>
        <v>748.34</v>
      </c>
      <c r="O37" s="184">
        <f t="shared" si="38"/>
        <v>785.77999999999975</v>
      </c>
      <c r="P37" s="184">
        <f t="shared" si="39"/>
        <v>826.83000000000038</v>
      </c>
      <c r="Q37" s="184">
        <f t="shared" si="40"/>
        <v>858.98000000000025</v>
      </c>
      <c r="R37" s="184">
        <f t="shared" si="41"/>
        <v>905.10000000000025</v>
      </c>
      <c r="S37" s="183">
        <f t="shared" si="42"/>
        <v>942.19999999999982</v>
      </c>
      <c r="T37" s="183">
        <f t="shared" si="43"/>
        <v>983.67</v>
      </c>
      <c r="U37" s="183">
        <f t="shared" ref="U37:U50" si="44">U36+IF($E$16=6,25.88,IF($E$16=8,23.38,IF($E$16=10,24,IF($E$16=12,22.38,IF($E$16=14,21,IF($E$16=16,19.88,IF($E$16=20,19.75,IF($E$16=40,15,0))))))))</f>
        <v>1025</v>
      </c>
      <c r="V37" s="183">
        <f>V36+IF($E$16=6,27.29,IF($E$16=8,24.43,IF($E$16=10,25,IF($E$16=12,23.29,IF($E$16=14,21.71,IF($E$16=16,20.57,IF($E$16=20,20.71,IF($E$16=40,15.43,0))))))))</f>
        <v>1062</v>
      </c>
      <c r="W37" s="183">
        <f>IF($E$16=6,1144,IF($E$16=8,1102,IF($E$16=10,1103,IF($E$16=12,1065,IF($E$16=14,1034,IF($E$16=16,1007,IF($E$16=20,1002,IF($E$16=40,894,0))))))))</f>
        <v>1103</v>
      </c>
      <c r="X37" s="317">
        <f>X38-IF($E$16=6,29.4,IF($E$16=8,26.4,IF($E$16=10,27.2,IF($E$16=12,25.2,IF($E$16=14,23.6,IF($E$16=16,22.2,IF($E$16=20,22,IF($E$16=40,16.4,0))))))))</f>
        <v>1139.8</v>
      </c>
      <c r="Y37" s="317">
        <f t="shared" si="23"/>
        <v>1181.5</v>
      </c>
      <c r="Z37" s="317">
        <f t="shared" si="24"/>
        <v>1218.0100000000002</v>
      </c>
      <c r="AA37" s="329">
        <f t="shared" si="25"/>
        <v>1259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370</v>
      </c>
      <c r="D38" s="317">
        <f t="shared" ca="1" si="32"/>
        <v>366</v>
      </c>
      <c r="E38" s="317">
        <f t="shared" ref="E38:E50" ca="1" si="45">$E$30+OFFSET($AQ$45,MATCH($E$16,$AQ$46:$AQ$53,0),3,1,1)*(B38-$B$30)/100</f>
        <v>384</v>
      </c>
      <c r="F38" s="184">
        <f t="shared" ca="1" si="33"/>
        <v>406</v>
      </c>
      <c r="G38" s="184">
        <f t="shared" ca="1" si="28"/>
        <v>418</v>
      </c>
      <c r="H38" s="184">
        <f t="shared" ca="1" si="29"/>
        <v>439</v>
      </c>
      <c r="I38" s="184">
        <f t="shared" ca="1" si="30"/>
        <v>449</v>
      </c>
      <c r="J38" s="183">
        <f t="shared" ca="1" si="31"/>
        <v>471</v>
      </c>
      <c r="K38" s="286">
        <f t="shared" si="34"/>
        <v>641.88000000000011</v>
      </c>
      <c r="L38" s="184">
        <f t="shared" si="35"/>
        <v>684.68000000000029</v>
      </c>
      <c r="M38" s="184">
        <f t="shared" si="36"/>
        <v>722.68000000000029</v>
      </c>
      <c r="N38" s="184">
        <f t="shared" si="37"/>
        <v>764.96</v>
      </c>
      <c r="O38" s="184">
        <f t="shared" si="38"/>
        <v>803.31999999999971</v>
      </c>
      <c r="P38" s="184">
        <f t="shared" si="39"/>
        <v>845.52000000000044</v>
      </c>
      <c r="Q38" s="184">
        <f t="shared" si="40"/>
        <v>877.81000000000029</v>
      </c>
      <c r="R38" s="184">
        <f t="shared" si="41"/>
        <v>925.9200000000003</v>
      </c>
      <c r="S38" s="183">
        <f t="shared" si="42"/>
        <v>963.99999999999977</v>
      </c>
      <c r="T38" s="183">
        <f t="shared" si="43"/>
        <v>1006.56</v>
      </c>
      <c r="U38" s="183">
        <f t="shared" si="44"/>
        <v>1049</v>
      </c>
      <c r="V38" s="183">
        <f t="shared" ref="V38:V50" si="46">V37+IF($E$16=6,27.29,IF($E$16=8,24.43,IF($E$16=10,25,IF($E$16=12,23.29,IF($E$16=14,21.71,IF($E$16=16,20.57,IF($E$16=20,20.71,IF($E$16=40,15.43,0))))))))</f>
        <v>1087</v>
      </c>
      <c r="W38" s="183">
        <f>W37+IF($E$16=6,28.33,IF($E$16=8,25.33,IF($E$16=10,26.17,IF($E$16=12,24.17,IF($E$16=14,22.67,IF($E$16=16,21.33,IF($E$16=20,21.33,IF($E$16=40,16,0))))))))</f>
        <v>1129.17</v>
      </c>
      <c r="X38" s="183">
        <f>IF($E$16=6,1215,IF($E$16=8,1167,IF($E$16=10,1167,IF($E$16=12,1127,IF($E$16=14,1095,IF($E$16=16,1067,IF($E$16=20,1057,IF($E$16=40,938,0))))))))</f>
        <v>1167</v>
      </c>
      <c r="Y38" s="317">
        <f>Y39-IF($E$16=6,31,IF($E$16=8,27.5,IF($E$16=10,28.25,IF($E$16=12,26.25,IF($E$16=14,24.25,IF($E$16=16,23,IF($E$16=20,23,IF($E$16=40,16.75,0))))))))</f>
        <v>1209.75</v>
      </c>
      <c r="Z38" s="317">
        <f t="shared" si="24"/>
        <v>1247.3400000000001</v>
      </c>
      <c r="AA38" s="329">
        <f t="shared" si="25"/>
        <v>1289.5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378</v>
      </c>
      <c r="D39" s="317">
        <f t="shared" ca="1" si="32"/>
        <v>374</v>
      </c>
      <c r="E39" s="317">
        <f t="shared" ca="1" si="45"/>
        <v>393</v>
      </c>
      <c r="F39" s="317">
        <f t="shared" ca="1" si="33"/>
        <v>415</v>
      </c>
      <c r="G39" s="184">
        <f t="shared" ca="1" si="28"/>
        <v>427</v>
      </c>
      <c r="H39" s="184">
        <f t="shared" ca="1" si="29"/>
        <v>449</v>
      </c>
      <c r="I39" s="184">
        <f t="shared" ca="1" si="30"/>
        <v>459</v>
      </c>
      <c r="J39" s="183">
        <f t="shared" ca="1" si="31"/>
        <v>482</v>
      </c>
      <c r="K39" s="286">
        <f t="shared" si="34"/>
        <v>655.24000000000012</v>
      </c>
      <c r="L39" s="184">
        <f t="shared" si="35"/>
        <v>699.14000000000033</v>
      </c>
      <c r="M39" s="184">
        <f t="shared" si="36"/>
        <v>738.14000000000033</v>
      </c>
      <c r="N39" s="184">
        <f t="shared" si="37"/>
        <v>781.58</v>
      </c>
      <c r="O39" s="184">
        <f t="shared" si="38"/>
        <v>820.85999999999967</v>
      </c>
      <c r="P39" s="184">
        <f t="shared" si="39"/>
        <v>864.21000000000049</v>
      </c>
      <c r="Q39" s="184">
        <f t="shared" si="40"/>
        <v>896.64000000000033</v>
      </c>
      <c r="R39" s="184">
        <f t="shared" si="41"/>
        <v>946.74000000000035</v>
      </c>
      <c r="S39" s="183">
        <f t="shared" si="42"/>
        <v>985.79999999999973</v>
      </c>
      <c r="T39" s="183">
        <f t="shared" si="43"/>
        <v>1029.45</v>
      </c>
      <c r="U39" s="183">
        <f t="shared" si="44"/>
        <v>1073</v>
      </c>
      <c r="V39" s="183">
        <f t="shared" si="46"/>
        <v>1112</v>
      </c>
      <c r="W39" s="183">
        <f t="shared" ref="W39:W50" si="47">W38+IF($E$16=6,28.33,IF($E$16=8,25.33,IF($E$16=10,26.17,IF($E$16=12,24.17,IF($E$16=14,22.67,IF($E$16=16,21.33,IF($E$16=20,21.33,IF($E$16=40,16,0))))))))</f>
        <v>1155.3400000000001</v>
      </c>
      <c r="X39" s="183">
        <f>X38+IF($E$16=6,29.4,IF($E$16=8,26.4,IF($E$16=10,27.2,IF($E$16=12,25.2,IF($E$16=14,23.6,IF($E$16=16,22.2,IF($E$16=20,22,IF($E$16=40,16.4,0))))))))</f>
        <v>1194.2</v>
      </c>
      <c r="Y39" s="183">
        <f>IF($E$16=6,1290,IF($E$16=8,1238,IF($E$16=10,1238,IF($E$16=12,1191,IF($E$16=14,1154,IF($E$16=16,1124,IF($E$16=20,1117,IF($E$16=40,983,0))))))))</f>
        <v>1238</v>
      </c>
      <c r="Z39" s="317">
        <f>Z40-IF($E$16=6,35,IF($E$16=8,28.67,IF($E$16=10,29.33,IF($E$16=12,27,IF($E$16=14,25.33,IF($E$16=16,23.67,IF($E$16=20,23.67,IF($E$16=40,17.33,0))))))))</f>
        <v>1276.67</v>
      </c>
      <c r="AA39" s="329">
        <f t="shared" si="25"/>
        <v>1320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386</v>
      </c>
      <c r="D40" s="317">
        <f t="shared" ca="1" si="32"/>
        <v>382</v>
      </c>
      <c r="E40" s="317">
        <f t="shared" ca="1" si="45"/>
        <v>402</v>
      </c>
      <c r="F40" s="317">
        <f t="shared" ca="1" si="33"/>
        <v>424</v>
      </c>
      <c r="G40" s="184">
        <f t="shared" ca="1" si="28"/>
        <v>436</v>
      </c>
      <c r="H40" s="184">
        <f t="shared" ca="1" si="29"/>
        <v>459</v>
      </c>
      <c r="I40" s="184">
        <f t="shared" ca="1" si="30"/>
        <v>469</v>
      </c>
      <c r="J40" s="183">
        <f t="shared" ca="1" si="31"/>
        <v>493</v>
      </c>
      <c r="K40" s="286">
        <f t="shared" si="34"/>
        <v>668.60000000000014</v>
      </c>
      <c r="L40" s="184">
        <f t="shared" si="35"/>
        <v>713.60000000000036</v>
      </c>
      <c r="M40" s="184">
        <f t="shared" si="36"/>
        <v>753.60000000000036</v>
      </c>
      <c r="N40" s="184">
        <f t="shared" si="37"/>
        <v>798.2</v>
      </c>
      <c r="O40" s="184">
        <f t="shared" si="38"/>
        <v>838.39999999999964</v>
      </c>
      <c r="P40" s="184">
        <f t="shared" si="39"/>
        <v>882.90000000000055</v>
      </c>
      <c r="Q40" s="184">
        <f t="shared" si="40"/>
        <v>915.47000000000037</v>
      </c>
      <c r="R40" s="184">
        <f t="shared" si="41"/>
        <v>967.5600000000004</v>
      </c>
      <c r="S40" s="183">
        <f t="shared" si="42"/>
        <v>1007.5999999999997</v>
      </c>
      <c r="T40" s="183">
        <f t="shared" si="43"/>
        <v>1052.3400000000001</v>
      </c>
      <c r="U40" s="183">
        <f t="shared" si="44"/>
        <v>1097</v>
      </c>
      <c r="V40" s="183">
        <f t="shared" si="46"/>
        <v>1137</v>
      </c>
      <c r="W40" s="183">
        <f t="shared" si="47"/>
        <v>1181.5100000000002</v>
      </c>
      <c r="X40" s="183">
        <f>X39+IF($E$16=6,29.4,IF($E$16=8,26.4,IF($E$16=10,27.2,IF($E$16=12,25.2,IF($E$16=14,23.6,IF($E$16=16,22.2,IF($E$16=20,22,IF($E$16=40,16.4,0))))))))</f>
        <v>1221.4000000000001</v>
      </c>
      <c r="Y40" s="183">
        <f>Y39+IF($E$16=6,31,IF($E$16=8,27.5,IF($E$16=10,28.25,IF($E$16=12,26.25,IF($E$16=14,24.25,IF($E$16=16,23,IF($E$16=20,23,IF($E$16=40,16.75,0))))))))</f>
        <v>1266.25</v>
      </c>
      <c r="Z40" s="183">
        <f>IF($E$16=6,1356,IF($E$16=8,1307,IF($E$16=10,1306,IF($E$16=12,1258,IF($E$16=14,1218,IF($E$16=16,1183,IF($E$16=20,1175,IF($E$16=40,1029,0))))))))</f>
        <v>1306</v>
      </c>
      <c r="AA40" s="329">
        <f>AA41-IF($E$16=6,33,IF($E$16=8,29.5,IF($E$16=10,30.5,IF($E$16=12,28,IF($E$16=14,26,IF($E$16=16,24.5,IF($E$16=20,24.5,IF($E$16=40,17.5,0))))))))</f>
        <v>1350.5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394</v>
      </c>
      <c r="D41" s="317">
        <f t="shared" ca="1" si="32"/>
        <v>390</v>
      </c>
      <c r="E41" s="317">
        <f t="shared" ca="1" si="45"/>
        <v>411</v>
      </c>
      <c r="F41" s="317">
        <f t="shared" ca="1" si="33"/>
        <v>433</v>
      </c>
      <c r="G41" s="317">
        <f t="shared" ca="1" si="28"/>
        <v>445</v>
      </c>
      <c r="H41" s="184">
        <f t="shared" ca="1" si="29"/>
        <v>469</v>
      </c>
      <c r="I41" s="184">
        <f t="shared" ca="1" si="30"/>
        <v>479</v>
      </c>
      <c r="J41" s="183">
        <f t="shared" ca="1" si="31"/>
        <v>504</v>
      </c>
      <c r="K41" s="316">
        <f t="shared" si="34"/>
        <v>681.96000000000015</v>
      </c>
      <c r="L41" s="287">
        <f t="shared" si="35"/>
        <v>728.0600000000004</v>
      </c>
      <c r="M41" s="287">
        <f t="shared" si="36"/>
        <v>769.0600000000004</v>
      </c>
      <c r="N41" s="287">
        <f t="shared" si="37"/>
        <v>814.82</v>
      </c>
      <c r="O41" s="287">
        <f t="shared" si="38"/>
        <v>855.9399999999996</v>
      </c>
      <c r="P41" s="184">
        <f t="shared" si="39"/>
        <v>901.5900000000006</v>
      </c>
      <c r="Q41" s="184">
        <f t="shared" si="40"/>
        <v>934.30000000000041</v>
      </c>
      <c r="R41" s="184">
        <f t="shared" si="41"/>
        <v>988.38000000000045</v>
      </c>
      <c r="S41" s="183">
        <f t="shared" si="42"/>
        <v>1029.3999999999996</v>
      </c>
      <c r="T41" s="183">
        <f t="shared" si="43"/>
        <v>1075.2300000000002</v>
      </c>
      <c r="U41" s="183">
        <f t="shared" si="44"/>
        <v>1121</v>
      </c>
      <c r="V41" s="183">
        <f t="shared" si="46"/>
        <v>1162</v>
      </c>
      <c r="W41" s="183">
        <f t="shared" si="47"/>
        <v>1207.6800000000003</v>
      </c>
      <c r="X41" s="183">
        <f>X40+IF($E$16=6,29.4,IF($E$16=8,26.4,IF($E$16=10,27.2,IF($E$16=12,25.2,IF($E$16=14,23.6,IF($E$16=16,22.2,IF($E$16=20,22,IF($E$16=40,16.4,0))))))))</f>
        <v>1248.6000000000001</v>
      </c>
      <c r="Y41" s="183">
        <f>Y40+IF($E$16=6,31,IF($E$16=8,27.5,IF($E$16=10,28.25,IF($E$16=12,26.25,IF($E$16=14,24.25,IF($E$16=16,23,IF($E$16=20,23,IF($E$16=40,16.75,0))))))))</f>
        <v>1294.5</v>
      </c>
      <c r="Z41" s="183">
        <f>Z40+IF($E$16=6,35,IF($E$16=8,28.67,IF($E$16=10,29.33,IF($E$16=12,27,IF($E$16=14,25.33,IF($E$16=16,23.67,IF($E$16=20,23.67,IF($E$16=40,17.33,0))))))))</f>
        <v>1335.33</v>
      </c>
      <c r="AA41" s="288">
        <f>IF($E$16=6,1408,IF($E$16=8,1379,IF($E$16=10,1381,IF($E$16=12,1326,IF($E$16=14,1280,IF($E$16=16,1243,IF($E$16=20,1233,IF($E$16=40,1070,0))))))))</f>
        <v>1381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402</v>
      </c>
      <c r="D42" s="317">
        <f t="shared" ca="1" si="32"/>
        <v>398</v>
      </c>
      <c r="E42" s="317">
        <f t="shared" ca="1" si="45"/>
        <v>420</v>
      </c>
      <c r="F42" s="317">
        <f t="shared" ca="1" si="33"/>
        <v>442</v>
      </c>
      <c r="G42" s="317">
        <f t="shared" ca="1" si="28"/>
        <v>454</v>
      </c>
      <c r="H42" s="184">
        <f t="shared" ca="1" si="29"/>
        <v>479</v>
      </c>
      <c r="I42" s="184">
        <f t="shared" ca="1" si="30"/>
        <v>489</v>
      </c>
      <c r="J42" s="183">
        <f t="shared" ca="1" si="31"/>
        <v>515</v>
      </c>
      <c r="K42" s="316">
        <f t="shared" si="34"/>
        <v>695.32000000000016</v>
      </c>
      <c r="L42" s="183">
        <f t="shared" si="35"/>
        <v>742.52000000000044</v>
      </c>
      <c r="M42" s="183">
        <f t="shared" si="36"/>
        <v>784.52000000000044</v>
      </c>
      <c r="N42" s="183">
        <f t="shared" si="37"/>
        <v>831.44</v>
      </c>
      <c r="O42" s="183">
        <f t="shared" si="38"/>
        <v>873.47999999999956</v>
      </c>
      <c r="P42" s="286">
        <f t="shared" si="39"/>
        <v>920.28000000000065</v>
      </c>
      <c r="Q42" s="184">
        <f t="shared" si="40"/>
        <v>953.13000000000045</v>
      </c>
      <c r="R42" s="184">
        <f t="shared" si="41"/>
        <v>1009.2000000000005</v>
      </c>
      <c r="S42" s="183">
        <f t="shared" si="42"/>
        <v>1051.1999999999996</v>
      </c>
      <c r="T42" s="183">
        <f t="shared" si="43"/>
        <v>1098.1200000000003</v>
      </c>
      <c r="U42" s="183">
        <f t="shared" si="44"/>
        <v>1145</v>
      </c>
      <c r="V42" s="183">
        <f t="shared" si="46"/>
        <v>1187</v>
      </c>
      <c r="W42" s="183">
        <f t="shared" si="47"/>
        <v>1233.8500000000004</v>
      </c>
      <c r="X42" s="183">
        <f>X41+IF($E$16=6,29.4,IF($E$16=8,26.4,IF($E$16=10,27.2,IF($E$16=12,25.2,IF($E$16=14,23.6,IF($E$16=16,22.2,IF($E$16=20,22,IF($E$16=40,16.4,0))))))))</f>
        <v>1275.8000000000002</v>
      </c>
      <c r="Y42" s="183">
        <f>Y41+IF($E$16=6,31,IF($E$16=8,27.5,IF($E$16=10,28.25,IF($E$16=12,26.25,IF($E$16=14,24.25,IF($E$16=16,23,IF($E$16=20,23,IF($E$16=40,16.75,0))))))))</f>
        <v>1322.75</v>
      </c>
      <c r="Z42" s="183">
        <f>Z41+IF($E$16=6,35,IF($E$16=8,28.67,IF($E$16=10,29.33,IF($E$16=12,27,IF($E$16=14,25.33,IF($E$16=16,23.67,IF($E$16=20,23.67,IF($E$16=40,17.33,0))))))))</f>
        <v>1364.6599999999999</v>
      </c>
      <c r="AA42" s="288">
        <f>AA41+IF($E$16=6,33,IF($E$16=8,29.5,IF($E$16=10,30.5,IF($E$16=12,28,IF($E$16=14,26,IF($E$16=16,24.5,IF($E$16=20,24.5,IF($E$16=40,17.5,0))))))))</f>
        <v>1411.5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410</v>
      </c>
      <c r="D43" s="317">
        <f t="shared" ca="1" si="32"/>
        <v>406</v>
      </c>
      <c r="E43" s="317">
        <f t="shared" ca="1" si="45"/>
        <v>429</v>
      </c>
      <c r="F43" s="317">
        <f t="shared" ca="1" si="33"/>
        <v>451</v>
      </c>
      <c r="G43" s="317">
        <f t="shared" ca="1" si="28"/>
        <v>463</v>
      </c>
      <c r="H43" s="317">
        <f t="shared" ca="1" si="29"/>
        <v>489</v>
      </c>
      <c r="I43" s="287">
        <f t="shared" ca="1" si="30"/>
        <v>499</v>
      </c>
      <c r="J43" s="332">
        <f t="shared" ca="1" si="31"/>
        <v>526</v>
      </c>
      <c r="K43" s="333">
        <f t="shared" si="34"/>
        <v>708.68000000000018</v>
      </c>
      <c r="L43" s="332">
        <f t="shared" si="35"/>
        <v>756.98000000000047</v>
      </c>
      <c r="M43" s="332">
        <f t="shared" si="36"/>
        <v>799.98000000000047</v>
      </c>
      <c r="N43" s="332">
        <f t="shared" si="37"/>
        <v>848.06000000000006</v>
      </c>
      <c r="O43" s="332">
        <f t="shared" si="38"/>
        <v>891.01999999999953</v>
      </c>
      <c r="P43" s="334">
        <f t="shared" si="39"/>
        <v>938.97000000000071</v>
      </c>
      <c r="Q43" s="287">
        <f t="shared" si="40"/>
        <v>971.96000000000049</v>
      </c>
      <c r="R43" s="287">
        <f t="shared" si="41"/>
        <v>1030.0200000000004</v>
      </c>
      <c r="S43" s="332">
        <f t="shared" si="42"/>
        <v>1072.9999999999995</v>
      </c>
      <c r="T43" s="332">
        <f t="shared" si="43"/>
        <v>1121.0100000000004</v>
      </c>
      <c r="U43" s="332">
        <f t="shared" si="44"/>
        <v>1169</v>
      </c>
      <c r="V43" s="332">
        <f t="shared" si="46"/>
        <v>1212</v>
      </c>
      <c r="W43" s="332">
        <f t="shared" si="47"/>
        <v>1260.0200000000004</v>
      </c>
      <c r="X43" s="332">
        <f>X42+IF($E$16=6,29.4,IF($E$16=8,26.4,IF($E$16=10,27.2,IF($E$16=12,25.2,IF($E$16=14,23.6,IF($E$16=16,22.2,IF($E$16=20,22,IF($E$16=40,16.4,0))))))))</f>
        <v>1303.0000000000002</v>
      </c>
      <c r="Y43" s="332">
        <f>Y42+IF($E$16=6,31,IF($E$16=8,27.5,IF($E$16=10,28.25,IF($E$16=12,26.25,IF($E$16=14,24.25,IF($E$16=16,23,IF($E$16=20,23,IF($E$16=40,16.75,0))))))))</f>
        <v>1351</v>
      </c>
      <c r="Z43" s="332">
        <f>Z42+IF($E$16=6,35,IF($E$16=8,28.67,IF($E$16=10,29.33,IF($E$16=12,27,IF($E$16=14,25.33,IF($E$16=16,23.67,IF($E$16=20,23.67,IF($E$16=40,17.33,0))))))))</f>
        <v>1393.9899999999998</v>
      </c>
      <c r="AA43" s="335">
        <f>AA42+IF($E$16=6,33,IF($E$16=8,29.5,IF($E$16=10,30.5,IF($E$16=12,28,IF($E$16=14,26,IF($E$16=16,24.5,IF($E$16=20,24.5,IF($E$16=40,17.5,0))))))))</f>
        <v>1442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418</v>
      </c>
      <c r="D44" s="323">
        <f t="shared" ca="1" si="32"/>
        <v>414</v>
      </c>
      <c r="E44" s="323">
        <f t="shared" ca="1" si="45"/>
        <v>438</v>
      </c>
      <c r="F44" s="323">
        <f t="shared" ca="1" si="33"/>
        <v>460</v>
      </c>
      <c r="G44" s="323">
        <f t="shared" ca="1" si="28"/>
        <v>472</v>
      </c>
      <c r="H44" s="323">
        <f t="shared" ca="1" si="29"/>
        <v>499</v>
      </c>
      <c r="I44" s="289">
        <f t="shared" ca="1" si="30"/>
        <v>509</v>
      </c>
      <c r="J44" s="290">
        <f t="shared" ca="1" si="31"/>
        <v>537</v>
      </c>
      <c r="K44" s="318">
        <f t="shared" si="34"/>
        <v>722.04000000000019</v>
      </c>
      <c r="L44" s="290">
        <f t="shared" si="35"/>
        <v>771.44000000000051</v>
      </c>
      <c r="M44" s="290">
        <f t="shared" si="36"/>
        <v>815.44000000000051</v>
      </c>
      <c r="N44" s="290">
        <f t="shared" si="37"/>
        <v>864.68000000000006</v>
      </c>
      <c r="O44" s="290">
        <f t="shared" si="38"/>
        <v>908.55999999999949</v>
      </c>
      <c r="P44" s="291">
        <f t="shared" si="39"/>
        <v>957.66000000000076</v>
      </c>
      <c r="Q44" s="289">
        <f t="shared" si="40"/>
        <v>990.79000000000053</v>
      </c>
      <c r="R44" s="289">
        <f t="shared" si="41"/>
        <v>1050.8400000000004</v>
      </c>
      <c r="S44" s="290">
        <f t="shared" si="42"/>
        <v>1094.7999999999995</v>
      </c>
      <c r="T44" s="290">
        <f t="shared" si="43"/>
        <v>1143.9000000000005</v>
      </c>
      <c r="U44" s="290">
        <f t="shared" si="44"/>
        <v>1193</v>
      </c>
      <c r="V44" s="290">
        <f t="shared" si="46"/>
        <v>1237</v>
      </c>
      <c r="W44" s="290">
        <f t="shared" si="47"/>
        <v>1286.1900000000005</v>
      </c>
      <c r="X44" s="290">
        <f t="shared" ref="X44:X50" si="48">X43+IF($E$16=6,29.4,IF($E$16=8,26.4,IF($E$16=10,27.2,IF($E$16=12,25.2,IF($E$16=14,23.6,IF($E$16=16,22.2,IF($E$16=20,22,IF($E$16=40,16.4,0))))))))</f>
        <v>1330.2000000000003</v>
      </c>
      <c r="Y44" s="290">
        <f t="shared" ref="Y44:Y50" si="49">Y43+IF($E$16=6,31,IF($E$16=8,27.5,IF($E$16=10,28.25,IF($E$16=12,26.25,IF($E$16=14,24.25,IF($E$16=16,23,IF($E$16=20,23,IF($E$16=40,16.75,0))))))))</f>
        <v>1379.25</v>
      </c>
      <c r="Z44" s="290">
        <f t="shared" ref="Z44:Z50" si="50">Z43+IF($E$16=6,35,IF($E$16=8,28.67,IF($E$16=10,29.33,IF($E$16=12,27,IF($E$16=14,25.33,IF($E$16=16,23.67,IF($E$16=20,23.67,IF($E$16=40,17.33,0))))))))</f>
        <v>1423.3199999999997</v>
      </c>
      <c r="AA44" s="292">
        <f t="shared" ref="AA44:AA50" si="51">AA43+IF($E$16=6,33,IF($E$16=8,29.5,IF($E$16=10,30.5,IF($E$16=12,28,IF($E$16=14,26,IF($E$16=16,24.5,IF($E$16=20,24.5,IF($E$16=40,17.5,0))))))))</f>
        <v>1472.5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426</v>
      </c>
      <c r="D45" s="317">
        <f t="shared" ca="1" si="32"/>
        <v>422</v>
      </c>
      <c r="E45" s="317">
        <f t="shared" ca="1" si="45"/>
        <v>447</v>
      </c>
      <c r="F45" s="317">
        <f t="shared" ca="1" si="33"/>
        <v>469</v>
      </c>
      <c r="G45" s="317">
        <f t="shared" ca="1" si="28"/>
        <v>481</v>
      </c>
      <c r="H45" s="317">
        <f t="shared" ca="1" si="29"/>
        <v>509</v>
      </c>
      <c r="I45" s="317">
        <f t="shared" ca="1" si="30"/>
        <v>519</v>
      </c>
      <c r="J45" s="290">
        <f t="shared" ca="1" si="31"/>
        <v>548</v>
      </c>
      <c r="K45" s="318">
        <f t="shared" si="34"/>
        <v>735.4000000000002</v>
      </c>
      <c r="L45" s="290">
        <f t="shared" si="35"/>
        <v>785.90000000000055</v>
      </c>
      <c r="M45" s="290">
        <f t="shared" si="36"/>
        <v>830.90000000000055</v>
      </c>
      <c r="N45" s="290">
        <f t="shared" si="37"/>
        <v>881.30000000000007</v>
      </c>
      <c r="O45" s="290">
        <f t="shared" si="38"/>
        <v>926.09999999999945</v>
      </c>
      <c r="P45" s="291">
        <f t="shared" si="39"/>
        <v>976.35000000000082</v>
      </c>
      <c r="Q45" s="289">
        <f t="shared" si="40"/>
        <v>1009.6200000000006</v>
      </c>
      <c r="R45" s="289">
        <f t="shared" si="41"/>
        <v>1071.6600000000003</v>
      </c>
      <c r="S45" s="290">
        <f t="shared" si="42"/>
        <v>1116.5999999999995</v>
      </c>
      <c r="T45" s="290">
        <f t="shared" si="43"/>
        <v>1166.7900000000006</v>
      </c>
      <c r="U45" s="290">
        <f t="shared" si="44"/>
        <v>1217</v>
      </c>
      <c r="V45" s="290">
        <f t="shared" si="46"/>
        <v>1262</v>
      </c>
      <c r="W45" s="290">
        <f t="shared" si="47"/>
        <v>1312.3600000000006</v>
      </c>
      <c r="X45" s="290">
        <f t="shared" si="48"/>
        <v>1357.4000000000003</v>
      </c>
      <c r="Y45" s="290">
        <f t="shared" si="49"/>
        <v>1407.5</v>
      </c>
      <c r="Z45" s="290">
        <f t="shared" si="50"/>
        <v>1452.6499999999996</v>
      </c>
      <c r="AA45" s="292">
        <f t="shared" si="51"/>
        <v>1503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434</v>
      </c>
      <c r="D46" s="317">
        <f t="shared" ca="1" si="32"/>
        <v>430</v>
      </c>
      <c r="E46" s="317">
        <f t="shared" ca="1" si="45"/>
        <v>456</v>
      </c>
      <c r="F46" s="317">
        <f t="shared" ca="1" si="33"/>
        <v>478</v>
      </c>
      <c r="G46" s="317">
        <f t="shared" ca="1" si="28"/>
        <v>490</v>
      </c>
      <c r="H46" s="317">
        <f t="shared" ca="1" si="29"/>
        <v>519</v>
      </c>
      <c r="I46" s="317">
        <f t="shared" ca="1" si="30"/>
        <v>529</v>
      </c>
      <c r="J46" s="290">
        <f t="shared" ca="1" si="31"/>
        <v>559</v>
      </c>
      <c r="K46" s="318">
        <f t="shared" si="34"/>
        <v>748.76000000000022</v>
      </c>
      <c r="L46" s="290">
        <f t="shared" si="35"/>
        <v>800.36000000000058</v>
      </c>
      <c r="M46" s="290">
        <f t="shared" si="36"/>
        <v>846.36000000000058</v>
      </c>
      <c r="N46" s="290">
        <f t="shared" si="37"/>
        <v>897.92000000000007</v>
      </c>
      <c r="O46" s="290">
        <f t="shared" si="38"/>
        <v>943.63999999999942</v>
      </c>
      <c r="P46" s="291">
        <f t="shared" si="39"/>
        <v>995.04000000000087</v>
      </c>
      <c r="Q46" s="289">
        <f t="shared" si="40"/>
        <v>1028.4500000000005</v>
      </c>
      <c r="R46" s="289">
        <f t="shared" si="41"/>
        <v>1092.4800000000002</v>
      </c>
      <c r="S46" s="290">
        <f t="shared" si="42"/>
        <v>1138.3999999999994</v>
      </c>
      <c r="T46" s="290">
        <f t="shared" si="43"/>
        <v>1189.6800000000007</v>
      </c>
      <c r="U46" s="290">
        <f t="shared" si="44"/>
        <v>1241</v>
      </c>
      <c r="V46" s="290">
        <f t="shared" si="46"/>
        <v>1287</v>
      </c>
      <c r="W46" s="290">
        <f t="shared" si="47"/>
        <v>1338.5300000000007</v>
      </c>
      <c r="X46" s="290">
        <f t="shared" si="48"/>
        <v>1384.6000000000004</v>
      </c>
      <c r="Y46" s="290">
        <f t="shared" si="49"/>
        <v>1435.75</v>
      </c>
      <c r="Z46" s="290">
        <f t="shared" si="50"/>
        <v>1481.9799999999996</v>
      </c>
      <c r="AA46" s="292">
        <f t="shared" si="51"/>
        <v>1533.5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442</v>
      </c>
      <c r="D47" s="317">
        <f t="shared" ca="1" si="32"/>
        <v>438</v>
      </c>
      <c r="E47" s="317">
        <f t="shared" ca="1" si="45"/>
        <v>465</v>
      </c>
      <c r="F47" s="317">
        <f t="shared" ca="1" si="33"/>
        <v>487</v>
      </c>
      <c r="G47" s="317">
        <f t="shared" ca="1" si="28"/>
        <v>499</v>
      </c>
      <c r="H47" s="317">
        <f t="shared" ca="1" si="29"/>
        <v>529</v>
      </c>
      <c r="I47" s="317">
        <f t="shared" ca="1" si="30"/>
        <v>539</v>
      </c>
      <c r="J47" s="322">
        <f t="shared" ca="1" si="31"/>
        <v>570</v>
      </c>
      <c r="K47" s="318">
        <f t="shared" si="34"/>
        <v>762.12000000000023</v>
      </c>
      <c r="L47" s="290">
        <f t="shared" si="35"/>
        <v>814.82000000000062</v>
      </c>
      <c r="M47" s="290">
        <f t="shared" si="36"/>
        <v>861.82000000000062</v>
      </c>
      <c r="N47" s="290">
        <f t="shared" si="37"/>
        <v>914.54000000000008</v>
      </c>
      <c r="O47" s="290">
        <f t="shared" si="38"/>
        <v>961.17999999999938</v>
      </c>
      <c r="P47" s="291">
        <f t="shared" si="39"/>
        <v>1013.7300000000009</v>
      </c>
      <c r="Q47" s="289">
        <f t="shared" si="40"/>
        <v>1047.2800000000004</v>
      </c>
      <c r="R47" s="289">
        <f t="shared" si="41"/>
        <v>1113.3000000000002</v>
      </c>
      <c r="S47" s="290">
        <f t="shared" si="42"/>
        <v>1160.1999999999994</v>
      </c>
      <c r="T47" s="290">
        <f t="shared" si="43"/>
        <v>1212.5700000000008</v>
      </c>
      <c r="U47" s="290">
        <f t="shared" si="44"/>
        <v>1265</v>
      </c>
      <c r="V47" s="290">
        <f t="shared" si="46"/>
        <v>1312</v>
      </c>
      <c r="W47" s="290">
        <f t="shared" si="47"/>
        <v>1364.7000000000007</v>
      </c>
      <c r="X47" s="290">
        <f t="shared" si="48"/>
        <v>1411.8000000000004</v>
      </c>
      <c r="Y47" s="290">
        <f t="shared" si="49"/>
        <v>1464</v>
      </c>
      <c r="Z47" s="290">
        <f t="shared" si="50"/>
        <v>1511.3099999999995</v>
      </c>
      <c r="AA47" s="292">
        <f t="shared" si="51"/>
        <v>1564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450</v>
      </c>
      <c r="D48" s="317">
        <f t="shared" ca="1" si="32"/>
        <v>446</v>
      </c>
      <c r="E48" s="317">
        <f t="shared" ca="1" si="45"/>
        <v>474</v>
      </c>
      <c r="F48" s="317">
        <f t="shared" ca="1" si="33"/>
        <v>496</v>
      </c>
      <c r="G48" s="317">
        <f t="shared" ca="1" si="28"/>
        <v>508</v>
      </c>
      <c r="H48" s="317">
        <f t="shared" ca="1" si="29"/>
        <v>539</v>
      </c>
      <c r="I48" s="317">
        <f t="shared" ca="1" si="30"/>
        <v>549</v>
      </c>
      <c r="J48" s="322">
        <f t="shared" ca="1" si="31"/>
        <v>581</v>
      </c>
      <c r="K48" s="318">
        <f t="shared" si="34"/>
        <v>775.48000000000025</v>
      </c>
      <c r="L48" s="290">
        <f t="shared" si="35"/>
        <v>829.28000000000065</v>
      </c>
      <c r="M48" s="290">
        <f t="shared" si="36"/>
        <v>877.28000000000065</v>
      </c>
      <c r="N48" s="290">
        <f t="shared" si="37"/>
        <v>931.16000000000008</v>
      </c>
      <c r="O48" s="290">
        <f t="shared" si="38"/>
        <v>978.71999999999935</v>
      </c>
      <c r="P48" s="291">
        <f t="shared" si="39"/>
        <v>1032.420000000001</v>
      </c>
      <c r="Q48" s="289">
        <f t="shared" si="40"/>
        <v>1066.1100000000004</v>
      </c>
      <c r="R48" s="289">
        <f t="shared" si="41"/>
        <v>1134.1200000000001</v>
      </c>
      <c r="S48" s="290">
        <f t="shared" si="42"/>
        <v>1181.9999999999993</v>
      </c>
      <c r="T48" s="290">
        <f t="shared" si="43"/>
        <v>1235.4600000000009</v>
      </c>
      <c r="U48" s="290">
        <f t="shared" si="44"/>
        <v>1289</v>
      </c>
      <c r="V48" s="290">
        <f t="shared" si="46"/>
        <v>1337</v>
      </c>
      <c r="W48" s="290">
        <f t="shared" si="47"/>
        <v>1390.8700000000008</v>
      </c>
      <c r="X48" s="290">
        <f t="shared" si="48"/>
        <v>1439.0000000000005</v>
      </c>
      <c r="Y48" s="290">
        <f t="shared" si="49"/>
        <v>1492.25</v>
      </c>
      <c r="Z48" s="290">
        <f t="shared" si="50"/>
        <v>1540.6399999999994</v>
      </c>
      <c r="AA48" s="292">
        <f t="shared" si="51"/>
        <v>1594.5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458</v>
      </c>
      <c r="D49" s="317">
        <f t="shared" ca="1" si="32"/>
        <v>454</v>
      </c>
      <c r="E49" s="317">
        <f t="shared" ca="1" si="45"/>
        <v>483</v>
      </c>
      <c r="F49" s="317">
        <f t="shared" ca="1" si="33"/>
        <v>505</v>
      </c>
      <c r="G49" s="317">
        <f t="shared" ca="1" si="28"/>
        <v>517</v>
      </c>
      <c r="H49" s="317">
        <f t="shared" ca="1" si="29"/>
        <v>549</v>
      </c>
      <c r="I49" s="317">
        <f t="shared" ca="1" si="30"/>
        <v>559</v>
      </c>
      <c r="J49" s="322">
        <f t="shared" ca="1" si="31"/>
        <v>592</v>
      </c>
      <c r="K49" s="317">
        <f t="shared" si="34"/>
        <v>788.84000000000026</v>
      </c>
      <c r="L49" s="290">
        <f t="shared" si="35"/>
        <v>843.74000000000069</v>
      </c>
      <c r="M49" s="290">
        <f t="shared" si="36"/>
        <v>892.74000000000069</v>
      </c>
      <c r="N49" s="290">
        <f t="shared" si="37"/>
        <v>947.78000000000009</v>
      </c>
      <c r="O49" s="290">
        <f t="shared" si="38"/>
        <v>996.25999999999931</v>
      </c>
      <c r="P49" s="291">
        <f t="shared" si="39"/>
        <v>1051.110000000001</v>
      </c>
      <c r="Q49" s="289">
        <f t="shared" si="40"/>
        <v>1084.9400000000003</v>
      </c>
      <c r="R49" s="289">
        <f t="shared" si="41"/>
        <v>1154.94</v>
      </c>
      <c r="S49" s="290">
        <f t="shared" si="42"/>
        <v>1203.7999999999993</v>
      </c>
      <c r="T49" s="290">
        <f t="shared" si="43"/>
        <v>1258.350000000001</v>
      </c>
      <c r="U49" s="290">
        <f t="shared" si="44"/>
        <v>1313</v>
      </c>
      <c r="V49" s="290">
        <f t="shared" si="46"/>
        <v>1362</v>
      </c>
      <c r="W49" s="290">
        <f t="shared" si="47"/>
        <v>1417.0400000000009</v>
      </c>
      <c r="X49" s="290">
        <f t="shared" si="48"/>
        <v>1466.2000000000005</v>
      </c>
      <c r="Y49" s="290">
        <f t="shared" si="49"/>
        <v>1520.5</v>
      </c>
      <c r="Z49" s="290">
        <f t="shared" si="50"/>
        <v>1569.9699999999993</v>
      </c>
      <c r="AA49" s="292">
        <f t="shared" si="51"/>
        <v>1625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466</v>
      </c>
      <c r="D50" s="330">
        <f t="shared" ca="1" si="32"/>
        <v>462</v>
      </c>
      <c r="E50" s="330">
        <f t="shared" ca="1" si="45"/>
        <v>492</v>
      </c>
      <c r="F50" s="330">
        <f t="shared" ca="1" si="33"/>
        <v>514</v>
      </c>
      <c r="G50" s="330">
        <f t="shared" ca="1" si="28"/>
        <v>526</v>
      </c>
      <c r="H50" s="330">
        <f t="shared" ca="1" si="29"/>
        <v>559</v>
      </c>
      <c r="I50" s="330">
        <f t="shared" ca="1" si="30"/>
        <v>569</v>
      </c>
      <c r="J50" s="331">
        <f t="shared" ca="1" si="31"/>
        <v>603</v>
      </c>
      <c r="K50" s="330">
        <f t="shared" si="34"/>
        <v>802.20000000000027</v>
      </c>
      <c r="L50" s="293">
        <f t="shared" si="35"/>
        <v>858.20000000000073</v>
      </c>
      <c r="M50" s="293">
        <f t="shared" si="36"/>
        <v>908.20000000000073</v>
      </c>
      <c r="N50" s="293">
        <f t="shared" si="37"/>
        <v>964.40000000000009</v>
      </c>
      <c r="O50" s="293">
        <f t="shared" si="38"/>
        <v>1013.7999999999993</v>
      </c>
      <c r="P50" s="294">
        <f t="shared" si="39"/>
        <v>1069.8000000000011</v>
      </c>
      <c r="Q50" s="295">
        <f t="shared" si="40"/>
        <v>1103.7700000000002</v>
      </c>
      <c r="R50" s="295">
        <f t="shared" si="41"/>
        <v>1175.76</v>
      </c>
      <c r="S50" s="293">
        <f t="shared" si="42"/>
        <v>1225.5999999999992</v>
      </c>
      <c r="T50" s="293">
        <f t="shared" si="43"/>
        <v>1281.2400000000011</v>
      </c>
      <c r="U50" s="293">
        <f t="shared" si="44"/>
        <v>1337</v>
      </c>
      <c r="V50" s="293">
        <f t="shared" si="46"/>
        <v>1387</v>
      </c>
      <c r="W50" s="293">
        <f t="shared" si="47"/>
        <v>1443.2100000000009</v>
      </c>
      <c r="X50" s="293">
        <f t="shared" si="48"/>
        <v>1493.4000000000005</v>
      </c>
      <c r="Y50" s="293">
        <f t="shared" si="49"/>
        <v>1548.75</v>
      </c>
      <c r="Z50" s="293">
        <f t="shared" si="50"/>
        <v>1599.2999999999993</v>
      </c>
      <c r="AA50" s="296">
        <f t="shared" si="51"/>
        <v>1655.5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629.92000000000007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35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13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632.32000000000005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670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615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10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0.43613350000000006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1570.0806000000002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1.5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1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8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10</v>
      </c>
      <c r="H18" s="162">
        <f>H5*1000</f>
        <v>1000</v>
      </c>
      <c r="I18" s="163">
        <f>((((ROUNDUP((((H18/2)-30)-1.5-G18-80)/(H3+$H$11),0))*(H3+$H$11))+1.5)*2)+160</f>
        <v>955</v>
      </c>
      <c r="J18" s="163">
        <f>H18-I18</f>
        <v>45</v>
      </c>
      <c r="K18" s="163">
        <f>J18/2</f>
        <v>22.5</v>
      </c>
      <c r="L18" s="163">
        <f>((((((((ROUNDUP((((H18/2)-30)-1.5-H3-80)/(H3+$H$11),0)))))+1)*(H3+$H$11))+1.5)*2)+160</f>
        <v>991</v>
      </c>
      <c r="M18" s="163">
        <f>H18-L18</f>
        <v>9</v>
      </c>
      <c r="N18" s="164">
        <f>M18/2</f>
        <v>4.5</v>
      </c>
      <c r="O18" s="165">
        <f>IF(K18&gt;50,L18,I18)</f>
        <v>955</v>
      </c>
      <c r="P18" s="166">
        <f>(((((ROUNDUP((((H18/2)-30)-1.5-H3-80)/(H3+$H$11),0))))))*2</f>
        <v>44</v>
      </c>
      <c r="Q18" s="166">
        <f>P18-1</f>
        <v>43</v>
      </c>
      <c r="R18" s="167">
        <f>($H$6-$H$8-$AR$3)*((H3/1000)*(Q18+1)+0.003)</f>
        <v>0.39648500000000003</v>
      </c>
      <c r="S18" s="168">
        <f>R18*T18</f>
        <v>0.43613350000000006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0.11524209832773707</v>
      </c>
      <c r="W18" s="171">
        <f>IF((0.15*$H$8*2*9.8/($H$12*($H$11/G18)^(4/3)*$H$10^2*U18))&gt;1,75,FLOOR(DEGREES(ASIN((0.15*$H$8*2*9.8/($H$12*($H$11/G18)^(4/3)*$H$10^2*U18)))),5))</f>
        <v>35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Ижевск ГКНС-1 (8539) 21.12.21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8539 Ижевск ГКНС-1 21.12.21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1000.1500.850.10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1000.1500.850.10 (AISI 304; 0,37 кВт.; IP66; с ШУ и ВПУ)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501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492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8539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1000</v>
      </c>
      <c r="C16" s="190">
        <v>1500</v>
      </c>
      <c r="D16" s="191">
        <v>850</v>
      </c>
      <c r="E16" s="190">
        <v>10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632.4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670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3400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2750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1250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86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275034.59999999998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256 н.ч.</v>
      </c>
      <c r="C33" s="209">
        <f>ФОТ!C37</f>
        <v>78990</v>
      </c>
    </row>
    <row r="34" spans="1:254" x14ac:dyDescent="0.2">
      <c r="A34" s="71" t="s">
        <v>178</v>
      </c>
      <c r="B34" s="110" t="str">
        <f ca="1">CONCATENATE(ROUNDUP(C34/Параметры!B3,0)," н.ч.")</f>
        <v>20 н.ч.</v>
      </c>
      <c r="C34" s="209">
        <f ca="1">ФОТ!C54</f>
        <v>6180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177504.6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491985.16666666669</v>
      </c>
      <c r="D39" s="215">
        <f ca="1">SUM(D41:D47)</f>
        <v>590382.19999999995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211750</v>
      </c>
      <c r="D41" s="209">
        <f t="shared" ref="D41:D47" ca="1" si="0">C41*1.2</f>
        <v>254100</v>
      </c>
    </row>
    <row r="42" spans="1:254" x14ac:dyDescent="0.2">
      <c r="A42" t="str">
        <f>CONCATENATE("Цепи (",РГО!B7," м.п.)")</f>
        <v>Цепи (14 м.п.)</v>
      </c>
      <c r="B42" s="4"/>
      <c r="C42" s="209">
        <f>РГО!B8</f>
        <v>75600</v>
      </c>
      <c r="D42" s="209">
        <f t="shared" si="0"/>
        <v>90720</v>
      </c>
    </row>
    <row r="43" spans="1:254" x14ac:dyDescent="0.2">
      <c r="A43" t="s">
        <v>175</v>
      </c>
      <c r="B43" s="4"/>
      <c r="C43" s="209">
        <f ca="1">РГО!B10</f>
        <v>77050</v>
      </c>
      <c r="D43" s="209">
        <f t="shared" ca="1" si="0"/>
        <v>92460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90022</v>
      </c>
      <c r="D46" s="209">
        <f t="shared" ca="1" si="0"/>
        <v>108026.4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14330</v>
      </c>
      <c r="D47" s="209">
        <f t="shared" ca="1" si="0"/>
        <v>17196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767020</v>
      </c>
      <c r="D49" s="214">
        <f ca="1">C49*1.2</f>
        <v>920424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1457338</v>
      </c>
      <c r="D53" s="222">
        <f ca="1">ROUNDUP(D49*B53,0)</f>
        <v>1748806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1457338</v>
      </c>
      <c r="D57" s="225">
        <f ca="1">D53+D55</f>
        <v>1748806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690318</v>
      </c>
      <c r="D58" s="233">
        <f ca="1">D57-D55-D49</f>
        <v>828382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1457338</v>
      </c>
      <c r="D62" s="241">
        <f ca="1">D57/(1-B60*(1+B61))</f>
        <v>1748806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1457338</v>
      </c>
      <c r="D64" s="205">
        <f ca="1">D62</f>
        <v>1748806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1000</v>
      </c>
      <c r="D9" s="82">
        <f>IF(C9&lt;=750,ROUND(C9/50,0)*50,ROUND(C9/100,0)*100)</f>
        <v>1000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1500</v>
      </c>
      <c r="D10" s="82">
        <f>CEILING(C10,100)</f>
        <v>1500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245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10</v>
      </c>
      <c r="D12" s="84">
        <f>C12</f>
        <v>10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1200</v>
      </c>
      <c r="D13" s="87">
        <f>IF(C10&lt;=1200,C10,C10-250)</f>
        <v>1250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1300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1300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8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41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41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226.0445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5.8966666666666665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255.61916666666667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40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23.678000000000001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44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78986.322499999995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78990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632.4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20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6180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615</v>
      </c>
      <c r="D3" s="401" t="s">
        <v>17</v>
      </c>
      <c r="E3" s="404">
        <f>Цена!B16</f>
        <v>1000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770</v>
      </c>
      <c r="D4" s="401" t="s">
        <v>18</v>
      </c>
      <c r="E4" s="404">
        <f>Цена!C16</f>
        <v>1500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211750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10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14</v>
      </c>
      <c r="D7" s="401" t="s">
        <v>397</v>
      </c>
      <c r="E7" s="408">
        <f>Цена!D20</f>
        <v>3400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75600</v>
      </c>
      <c r="D8" s="401" t="s">
        <v>398</v>
      </c>
      <c r="E8" s="408">
        <f>Цена!D21</f>
        <v>2750</v>
      </c>
    </row>
    <row r="9" spans="1:17" s="440" customFormat="1" ht="30" x14ac:dyDescent="0.2">
      <c r="A9" s="438" t="s">
        <v>386</v>
      </c>
      <c r="B9" s="439">
        <f ca="1">OFFSET(L9,MATCH(1,Q10:Q15,0),1,1,1)</f>
        <v>811</v>
      </c>
      <c r="D9" s="440" t="s">
        <v>396</v>
      </c>
      <c r="E9" s="441">
        <f>Цена!D22</f>
        <v>1250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77050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304</v>
      </c>
      <c r="F11" s="401">
        <f ca="1">OFFSET(I3,MATCH(E11,I4:I7,0),1,1,1)</f>
        <v>275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1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379633.16666666669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80</v>
      </c>
      <c r="C80" s="408"/>
      <c r="D80" s="408" t="s">
        <v>472</v>
      </c>
      <c r="E80" s="449">
        <f>IF(E15=55,55,IF(E15=66,66,IF(E15=68,67)))</f>
        <v>66</v>
      </c>
      <c r="K80" s="450">
        <f>IF(E80=55,1,0)</f>
        <v>0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920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87400</v>
      </c>
    </row>
    <row r="84" spans="1:13" x14ac:dyDescent="0.2">
      <c r="A84" s="401" t="s">
        <v>90</v>
      </c>
      <c r="B84" s="458">
        <f ca="1">ROUND(B83*E17,1)</f>
        <v>2622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90022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1000.1500.850.10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- 1580 м3/ч.; прозор - 10 мм.; ширина канала - 1000 мм.; глубина канала - 1500 мм.; высота выгрузки отбросов - 850 мм.; вес решетки в сборе - 670 кг.; привод - 0,37 кВт.; IP 66; 380 В; 50 Гц;  материал исполнения - AISI 304; в комплекте с ШУ и ВПУ.</v>
      </c>
      <c r="C2" s="110">
        <f ca="1">C11</f>
        <v>670</v>
      </c>
      <c r="D2" s="108">
        <f ca="1">C12</f>
        <v>0.37</v>
      </c>
      <c r="E2" s="108">
        <v>1</v>
      </c>
      <c r="F2" s="110">
        <f ca="1">MROUND(Цена!C49,100)</f>
        <v>767000</v>
      </c>
      <c r="G2" s="110">
        <f ca="1">F2*E2</f>
        <v>767000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1000.1500.850.10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1580</v>
      </c>
      <c r="D6" t="s">
        <v>113</v>
      </c>
      <c r="E6" t="str">
        <f>CONCATENATE(B6," ",C6," ",D6,".;")</f>
        <v>Максимальная производительность - 1580 м3/ч.;</v>
      </c>
    </row>
    <row r="7" spans="1:8" x14ac:dyDescent="0.2">
      <c r="B7" s="186" t="s">
        <v>280</v>
      </c>
      <c r="C7" s="110">
        <f>Цена!E16</f>
        <v>10</v>
      </c>
      <c r="D7" t="s">
        <v>167</v>
      </c>
      <c r="E7" t="str">
        <f>CONCATENATE(B7," ",C7," ",D7,";")</f>
        <v>прозор - 10 мм.;</v>
      </c>
    </row>
    <row r="8" spans="1:8" x14ac:dyDescent="0.2">
      <c r="B8" s="186" t="s">
        <v>281</v>
      </c>
      <c r="C8" s="110">
        <f>Цена!B16</f>
        <v>1000</v>
      </c>
      <c r="D8" t="s">
        <v>167</v>
      </c>
      <c r="E8" t="str">
        <f>CONCATENATE(B8," ",C8," ",D8,";")</f>
        <v>ширина канала - 1000 мм.;</v>
      </c>
    </row>
    <row r="9" spans="1:8" x14ac:dyDescent="0.2">
      <c r="B9" s="186" t="s">
        <v>282</v>
      </c>
      <c r="C9" s="110">
        <f>Цена!C16</f>
        <v>1500</v>
      </c>
      <c r="D9" t="s">
        <v>167</v>
      </c>
      <c r="E9" t="str">
        <f>CONCATENATE(B9," ",C9," ",D9,";")</f>
        <v>глубина канала - 1500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670</v>
      </c>
      <c r="D11" t="s">
        <v>170</v>
      </c>
      <c r="E11" t="str">
        <f ca="1">CONCATENATE(B11," ",C11," ",D11,";")</f>
        <v>вес решетки в сборе - 670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285</v>
      </c>
      <c r="C14" s="110" t="str">
        <f>Цена!D24</f>
        <v>AISI 304</v>
      </c>
      <c r="E14" t="str">
        <f>CONCATENATE(B14," ",C14)</f>
        <v>материал исполнения - AISI 304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8539</v>
      </c>
    </row>
    <row r="22" spans="2:15" x14ac:dyDescent="0.2">
      <c r="B22" s="186" t="s">
        <v>289</v>
      </c>
      <c r="C22" s="283"/>
      <c r="D22" s="283" t="str">
        <f>CONCATENATE("ТКП №",Цена!I3)</f>
        <v>ТКП №8539 Ижевск ГКНС-1 21.12.21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1000.1500.850.10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10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1000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1500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65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66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1580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670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304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-</v>
      </c>
      <c r="B101" s="474" t="str">
        <f>Цена!B10</f>
        <v>-</v>
      </c>
      <c r="C101" s="110">
        <f ca="1">MROUND((Цена!C49-Спецификация!D101),5)</f>
        <v>639440</v>
      </c>
      <c r="D101" s="110">
        <f ca="1">IF(Цена!D26="Нет",0,MROUND((Цена!C46*(1+Цена!B47))+Цена!C35*(1+Цена!B36),5))</f>
        <v>127580</v>
      </c>
      <c r="E101" s="110">
        <f ca="1">Спецификация!C2</f>
        <v>670</v>
      </c>
      <c r="F101" s="108" t="str">
        <f>CONCATENATE("IP ",Цена!D25)</f>
        <v>IP 66</v>
      </c>
      <c r="G101" s="108">
        <f ca="1">D2</f>
        <v>0.37</v>
      </c>
      <c r="H101" s="110" t="str">
        <f>Цена!D24</f>
        <v>AISI 304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1000.1500.850.10</v>
      </c>
      <c r="B118" s="481">
        <f ca="1">C101</f>
        <v>639440</v>
      </c>
      <c r="C118" s="482">
        <f>ROUNDUP(ФОТ!K29,0)</f>
        <v>256</v>
      </c>
      <c r="D118" s="482">
        <f ca="1">ФОТ!C51</f>
        <v>20</v>
      </c>
      <c r="E118" s="482">
        <f ca="1">IF(B118=0,0,(C118+D118)*Параметры!B3*(1+Параметры!B4))</f>
        <v>240500.88000000003</v>
      </c>
      <c r="F118" s="482">
        <f ca="1">B118-E118</f>
        <v>398939.12</v>
      </c>
      <c r="G118" s="477" t="str">
        <f ca="1">CONCATENATE(A118," (",H101,"; ",G101," кВт.; ",F101,")")</f>
        <v>РТО 1000.1500.850.10 (AISI 304; 0,37 кВт.; IP 66)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127580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92724.799999999988</v>
      </c>
      <c r="G119" s="477" t="str">
        <f ca="1">IF(B119=0,"-",CONCATENATE(A119," (",IF(Цена!D27="Нет","",CONCATENATE(Цена!D27,"; ")),"ШУ - IP54; ВПУ - ",IF(F101="IP 68","IP 67",F101),")"))</f>
        <v>ШУ-РГ (ШУ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767020</v>
      </c>
      <c r="C121" s="483">
        <f ca="1">SUM(C118:C119)</f>
        <v>296</v>
      </c>
      <c r="D121" s="483">
        <f ca="1">SUM(D118:D119)</f>
        <v>20</v>
      </c>
      <c r="E121" s="483">
        <f ca="1">SUM(E118:E119)</f>
        <v>275356.08</v>
      </c>
      <c r="F121" s="483">
        <f ca="1">SUM(F118:F119)</f>
        <v>491663.92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2021-12-21T11:00:36Z</dcterms:modified>
</cp:coreProperties>
</file>