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O30" i="6" s="1"/>
  <c r="O31" i="6" s="1"/>
  <c r="O32" i="6" s="1"/>
  <c r="O33" i="6" s="1"/>
  <c r="O34" i="6" s="1"/>
  <c r="O35" i="6" s="1"/>
  <c r="B16" i="6"/>
  <c r="E4" i="6"/>
  <c r="F4" i="6" s="1"/>
  <c r="C16" i="6"/>
  <c r="C10" i="13"/>
  <c r="C13" i="13" s="1"/>
  <c r="D14" i="13" s="1"/>
  <c r="D16" i="6"/>
  <c r="E79" i="16"/>
  <c r="K85" i="16" s="1"/>
  <c r="B79" i="16" s="1"/>
  <c r="E15" i="16"/>
  <c r="E80" i="16"/>
  <c r="K81" i="16" s="1"/>
  <c r="C9" i="13"/>
  <c r="D9" i="13" s="1"/>
  <c r="C12" i="13"/>
  <c r="D12" i="13"/>
  <c r="C31" i="13" s="1"/>
  <c r="C11" i="13"/>
  <c r="D11" i="13" s="1"/>
  <c r="C40" i="13"/>
  <c r="D20" i="12"/>
  <c r="E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/>
  <c r="D33" i="14"/>
  <c r="D42" i="14" s="1"/>
  <c r="C10" i="14"/>
  <c r="E10" i="14" s="1"/>
  <c r="C9" i="14"/>
  <c r="E9" i="14" s="1"/>
  <c r="C8" i="14"/>
  <c r="E8" i="14" s="1"/>
  <c r="C7" i="14"/>
  <c r="E7" i="14"/>
  <c r="H6" i="8"/>
  <c r="H5" i="8"/>
  <c r="H18" i="8"/>
  <c r="H3" i="8"/>
  <c r="H11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Y39" i="6"/>
  <c r="B5" i="14"/>
  <c r="E5" i="14" s="1"/>
  <c r="C52" i="13"/>
  <c r="D37" i="14"/>
  <c r="K86" i="16"/>
  <c r="K25" i="6"/>
  <c r="D21" i="12"/>
  <c r="E8" i="16" s="1"/>
  <c r="B7" i="16" s="1"/>
  <c r="D30" i="14"/>
  <c r="E5" i="6"/>
  <c r="F5" i="6" s="1"/>
  <c r="D64" i="6" s="1"/>
  <c r="C43" i="13"/>
  <c r="C45" i="13"/>
  <c r="C35" i="12" s="1"/>
  <c r="B35" i="12" s="1"/>
  <c r="X38" i="6"/>
  <c r="J25" i="6"/>
  <c r="J29" i="6" s="1"/>
  <c r="T34" i="6"/>
  <c r="U35" i="6"/>
  <c r="U34" i="6" s="1"/>
  <c r="H30" i="6"/>
  <c r="H42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/>
  <c r="X43" i="6"/>
  <c r="X44" i="6" s="1"/>
  <c r="X45" i="6" s="1"/>
  <c r="X46" i="6" s="1"/>
  <c r="X47" i="6" s="1"/>
  <c r="X48" i="6" s="1"/>
  <c r="X49" i="6" s="1"/>
  <c r="X50" i="6" s="1"/>
  <c r="G18" i="8"/>
  <c r="D10" i="13"/>
  <c r="C29" i="13" s="1"/>
  <c r="D13" i="13"/>
  <c r="D15" i="13" s="1"/>
  <c r="D38" i="14"/>
  <c r="E15" i="14"/>
  <c r="D40" i="14"/>
  <c r="O36" i="6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D31" i="14"/>
  <c r="Q10" i="16"/>
  <c r="Q11" i="16"/>
  <c r="U33" i="6"/>
  <c r="U32" i="6" s="1"/>
  <c r="U31" i="6" s="1"/>
  <c r="U30" i="6" s="1"/>
  <c r="U29" i="6" s="1"/>
  <c r="U28" i="6" s="1"/>
  <c r="U27" i="6" s="1"/>
  <c r="U26" i="6" s="1"/>
  <c r="U25" i="6"/>
  <c r="U24" i="6" s="1"/>
  <c r="U23" i="6" s="1"/>
  <c r="U22" i="6" s="1"/>
  <c r="U21" i="6" s="1"/>
  <c r="U36" i="6"/>
  <c r="U37" i="6" s="1"/>
  <c r="U38" i="6" s="1"/>
  <c r="U39" i="6"/>
  <c r="U40" i="6" s="1"/>
  <c r="U41" i="6" s="1"/>
  <c r="U42" i="6" s="1"/>
  <c r="U43" i="6" s="1"/>
  <c r="U44" i="6" s="1"/>
  <c r="U45" i="6" s="1"/>
  <c r="U46" i="6" s="1"/>
  <c r="U47" i="6"/>
  <c r="U48" i="6" s="1"/>
  <c r="U49" i="6" s="1"/>
  <c r="U50" i="6" s="1"/>
  <c r="D25" i="14"/>
  <c r="D24" i="14"/>
  <c r="I4" i="12"/>
  <c r="A5" i="14" s="1"/>
  <c r="A2" i="14" s="1"/>
  <c r="A118" i="14" s="1"/>
  <c r="H8" i="8"/>
  <c r="D16" i="13"/>
  <c r="P18" i="8"/>
  <c r="Q18" i="8" s="1"/>
  <c r="D72" i="6"/>
  <c r="H7" i="8"/>
  <c r="D63" i="6"/>
  <c r="K80" i="16"/>
  <c r="K82" i="16" s="1"/>
  <c r="D39" i="14"/>
  <c r="K84" i="16"/>
  <c r="H43" i="6" l="1"/>
  <c r="J23" i="6"/>
  <c r="B80" i="16"/>
  <c r="B82" i="16" s="1"/>
  <c r="B83" i="16" s="1"/>
  <c r="B84" i="16" s="1"/>
  <c r="B86" i="16" s="1"/>
  <c r="C46" i="12" s="1"/>
  <c r="H46" i="6"/>
  <c r="I18" i="8"/>
  <c r="V18" i="8"/>
  <c r="H41" i="6"/>
  <c r="K24" i="6"/>
  <c r="K23" i="6" s="1"/>
  <c r="K22" i="6" s="1"/>
  <c r="K21" i="6" s="1"/>
  <c r="K26" i="6"/>
  <c r="K27" i="6" s="1"/>
  <c r="K28" i="6" s="1"/>
  <c r="K29" i="6" s="1"/>
  <c r="H47" i="6"/>
  <c r="J28" i="6"/>
  <c r="J24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W18" i="8"/>
  <c r="AA41" i="6"/>
  <c r="Z40" i="6"/>
  <c r="G30" i="6"/>
  <c r="E30" i="6"/>
  <c r="E36" i="6" s="1"/>
  <c r="M27" i="6"/>
  <c r="I30" i="6"/>
  <c r="I47" i="6" s="1"/>
  <c r="R32" i="6"/>
  <c r="N28" i="6"/>
  <c r="D22" i="6"/>
  <c r="D23" i="6" s="1"/>
  <c r="J30" i="6"/>
  <c r="J31" i="6" s="1"/>
  <c r="C21" i="6"/>
  <c r="C24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O29" i="6"/>
  <c r="O28" i="6" s="1"/>
  <c r="O27" i="6" s="1"/>
  <c r="O26" i="6" s="1"/>
  <c r="O25" i="6" s="1"/>
  <c r="O24" i="6" s="1"/>
  <c r="O23" i="6" s="1"/>
  <c r="O22" i="6" s="1"/>
  <c r="O21" i="6" s="1"/>
  <c r="D30" i="6"/>
  <c r="D39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26" i="6"/>
  <c r="V36" i="6"/>
  <c r="E22" i="6"/>
  <c r="E28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Q31" i="6"/>
  <c r="I24" i="6"/>
  <c r="I25" i="6" s="1"/>
  <c r="A16" i="6"/>
  <c r="B14" i="6" s="1"/>
  <c r="S33" i="6"/>
  <c r="P30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F30" i="6"/>
  <c r="F40" i="6" s="1"/>
  <c r="G23" i="6"/>
  <c r="G29" i="6" s="1"/>
  <c r="F23" i="6"/>
  <c r="F27" i="6" s="1"/>
  <c r="J18" i="8"/>
  <c r="K18" i="8" s="1"/>
  <c r="O18" i="8" s="1"/>
  <c r="D66" i="6"/>
  <c r="A42" i="12"/>
  <c r="B8" i="16"/>
  <c r="C42" i="12" s="1"/>
  <c r="D42" i="12" s="1"/>
  <c r="C53" i="6"/>
  <c r="U30" i="13"/>
  <c r="U20" i="13"/>
  <c r="U19" i="13"/>
  <c r="R18" i="8"/>
  <c r="S18" i="8" s="1"/>
  <c r="H4" i="8" s="1"/>
  <c r="R4" i="8" s="1"/>
  <c r="C6" i="14" s="1"/>
  <c r="D34" i="14" s="1"/>
  <c r="Q12" i="16"/>
  <c r="B9" i="16" s="1"/>
  <c r="B10" i="16" s="1"/>
  <c r="C43" i="12" s="1"/>
  <c r="D43" i="12" s="1"/>
  <c r="K26" i="13"/>
  <c r="K24" i="13"/>
  <c r="K25" i="13"/>
  <c r="D17" i="13"/>
  <c r="D23" i="14"/>
  <c r="H45" i="6"/>
  <c r="L18" i="8"/>
  <c r="M18" i="8" s="1"/>
  <c r="N18" i="8" s="1"/>
  <c r="H34" i="6"/>
  <c r="C36" i="6"/>
  <c r="C47" i="6"/>
  <c r="C23" i="6"/>
  <c r="C33" i="6"/>
  <c r="C34" i="6"/>
  <c r="J26" i="6"/>
  <c r="J33" i="6"/>
  <c r="C48" i="6"/>
  <c r="C22" i="6"/>
  <c r="C35" i="6"/>
  <c r="J27" i="6"/>
  <c r="J22" i="6"/>
  <c r="J21" i="6"/>
  <c r="F28" i="6"/>
  <c r="C30" i="6"/>
  <c r="C32" i="6"/>
  <c r="C28" i="6"/>
  <c r="H38" i="6"/>
  <c r="H39" i="6"/>
  <c r="H48" i="6"/>
  <c r="H36" i="6"/>
  <c r="H44" i="6"/>
  <c r="F24" i="6"/>
  <c r="E43" i="6"/>
  <c r="H33" i="6"/>
  <c r="H35" i="6"/>
  <c r="H31" i="6"/>
  <c r="H50" i="6"/>
  <c r="F25" i="6"/>
  <c r="E39" i="6"/>
  <c r="H40" i="6"/>
  <c r="H49" i="6"/>
  <c r="H37" i="6"/>
  <c r="H32" i="6"/>
  <c r="E49" i="6"/>
  <c r="I37" i="6"/>
  <c r="H25" i="6"/>
  <c r="I21" i="6"/>
  <c r="I31" i="6"/>
  <c r="I41" i="6"/>
  <c r="I27" i="6" l="1"/>
  <c r="E31" i="6"/>
  <c r="E34" i="6"/>
  <c r="E32" i="6"/>
  <c r="E37" i="6"/>
  <c r="E45" i="6"/>
  <c r="E44" i="6"/>
  <c r="E35" i="6"/>
  <c r="E26" i="6"/>
  <c r="E38" i="6"/>
  <c r="I26" i="6"/>
  <c r="C40" i="6"/>
  <c r="E24" i="6"/>
  <c r="C41" i="6"/>
  <c r="I22" i="6"/>
  <c r="E47" i="6"/>
  <c r="E41" i="6"/>
  <c r="E48" i="6"/>
  <c r="E40" i="6"/>
  <c r="D37" i="6"/>
  <c r="J35" i="6"/>
  <c r="E29" i="6"/>
  <c r="E25" i="6"/>
  <c r="E23" i="6"/>
  <c r="E21" i="6"/>
  <c r="G21" i="6"/>
  <c r="J45" i="6"/>
  <c r="J38" i="6"/>
  <c r="J50" i="6"/>
  <c r="H29" i="6"/>
  <c r="D47" i="6"/>
  <c r="F44" i="6"/>
  <c r="F38" i="6"/>
  <c r="Q15" i="16"/>
  <c r="F45" i="6"/>
  <c r="F35" i="6"/>
  <c r="Q14" i="16"/>
  <c r="F43" i="6"/>
  <c r="F39" i="6"/>
  <c r="F41" i="6"/>
  <c r="F29" i="6"/>
  <c r="C43" i="6"/>
  <c r="C50" i="6"/>
  <c r="C39" i="6"/>
  <c r="C31" i="6"/>
  <c r="C38" i="6"/>
  <c r="C42" i="6"/>
  <c r="C45" i="6"/>
  <c r="C29" i="6"/>
  <c r="F50" i="6"/>
  <c r="F48" i="6"/>
  <c r="D21" i="6"/>
  <c r="C27" i="6"/>
  <c r="C44" i="6"/>
  <c r="C49" i="6"/>
  <c r="C26" i="6"/>
  <c r="C46" i="6"/>
  <c r="C25" i="6"/>
  <c r="C37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39" i="6"/>
  <c r="H27" i="6"/>
  <c r="J46" i="6"/>
  <c r="D48" i="6"/>
  <c r="J34" i="6"/>
  <c r="J36" i="6"/>
  <c r="D50" i="6"/>
  <c r="I36" i="6"/>
  <c r="F37" i="6"/>
  <c r="H22" i="6"/>
  <c r="I32" i="6"/>
  <c r="H23" i="6"/>
  <c r="I50" i="6"/>
  <c r="F42" i="6"/>
  <c r="J49" i="6"/>
  <c r="J39" i="6"/>
  <c r="F36" i="6"/>
  <c r="J44" i="6"/>
  <c r="J42" i="6"/>
  <c r="D27" i="6"/>
  <c r="D45" i="6"/>
  <c r="I46" i="6"/>
  <c r="I35" i="6"/>
  <c r="F33" i="6"/>
  <c r="H26" i="6"/>
  <c r="I34" i="6"/>
  <c r="I33" i="6"/>
  <c r="F31" i="6"/>
  <c r="F49" i="6"/>
  <c r="D25" i="6"/>
  <c r="D29" i="6"/>
  <c r="D28" i="6"/>
  <c r="D24" i="6"/>
  <c r="J43" i="6"/>
  <c r="F34" i="6"/>
  <c r="D41" i="6"/>
  <c r="D34" i="6"/>
  <c r="J41" i="6"/>
  <c r="D46" i="6"/>
  <c r="J48" i="6"/>
  <c r="J32" i="6"/>
  <c r="E27" i="6"/>
  <c r="I23" i="6"/>
  <c r="F21" i="6"/>
  <c r="F26" i="6"/>
  <c r="F22" i="6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4" i="6"/>
  <c r="G45" i="6"/>
  <c r="G39" i="6"/>
  <c r="G46" i="6"/>
  <c r="G40" i="6"/>
  <c r="G41" i="6"/>
  <c r="G37" i="6"/>
  <c r="G47" i="6"/>
  <c r="G50" i="6"/>
  <c r="G36" i="6"/>
  <c r="G32" i="6"/>
  <c r="G48" i="6"/>
  <c r="G31" i="6"/>
  <c r="G34" i="6"/>
  <c r="G49" i="6"/>
  <c r="G43" i="6"/>
  <c r="G38" i="6"/>
  <c r="G35" i="6"/>
  <c r="G33" i="6"/>
  <c r="J37" i="6"/>
  <c r="J47" i="6"/>
  <c r="J40" i="6"/>
  <c r="F32" i="6"/>
  <c r="F47" i="6"/>
  <c r="F46" i="6"/>
  <c r="G28" i="6"/>
  <c r="G26" i="6"/>
  <c r="G25" i="6"/>
  <c r="D62" i="6" s="1"/>
  <c r="G27" i="6"/>
  <c r="G24" i="6"/>
  <c r="G22" i="6"/>
  <c r="L25" i="6"/>
  <c r="L24" i="6" s="1"/>
  <c r="L23" i="6" s="1"/>
  <c r="L22" i="6" s="1"/>
  <c r="L21" i="6" s="1"/>
  <c r="L27" i="6"/>
  <c r="L28" i="6" s="1"/>
  <c r="L29" i="6" s="1"/>
  <c r="D44" i="6"/>
  <c r="D36" i="6"/>
  <c r="D42" i="6"/>
  <c r="D38" i="6"/>
  <c r="D43" i="6"/>
  <c r="D32" i="6"/>
  <c r="D31" i="6"/>
  <c r="D35" i="6"/>
  <c r="D49" i="6"/>
  <c r="I38" i="6"/>
  <c r="I45" i="6"/>
  <c r="I42" i="6"/>
  <c r="I49" i="6"/>
  <c r="I44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I48" i="6"/>
  <c r="I40" i="6"/>
  <c r="M28" i="6"/>
  <c r="M29" i="6" s="1"/>
  <c r="M26" i="6"/>
  <c r="M25" i="6" s="1"/>
  <c r="M24" i="6" s="1"/>
  <c r="M23" i="6" s="1"/>
  <c r="M22" i="6" s="1"/>
  <c r="M21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I43" i="6"/>
  <c r="D40" i="6"/>
  <c r="D33" i="6"/>
  <c r="D26" i="6"/>
  <c r="H21" i="6"/>
  <c r="I29" i="6"/>
  <c r="I28" i="6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N27" i="6"/>
  <c r="N26" i="6" s="1"/>
  <c r="N25" i="6" s="1"/>
  <c r="N24" i="6" s="1"/>
  <c r="N23" i="6" s="1"/>
  <c r="N22" i="6" s="1"/>
  <c r="N21" i="6" s="1"/>
  <c r="E46" i="6"/>
  <c r="E50" i="6"/>
  <c r="E33" i="6"/>
  <c r="E42" i="6"/>
  <c r="Q13" i="16"/>
  <c r="D23" i="12"/>
  <c r="C12" i="14" s="1"/>
  <c r="D53" i="6"/>
  <c r="D54" i="6" s="1"/>
  <c r="C54" i="6"/>
  <c r="F53" i="6"/>
  <c r="F54" i="6" s="1"/>
  <c r="I53" i="6"/>
  <c r="I54" i="6" s="1"/>
  <c r="H53" i="6"/>
  <c r="H54" i="6" s="1"/>
  <c r="G53" i="6"/>
  <c r="G54" i="6" s="1"/>
  <c r="E53" i="6"/>
  <c r="E54" i="6" s="1"/>
  <c r="J53" i="6"/>
  <c r="J54" i="6" s="1"/>
  <c r="E6" i="14"/>
  <c r="C22" i="13"/>
  <c r="C30" i="13"/>
  <c r="D46" i="12"/>
  <c r="D101" i="14"/>
  <c r="B119" i="14" s="1"/>
  <c r="D74" i="6" l="1"/>
  <c r="D19" i="12" s="1"/>
  <c r="C11" i="14" s="1"/>
  <c r="D68" i="6"/>
  <c r="D75" i="6" s="1"/>
  <c r="B3" i="16" s="1"/>
  <c r="B4" i="16" s="1"/>
  <c r="B5" i="16" s="1"/>
  <c r="D70" i="6"/>
  <c r="D18" i="12" s="1"/>
  <c r="C48" i="13" s="1"/>
  <c r="C51" i="13" s="1"/>
  <c r="I5" i="12"/>
  <c r="E12" i="14"/>
  <c r="D2" i="14"/>
  <c r="U32" i="13"/>
  <c r="C26" i="13"/>
  <c r="K29" i="13" s="1"/>
  <c r="U11" i="13"/>
  <c r="C32" i="13"/>
  <c r="C119" i="14"/>
  <c r="G119" i="14"/>
  <c r="D118" i="14" l="1"/>
  <c r="D121" i="14" s="1"/>
  <c r="C54" i="13"/>
  <c r="C34" i="12" s="1"/>
  <c r="B34" i="12" s="1"/>
  <c r="B13" i="16"/>
  <c r="C41" i="12"/>
  <c r="E11" i="14"/>
  <c r="B2" i="14" s="1"/>
  <c r="D36" i="14"/>
  <c r="C2" i="14"/>
  <c r="E101" i="14" s="1"/>
  <c r="G101" i="14"/>
  <c r="G118" i="14" s="1"/>
  <c r="D35" i="14"/>
  <c r="C118" i="14"/>
  <c r="C121" i="14" s="1"/>
  <c r="K34" i="13"/>
  <c r="C37" i="13" s="1"/>
  <c r="C33" i="12" s="1"/>
  <c r="E119" i="14"/>
  <c r="F119" i="14" s="1"/>
  <c r="D41" i="12" l="1"/>
  <c r="C47" i="12"/>
  <c r="D47" i="12" s="1"/>
  <c r="B33" i="12"/>
  <c r="C36" i="12"/>
  <c r="C31" i="12" s="1"/>
  <c r="C39" i="12" l="1"/>
  <c r="C49" i="12" s="1"/>
  <c r="F2" i="14" s="1"/>
  <c r="G2" i="14" s="1"/>
  <c r="D39" i="12"/>
  <c r="C101" i="14" l="1"/>
  <c r="B118" i="14" s="1"/>
  <c r="B121" i="14" s="1"/>
  <c r="D49" i="12"/>
  <c r="D53" i="12" s="1"/>
  <c r="D57" i="12" s="1"/>
  <c r="D58" i="12" s="1"/>
  <c r="C53" i="12"/>
  <c r="C57" i="12" s="1"/>
  <c r="C58" i="12" s="1"/>
  <c r="E118" i="14" l="1"/>
  <c r="D62" i="12"/>
  <c r="D64" i="12" s="1"/>
  <c r="C62" i="12"/>
  <c r="C64" i="12" s="1"/>
  <c r="D60" i="12" l="1"/>
  <c r="D61" i="12" s="1"/>
  <c r="C60" i="12"/>
  <c r="C61" i="12" s="1"/>
  <c r="E121" i="14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<sst xmlns="http://schemas.openxmlformats.org/spreadsheetml/2006/main" count="712" uniqueCount="501">
  <si>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</si>
  <si>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</si>
  <si>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</si>
  <si>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</si>
  <si>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</si>
  <si>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</si>
  <si>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</si>
  <si>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</si>
  <si>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</si>
  <si>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</si>
  <si>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</si>
  <si>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</si>
  <si>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</si>
  <si>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</si>
  <si>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</si>
  <si>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</si>
  <si>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</si>
  <si>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</si>
  <si>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</si>
  <si>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</si>
  <si>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</si>
  <si>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</si>
  <si>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</si>
  <si>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</si>
  <si>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</si>
  <si>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</si>
  <si>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</si>
  <si>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</si>
  <si>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</si>
  <si>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</si>
  <si>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</si>
  <si>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</si>
  <si>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</si>
  <si>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</si>
  <si>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</si>
  <si>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</si>
  <si>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</si>
  <si>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</si>
  <si>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</si>
  <si>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</si>
  <si>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</si>
  <si>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</si>
  <si>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</si>
  <si>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</si>
  <si>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</si>
  <si>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</si>
  <si>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</si>
  <si>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</si>
  <si>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</si>
  <si>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</si>
  <si>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</si>
  <si>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</si>
  <si>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</si>
  <si>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</si>
  <si>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</si>
  <si>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</si>
  <si>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</si>
  <si>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</si>
  <si>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</si>
  <si>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</si>
  <si>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</si>
  <si>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</si>
  <si>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</si>
  <si>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</si>
  <si>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</si>
  <si>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</si>
  <si>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</si>
  <si>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</si>
  <si>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</si>
  <si>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</si>
  <si>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</si>
  <si>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</si>
  <si>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</si>
  <si>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</si>
  <si>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</si>
  <si>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</si>
  <si>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</si>
  <si>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</si>
  <si>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</si>
  <si>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</si>
  <si>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</si>
  <si>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</si>
  <si>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</si>
  <si>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</si>
  <si>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</si>
  <si>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</si>
  <si>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</si>
  <si>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</si>
  <si>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</si>
  <si>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</si>
  <si>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</si>
  <si>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</si>
  <si>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</si>
  <si>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</si>
  <si>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</si>
  <si>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</si>
  <si>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</si>
  <si>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</si>
  <si>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</si>
  <si>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</si>
  <si>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</si>
  <si>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</si>
  <si>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</si>
  <si>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</si>
  <si>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</si>
  <si>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</si>
  <si>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</si>
  <si>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</si>
  <si>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</si>
  <si>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</si>
  <si>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</si>
  <si>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</si>
  <si>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</si>
  <si>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</si>
  <si>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</si>
  <si>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</si>
  <si>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</si>
  <si>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</si>
  <si>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</si>
  <si>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</si>
  <si>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</si>
  <si>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</si>
  <si>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</si>
  <si>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</si>
  <si>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</si>
  <si>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</si>
  <si>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</si>
  <si>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</si>
  <si>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</si>
  <si>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</si>
  <si>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</si>
  <si>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</si>
  <si>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</si>
  <si>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</si>
  <si>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</si>
  <si>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</si>
  <si>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</si>
  <si>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</si>
  <si>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</si>
  <si>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</si>
  <si>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</si>
  <si>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</si>
  <si>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</si>
  <si>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</si>
  <si>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</si>
  <si>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</si>
  <si>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</si>
  <si>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</si>
  <si>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</si>
  <si>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</si>
  <si>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</si>
  <si>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</si>
  <si>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</si>
  <si>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</si>
  <si>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</si>
  <si>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</si>
  <si>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</si>
  <si>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</si>
  <si>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</si>
  <si>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</si>
  <si>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</si>
  <si>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</si>
  <si>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</si>
  <si>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</si>
  <si>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</si>
  <si>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</si>
  <si>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</si>
  <si>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</si>
  <si>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</si>
  <si>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</si>
  <si>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</si>
  <si>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</si>
  <si>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</si>
  <si>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</si>
  <si>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</si>
  <si>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</si>
  <si>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</si>
  <si>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</si>
  <si>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</si>
  <si>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</si>
  <si>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</si>
  <si>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</si>
  <si>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</si>
  <si>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</si>
  <si>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</si>
  <si>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</si>
  <si>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</si>
  <si>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</si>
  <si>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</si>
  <si>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</si>
  <si>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</si>
  <si>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</si>
  <si>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</si>
  <si>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</si>
  <si>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</si>
  <si>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</si>
  <si>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</si>
  <si>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</si>
  <si>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</si>
  <si>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</si>
  <si>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</si>
  <si>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</si>
  <si>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</si>
  <si>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</si>
  <si>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</si>
  <si>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</si>
  <si>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</si>
  <si>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</si>
  <si>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</si>
  <si>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</si>
  <si>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</si>
  <si>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</si>
  <si>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</si>
  <si>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</si>
  <si>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</si>
  <si>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</si>
  <si>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</si>
  <si>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</si>
  <si>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</si>
  <si>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</si>
  <si>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</si>
  <si>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</si>
  <si>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</si>
  <si>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</si>
  <si>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</si>
  <si>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</si>
  <si>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</si>
  <si>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</si>
  <si>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</si>
  <si>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</si>
  <si>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</si>
  <si>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</si>
  <si>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</si>
  <si>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</si>
  <si>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</si>
  <si>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</si>
  <si>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</si>
  <si>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</si>
  <si>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</si>
  <si>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</si>
  <si>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</si>
  <si>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</si>
  <si>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</si>
  <si>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</si>
  <si>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</si>
  <si>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</si>
  <si>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</si>
  <si>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</si>
  <si>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</si>
  <si>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</si>
  <si>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</si>
  <si>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</si>
  <si>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</si>
  <si>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</si>
  <si>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</si>
  <si>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</si>
  <si>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</si>
  <si>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</si>
  <si>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</si>
  <si>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</si>
  <si>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</si>
  <si>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</si>
  <si>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</si>
  <si>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</si>
  <si>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</si>
  <si>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</si>
  <si>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</si>
  <si>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</si>
  <si>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</si>
  <si>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</si>
  <si>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</si>
  <si>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</si>
  <si>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</si>
  <si>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</si>
  <si>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</si>
  <si>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</si>
  <si>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</si>
  <si>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</si>
  <si>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</si>
  <si>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</si>
  <si>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</si>
  <si>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</si>
  <si>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</si>
  <si>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</si>
  <si>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</si>
  <si>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</si>
  <si>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</si>
  <si>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</si>
  <si>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</si>
  <si>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</si>
  <si>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</si>
  <si>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</si>
  <si>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</si>
  <si>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</si>
  <si>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</si>
  <si>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</si>
  <si>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</si>
  <si>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</si>
  <si>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</si>
  <si>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</si>
  <si>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</si>
  <si>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</si>
  <si>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</si>
  <si>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</si>
  <si>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</si>
  <si>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</si>
  <si>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</si>
  <si>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</si>
  <si>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</si>
  <si>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</si>
  <si>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</si>
  <si>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</si>
  <si>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</si>
  <si>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</si>
  <si>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</si>
  <si>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</si>
  <si>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</si>
  <si>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</si>
  <si>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</si>
  <si>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</si>
  <si>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</si>
  <si>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</si>
  <si>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</si>
  <si>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</si>
  <si>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</si>
  <si>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</si>
  <si>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</si>
  <si>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</si>
  <si>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</si>
  <si>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</si>
  <si>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</si>
  <si>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</si>
  <si>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</si>
  <si>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</si>
  <si>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</si>
  <si>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</si>
  <si>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</si>
  <si>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</si>
  <si>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</si>
  <si>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</si>
  <si>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</si>
  <si>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</si>
  <si>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</si>
  <si>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</si>
  <si>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</si>
  <si>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</si>
  <si>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</si>
  <si>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</si>
  <si>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</si>
  <si>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</si>
  <si>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</si>
  <si>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</si>
  <si>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</si>
  <si>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</si>
  <si>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</si>
  <si>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</si>
  <si>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</si>
  <si>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</si>
  <si>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</si>
  <si>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</si>
  <si>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</si>
  <si>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</si>
  <si>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</si>
  <si>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</si>
  <si>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</si>
  <si>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</si>
  <si>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</si>
  <si>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</si>
  <si>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</si>
  <si>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</si>
  <si>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</si>
  <si>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</si>
  <si>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</si>
  <si>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</si>
  <si>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</si>
  <si>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</si>
  <si>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</si>
  <si>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</si>
  <si>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</si>
  <si>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</si>
  <si>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</si>
  <si>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</si>
  <si>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</si>
  <si>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</si>
  <si>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</si>
  <si>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</si>
  <si>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</si>
  <si>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</si>
  <si>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</si>
  <si>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</si>
  <si>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</si>
  <si>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</si>
  <si>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</si>
  <si>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</si>
  <si>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</si>
  <si>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</si>
  <si>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</si>
  <si>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</si>
  <si>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</si>
  <si>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</si>
  <si>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</si>
  <si>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</si>
  <si>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</si>
  <si>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</si>
  <si>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</si>
  <si>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</si>
  <si>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</si>
  <si>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</si>
  <si>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</si>
  <si>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</si>
  <si>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</si>
  <si>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</si>
  <si>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</si>
  <si>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</si>
  <si>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</si>
  <si>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</si>
  <si>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</si>
  <si>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</si>
  <si>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</si>
  <si>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</si>
  <si>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</si>
  <si>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</si>
  <si>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</si>
  <si>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</si>
  <si>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</si>
  <si>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</si>
  <si>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</si>
  <si>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</si>
  <si>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</si>
  <si>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</si>
  <si>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</si>
  <si>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</si>
  <si>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</si>
  <si>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</si>
  <si>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</si>
  <si>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</si>
  <si>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</si>
  <si>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</si>
  <si>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</si>
  <si>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</si>
  <si>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</si>
  <si>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</si>
  <si>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</si>
  <si>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</si>
  <si>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</si>
  <si>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</si>
  <si>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</si>
  <si>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</si>
  <si>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</si>
  <si>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</si>
  <si>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</si>
  <si>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</si>
  <si>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</si>
  <si>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</si>
  <si>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</si>
  <si>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</si>
  <si>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</si>
  <si>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</si>
  <si>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</si>
  <si>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</si>
  <si>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</si>
  <si>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</si>
  <si>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</si>
  <si>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</si>
  <si>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</si>
  <si>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</si>
  <si>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</si>
  <si>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</si>
  <si>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</si>
  <si>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</si>
  <si>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</si>
  <si>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</si>
  <si>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</si>
  <si>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</si>
  <si>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</si>
  <si>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</si>
  <si>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</si>
  <si>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</si>
  <si>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</si>
  <si>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</si>
  <si>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</si>
  <si>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</si>
  <si>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</si>
  <si>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</si>
  <si>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</si>
  <si>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</si>
  <si>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</si>
  <si>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</si>
  <si>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</si>
  <si>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</si>
  <si>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</si>
  <si>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</si>
  <si>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</si>
  <si>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</si>
  <si>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</si>
  <si>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</si>
  <si>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</si>
  <si>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21.12.2021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</si>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</sst>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8</v>
      </c>
      <c r="F4">
        <f>E4+C4</f>
        <v>30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16</v>
      </c>
      <c r="F5">
        <f>E5+C5</f>
        <v>57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800.800.850.6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800</v>
      </c>
      <c r="C16" s="65">
        <f>Цена!C16</f>
        <v>800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487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10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489.4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530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476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0.12643950000000004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455.18220000000014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0.8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0.3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800</v>
      </c>
      <c r="I18" s="163">
        <f>((((ROUNDUP((((H18/2)-30)-1.5-G18-80)/(H3+$H$11),0))*(H3+$H$11))+1.5)*2)+160</f>
        <v>739</v>
      </c>
      <c r="J18" s="163">
        <f>H18-I18</f>
        <v>61</v>
      </c>
      <c r="K18" s="163">
        <f>J18/2</f>
        <v>30.5</v>
      </c>
      <c r="L18" s="163">
        <f>((((((((ROUNDUP((((H18/2)-30)-1.5-H3-80)/(H3+$H$11),0)))))+1)*(H3+$H$11))+1.5)*2)+160</f>
        <v>763</v>
      </c>
      <c r="M18" s="163">
        <f>H18-L18</f>
        <v>37</v>
      </c>
      <c r="N18" s="164">
        <f>M18/2</f>
        <v>18.5</v>
      </c>
      <c r="O18" s="165">
        <f>IF(K18&gt;50,L18,I18)</f>
        <v>739</v>
      </c>
      <c r="P18" s="166">
        <f>(((((ROUNDUP((((H18/2)-30)-1.5-H3-80)/(H3+$H$11),0))))))*2</f>
        <v>48</v>
      </c>
      <c r="Q18" s="166">
        <f>P18-1</f>
        <v>47</v>
      </c>
      <c r="R18" s="167">
        <f>($H$6-$H$8-$AR$3)*((H3/1000)*(Q18+1)+0.003)</f>
        <v>0.11494500000000002</v>
      </c>
      <c r="S18" s="168">
        <f>R18*T18</f>
        <v>0.12643950000000004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(8540) 21.12.21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8540 0 0 21.12.21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800.800.850.6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800.800.850.6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8540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800</v>
      </c>
      <c r="C16" s="190">
        <v>800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489.4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530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2000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271439.09999999998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257 н.ч.</v>
      </c>
      <c r="C33" s="209">
        <f>ФОТ!C37</f>
        <v>79260</v>
      </c>
    </row>
    <row r="34" spans="1:254" x14ac:dyDescent="0.2">
      <c r="A34" s="71" t="s">
        <v>178</v>
      </c>
      <c r="B34" s="110" t="str">
        <f ca="1">CONCATENATE(ROUNDUP(C34/Параметры!B3,0)," н.ч.")</f>
        <v>15 н.ч.</v>
      </c>
      <c r="C34" s="209">
        <f ca="1">ФОТ!C54</f>
        <v>4635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175184.1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384709.16666666669</v>
      </c>
      <c r="D39" s="215">
        <f ca="1">SUM(D41:D47)</f>
        <v>461651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123000</v>
      </c>
      <c r="D41" s="209">
        <f t="shared" ref="D41:D47" ca="1" si="0">C41*1.2</f>
        <v>147600</v>
      </c>
    </row>
    <row r="42" spans="1:254" x14ac:dyDescent="0.2">
      <c r="A42" t="str">
        <f>CONCATENATE("Цепи (",РГО!B7," м.п.)")</f>
        <v>Цепи (11 м.п.)</v>
      </c>
      <c r="B42" s="4"/>
      <c r="C42" s="209">
        <f>РГО!B8</f>
        <v>59400</v>
      </c>
      <c r="D42" s="209">
        <f t="shared" si="0"/>
        <v>71280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11206</v>
      </c>
      <c r="D47" s="209">
        <f t="shared" ca="1" si="0"/>
        <v>13447.199999999999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656148</v>
      </c>
      <c r="D49" s="214">
        <f ca="1">C49*1.2</f>
        <v>787377.6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1246682</v>
      </c>
      <c r="D53" s="222">
        <f ca="1">ROUNDUP(D49*B53,0)</f>
        <v>1496018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1246682</v>
      </c>
      <c r="D57" s="225">
        <f ca="1">D53+D55</f>
        <v>1496018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590534</v>
      </c>
      <c r="D58" s="233">
        <f ca="1">D57-D55-D49</f>
        <v>708640.4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1246682</v>
      </c>
      <c r="D62" s="241">
        <f ca="1">D57/(1-B60*(1+B61))</f>
        <v>1496018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1246682</v>
      </c>
      <c r="D64" s="205">
        <f ca="1">D62</f>
        <v>1496018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800</v>
      </c>
      <c r="D9" s="82">
        <f>IF(C9&lt;=750,ROUND(C9/50,0)*50,ROUND(C9/100,0)*100)</f>
        <v>800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181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45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45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224.64449999999999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6.7166666666666659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256.49169999999998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25.130533333333332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48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79255.935299999997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79260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489.4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15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4635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476</v>
      </c>
      <c r="D3" s="401" t="s">
        <v>17</v>
      </c>
      <c r="E3" s="404">
        <f>Цена!B16</f>
        <v>800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600</v>
      </c>
      <c r="D4" s="401" t="s">
        <v>18</v>
      </c>
      <c r="E4" s="404">
        <f>Цена!C16</f>
        <v>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123000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11</v>
      </c>
      <c r="D7" s="401" t="s">
        <v>397</v>
      </c>
      <c r="E7" s="408">
        <f>Цена!D20</f>
        <v>2650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59400</v>
      </c>
      <c r="D8" s="401" t="s">
        <v>398</v>
      </c>
      <c r="E8" s="408">
        <f>Цена!D21</f>
        <v>2000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800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267653.16666666669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800.800.850.6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- 460 м3/ч.; прозор - 6 мм.; ширина канала - 800 мм.; глубина канала - 800 мм.; высота выгрузки отбросов - 850 мм.; вес решетки в сборе - 530 кг.; привод - 0,37 кВт.; IP 55; 380 В; 50 Гц;  материал исполнения - AISI 201; в комплекте с ШУ и ВПУ.</v>
      </c>
      <c r="C2" s="110">
        <f ca="1">C11</f>
        <v>530</v>
      </c>
      <c r="D2" s="108">
        <f ca="1">C12</f>
        <v>0.37</v>
      </c>
      <c r="E2" s="108">
        <v>1</v>
      </c>
      <c r="F2" s="110">
        <f ca="1">MROUND(Цена!C49,100)</f>
        <v>656100</v>
      </c>
      <c r="G2" s="110">
        <f ca="1">F2*E2</f>
        <v>656100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800.800.850.6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460</v>
      </c>
      <c r="D6" t="s">
        <v>113</v>
      </c>
      <c r="E6" t="str">
        <f>CONCATENATE(B6," ",C6," ",D6,".;")</f>
        <v>Максимальная производительность - 460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800</v>
      </c>
      <c r="D8" t="s">
        <v>167</v>
      </c>
      <c r="E8" t="str">
        <f>CONCATENATE(B8," ",C8," ",D8,";")</f>
        <v>ширина канала - 800 мм.;</v>
      </c>
    </row>
    <row r="9" spans="1:8" x14ac:dyDescent="0.2">
      <c r="B9" s="186" t="s">
        <v>282</v>
      </c>
      <c r="C9" s="110">
        <f>Цена!C16</f>
        <v>800</v>
      </c>
      <c r="D9" t="s">
        <v>167</v>
      </c>
      <c r="E9" t="str">
        <f>CONCATENATE(B9," ",C9," ",D9,";")</f>
        <v>глубина канала - 800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530</v>
      </c>
      <c r="D11" t="s">
        <v>170</v>
      </c>
      <c r="E11" t="str">
        <f ca="1">CONCATENATE(B11," ",C11," ",D11,";")</f>
        <v>вес решетки в сборе - 530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8540</v>
      </c>
    </row>
    <row r="22" spans="2:15" x14ac:dyDescent="0.2">
      <c r="B22" s="186" t="s">
        <v>289</v>
      </c>
      <c r="C22" s="283"/>
      <c r="D22" s="283" t="str">
        <f>CONCATENATE("ТКП №",Цена!I3)</f>
        <v>ТКП №8540 0 0 21.12.21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800.800.850.6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800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530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520510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530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800.800.850.6</v>
      </c>
      <c r="B118" s="481">
        <f ca="1">C101</f>
        <v>520510</v>
      </c>
      <c r="C118" s="482">
        <f>ROUNDUP(ФОТ!K29,0)</f>
        <v>257</v>
      </c>
      <c r="D118" s="482">
        <f ca="1">ФОТ!C51</f>
        <v>15</v>
      </c>
      <c r="E118" s="482">
        <f ca="1">IF(B118=0,0,(C118+D118)*Параметры!B3*(1+Параметры!B4))</f>
        <v>237015.36000000002</v>
      </c>
      <c r="F118" s="482">
        <f ca="1">B118-E118</f>
        <v>283494.64</v>
      </c>
      <c r="G118" s="477" t="str">
        <f ca="1">CONCATENATE(A118," (",H101,"; ",G101," кВт.; ",F101,")")</f>
        <v>РТО 800.800.850.6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656150</v>
      </c>
      <c r="C121" s="483">
        <f ca="1">SUM(C118:C119)</f>
        <v>297</v>
      </c>
      <c r="D121" s="483">
        <f ca="1">SUM(D118:D119)</f>
        <v>15</v>
      </c>
      <c r="E121" s="483">
        <f ca="1">SUM(E118:E119)</f>
        <v>271870.56</v>
      </c>
      <c r="F121" s="483">
        <f ca="1">SUM(F118:F119)</f>
        <v>384279.44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2021-12-21T11:02:55Z</dcterms:modified>
</cp:coreProperties>
</file>