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G30" i="6" s="1"/>
  <c r="G42" i="6" s="1"/>
  <c r="B16" i="6"/>
  <c r="E4" i="6" s="1"/>
  <c r="F4" i="6" s="1"/>
  <c r="C16" i="6"/>
  <c r="C10" i="13"/>
  <c r="C13" i="13"/>
  <c r="D14" i="13" s="1"/>
  <c r="D16" i="6"/>
  <c r="E79" i="16"/>
  <c r="K85" i="16" s="1"/>
  <c r="B79" i="16" s="1"/>
  <c r="E15" i="16"/>
  <c r="E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2" i="14" s="1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1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/>
  <c r="O32" i="6" s="1"/>
  <c r="O33" i="6" s="1"/>
  <c r="O34" i="6" s="1"/>
  <c r="O29" i="6"/>
  <c r="B5" i="14"/>
  <c r="E5" i="14" s="1"/>
  <c r="C52" i="13"/>
  <c r="D37" i="14"/>
  <c r="K86" i="16"/>
  <c r="I30" i="6"/>
  <c r="I38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D30" i="14"/>
  <c r="E5" i="6"/>
  <c r="F5" i="6"/>
  <c r="D64" i="6" s="1"/>
  <c r="C43" i="13"/>
  <c r="C45" i="13"/>
  <c r="C35" i="12" s="1"/>
  <c r="B35" i="12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5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B14" i="6"/>
  <c r="U35" i="6"/>
  <c r="V36" i="6"/>
  <c r="S33" i="6"/>
  <c r="S34" i="6"/>
  <c r="S35" i="6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/>
  <c r="W34" i="6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/>
  <c r="W21" i="6" s="1"/>
  <c r="W38" i="6"/>
  <c r="W39" i="6"/>
  <c r="W40" i="6"/>
  <c r="W41" i="6" s="1"/>
  <c r="W42" i="6" s="1"/>
  <c r="W43" i="6" s="1"/>
  <c r="W44" i="6"/>
  <c r="W45" i="6" s="1"/>
  <c r="W46" i="6" s="1"/>
  <c r="W47" i="6" s="1"/>
  <c r="W48" i="6" s="1"/>
  <c r="W49" i="6" s="1"/>
  <c r="W50" i="6" s="1"/>
  <c r="R33" i="6"/>
  <c r="R34" i="6"/>
  <c r="R35" i="6" s="1"/>
  <c r="R36" i="6" s="1"/>
  <c r="R37" i="6" s="1"/>
  <c r="R38" i="6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/>
  <c r="R28" i="6" s="1"/>
  <c r="R27" i="6" s="1"/>
  <c r="R26" i="6" s="1"/>
  <c r="R25" i="6" s="1"/>
  <c r="R24" i="6" s="1"/>
  <c r="R23" i="6" s="1"/>
  <c r="R22" i="6" s="1"/>
  <c r="R21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/>
  <c r="L21" i="6"/>
  <c r="L27" i="6"/>
  <c r="L28" i="6" s="1"/>
  <c r="L29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N27" i="6"/>
  <c r="N26" i="6" s="1"/>
  <c r="N25" i="6" s="1"/>
  <c r="N24" i="6" s="1"/>
  <c r="N23" i="6" s="1"/>
  <c r="N22" i="6" s="1"/>
  <c r="N21" i="6" s="1"/>
  <c r="V35" i="6"/>
  <c r="V34" i="6"/>
  <c r="V33" i="6" s="1"/>
  <c r="V32" i="6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G43" i="6"/>
  <c r="Q11" i="16"/>
  <c r="V18" i="8"/>
  <c r="P33" i="6"/>
  <c r="P34" i="6"/>
  <c r="P35" i="6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A5" i="14" s="1"/>
  <c r="A2" i="14" s="1"/>
  <c r="A118" i="14" s="1"/>
  <c r="M28" i="6"/>
  <c r="M29" i="6" s="1"/>
  <c r="M26" i="6"/>
  <c r="M25" i="6"/>
  <c r="M24" i="6"/>
  <c r="M23" i="6" s="1"/>
  <c r="M22" i="6" s="1"/>
  <c r="M21" i="6" s="1"/>
  <c r="G44" i="6"/>
  <c r="G34" i="6"/>
  <c r="H8" i="8"/>
  <c r="W18" i="8" s="1"/>
  <c r="G39" i="6"/>
  <c r="G33" i="6"/>
  <c r="G35" i="6"/>
  <c r="C31" i="13"/>
  <c r="D16" i="13"/>
  <c r="D72" i="6"/>
  <c r="H40" i="6"/>
  <c r="D29" i="6"/>
  <c r="H7" i="8"/>
  <c r="D63" i="6"/>
  <c r="P29" i="6"/>
  <c r="P28" i="6"/>
  <c r="P27" i="6" s="1"/>
  <c r="P26" i="6" s="1"/>
  <c r="P25" i="6" s="1"/>
  <c r="P24" i="6" s="1"/>
  <c r="P23" i="6" s="1"/>
  <c r="P22" i="6" s="1"/>
  <c r="P21" i="6" s="1"/>
  <c r="D39" i="14"/>
  <c r="K84" i="16"/>
  <c r="G22" i="6"/>
  <c r="D48" i="6"/>
  <c r="G24" i="6"/>
  <c r="H32" i="6"/>
  <c r="H37" i="6"/>
  <c r="D49" i="6"/>
  <c r="D42" i="6" l="1"/>
  <c r="D36" i="6"/>
  <c r="D27" i="6"/>
  <c r="E39" i="6"/>
  <c r="E47" i="6"/>
  <c r="J27" i="6"/>
  <c r="G28" i="6"/>
  <c r="J26" i="6"/>
  <c r="F29" i="6"/>
  <c r="K81" i="16"/>
  <c r="K80" i="16"/>
  <c r="D33" i="14"/>
  <c r="D42" i="14" s="1"/>
  <c r="AA42" i="6"/>
  <c r="AA43" i="6" s="1"/>
  <c r="AA44" i="6" s="1"/>
  <c r="AA45" i="6" s="1"/>
  <c r="AA46" i="6" s="1"/>
  <c r="AA47" i="6" s="1"/>
  <c r="AA48" i="6" s="1"/>
  <c r="AA49" i="6" s="1"/>
  <c r="AA50" i="6" s="1"/>
  <c r="D66" i="6"/>
  <c r="A42" i="12"/>
  <c r="B8" i="16"/>
  <c r="C42" i="12" s="1"/>
  <c r="D42" i="12" s="1"/>
  <c r="U20" i="13"/>
  <c r="U19" i="13"/>
  <c r="U30" i="13"/>
  <c r="C53" i="6"/>
  <c r="D23" i="14"/>
  <c r="Q12" i="16"/>
  <c r="Q14" i="16" s="1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K26" i="13"/>
  <c r="K24" i="13"/>
  <c r="K25" i="13"/>
  <c r="D17" i="13"/>
  <c r="H41" i="6"/>
  <c r="B9" i="16"/>
  <c r="B10" i="16" s="1"/>
  <c r="C43" i="12" s="1"/>
  <c r="D43" i="12" s="1"/>
  <c r="D34" i="6"/>
  <c r="D43" i="6"/>
  <c r="D38" i="6"/>
  <c r="D21" i="6"/>
  <c r="J46" i="6"/>
  <c r="J29" i="6"/>
  <c r="F40" i="6"/>
  <c r="D26" i="6"/>
  <c r="C37" i="6"/>
  <c r="J24" i="6"/>
  <c r="G25" i="6"/>
  <c r="D62" i="6" s="1"/>
  <c r="D74" i="6" s="1"/>
  <c r="D19" i="12" s="1"/>
  <c r="C11" i="14" s="1"/>
  <c r="G27" i="6"/>
  <c r="D31" i="6"/>
  <c r="F36" i="6"/>
  <c r="F38" i="6"/>
  <c r="F28" i="6"/>
  <c r="D28" i="6"/>
  <c r="E50" i="6"/>
  <c r="C46" i="6"/>
  <c r="G48" i="6"/>
  <c r="G49" i="6"/>
  <c r="G45" i="6"/>
  <c r="I47" i="6"/>
  <c r="E34" i="6"/>
  <c r="E45" i="6"/>
  <c r="G31" i="6"/>
  <c r="C36" i="6"/>
  <c r="G47" i="6"/>
  <c r="G32" i="6"/>
  <c r="G41" i="6"/>
  <c r="G36" i="6"/>
  <c r="C40" i="6"/>
  <c r="C43" i="6"/>
  <c r="E46" i="6"/>
  <c r="J35" i="6"/>
  <c r="J49" i="6"/>
  <c r="E36" i="6"/>
  <c r="E42" i="6"/>
  <c r="G50" i="6"/>
  <c r="G40" i="6"/>
  <c r="G46" i="6"/>
  <c r="C33" i="6"/>
  <c r="G38" i="6"/>
  <c r="G37" i="6"/>
  <c r="C39" i="6"/>
  <c r="E44" i="6"/>
  <c r="E43" i="6"/>
  <c r="H39" i="6"/>
  <c r="E23" i="6"/>
  <c r="E26" i="6"/>
  <c r="H48" i="6"/>
  <c r="H34" i="6"/>
  <c r="D40" i="6"/>
  <c r="G29" i="6"/>
  <c r="J23" i="6"/>
  <c r="E41" i="6"/>
  <c r="E25" i="6"/>
  <c r="E21" i="6"/>
  <c r="H38" i="6"/>
  <c r="J22" i="6"/>
  <c r="H43" i="6"/>
  <c r="H45" i="6"/>
  <c r="D39" i="6"/>
  <c r="H47" i="6"/>
  <c r="D47" i="6"/>
  <c r="G26" i="6"/>
  <c r="H46" i="6"/>
  <c r="D46" i="6"/>
  <c r="J21" i="6"/>
  <c r="F46" i="6"/>
  <c r="H44" i="6"/>
  <c r="D35" i="6"/>
  <c r="D45" i="6"/>
  <c r="E24" i="6"/>
  <c r="H33" i="6"/>
  <c r="H35" i="6"/>
  <c r="H31" i="6"/>
  <c r="D33" i="6"/>
  <c r="D50" i="6"/>
  <c r="H50" i="6"/>
  <c r="E27" i="6"/>
  <c r="D37" i="6"/>
  <c r="D41" i="6"/>
  <c r="D32" i="6"/>
  <c r="E29" i="6"/>
  <c r="F34" i="6"/>
  <c r="F47" i="6"/>
  <c r="H36" i="6"/>
  <c r="H49" i="6"/>
  <c r="C29" i="6"/>
  <c r="C23" i="6"/>
  <c r="C26" i="6"/>
  <c r="C32" i="6"/>
  <c r="C27" i="6"/>
  <c r="F22" i="6"/>
  <c r="F26" i="6"/>
  <c r="J42" i="6"/>
  <c r="J38" i="6"/>
  <c r="J48" i="6"/>
  <c r="J32" i="6"/>
  <c r="J40" i="6"/>
  <c r="E40" i="6"/>
  <c r="E32" i="6"/>
  <c r="E49" i="6"/>
  <c r="J37" i="6"/>
  <c r="J41" i="6"/>
  <c r="D23" i="6"/>
  <c r="F24" i="6"/>
  <c r="C48" i="6"/>
  <c r="J34" i="6"/>
  <c r="C31" i="6"/>
  <c r="C50" i="6"/>
  <c r="C38" i="6"/>
  <c r="C47" i="6"/>
  <c r="C34" i="6"/>
  <c r="C49" i="6"/>
  <c r="E35" i="6"/>
  <c r="E33" i="6"/>
  <c r="J44" i="6"/>
  <c r="J47" i="6"/>
  <c r="J43" i="6"/>
  <c r="C42" i="6"/>
  <c r="C45" i="6"/>
  <c r="C22" i="6"/>
  <c r="C28" i="6"/>
  <c r="F27" i="6"/>
  <c r="F25" i="6"/>
  <c r="J50" i="6"/>
  <c r="J45" i="6"/>
  <c r="J39" i="6"/>
  <c r="J36" i="6"/>
  <c r="J33" i="6"/>
  <c r="E48" i="6"/>
  <c r="D24" i="6"/>
  <c r="E38" i="6"/>
  <c r="C44" i="6"/>
  <c r="C30" i="6"/>
  <c r="C25" i="6"/>
  <c r="C41" i="6"/>
  <c r="C35" i="6"/>
  <c r="E37" i="6"/>
  <c r="H29" i="6"/>
  <c r="I25" i="6"/>
  <c r="I45" i="6"/>
  <c r="I23" i="6"/>
  <c r="I28" i="6"/>
  <c r="H21" i="6"/>
  <c r="I49" i="6"/>
  <c r="I44" i="6"/>
  <c r="I42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K82" i="16" l="1"/>
  <c r="B80" i="16"/>
  <c r="B82" i="16" s="1"/>
  <c r="B83" i="16" s="1"/>
  <c r="B84" i="16" s="1"/>
  <c r="B86" i="16" s="1"/>
  <c r="C46" i="12" s="1"/>
  <c r="D46" i="12" s="1"/>
  <c r="Q13" i="16"/>
  <c r="Q15" i="16"/>
  <c r="H53" i="6"/>
  <c r="H54" i="6" s="1"/>
  <c r="J53" i="6"/>
  <c r="J54" i="6" s="1"/>
  <c r="F53" i="6"/>
  <c r="F54" i="6" s="1"/>
  <c r="D53" i="6"/>
  <c r="D54" i="6" s="1"/>
  <c r="C54" i="6"/>
  <c r="I53" i="6"/>
  <c r="I54" i="6" s="1"/>
  <c r="G53" i="6"/>
  <c r="G54" i="6" s="1"/>
  <c r="E53" i="6"/>
  <c r="E54" i="6" s="1"/>
  <c r="D23" i="12"/>
  <c r="C12" i="14" s="1"/>
  <c r="D34" i="14"/>
  <c r="E6" i="14"/>
  <c r="D70" i="6"/>
  <c r="D18" i="12" s="1"/>
  <c r="C48" i="13" s="1"/>
  <c r="C51" i="13" s="1"/>
  <c r="D118" i="14" s="1"/>
  <c r="D121" i="14" s="1"/>
  <c r="C22" i="13"/>
  <c r="C30" i="13"/>
  <c r="D68" i="6"/>
  <c r="D75" i="6" s="1"/>
  <c r="B3" i="16" s="1"/>
  <c r="B4" i="16" s="1"/>
  <c r="B5" i="16" s="1"/>
  <c r="C41" i="12" s="1"/>
  <c r="E11" i="14"/>
  <c r="C2" i="14"/>
  <c r="E101" i="14" s="1"/>
  <c r="D36" i="14"/>
  <c r="C54" i="13" l="1"/>
  <c r="C34" i="12" s="1"/>
  <c r="D101" i="14"/>
  <c r="B119" i="14" s="1"/>
  <c r="G119" i="14" s="1"/>
  <c r="I5" i="12"/>
  <c r="E12" i="14"/>
  <c r="B2" i="14" s="1"/>
  <c r="D2" i="14"/>
  <c r="U32" i="13"/>
  <c r="C26" i="13"/>
  <c r="U11" i="13"/>
  <c r="C32" i="13"/>
  <c r="B13" i="16"/>
  <c r="B34" i="12"/>
  <c r="D41" i="12"/>
  <c r="C47" i="12"/>
  <c r="D47" i="12" s="1"/>
  <c r="C119" i="14" l="1"/>
  <c r="D35" i="14"/>
  <c r="G101" i="14"/>
  <c r="G118" i="14" s="1"/>
  <c r="K29" i="13"/>
  <c r="E119" i="14"/>
  <c r="F119" i="14" s="1"/>
  <c r="D39" i="12"/>
  <c r="C39" i="12"/>
  <c r="K34" i="13" l="1"/>
  <c r="C37" i="13" s="1"/>
  <c r="C33" i="12" s="1"/>
  <c r="C118" i="14"/>
  <c r="C121" i="14" s="1"/>
  <c r="B33" i="12" l="1"/>
  <c r="C36" i="12"/>
  <c r="C31" i="12" s="1"/>
  <c r="C49" i="12" s="1"/>
  <c r="D49" i="12" l="1"/>
  <c r="D53" i="12" s="1"/>
  <c r="D57" i="12" s="1"/>
  <c r="C101" i="14"/>
  <c r="B118" i="14" s="1"/>
  <c r="F2" i="14"/>
  <c r="G2" i="14" s="1"/>
  <c r="C53" i="12"/>
  <c r="C57" i="12" s="1"/>
  <c r="E118" i="14" l="1"/>
  <c r="B121" i="14"/>
  <c r="C58" i="12"/>
  <c r="C62" i="12"/>
  <c r="D58" i="12"/>
  <c r="D62" i="12"/>
  <c r="C64" i="12" l="1"/>
  <c r="C60" i="12"/>
  <c r="C61" i="12" s="1"/>
  <c r="D64" i="12"/>
  <c r="D60" i="12"/>
  <c r="D61" i="12" s="1"/>
  <c r="E121" i="14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<sst xmlns="http://schemas.openxmlformats.org/spreadsheetml/2006/main" count="712" uniqueCount="501">
  <si>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</si>
  <si>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</si>
  <si>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</si>
  <si>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</si>
  <si>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</si>
  <si>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</si>
  <si>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</si>
  <si>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</si>
  <si>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</si>
  <si>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</si>
  <si>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</si>
  <si>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</si>
  <si>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</si>
  <si>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</si>
  <si>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</si>
  <si>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</si>
  <si>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</si>
  <si>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</si>
  <si>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</si>
  <si>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</si>
  <si>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</si>
  <si>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</si>
  <si>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</si>
  <si>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</si>
  <si>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</si>
  <si>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</si>
  <si>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</si>
  <si>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</si>
  <si>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</si>
  <si>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</si>
  <si>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</si>
  <si>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</si>
  <si>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</si>
  <si>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</si>
  <si>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</si>
  <si>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</si>
  <si>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</si>
  <si>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</si>
  <si>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</si>
  <si>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</si>
  <si>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</si>
  <si>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</si>
  <si>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</si>
  <si>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</si>
  <si>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</si>
  <si>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</si>
  <si>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</si>
  <si>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</si>
  <si>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</si>
  <si>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</si>
  <si>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</si>
  <si>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</si>
  <si>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</si>
  <si>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</si>
  <si>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</si>
  <si>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</si>
  <si>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</si>
  <si>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</si>
  <si>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</si>
  <si>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</si>
  <si>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</si>
  <si>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</si>
  <si>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</si>
  <si>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</si>
  <si>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</si>
  <si>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</si>
  <si>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</si>
  <si>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</si>
  <si>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</si>
  <si>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</si>
  <si>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</si>
  <si>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</si>
  <si>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</si>
  <si>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</si>
  <si>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</si>
  <si>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</si>
  <si>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</si>
  <si>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</si>
  <si>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</si>
  <si>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</si>
  <si>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</si>
  <si>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</si>
  <si>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</si>
  <si>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</si>
  <si>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</si>
  <si>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</si>
  <si>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</si>
  <si>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</si>
  <si>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</si>
  <si>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</si>
  <si>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</si>
  <si>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</si>
  <si>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</si>
  <si>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</si>
  <si>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</si>
  <si>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</si>
  <si>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</si>
  <si>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</si>
  <si>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</si>
  <si>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</si>
  <si>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</si>
  <si>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</si>
  <si>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</si>
  <si>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</si>
  <si>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</si>
  <si>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</si>
  <si>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</si>
  <si>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</si>
  <si>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</si>
  <si>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</si>
  <si>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</si>
  <si>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</si>
  <si>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</si>
  <si>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</si>
  <si>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</si>
  <si>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</si>
  <si>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</si>
  <si>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</si>
  <si>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</si>
  <si>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</si>
  <si>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</si>
  <si>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</si>
  <si>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</si>
  <si>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</si>
  <si>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</si>
  <si>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</si>
  <si>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</si>
  <si>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</si>
  <si>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</si>
  <si>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</si>
  <si>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</si>
  <si>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</si>
  <si>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</si>
  <si>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</si>
  <si>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</si>
  <si>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</si>
  <si>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</si>
  <si>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</si>
  <si>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</si>
  <si>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</si>
  <si>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</si>
  <si>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</si>
  <si>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</si>
  <si>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</si>
  <si>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</si>
  <si>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</si>
  <si>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</si>
  <si>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</si>
  <si>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</si>
  <si>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</si>
  <si>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</si>
  <si>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</si>
  <si>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</si>
  <si>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</si>
  <si>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</si>
  <si>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</si>
  <si>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</si>
  <si>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</si>
  <si>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</si>
  <si>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</si>
  <si>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</si>
  <si>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</si>
  <si>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</si>
  <si>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</si>
  <si>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</si>
  <si>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</si>
  <si>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</si>
  <si>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</si>
  <si>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</si>
  <si>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</si>
  <si>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</si>
  <si>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</si>
  <si>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</si>
  <si>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</si>
  <si>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</si>
  <si>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</si>
  <si>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</si>
  <si>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</si>
  <si>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</si>
  <si>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</si>
  <si>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</si>
  <si>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</si>
  <si>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</si>
  <si>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</si>
  <si>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</si>
  <si>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</si>
  <si>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</si>
  <si>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</si>
  <si>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</si>
  <si>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</si>
  <si>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</si>
  <si>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</si>
  <si>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</si>
  <si>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</si>
  <si>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</si>
  <si>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</si>
  <si>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</si>
  <si>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</si>
  <si>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</si>
  <si>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</si>
  <si>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</si>
  <si>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</si>
  <si>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</si>
  <si>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</si>
  <si>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</si>
  <si>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</si>
  <si>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</si>
  <si>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</si>
  <si>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</si>
  <si>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</si>
  <si>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</si>
  <si>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</si>
  <si>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</si>
  <si>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</si>
  <si>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</si>
  <si>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</si>
  <si>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</si>
  <si>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</si>
  <si>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</si>
  <si>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</si>
  <si>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</si>
  <si>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</si>
  <si>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</si>
  <si>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</si>
  <si>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</si>
  <si>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</si>
  <si>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</si>
  <si>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</si>
  <si>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</si>
  <si>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</si>
  <si>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</si>
  <si>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</si>
  <si>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</si>
  <si>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</si>
  <si>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</si>
  <si>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</si>
  <si>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</si>
  <si>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</si>
  <si>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</si>
  <si>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</si>
  <si>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</si>
  <si>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</si>
  <si>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</si>
  <si>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</si>
  <si>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</si>
  <si>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</si>
  <si>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</si>
  <si>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</si>
  <si>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</si>
  <si>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</si>
  <si>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</si>
  <si>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</si>
  <si>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</si>
  <si>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</si>
  <si>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</si>
  <si>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</si>
  <si>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</si>
  <si>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</si>
  <si>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</si>
  <si>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</si>
  <si>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</si>
  <si>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</si>
  <si>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</si>
  <si>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</si>
  <si>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</si>
  <si>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</si>
  <si>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</si>
  <si>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</si>
  <si>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</si>
  <si>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</si>
  <si>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</si>
  <si>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</si>
  <si>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</si>
  <si>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</si>
  <si>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</si>
  <si>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</si>
  <si>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</si>
  <si>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</si>
  <si>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</si>
  <si>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</si>
  <si>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</si>
  <si>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</si>
  <si>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</si>
  <si>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</si>
  <si>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</si>
  <si>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</si>
  <si>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</si>
  <si>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</si>
  <si>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</si>
  <si>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</si>
  <si>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</si>
  <si>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</si>
  <si>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</si>
  <si>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</si>
  <si>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</si>
  <si>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</si>
  <si>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</si>
  <si>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</si>
  <si>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</si>
  <si>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</si>
  <si>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</si>
  <si>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</si>
  <si>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</si>
  <si>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</si>
  <si>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</si>
  <si>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</si>
  <si>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</si>
  <si>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</si>
  <si>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</si>
  <si>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</si>
  <si>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</si>
  <si>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</si>
  <si>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</si>
  <si>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</si>
  <si>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</si>
  <si>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</si>
  <si>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</si>
  <si>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</si>
  <si>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</si>
  <si>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</si>
  <si>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</si>
  <si>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</si>
  <si>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</si>
  <si>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</si>
  <si>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</si>
  <si>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</si>
  <si>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</si>
  <si>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</si>
  <si>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</si>
  <si>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</si>
  <si>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</si>
  <si>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</si>
  <si>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</si>
  <si>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</si>
  <si>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</si>
  <si>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</si>
  <si>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</si>
  <si>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</si>
  <si>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</si>
  <si>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</si>
  <si>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</si>
  <si>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</si>
  <si>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</si>
  <si>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</si>
  <si>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</si>
  <si>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</si>
  <si>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</si>
  <si>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</si>
  <si>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</si>
  <si>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</si>
  <si>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</si>
  <si>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</si>
  <si>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</si>
  <si>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</si>
  <si>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</si>
  <si>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</si>
  <si>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</si>
  <si>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</si>
  <si>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</si>
  <si>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</si>
  <si>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</si>
  <si>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</si>
  <si>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</si>
  <si>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</si>
  <si>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</si>
  <si>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</si>
  <si>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</si>
  <si>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</si>
  <si>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</si>
  <si>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</si>
  <si>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</si>
  <si>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</si>
  <si>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</si>
  <si>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</si>
  <si>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</si>
  <si>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</si>
  <si>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</si>
  <si>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</si>
  <si>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</si>
  <si>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</si>
  <si>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</si>
  <si>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</si>
  <si>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</si>
  <si>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</si>
  <si>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</si>
  <si>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</si>
  <si>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</si>
  <si>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</si>
  <si>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</si>
  <si>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</si>
  <si>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</si>
  <si>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</si>
  <si>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</si>
  <si>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</si>
  <si>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</si>
  <si>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</si>
  <si>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</si>
  <si>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</si>
  <si>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</si>
  <si>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</si>
  <si>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</si>
  <si>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</si>
  <si>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</si>
  <si>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</si>
  <si>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</si>
  <si>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</si>
  <si>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</si>
  <si>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</si>
  <si>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</si>
  <si>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</si>
  <si>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</si>
  <si>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</si>
  <si>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</si>
  <si>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</si>
  <si>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</si>
  <si>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</si>
  <si>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</si>
  <si>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</si>
  <si>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</si>
  <si>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</si>
  <si>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</si>
  <si>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</si>
  <si>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</si>
  <si>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</si>
  <si>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</si>
  <si>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</si>
  <si>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</si>
  <si>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</si>
  <si>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</si>
  <si>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</si>
  <si>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</si>
  <si>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</si>
  <si>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</si>
  <si>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</si>
  <si>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</si>
  <si>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</si>
  <si>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</si>
  <si>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</si>
  <si>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</si>
  <si>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</si>
  <si>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</si>
  <si>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</si>
  <si>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</si>
  <si>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</si>
  <si>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</si>
  <si>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</si>
  <si>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</si>
  <si>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</si>
  <si>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</si>
  <si>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</si>
  <si>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</si>
  <si>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</si>
  <si>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</si>
  <si>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</si>
  <si>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</si>
  <si>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</si>
  <si>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</si>
  <si>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</si>
  <si>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</si>
  <si>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</si>
  <si>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</si>
  <si>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</si>
  <si>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</si>
  <si>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</si>
  <si>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</si>
  <si>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</si>
  <si>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</si>
  <si>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</si>
  <si>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</si>
  <si>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</si>
  <si>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</si>
  <si>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</si>
  <si>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</si>
  <si>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</si>
  <si>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</si>
  <si>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</si>
  <si>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</si>
  <si>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</si>
  <si>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</si>
  <si>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</si>
  <si>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</si>
  <si>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</si>
  <si>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</si>
  <si>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</si>
  <si>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</si>
  <si>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</si>
  <si>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</si>
  <si>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</si>
  <si>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</si>
  <si>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</si>
  <si>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</si>
  <si>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</si>
  <si>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</si>
  <si>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</si>
  <si>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</si>
  <si>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</si>
  <si>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</si>
  <si>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23.12.2021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</si>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</sst>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24</v>
      </c>
      <c r="F4">
        <f>E4+C4</f>
        <v>46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48</v>
      </c>
      <c r="F5">
        <f>E5+C5</f>
        <v>89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1600.1200.1500.6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1600</v>
      </c>
      <c r="C16" s="65">
        <f>Цена!C16</f>
        <v>1200</v>
      </c>
      <c r="D16" s="65">
        <f>Цена!D16</f>
        <v>1500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796.59999999999991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89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16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887.99999999999989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930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870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0.44964150000000003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1618.7094000000002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1.6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1.2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0.7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1600</v>
      </c>
      <c r="I18" s="163">
        <f>((((ROUNDUP((((H18/2)-30)-1.5-G18-80)/(H3+$H$11),0))*(H3+$H$11))+1.5)*2)+160</f>
        <v>1531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1555</v>
      </c>
      <c r="M18" s="163">
        <f>H18-L18</f>
        <v>45</v>
      </c>
      <c r="N18" s="164">
        <f>M18/2</f>
        <v>22.5</v>
      </c>
      <c r="O18" s="165">
        <f>IF(K18&gt;50,L18,I18)</f>
        <v>1531</v>
      </c>
      <c r="P18" s="166">
        <f>(((((ROUNDUP((((H18/2)-30)-1.5-H3-80)/(H3+$H$11),0))))))*2</f>
        <v>114</v>
      </c>
      <c r="Q18" s="166">
        <f>P18-1</f>
        <v>113</v>
      </c>
      <c r="R18" s="167">
        <f>($H$6-$H$8-$AR$3)*((H3/1000)*(Q18+1)+0.003)</f>
        <v>0.40876499999999999</v>
      </c>
      <c r="S18" s="168">
        <f>R18*T18</f>
        <v>0.44964150000000003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(8543) 23.12.21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8543 0 0 23.12.21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1600.1200.1500.6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1600.1200.1500.6 (AISI 321; 0,37 кВт.; IP66;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8543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1600</v>
      </c>
      <c r="C16" s="190">
        <v>1200</v>
      </c>
      <c r="D16" s="191">
        <v>1500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888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930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3750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3100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1200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181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319582.14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299 н.ч.</v>
      </c>
      <c r="C33" s="209">
        <f>ФОТ!C37</f>
        <v>92315</v>
      </c>
    </row>
    <row r="34" spans="1:254" x14ac:dyDescent="0.2">
      <c r="A34" s="71" t="s">
        <v>178</v>
      </c>
      <c r="B34" s="110" t="str">
        <f ca="1">CONCATENATE(ROUNDUP(C34/Параметры!B3,0)," н.ч.")</f>
        <v>28 н.ч.</v>
      </c>
      <c r="C34" s="209">
        <f ca="1">ФОТ!C54</f>
        <v>8652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206255.14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637560.16666666674</v>
      </c>
      <c r="D39" s="215">
        <f ca="1">SUM(D41:D47)</f>
        <v>765072.20000000007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337900</v>
      </c>
      <c r="D41" s="209">
        <f t="shared" ref="D41:D47" ca="1" si="0">C41*1.2</f>
        <v>405480</v>
      </c>
    </row>
    <row r="42" spans="1:254" x14ac:dyDescent="0.2">
      <c r="A42" t="str">
        <f>CONCATENATE("Цепи (",РГО!B7," м.п.)")</f>
        <v>Цепи (15 м.п.)</v>
      </c>
      <c r="B42" s="4"/>
      <c r="C42" s="209">
        <f>РГО!B8</f>
        <v>81000</v>
      </c>
      <c r="D42" s="209">
        <f t="shared" si="0"/>
        <v>97200</v>
      </c>
    </row>
    <row r="43" spans="1:254" x14ac:dyDescent="0.2">
      <c r="A43" t="s">
        <v>175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99807</v>
      </c>
      <c r="D46" s="209">
        <f t="shared" ca="1" si="0"/>
        <v>119768.4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18570</v>
      </c>
      <c r="D47" s="209">
        <f t="shared" ca="1" si="0"/>
        <v>22284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957142</v>
      </c>
      <c r="D49" s="214">
        <f ca="1">C49*1.2</f>
        <v>1148570.3999999999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1818570</v>
      </c>
      <c r="D53" s="222">
        <f ca="1">ROUNDUP(D49*B53,0)</f>
        <v>2182284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1818570</v>
      </c>
      <c r="D57" s="225">
        <f ca="1">D53+D55</f>
        <v>2182284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861428</v>
      </c>
      <c r="D58" s="233">
        <f ca="1">D57-D55-D49</f>
        <v>1033713.6000000001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1818570</v>
      </c>
      <c r="D62" s="241">
        <f ca="1">D57/(1-B60*(1+B61))</f>
        <v>2182284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1818570</v>
      </c>
      <c r="D64" s="205">
        <f ca="1">D62</f>
        <v>2182284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1600</v>
      </c>
      <c r="D9" s="82">
        <f>IF(C9&lt;=750,ROUND(C9/50,0)*50,ROUND(C9/100,0)*100)</f>
        <v>1600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1200</v>
      </c>
      <c r="D10" s="82">
        <f>CEILING(C10,100)</f>
        <v>1200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445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900</v>
      </c>
      <c r="D13" s="87">
        <f>IF(C10&lt;=1200,C10,C10-250)</f>
        <v>1200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1000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1200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111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111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235.69070000000002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15.736666666666666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298.75370000000004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110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47.326333333333331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114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92314.893300000011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92315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888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28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8652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870</v>
      </c>
      <c r="D3" s="401" t="s">
        <v>17</v>
      </c>
      <c r="E3" s="404">
        <f>Цена!B16</f>
        <v>1600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1090</v>
      </c>
      <c r="D4" s="401" t="s">
        <v>18</v>
      </c>
      <c r="E4" s="404">
        <f>Цена!C16</f>
        <v>1200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337900</v>
      </c>
      <c r="D5" s="401" t="s">
        <v>392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15</v>
      </c>
      <c r="D7" s="401" t="s">
        <v>397</v>
      </c>
      <c r="E7" s="408">
        <f>Цена!D20</f>
        <v>3750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81000</v>
      </c>
      <c r="D8" s="401" t="s">
        <v>398</v>
      </c>
      <c r="E8" s="408">
        <f>Цена!D21</f>
        <v>3100</v>
      </c>
    </row>
    <row r="9" spans="1:17" s="440" customFormat="1" ht="30" x14ac:dyDescent="0.2">
      <c r="A9" s="438" t="s">
        <v>386</v>
      </c>
      <c r="B9" s="439">
        <f ca="1">OFFSET(L9,MATCH(1,Q10:Q15,0),1,1,1)</f>
        <v>811</v>
      </c>
      <c r="D9" s="440" t="s">
        <v>396</v>
      </c>
      <c r="E9" s="441">
        <f>Цена!D22</f>
        <v>1200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321</v>
      </c>
      <c r="F11" s="401">
        <f ca="1">OFFSET(I3,MATCH(E11,I4:I7,0),1,1,1)</f>
        <v>310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511183.16666666669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1020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96900</v>
      </c>
    </row>
    <row r="84" spans="1:13" x14ac:dyDescent="0.2">
      <c r="A84" s="401" t="s">
        <v>90</v>
      </c>
      <c r="B84" s="458">
        <f ca="1">ROUND(B83*E17,1)</f>
        <v>2907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99807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1600.1200.1500.6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- 1620 м3/ч.; прозор - 6 мм.; ширина канала - 1600 мм.; глубина канала - 1200 мм.; высота выгрузки отбросов - 1500 мм.; вес решетки в сборе - 930 кг.; привод - 0,37 кВт.; IP 66; 380 В; 50 Гц;  материал исполнения - AISI 321; в комплекте с ШУ и ВПУ.</v>
      </c>
      <c r="C2" s="110">
        <f ca="1">C11</f>
        <v>930</v>
      </c>
      <c r="D2" s="108">
        <f ca="1">C12</f>
        <v>0.37</v>
      </c>
      <c r="E2" s="108">
        <v>1</v>
      </c>
      <c r="F2" s="110">
        <f ca="1">MROUND(Цена!C49,100)</f>
        <v>957100</v>
      </c>
      <c r="G2" s="110">
        <f ca="1">F2*E2</f>
        <v>957100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1600.1200.1500.6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1620</v>
      </c>
      <c r="D6" t="s">
        <v>113</v>
      </c>
      <c r="E6" t="str">
        <f>CONCATENATE(B6," ",C6," ",D6,".;")</f>
        <v>Максимальная производительность - 1620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1600</v>
      </c>
      <c r="D8" t="s">
        <v>167</v>
      </c>
      <c r="E8" t="str">
        <f>CONCATENATE(B8," ",C8," ",D8,";")</f>
        <v>ширина канала - 1600 мм.;</v>
      </c>
    </row>
    <row r="9" spans="1:8" x14ac:dyDescent="0.2">
      <c r="B9" s="186" t="s">
        <v>282</v>
      </c>
      <c r="C9" s="110">
        <f>Цена!C16</f>
        <v>1200</v>
      </c>
      <c r="D9" t="s">
        <v>167</v>
      </c>
      <c r="E9" t="str">
        <f>CONCATENATE(B9," ",C9," ",D9,";")</f>
        <v>глубина канала - 1200 мм.;</v>
      </c>
    </row>
    <row r="10" spans="1:8" x14ac:dyDescent="0.2">
      <c r="B10" s="186" t="s">
        <v>283</v>
      </c>
      <c r="C10" s="110">
        <f>Цена!D16</f>
        <v>1500</v>
      </c>
      <c r="D10" t="s">
        <v>167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284</v>
      </c>
      <c r="C11" s="110">
        <f ca="1">Цена!D19</f>
        <v>930</v>
      </c>
      <c r="D11" t="s">
        <v>170</v>
      </c>
      <c r="E11" t="str">
        <f ca="1">CONCATENATE(B11," ",C11," ",D11,";")</f>
        <v>вес решетки в сборе - 930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321</v>
      </c>
      <c r="E14" t="str">
        <f>CONCATENATE(B14," ",C14)</f>
        <v>материал исполнения - AISI 321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8543</v>
      </c>
    </row>
    <row r="22" spans="2:15" x14ac:dyDescent="0.2">
      <c r="B22" s="186" t="s">
        <v>289</v>
      </c>
      <c r="C22" s="283"/>
      <c r="D22" s="283" t="str">
        <f>CONCATENATE("ТКП №",Цена!I3)</f>
        <v>ТКП №8543 0 0 23.12.21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1600.1200.1500.6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1600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1200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1500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2420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1620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930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321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819485</v>
      </c>
      <c r="D101" s="110">
        <f ca="1">IF(Цена!D26="Нет",0,MROUND((Цена!C46*(1+Цена!B47))+Цена!C35*(1+Цена!B36),5))</f>
        <v>137655</v>
      </c>
      <c r="E101" s="110">
        <f ca="1">Спецификация!C2</f>
        <v>930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321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1600.1200.1500.6</v>
      </c>
      <c r="B118" s="481">
        <f ca="1">C101</f>
        <v>819485</v>
      </c>
      <c r="C118" s="482">
        <f>ROUNDUP(ФОТ!K29,0)</f>
        <v>299</v>
      </c>
      <c r="D118" s="482">
        <f ca="1">ФОТ!C51</f>
        <v>28</v>
      </c>
      <c r="E118" s="482">
        <f ca="1">IF(B118=0,0,(C118+D118)*Параметры!B3*(1+Параметры!B4))</f>
        <v>284941.26</v>
      </c>
      <c r="F118" s="482">
        <f ca="1">B118-E118</f>
        <v>534543.74</v>
      </c>
      <c r="G118" s="477" t="str">
        <f ca="1">CONCATENATE(A118," (",H101,"; ",G101," кВт.; ",F101,")")</f>
        <v>РТО 1600.1200.1500.6 (AISI 321; 0,37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137655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102799.79999999999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957140</v>
      </c>
      <c r="C121" s="483">
        <f ca="1">SUM(C118:C119)</f>
        <v>339</v>
      </c>
      <c r="D121" s="483">
        <f ca="1">SUM(D118:D119)</f>
        <v>28</v>
      </c>
      <c r="E121" s="483">
        <f ca="1">SUM(E118:E119)</f>
        <v>319796.46000000002</v>
      </c>
      <c r="F121" s="483">
        <f ca="1">SUM(F118:F119)</f>
        <v>637343.54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2021-12-23T17:13:09Z</dcterms:modified>
</cp:coreProperties>
</file>