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activeTab="3"/>
  </bookViews>
  <sheets>
    <sheet name="Параметры" sheetId="15" r:id="rId1"/>
    <sheet name="ТХ" sheetId="6" r:id="rId2"/>
    <sheet name="Гидравлика" sheetId="8" r:id="rId3"/>
    <sheet name="Цена" sheetId="12" r:id="rId4"/>
    <sheet name="ФОТ" sheetId="13" r:id="rId5"/>
    <sheet name="РГО" sheetId="16" r:id="rId6"/>
    <sheet name="Спецификация" sheetId="14" r:id="rId7"/>
  </sheets>
  <definedNames>
    <definedName name="Валюта" localSheetId="4">#REF!</definedName>
    <definedName name="Валюта">#REF!</definedName>
    <definedName name="Глубина">OFFSET(#REF!,MATCH(#REF!,#REF!,0),1,COUNTIF(#REF!,#REF!),1)</definedName>
    <definedName name="Количество" localSheetId="3">#REF!</definedName>
    <definedName name="Менеджера" localSheetId="4">#REF!</definedName>
    <definedName name="Менеджера">#REF!:#REF!</definedName>
    <definedName name="Прозор" localSheetId="4">#REF!</definedName>
    <definedName name="Прозор">#REF!</definedName>
    <definedName name="Степень_защиты_привода" localSheetId="4">#REF!</definedName>
    <definedName name="Степень_защиты_привода">#REF!</definedName>
  </definedNames>
  <calcPr calcId="162913"/>
</workbook>
</file>

<file path=xl/calcChain.xml><?xml version="1.0" encoding="utf-8"?>
<calcChain xmlns="http://schemas.openxmlformats.org/spreadsheetml/2006/main">
  <c r="B3" i="12" l="1"/>
  <c r="E14" i="16"/>
  <c r="B11" i="16"/>
  <c r="E16" i="6"/>
  <c r="B16" i="6"/>
  <c r="E4" i="6" s="1"/>
  <c r="F4" i="6" s="1"/>
  <c r="C16" i="6"/>
  <c r="C10" i="13"/>
  <c r="C13" i="13"/>
  <c r="D14" i="13" s="1"/>
  <c r="D16" i="6"/>
  <c r="E79" i="16"/>
  <c r="K85" i="16"/>
  <c r="E15" i="16"/>
  <c r="E80" i="16" s="1"/>
  <c r="C9" i="13"/>
  <c r="D9" i="13" s="1"/>
  <c r="C12" i="13"/>
  <c r="D12" i="13"/>
  <c r="C11" i="13"/>
  <c r="D11" i="13" s="1"/>
  <c r="C40" i="13"/>
  <c r="D20" i="12"/>
  <c r="E7" i="16" s="1"/>
  <c r="E11" i="16"/>
  <c r="E3" i="16"/>
  <c r="E4" i="16"/>
  <c r="H101" i="14"/>
  <c r="F101" i="14"/>
  <c r="B101" i="14"/>
  <c r="A101" i="14"/>
  <c r="A16" i="12"/>
  <c r="B36" i="12"/>
  <c r="C55" i="12"/>
  <c r="B47" i="12"/>
  <c r="M86" i="16"/>
  <c r="M85" i="16"/>
  <c r="E78" i="16"/>
  <c r="B54" i="15"/>
  <c r="B78" i="16"/>
  <c r="C15" i="14"/>
  <c r="D40" i="14" s="1"/>
  <c r="C14" i="14"/>
  <c r="E14" i="14"/>
  <c r="C13" i="14"/>
  <c r="D33" i="14" s="1"/>
  <c r="D42" i="14" s="1"/>
  <c r="C10" i="14"/>
  <c r="E10" i="14" s="1"/>
  <c r="C9" i="14"/>
  <c r="E9" i="14"/>
  <c r="C8" i="14"/>
  <c r="E8" i="14"/>
  <c r="C7" i="14"/>
  <c r="E7" i="14"/>
  <c r="H6" i="8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4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/>
  <c r="G30" i="6"/>
  <c r="G42" i="6" s="1"/>
  <c r="F23" i="6"/>
  <c r="F21" i="6" s="1"/>
  <c r="M30" i="6"/>
  <c r="M31" i="6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31" i="6" s="1"/>
  <c r="Y39" i="6"/>
  <c r="Y38" i="6" s="1"/>
  <c r="Y37" i="6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O30" i="6"/>
  <c r="O31" i="6" s="1"/>
  <c r="O32" i="6"/>
  <c r="O33" i="6" s="1"/>
  <c r="O34" i="6" s="1"/>
  <c r="O29" i="6"/>
  <c r="B5" i="14"/>
  <c r="E5" i="14" s="1"/>
  <c r="C52" i="13"/>
  <c r="D37" i="14"/>
  <c r="K86" i="16"/>
  <c r="I30" i="6"/>
  <c r="I38" i="6" s="1"/>
  <c r="K25" i="6"/>
  <c r="D30" i="14"/>
  <c r="C43" i="13"/>
  <c r="C45" i="13"/>
  <c r="C35" i="12"/>
  <c r="B35" i="12"/>
  <c r="R32" i="6"/>
  <c r="Z40" i="6"/>
  <c r="N28" i="6"/>
  <c r="X38" i="6"/>
  <c r="X37" i="6" s="1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D30" i="6"/>
  <c r="D44" i="6" s="1"/>
  <c r="N30" i="6"/>
  <c r="N31" i="6" s="1"/>
  <c r="N32" i="6"/>
  <c r="N33" i="6" s="1"/>
  <c r="N34" i="6" s="1"/>
  <c r="N35" i="6" s="1"/>
  <c r="N36" i="6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D22" i="6"/>
  <c r="D25" i="6" s="1"/>
  <c r="G23" i="6"/>
  <c r="G21" i="6" s="1"/>
  <c r="N29" i="6"/>
  <c r="H24" i="6"/>
  <c r="H28" i="6" s="1"/>
  <c r="J30" i="6"/>
  <c r="J31" i="6" s="1"/>
  <c r="J25" i="6"/>
  <c r="J28" i="6" s="1"/>
  <c r="W37" i="6"/>
  <c r="Q31" i="6"/>
  <c r="Q32" i="6"/>
  <c r="T34" i="6"/>
  <c r="L30" i="6"/>
  <c r="L31" i="6" s="1"/>
  <c r="L32" i="6" s="1"/>
  <c r="L33" i="6"/>
  <c r="L34" i="6" s="1"/>
  <c r="L35" i="6" s="1"/>
  <c r="L36" i="6" s="1"/>
  <c r="L37" i="6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9" i="6" s="1"/>
  <c r="C21" i="6"/>
  <c r="C24" i="6" s="1"/>
  <c r="F30" i="6"/>
  <c r="F32" i="6" s="1"/>
  <c r="L26" i="6"/>
  <c r="A16" i="6"/>
  <c r="U35" i="6"/>
  <c r="V36" i="6"/>
  <c r="S33" i="6"/>
  <c r="S34" i="6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H30" i="6"/>
  <c r="H42" i="6" s="1"/>
  <c r="P30" i="6"/>
  <c r="P31" i="6"/>
  <c r="P32" i="6" s="1"/>
  <c r="K30" i="6"/>
  <c r="K31" i="6" s="1"/>
  <c r="K32" i="6" s="1"/>
  <c r="K33" i="6" s="1"/>
  <c r="K34" i="6"/>
  <c r="K35" i="6" s="1"/>
  <c r="K36" i="6" s="1"/>
  <c r="K37" i="6" s="1"/>
  <c r="K38" i="6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AA42" i="6"/>
  <c r="AA43" i="6" s="1"/>
  <c r="AA44" i="6" s="1"/>
  <c r="AA45" i="6" s="1"/>
  <c r="AA46" i="6" s="1"/>
  <c r="AA47" i="6" s="1"/>
  <c r="AA48" i="6" s="1"/>
  <c r="AA49" i="6" s="1"/>
  <c r="AA50" i="6" s="1"/>
  <c r="W36" i="6"/>
  <c r="W35" i="6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W38" i="6"/>
  <c r="W39" i="6"/>
  <c r="W40" i="6" s="1"/>
  <c r="W41" i="6"/>
  <c r="W42" i="6" s="1"/>
  <c r="W43" i="6" s="1"/>
  <c r="W44" i="6" s="1"/>
  <c r="W45" i="6"/>
  <c r="W46" i="6" s="1"/>
  <c r="W47" i="6" s="1"/>
  <c r="W48" i="6" s="1"/>
  <c r="W49" i="6" s="1"/>
  <c r="W50" i="6" s="1"/>
  <c r="R33" i="6"/>
  <c r="R34" i="6" s="1"/>
  <c r="R35" i="6"/>
  <c r="R36" i="6" s="1"/>
  <c r="R37" i="6" s="1"/>
  <c r="R38" i="6" s="1"/>
  <c r="R39" i="6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/>
  <c r="R26" i="6" s="1"/>
  <c r="R25" i="6" s="1"/>
  <c r="R24" i="6" s="1"/>
  <c r="R23" i="6" s="1"/>
  <c r="R22" i="6" s="1"/>
  <c r="R21" i="6" s="1"/>
  <c r="Q33" i="6"/>
  <c r="Q34" i="6"/>
  <c r="Q35" i="6" s="1"/>
  <c r="Q36" i="6" s="1"/>
  <c r="Q37" i="6" s="1"/>
  <c r="Q38" i="6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/>
  <c r="Q28" i="6" s="1"/>
  <c r="Q27" i="6" s="1"/>
  <c r="Q26" i="6" s="1"/>
  <c r="Q25" i="6" s="1"/>
  <c r="Q24" i="6" s="1"/>
  <c r="Q23" i="6" s="1"/>
  <c r="Q22" i="6" s="1"/>
  <c r="Q21" i="6" s="1"/>
  <c r="S32" i="6"/>
  <c r="S31" i="6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L25" i="6"/>
  <c r="L24" i="6"/>
  <c r="L23" i="6" s="1"/>
  <c r="L22" i="6" s="1"/>
  <c r="L21" i="6" s="1"/>
  <c r="L27" i="6"/>
  <c r="L28" i="6" s="1"/>
  <c r="L29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G18" i="8"/>
  <c r="H11" i="8"/>
  <c r="D10" i="13"/>
  <c r="C29" i="13" s="1"/>
  <c r="F11" i="16"/>
  <c r="N27" i="6"/>
  <c r="N26" i="6" s="1"/>
  <c r="N25" i="6" s="1"/>
  <c r="N24" i="6" s="1"/>
  <c r="N23" i="6" s="1"/>
  <c r="N22" i="6" s="1"/>
  <c r="N21" i="6" s="1"/>
  <c r="V35" i="6"/>
  <c r="V34" i="6"/>
  <c r="V33" i="6" s="1"/>
  <c r="V32" i="6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D13" i="13"/>
  <c r="D15" i="13" s="1"/>
  <c r="D38" i="14"/>
  <c r="T35" i="6"/>
  <c r="T36" i="6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O35" i="6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8" i="6"/>
  <c r="O27" i="6" s="1"/>
  <c r="O26" i="6" s="1"/>
  <c r="O25" i="6" s="1"/>
  <c r="O24" i="6" s="1"/>
  <c r="O23" i="6" s="1"/>
  <c r="O22" i="6" s="1"/>
  <c r="O21" i="6" s="1"/>
  <c r="K24" i="6"/>
  <c r="K23" i="6" s="1"/>
  <c r="K22" i="6" s="1"/>
  <c r="K21" i="6" s="1"/>
  <c r="K26" i="6"/>
  <c r="K27" i="6" s="1"/>
  <c r="K28" i="6" s="1"/>
  <c r="K29" i="6" s="1"/>
  <c r="D31" i="14"/>
  <c r="C39" i="6"/>
  <c r="C40" i="6"/>
  <c r="Q11" i="16"/>
  <c r="V18" i="8"/>
  <c r="P33" i="6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U34" i="6"/>
  <c r="U33" i="6"/>
  <c r="U32" i="6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/>
  <c r="I4" i="12"/>
  <c r="A5" i="14" s="1"/>
  <c r="A2" i="14" s="1"/>
  <c r="A118" i="14" s="1"/>
  <c r="M28" i="6"/>
  <c r="M29" i="6"/>
  <c r="M26" i="6"/>
  <c r="M25" i="6" s="1"/>
  <c r="M24" i="6" s="1"/>
  <c r="M23" i="6" s="1"/>
  <c r="M22" i="6" s="1"/>
  <c r="M21" i="6" s="1"/>
  <c r="G41" i="6"/>
  <c r="G45" i="6"/>
  <c r="H8" i="8"/>
  <c r="G32" i="6"/>
  <c r="G47" i="6"/>
  <c r="G48" i="6"/>
  <c r="C46" i="6"/>
  <c r="C31" i="13"/>
  <c r="D16" i="13"/>
  <c r="E45" i="6"/>
  <c r="W18" i="8"/>
  <c r="H7" i="8"/>
  <c r="P29" i="6"/>
  <c r="P28" i="6" s="1"/>
  <c r="P27" i="6" s="1"/>
  <c r="P26" i="6" s="1"/>
  <c r="P25" i="6" s="1"/>
  <c r="P24" i="6" s="1"/>
  <c r="P23" i="6" s="1"/>
  <c r="P22" i="6" s="1"/>
  <c r="P21" i="6" s="1"/>
  <c r="D39" i="14"/>
  <c r="K84" i="16"/>
  <c r="B79" i="16" s="1"/>
  <c r="G22" i="6"/>
  <c r="E21" i="6"/>
  <c r="G28" i="6"/>
  <c r="J27" i="6"/>
  <c r="E43" i="6" l="1"/>
  <c r="J35" i="6"/>
  <c r="D34" i="6"/>
  <c r="D37" i="6"/>
  <c r="J49" i="6"/>
  <c r="D29" i="6"/>
  <c r="H37" i="6"/>
  <c r="J26" i="6"/>
  <c r="J46" i="6"/>
  <c r="F38" i="6"/>
  <c r="C37" i="6"/>
  <c r="C33" i="6"/>
  <c r="E44" i="6"/>
  <c r="E15" i="14"/>
  <c r="D41" i="14"/>
  <c r="E42" i="6"/>
  <c r="C36" i="6"/>
  <c r="C43" i="6"/>
  <c r="K80" i="16"/>
  <c r="K81" i="16"/>
  <c r="D32" i="14"/>
  <c r="Q12" i="16"/>
  <c r="Q10" i="16"/>
  <c r="Z41" i="6"/>
  <c r="Z42" i="6" s="1"/>
  <c r="Z43" i="6" s="1"/>
  <c r="Z44" i="6" s="1"/>
  <c r="Z45" i="6" s="1"/>
  <c r="Z46" i="6" s="1"/>
  <c r="Z47" i="6" s="1"/>
  <c r="Z48" i="6" s="1"/>
  <c r="Z49" i="6" s="1"/>
  <c r="Z50" i="6" s="1"/>
  <c r="Z39" i="6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D23" i="14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D50" i="6"/>
  <c r="D32" i="6"/>
  <c r="F28" i="6"/>
  <c r="G50" i="6"/>
  <c r="G49" i="6"/>
  <c r="G38" i="6"/>
  <c r="G37" i="6"/>
  <c r="I47" i="6"/>
  <c r="E46" i="6"/>
  <c r="D36" i="6"/>
  <c r="E36" i="6"/>
  <c r="E39" i="6"/>
  <c r="G31" i="6"/>
  <c r="G40" i="6"/>
  <c r="G46" i="6"/>
  <c r="G36" i="6"/>
  <c r="E34" i="6"/>
  <c r="U19" i="13"/>
  <c r="U30" i="13"/>
  <c r="C53" i="6"/>
  <c r="U20" i="13"/>
  <c r="D21" i="12"/>
  <c r="E8" i="16" s="1"/>
  <c r="B7" i="16" s="1"/>
  <c r="I18" i="8"/>
  <c r="J18" i="8" s="1"/>
  <c r="K18" i="8" s="1"/>
  <c r="O18" i="8" s="1"/>
  <c r="P18" i="8"/>
  <c r="Q18" i="8" s="1"/>
  <c r="R18" i="8" s="1"/>
  <c r="S18" i="8" s="1"/>
  <c r="H4" i="8" s="1"/>
  <c r="R4" i="8" s="1"/>
  <c r="C6" i="14" s="1"/>
  <c r="L18" i="8"/>
  <c r="M18" i="8" s="1"/>
  <c r="N18" i="8" s="1"/>
  <c r="D23" i="12"/>
  <c r="C12" i="14" s="1"/>
  <c r="E12" i="14" s="1"/>
  <c r="B9" i="16"/>
  <c r="B10" i="16" s="1"/>
  <c r="C43" i="12" s="1"/>
  <c r="D43" i="12" s="1"/>
  <c r="Q13" i="16"/>
  <c r="Q15" i="16"/>
  <c r="Q14" i="16"/>
  <c r="K25" i="13"/>
  <c r="K26" i="13"/>
  <c r="D17" i="13"/>
  <c r="K24" i="13"/>
  <c r="E5" i="6"/>
  <c r="F5" i="6" s="1"/>
  <c r="D64" i="6" s="1"/>
  <c r="D42" i="6"/>
  <c r="D72" i="6"/>
  <c r="D49" i="6"/>
  <c r="D33" i="6"/>
  <c r="G24" i="6"/>
  <c r="J29" i="6"/>
  <c r="E50" i="6"/>
  <c r="F29" i="6"/>
  <c r="G35" i="6"/>
  <c r="G33" i="6"/>
  <c r="G39" i="6"/>
  <c r="G34" i="6"/>
  <c r="G44" i="6"/>
  <c r="G43" i="6"/>
  <c r="E47" i="6"/>
  <c r="B14" i="6"/>
  <c r="D41" i="6"/>
  <c r="D26" i="6"/>
  <c r="H32" i="6"/>
  <c r="D21" i="6"/>
  <c r="D27" i="6"/>
  <c r="D28" i="6"/>
  <c r="J24" i="6"/>
  <c r="F40" i="6"/>
  <c r="D40" i="6"/>
  <c r="D39" i="6"/>
  <c r="G27" i="6"/>
  <c r="D43" i="6"/>
  <c r="D31" i="6"/>
  <c r="D38" i="6"/>
  <c r="F36" i="6"/>
  <c r="D48" i="6"/>
  <c r="H40" i="6"/>
  <c r="J23" i="6"/>
  <c r="E41" i="6"/>
  <c r="J22" i="6"/>
  <c r="D35" i="6"/>
  <c r="D45" i="6"/>
  <c r="G25" i="6"/>
  <c r="E25" i="6"/>
  <c r="D47" i="6"/>
  <c r="G26" i="6"/>
  <c r="G29" i="6"/>
  <c r="D46" i="6"/>
  <c r="J21" i="6"/>
  <c r="F46" i="6"/>
  <c r="F34" i="6"/>
  <c r="F47" i="6"/>
  <c r="H41" i="6"/>
  <c r="H38" i="6"/>
  <c r="H39" i="6"/>
  <c r="E23" i="6"/>
  <c r="E26" i="6"/>
  <c r="H48" i="6"/>
  <c r="H34" i="6"/>
  <c r="H43" i="6"/>
  <c r="H45" i="6"/>
  <c r="H44" i="6"/>
  <c r="H47" i="6"/>
  <c r="H46" i="6"/>
  <c r="E24" i="6"/>
  <c r="H33" i="6"/>
  <c r="H35" i="6"/>
  <c r="H31" i="6"/>
  <c r="H50" i="6"/>
  <c r="E27" i="6"/>
  <c r="E29" i="6"/>
  <c r="H36" i="6"/>
  <c r="H49" i="6"/>
  <c r="J44" i="6"/>
  <c r="J47" i="6"/>
  <c r="J43" i="6"/>
  <c r="C42" i="6"/>
  <c r="C29" i="6"/>
  <c r="C23" i="6"/>
  <c r="C45" i="6"/>
  <c r="C26" i="6"/>
  <c r="C27" i="6"/>
  <c r="C28" i="6"/>
  <c r="F22" i="6"/>
  <c r="F26" i="6"/>
  <c r="J42" i="6"/>
  <c r="J38" i="6"/>
  <c r="J48" i="6"/>
  <c r="J32" i="6"/>
  <c r="J40" i="6"/>
  <c r="E40" i="6"/>
  <c r="E32" i="6"/>
  <c r="E49" i="6"/>
  <c r="J37" i="6"/>
  <c r="J41" i="6"/>
  <c r="D23" i="6"/>
  <c r="F24" i="6"/>
  <c r="C48" i="6"/>
  <c r="J34" i="6"/>
  <c r="C31" i="6"/>
  <c r="C50" i="6"/>
  <c r="C38" i="6"/>
  <c r="C47" i="6"/>
  <c r="C34" i="6"/>
  <c r="C49" i="6"/>
  <c r="E35" i="6"/>
  <c r="E33" i="6"/>
  <c r="C22" i="6"/>
  <c r="C32" i="6"/>
  <c r="F27" i="6"/>
  <c r="F25" i="6"/>
  <c r="J50" i="6"/>
  <c r="J45" i="6"/>
  <c r="J39" i="6"/>
  <c r="J36" i="6"/>
  <c r="J33" i="6"/>
  <c r="E48" i="6"/>
  <c r="D24" i="6"/>
  <c r="E38" i="6"/>
  <c r="C44" i="6"/>
  <c r="C30" i="6"/>
  <c r="C25" i="6"/>
  <c r="C41" i="6"/>
  <c r="C35" i="6"/>
  <c r="E37" i="6"/>
  <c r="H29" i="6"/>
  <c r="I25" i="6"/>
  <c r="I45" i="6"/>
  <c r="I23" i="6"/>
  <c r="I28" i="6"/>
  <c r="H21" i="6"/>
  <c r="I49" i="6"/>
  <c r="I44" i="6"/>
  <c r="I42" i="6"/>
  <c r="H27" i="6"/>
  <c r="I27" i="6"/>
  <c r="F49" i="6"/>
  <c r="F42" i="6"/>
  <c r="F35" i="6"/>
  <c r="F41" i="6"/>
  <c r="F31" i="6"/>
  <c r="I50" i="6"/>
  <c r="I40" i="6"/>
  <c r="I37" i="6"/>
  <c r="I33" i="6"/>
  <c r="I43" i="6"/>
  <c r="I39" i="6"/>
  <c r="H25" i="6"/>
  <c r="I34" i="6"/>
  <c r="H23" i="6"/>
  <c r="I22" i="6"/>
  <c r="F39" i="6"/>
  <c r="H26" i="6"/>
  <c r="I21" i="6"/>
  <c r="F48" i="6"/>
  <c r="F45" i="6"/>
  <c r="F33" i="6"/>
  <c r="I32" i="6"/>
  <c r="I48" i="6"/>
  <c r="I31" i="6"/>
  <c r="I35" i="6"/>
  <c r="H22" i="6"/>
  <c r="F44" i="6"/>
  <c r="F50" i="6"/>
  <c r="I26" i="6"/>
  <c r="F37" i="6"/>
  <c r="F43" i="6"/>
  <c r="I41" i="6"/>
  <c r="I46" i="6"/>
  <c r="I36" i="6"/>
  <c r="D2" i="14"/>
  <c r="K82" i="16" l="1"/>
  <c r="B80" i="16"/>
  <c r="B82" i="16" s="1"/>
  <c r="B83" i="16" s="1"/>
  <c r="B84" i="16" s="1"/>
  <c r="B86" i="16" s="1"/>
  <c r="C46" i="12" s="1"/>
  <c r="D101" i="14" s="1"/>
  <c r="B119" i="14" s="1"/>
  <c r="I53" i="6"/>
  <c r="I54" i="6" s="1"/>
  <c r="G53" i="6"/>
  <c r="G54" i="6" s="1"/>
  <c r="E53" i="6"/>
  <c r="E54" i="6" s="1"/>
  <c r="H53" i="6"/>
  <c r="H54" i="6" s="1"/>
  <c r="J53" i="6"/>
  <c r="J54" i="6" s="1"/>
  <c r="F53" i="6"/>
  <c r="F54" i="6" s="1"/>
  <c r="D53" i="6"/>
  <c r="D54" i="6" s="1"/>
  <c r="C54" i="6"/>
  <c r="D63" i="6" s="1"/>
  <c r="B8" i="16"/>
  <c r="C42" i="12" s="1"/>
  <c r="D42" i="12" s="1"/>
  <c r="D66" i="6"/>
  <c r="A42" i="12"/>
  <c r="I5" i="12"/>
  <c r="D62" i="6"/>
  <c r="E6" i="14"/>
  <c r="D34" i="14"/>
  <c r="C22" i="13"/>
  <c r="C30" i="13"/>
  <c r="D35" i="14"/>
  <c r="G101" i="14"/>
  <c r="G118" i="14" s="1"/>
  <c r="D46" i="12" l="1"/>
  <c r="C32" i="13"/>
  <c r="U11" i="13"/>
  <c r="U32" i="13"/>
  <c r="C26" i="13"/>
  <c r="K29" i="13" s="1"/>
  <c r="D74" i="6"/>
  <c r="D19" i="12" s="1"/>
  <c r="C11" i="14" s="1"/>
  <c r="D68" i="6"/>
  <c r="D75" i="6" s="1"/>
  <c r="B3" i="16" s="1"/>
  <c r="B4" i="16" s="1"/>
  <c r="B5" i="16" s="1"/>
  <c r="D70" i="6"/>
  <c r="D18" i="12" s="1"/>
  <c r="C48" i="13" s="1"/>
  <c r="C51" i="13" s="1"/>
  <c r="C119" i="14"/>
  <c r="G119" i="14"/>
  <c r="C41" i="12" l="1"/>
  <c r="B13" i="16"/>
  <c r="K34" i="13"/>
  <c r="C37" i="13" s="1"/>
  <c r="C33" i="12" s="1"/>
  <c r="C118" i="14"/>
  <c r="C121" i="14" s="1"/>
  <c r="C54" i="13"/>
  <c r="C34" i="12" s="1"/>
  <c r="B34" i="12" s="1"/>
  <c r="D118" i="14"/>
  <c r="D121" i="14" s="1"/>
  <c r="E11" i="14"/>
  <c r="B2" i="14" s="1"/>
  <c r="C2" i="14"/>
  <c r="E101" i="14" s="1"/>
  <c r="D36" i="14"/>
  <c r="E119" i="14"/>
  <c r="F119" i="14" s="1"/>
  <c r="B33" i="12" l="1"/>
  <c r="C36" i="12"/>
  <c r="C31" i="12" s="1"/>
  <c r="D41" i="12"/>
  <c r="C47" i="12"/>
  <c r="D47" i="12" l="1"/>
  <c r="D39" i="12" s="1"/>
  <c r="C39" i="12"/>
  <c r="C49" i="12" s="1"/>
  <c r="C53" i="12" l="1"/>
  <c r="C57" i="12" s="1"/>
  <c r="C101" i="14"/>
  <c r="B118" i="14" s="1"/>
  <c r="F2" i="14"/>
  <c r="G2" i="14" s="1"/>
  <c r="D49" i="12"/>
  <c r="D53" i="12" s="1"/>
  <c r="D57" i="12" s="1"/>
  <c r="E118" i="14" l="1"/>
  <c r="E121" i="14" s="1"/>
  <c r="B121" i="14"/>
  <c r="D58" i="12"/>
  <c r="D62" i="12"/>
  <c r="F118" i="14"/>
  <c r="F121" i="14" s="1"/>
  <c r="C58" i="12"/>
  <c r="C62" i="12"/>
  <c r="D60" i="12" l="1"/>
  <c r="D61" i="12" s="1"/>
  <c r="D64" i="12"/>
  <c r="C60" i="12"/>
  <c r="C61" i="12" s="1"/>
  <c r="C64" i="12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sharedStrings.xml><?xml version="1.0" encoding="utf-8"?>
<sst xmlns="http://schemas.openxmlformats.org/spreadsheetml/2006/main" count="712" uniqueCount="501">
  <si>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</si>
  <si>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</si>
  <si>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</si>
  <si>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</si>
  <si>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</si>
  <si>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</si>
  <si>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</si>
  <si>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</si>
  <si>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</si>
  <si>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</si>
  <si>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</si>
  <si>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</si>
  <si>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</si>
  <si>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</si>
  <si>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</si>
  <si>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</si>
  <si>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</si>
  <si>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</si>
  <si>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</si>
  <si>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</si>
  <si>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</si>
  <si>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</si>
  <si>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</si>
  <si>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</si>
  <si>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</si>
  <si>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</si>
  <si>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</si>
  <si>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</si>
  <si>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</si>
  <si>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</si>
  <si>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</si>
  <si>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</si>
  <si>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</si>
  <si>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</si>
  <si>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</si>
  <si>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</si>
  <si>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</si>
  <si>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</si>
  <si>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</si>
  <si>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</si>
  <si>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</si>
  <si>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</si>
  <si>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</si>
  <si>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</si>
  <si>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</si>
  <si>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</si>
  <si>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</si>
  <si>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</si>
  <si>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</si>
  <si>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</si>
  <si>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</si>
  <si>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</si>
  <si>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</si>
  <si>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</si>
  <si>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</si>
  <si>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</si>
  <si>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</si>
  <si>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</si>
  <si>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</si>
  <si>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</si>
  <si>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</si>
  <si>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</si>
  <si>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</si>
  <si>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</si>
  <si>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</si>
  <si>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</si>
  <si>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</si>
  <si>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</si>
  <si>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</si>
  <si>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</si>
  <si>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</si>
  <si>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</si>
  <si>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</si>
  <si>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</si>
  <si>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</si>
  <si>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</si>
  <si>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</si>
  <si>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</si>
  <si>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</si>
  <si>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</si>
  <si>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</si>
  <si>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</si>
  <si>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</si>
  <si>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</si>
  <si>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</si>
  <si>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</si>
  <si>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</si>
  <si>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</si>
  <si>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</si>
  <si>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</si>
  <si>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</si>
  <si>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</si>
  <si>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</si>
  <si>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</si>
  <si>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</si>
  <si>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</si>
  <si>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</si>
  <si>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</si>
  <si>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</si>
  <si>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</si>
  <si>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</si>
  <si>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Контактное лицо, организация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</si>
  <si>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</si>
  <si>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</si>
  <si>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</si>
  <si>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</si>
  <si>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</si>
  <si>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</si>
  <si>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</si>
  <si>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</si>
  <si>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</si>
  <si>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</si>
  <si>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</si>
  <si>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</si>
  <si>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</si>
  <si>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</si>
  <si>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</si>
  <si>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</si>
  <si>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</si>
  <si>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</si>
  <si>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</si>
  <si>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</si>
  <si>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</si>
  <si>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</si>
  <si>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</si>
  <si>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</si>
  <si>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</si>
  <si>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</si>
  <si>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</si>
  <si>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</si>
  <si>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</si>
  <si>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</si>
  <si>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</si>
  <si>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</si>
  <si>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</si>
  <si>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</si>
  <si>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</si>
  <si>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</si>
  <si>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</si>
  <si>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</si>
  <si>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</si>
  <si>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</si>
  <si>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</si>
  <si>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</si>
  <si>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</si>
  <si>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</si>
  <si>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</si>
  <si>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</si>
  <si>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</si>
  <si>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</si>
  <si>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</si>
  <si>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</si>
  <si>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</si>
  <si>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</si>
  <si>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</si>
  <si>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</si>
  <si>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</si>
  <si>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</si>
  <si>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</si>
  <si>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</si>
  <si>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</si>
  <si>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</si>
  <si>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</si>
  <si>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</si>
  <si>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</si>
  <si>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</si>
  <si>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</si>
  <si>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</si>
  <si>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</si>
  <si>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</si>
  <si>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</si>
  <si>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</si>
  <si>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</si>
  <si>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</si>
  <si>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</si>
  <si>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</si>
  <si>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</si>
  <si>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</si>
  <si>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</si>
  <si>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</si>
  <si>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</si>
  <si>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</si>
  <si>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</si>
  <si>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</si>
  <si>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</si>
  <si>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</si>
  <si>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</si>
  <si>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</si>
  <si>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</si>
  <si>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</si>
  <si>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</si>
  <si>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</si>
  <si>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</si>
  <si>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</si>
  <si>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</si>
  <si>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</si>
  <si>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</si>
  <si>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</si>
  <si>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</si>
  <si>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</si>
  <si>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</si>
  <si>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</si>
  <si>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</si>
  <si>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</si>
  <si>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</si>
  <si>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</si>
  <si>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</si>
  <si>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</si>
  <si>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</si>
  <si>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</si>
  <si>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</si>
  <si>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</si>
  <si>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</si>
  <si>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</si>
  <si>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</si>
  <si>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</si>
  <si>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</si>
  <si>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</si>
  <si>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</si>
  <si>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</si>
  <si>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</si>
  <si>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</si>
  <si>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</si>
  <si>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</si>
  <si>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</si>
  <si>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</si>
  <si>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</si>
  <si>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</si>
  <si>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</si>
  <si>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</si>
  <si>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</si>
  <si>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</si>
  <si>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</si>
  <si>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</si>
  <si>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</si>
  <si>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</si>
  <si>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</si>
  <si>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</si>
  <si>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</si>
  <si>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</si>
  <si>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</si>
  <si>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</si>
  <si>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</si>
  <si>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</si>
  <si>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</si>
  <si>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</si>
  <si>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</si>
  <si>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</si>
  <si>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</si>
  <si>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</si>
  <si>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</si>
  <si>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</si>
  <si>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</si>
  <si>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</si>
  <si>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</si>
  <si>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</si>
  <si>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</si>
  <si>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</si>
  <si>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</si>
  <si>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</si>
  <si>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</si>
  <si>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</si>
  <si>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</si>
  <si>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</si>
  <si>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</si>
  <si>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</si>
  <si>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</si>
  <si>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</si>
  <si>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</si>
  <si>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</si>
  <si>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</si>
  <si>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</si>
  <si>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</si>
  <si>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</si>
  <si>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</si>
  <si>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</si>
  <si>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</si>
  <si>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</si>
  <si>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</si>
  <si>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</si>
  <si>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</si>
  <si>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</si>
  <si>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</si>
  <si>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</si>
  <si>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</si>
  <si>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</si>
  <si>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</si>
  <si>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</si>
  <si>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</si>
  <si>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</si>
  <si>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</si>
  <si>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</si>
  <si>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</si>
  <si>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</si>
  <si>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</si>
  <si>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</si>
  <si>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</si>
  <si>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</si>
  <si>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</si>
  <si>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</si>
  <si>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</si>
  <si>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</si>
  <si>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</si>
  <si>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</si>
  <si>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</si>
  <si>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</si>
  <si>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</si>
  <si>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</si>
  <si>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</si>
  <si>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</si>
  <si>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</si>
  <si>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</si>
  <si>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</si>
  <si>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</si>
  <si>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</si>
  <si>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</si>
  <si>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</si>
  <si>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</si>
  <si>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</si>
  <si>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</si>
  <si>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</si>
  <si>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</si>
  <si>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</si>
  <si>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</si>
  <si>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</si>
  <si>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</si>
  <si>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</si>
  <si>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</si>
  <si>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</si>
  <si>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</si>
  <si>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</si>
  <si>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</si>
  <si>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</si>
  <si>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</si>
  <si>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</si>
  <si>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</si>
  <si>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</si>
  <si>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</si>
  <si>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</si>
  <si>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</si>
  <si>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</si>
  <si>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</si>
  <si>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</si>
  <si>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</si>
  <si>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</si>
  <si>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</si>
  <si>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</si>
  <si>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</si>
  <si>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</si>
  <si>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</si>
  <si>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</si>
  <si>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</si>
  <si>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</si>
  <si>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</si>
  <si>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</si>
  <si>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</si>
  <si>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</si>
  <si>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</si>
  <si>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</si>
  <si>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</si>
  <si>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</si>
  <si>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</si>
  <si>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</si>
  <si>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</si>
  <si>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</si>
  <si>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</si>
  <si>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</si>
  <si>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</si>
  <si>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</si>
  <si>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</si>
  <si>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</si>
  <si>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</si>
  <si>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</si>
  <si>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</si>
  <si>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</si>
  <si>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</si>
  <si>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</si>
  <si>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</si>
  <si>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</si>
  <si>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</si>
  <si>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</si>
  <si>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</si>
  <si>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</si>
  <si>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</si>
  <si>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</si>
  <si>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</si>
  <si>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</si>
  <si>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</si>
  <si>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</si>
  <si>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</si>
  <si>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</si>
  <si>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</si>
  <si>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</si>
  <si>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</si>
  <si>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</si>
  <si>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</si>
  <si>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</si>
  <si>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</si>
  <si>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</si>
  <si>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</si>
  <si>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</si>
  <si>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</si>
  <si>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</si>
  <si>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</si>
  <si>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</si>
  <si>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</si>
  <si>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</si>
  <si>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</si>
  <si>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</si>
  <si>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</si>
  <si>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</si>
  <si>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</si>
  <si>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</si>
  <si>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</si>
  <si>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</si>
  <si>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</si>
  <si>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</si>
  <si>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</si>
  <si>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</si>
  <si>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</si>
  <si>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</si>
  <si>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</si>
  <si>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</si>
  <si>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</si>
  <si>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</si>
  <si>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</si>
  <si>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</si>
  <si>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</si>
  <si>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</si>
  <si>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</si>
  <si>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</si>
  <si>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</si>
  <si>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</si>
  <si>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</si>
  <si>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</si>
  <si>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</si>
  <si>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</si>
  <si>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</si>
  <si>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</si>
  <si>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</si>
  <si>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</si>
  <si>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</si>
  <si>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</si>
  <si>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</si>
  <si>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</si>
  <si>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</si>
  <si>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</si>
  <si>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</si>
  <si>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</si>
  <si>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</si>
  <si>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</si>
  <si>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</si>
  <si>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</si>
  <si>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</si>
  <si>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</si>
  <si>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</si>
  <si>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</si>
  <si>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</si>
  <si>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</si>
  <si>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</si>
  <si>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</si>
  <si>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</si>
  <si>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</si>
  <si>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</si>
  <si>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</si>
  <si>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</si>
  <si>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</si>
  <si>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</si>
  <si>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</si>
  <si>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</si>
  <si>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</si>
  <si>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</si>
  <si>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</si>
  <si>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</si>
  <si>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</si>
  <si>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</si>
  <si>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</si>
  <si>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</si>
  <si>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</si>
  <si>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</si>
  <si>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</si>
  <si>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</si>
  <si>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</si>
  <si>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</si>
  <si>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</si>
  <si>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</si>
  <si>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</si>
  <si>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</si>
  <si>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</si>
  <si>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</si>
  <si>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</si>
  <si>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</si>
  <si>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-</t>
  </si>
  <si>
    <t>Срок поставки</t>
  </si>
  <si>
    <t>term</t>
  </si>
  <si>
    <t>IP 55</t>
  </si>
  <si>
    <t>IP 66</t>
  </si>
  <si>
    <t>24.12.2021</t>
  </si>
  <si>
    <t>Андронова Е. В.</t>
  </si>
  <si>
    <t>Белоруссия</t>
  </si>
  <si>
    <t>ModBus RTU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</si>
</sst>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0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2">
    <xf numFmtId="0" fontId="0" fillId="0" borderId="0"/>
    <xf numFmtId="0" fontId="4" fillId="0" borderId="0"/>
  </cellStyleXfs>
  <cellXfs count="691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0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1" fillId="0" borderId="5" xfId="0" applyFont="1" applyBorder="1"/>
    <xf numFmtId="0" fontId="0" fillId="0" borderId="17" xfId="0" applyBorder="1"/>
    <xf numFmtId="0" fontId="52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3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4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3" fillId="11" borderId="13" xfId="0" applyFont="1" applyFill="1" applyBorder="1"/>
    <xf numFmtId="0" fontId="53" fillId="0" borderId="0" xfId="0" applyFont="1" applyBorder="1"/>
    <xf numFmtId="4" fontId="53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4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5" fillId="0" borderId="28" xfId="0" applyFont="1" applyBorder="1" applyAlignment="1">
      <alignment horizontal="left" vertical="center"/>
    </xf>
    <xf numFmtId="0" fontId="55" fillId="0" borderId="19" xfId="0" applyFont="1" applyFill="1" applyBorder="1" applyAlignment="1">
      <alignment horizontal="right" vertical="center"/>
    </xf>
    <xf numFmtId="0" fontId="55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6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7" fillId="15" borderId="0" xfId="0" applyFont="1" applyFill="1" applyAlignment="1"/>
    <xf numFmtId="0" fontId="58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7" fillId="15" borderId="0" xfId="0" applyFont="1" applyFill="1" applyBorder="1" applyAlignment="1"/>
    <xf numFmtId="0" fontId="58" fillId="15" borderId="0" xfId="0" applyFont="1" applyFill="1" applyBorder="1"/>
    <xf numFmtId="0" fontId="57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8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59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0" fillId="13" borderId="6" xfId="0" applyNumberFormat="1" applyFont="1" applyFill="1" applyBorder="1" applyAlignment="1">
      <alignment horizontal="center" vertical="center"/>
    </xf>
    <xf numFmtId="3" fontId="60" fillId="8" borderId="1" xfId="0" applyNumberFormat="1" applyFont="1" applyFill="1" applyBorder="1" applyAlignment="1">
      <alignment horizontal="center" vertical="center"/>
    </xf>
    <xf numFmtId="3" fontId="60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1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0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1" fillId="0" borderId="40" xfId="0" applyNumberFormat="1" applyFont="1" applyFill="1" applyBorder="1" applyAlignment="1">
      <alignment horizontal="center" vertical="center"/>
    </xf>
    <xf numFmtId="3" fontId="61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1" fillId="0" borderId="61" xfId="0" applyNumberFormat="1" applyFont="1" applyFill="1" applyBorder="1" applyAlignment="1">
      <alignment horizontal="center" vertical="center"/>
    </xf>
    <xf numFmtId="3" fontId="61" fillId="0" borderId="24" xfId="0" applyNumberFormat="1" applyFont="1" applyFill="1" applyBorder="1" applyAlignment="1">
      <alignment horizontal="center" vertical="center"/>
    </xf>
    <xf numFmtId="3" fontId="61" fillId="0" borderId="62" xfId="0" applyNumberFormat="1" applyFont="1" applyFill="1" applyBorder="1" applyAlignment="1">
      <alignment horizontal="center" vertical="center"/>
    </xf>
    <xf numFmtId="3" fontId="61" fillId="0" borderId="4" xfId="0" applyNumberFormat="1" applyFont="1" applyFill="1" applyBorder="1" applyAlignment="1">
      <alignment horizontal="center" vertical="center"/>
    </xf>
    <xf numFmtId="3" fontId="61" fillId="0" borderId="27" xfId="0" applyNumberFormat="1" applyFont="1" applyFill="1" applyBorder="1" applyAlignment="1">
      <alignment horizontal="center" vertical="center"/>
    </xf>
    <xf numFmtId="3" fontId="61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1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0" fillId="13" borderId="65" xfId="0" applyNumberFormat="1" applyFont="1" applyFill="1" applyBorder="1" applyAlignment="1">
      <alignment horizontal="center" vertical="center"/>
    </xf>
    <xf numFmtId="3" fontId="61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1" fillId="0" borderId="67" xfId="0" applyNumberFormat="1" applyFont="1" applyFill="1" applyBorder="1" applyAlignment="1">
      <alignment horizontal="center" vertical="center"/>
    </xf>
    <xf numFmtId="3" fontId="61" fillId="0" borderId="3" xfId="0" applyNumberFormat="1" applyFont="1" applyFill="1" applyBorder="1" applyAlignment="1">
      <alignment horizontal="center" vertical="center"/>
    </xf>
    <xf numFmtId="3" fontId="61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2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2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3" fillId="0" borderId="1" xfId="1" applyFont="1" applyBorder="1" applyAlignment="1">
      <alignment wrapText="1"/>
    </xf>
    <xf numFmtId="169" fontId="63" fillId="0" borderId="1" xfId="1" applyNumberFormat="1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14" fontId="63" fillId="0" borderId="1" xfId="1" applyNumberFormat="1" applyFont="1" applyBorder="1" applyAlignment="1">
      <alignment horizontal="center" vertical="center" wrapText="1"/>
    </xf>
    <xf numFmtId="0" fontId="64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2" fillId="0" borderId="0" xfId="0" applyNumberFormat="1" applyFont="1"/>
    <xf numFmtId="0" fontId="62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2" fillId="0" borderId="0" xfId="0" applyNumberFormat="1" applyFont="1" applyAlignment="1">
      <alignment horizontal="right"/>
    </xf>
    <xf numFmtId="3" fontId="62" fillId="0" borderId="0" xfId="0" applyNumberFormat="1" applyFont="1"/>
    <xf numFmtId="3" fontId="65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53" fillId="8" borderId="28" xfId="0" applyFont="1" applyFill="1" applyBorder="1"/>
    <xf numFmtId="4" fontId="60" fillId="0" borderId="17" xfId="0" applyNumberFormat="1" applyFont="1" applyBorder="1" applyAlignment="1">
      <alignment horizontal="center" vertical="center"/>
    </xf>
    <xf numFmtId="3" fontId="60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5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2" fillId="0" borderId="0" xfId="0" applyFont="1" applyAlignment="1">
      <alignment horizontal="left"/>
    </xf>
    <xf numFmtId="0" fontId="66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7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3" fillId="0" borderId="0" xfId="1" applyFont="1" applyAlignment="1">
      <alignment horizontal="center" vertical="center" wrapText="1"/>
    </xf>
    <xf numFmtId="0" fontId="63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7" fillId="16" borderId="0" xfId="0" applyFont="1" applyFill="1" applyAlignment="1">
      <alignment horizontal="left"/>
    </xf>
    <xf numFmtId="0" fontId="57" fillId="15" borderId="0" xfId="0" applyFont="1" applyFill="1" applyBorder="1" applyAlignment="1">
      <alignment horizontal="left"/>
    </xf>
    <xf numFmtId="0" fontId="57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8" fillId="0" borderId="42" xfId="0" applyFont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69" fillId="8" borderId="28" xfId="0" applyFont="1" applyFill="1" applyBorder="1" applyAlignment="1">
      <alignment horizontal="left" vertical="center"/>
    </xf>
    <xf numFmtId="0" fontId="69" fillId="8" borderId="12" xfId="0" applyFont="1" applyFill="1" applyBorder="1" applyAlignment="1">
      <alignment horizontal="left" vertical="center"/>
    </xf>
    <xf numFmtId="0" fontId="69" fillId="8" borderId="13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8" fillId="0" borderId="6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 wrapText="1"/>
    </xf>
    <xf numFmtId="0" fontId="68" fillId="0" borderId="37" xfId="0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0" fontId="68" fillId="0" borderId="30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/>
    </xf>
    <xf numFmtId="0" fontId="68" fillId="0" borderId="25" xfId="0" applyFont="1" applyBorder="1" applyAlignment="1">
      <alignment horizontal="center" vertical="center"/>
    </xf>
    <xf numFmtId="0" fontId="68" fillId="0" borderId="38" xfId="0" applyFont="1" applyBorder="1" applyAlignment="1">
      <alignment horizontal="center" vertical="center"/>
    </xf>
    <xf numFmtId="0" fontId="68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8" fillId="0" borderId="42" xfId="0" applyFont="1" applyFill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/>
    </xf>
    <xf numFmtId="0" fontId="68" fillId="0" borderId="41" xfId="0" applyFont="1" applyBorder="1" applyAlignment="1">
      <alignment horizontal="center" vertical="center" wrapText="1"/>
    </xf>
    <xf numFmtId="0" fontId="68" fillId="0" borderId="5" xfId="0" applyFont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2">
    <cellStyle name="Обычный" xfId="0" builtinId="0"/>
    <cellStyle name="Обычный 2" xfId="1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8-4810-9CE3-8FB32CBA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68544"/>
        <c:axId val="1"/>
      </c:scatterChart>
      <c:valAx>
        <c:axId val="244268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44268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040252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040253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34" zoomScaleNormal="100" workbookViewId="0">
      <selection activeCell="A44" sqref="A44:IV54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273</v>
      </c>
      <c r="C1" s="355" t="s">
        <v>348</v>
      </c>
      <c r="D1" s="355" t="s">
        <v>349</v>
      </c>
      <c r="E1" s="355" t="s">
        <v>350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351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352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353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385</v>
      </c>
      <c r="B6" s="484">
        <v>95</v>
      </c>
      <c r="C6" s="355"/>
      <c r="D6" s="363">
        <v>44222</v>
      </c>
      <c r="E6" s="357"/>
      <c r="G6" s="357"/>
      <c r="H6" s="357"/>
    </row>
    <row r="7" spans="1:8" s="356" customFormat="1" x14ac:dyDescent="0.25">
      <c r="A7" s="357"/>
      <c r="B7" s="484"/>
      <c r="C7" s="355"/>
      <c r="D7" s="355"/>
      <c r="E7" s="357"/>
      <c r="G7" s="357"/>
      <c r="H7" s="357"/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354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180</v>
      </c>
      <c r="B11" s="484">
        <v>205</v>
      </c>
      <c r="C11" s="355" t="s">
        <v>355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355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355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181</v>
      </c>
      <c r="B14" s="484">
        <v>310</v>
      </c>
      <c r="C14" s="355" t="s">
        <v>355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356</v>
      </c>
      <c r="B15" s="484">
        <v>340</v>
      </c>
      <c r="C15" s="355" t="s">
        <v>355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490</v>
      </c>
      <c r="B16" s="484">
        <v>3650</v>
      </c>
      <c r="C16" s="355" t="s">
        <v>491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366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357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358</v>
      </c>
      <c r="B31" s="355">
        <v>2</v>
      </c>
      <c r="C31" s="355" t="s">
        <v>359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360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361</v>
      </c>
      <c r="B34" s="355" t="s">
        <v>362</v>
      </c>
      <c r="C34" s="355" t="s">
        <v>274</v>
      </c>
      <c r="D34" s="355" t="s">
        <v>363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367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368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371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369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370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372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373</v>
      </c>
      <c r="B42" s="389">
        <v>5400</v>
      </c>
      <c r="C42" s="390" t="s">
        <v>374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179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364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495</v>
      </c>
      <c r="B47" s="461">
        <v>60</v>
      </c>
      <c r="C47" s="383" t="s">
        <v>365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496</v>
      </c>
      <c r="B48" s="461">
        <v>80</v>
      </c>
      <c r="C48" s="383" t="s">
        <v>365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265</v>
      </c>
      <c r="B49" s="463">
        <v>180</v>
      </c>
      <c r="C49" s="384" t="s">
        <v>365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467</v>
      </c>
      <c r="B51" s="464">
        <v>100</v>
      </c>
      <c r="C51" s="465" t="s">
        <v>365</v>
      </c>
      <c r="D51" s="490">
        <v>44364</v>
      </c>
      <c r="E51" s="385"/>
      <c r="F51" s="386"/>
      <c r="G51" s="386"/>
      <c r="H51" s="386"/>
    </row>
    <row r="52" spans="1:8" x14ac:dyDescent="0.25">
      <c r="A52" s="377" t="s">
        <v>468</v>
      </c>
      <c r="B52" s="466">
        <v>240</v>
      </c>
      <c r="C52" s="467" t="s">
        <v>365</v>
      </c>
      <c r="D52" s="490">
        <v>44364</v>
      </c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190</v>
      </c>
      <c r="B54" s="469">
        <f>900-B47</f>
        <v>840</v>
      </c>
      <c r="C54" s="470" t="s">
        <v>365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104</v>
      </c>
      <c r="J1" s="113"/>
    </row>
    <row r="2" spans="1:18" x14ac:dyDescent="0.2">
      <c r="B2" t="s">
        <v>105</v>
      </c>
      <c r="J2" s="113"/>
    </row>
    <row r="3" spans="1:18" s="71" customFormat="1" ht="38.25" x14ac:dyDescent="0.2">
      <c r="B3" s="71" t="s">
        <v>96</v>
      </c>
      <c r="C3" s="71" t="s">
        <v>173</v>
      </c>
      <c r="D3" s="71" t="s">
        <v>336</v>
      </c>
      <c r="E3" s="71" t="s">
        <v>337</v>
      </c>
      <c r="F3" s="71" t="s">
        <v>338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0</v>
      </c>
      <c r="F4">
        <f>E4+C4</f>
        <v>22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0</v>
      </c>
      <c r="F5">
        <f>E5+C5</f>
        <v>41</v>
      </c>
      <c r="J5" s="113"/>
    </row>
    <row r="6" spans="1:18" x14ac:dyDescent="0.2">
      <c r="J6" s="113"/>
    </row>
    <row r="7" spans="1:18" x14ac:dyDescent="0.2">
      <c r="B7" s="186" t="s">
        <v>172</v>
      </c>
      <c r="D7">
        <v>9</v>
      </c>
      <c r="E7" t="s">
        <v>170</v>
      </c>
      <c r="J7" s="113"/>
    </row>
    <row r="8" spans="1:18" x14ac:dyDescent="0.2">
      <c r="B8" s="186"/>
      <c r="J8" s="113"/>
    </row>
    <row r="9" spans="1:18" x14ac:dyDescent="0.2">
      <c r="B9" t="s">
        <v>174</v>
      </c>
      <c r="J9" s="113"/>
    </row>
    <row r="10" spans="1:18" x14ac:dyDescent="0.2">
      <c r="B10" s="186" t="s">
        <v>175</v>
      </c>
      <c r="J10" s="113"/>
    </row>
    <row r="11" spans="1:18" x14ac:dyDescent="0.2">
      <c r="B11" s="186" t="s">
        <v>176</v>
      </c>
      <c r="D11">
        <v>40</v>
      </c>
      <c r="E11" t="s">
        <v>170</v>
      </c>
      <c r="J11" s="113"/>
    </row>
    <row r="12" spans="1:18" x14ac:dyDescent="0.2">
      <c r="B12" s="186" t="s">
        <v>177</v>
      </c>
      <c r="D12">
        <v>60</v>
      </c>
      <c r="E12" t="s">
        <v>170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400.400.850.6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400</v>
      </c>
      <c r="C16" s="65">
        <f>Цена!C16</f>
        <v>400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491" t="s">
        <v>17</v>
      </c>
      <c r="C19" s="492"/>
      <c r="D19" s="492"/>
      <c r="E19" s="492"/>
      <c r="F19" s="492"/>
      <c r="G19" s="492"/>
      <c r="H19" s="492"/>
      <c r="I19" s="492"/>
      <c r="J19" s="492"/>
      <c r="K19" s="492"/>
      <c r="L19" s="492"/>
      <c r="M19" s="492"/>
      <c r="N19" s="492"/>
      <c r="O19" s="492"/>
      <c r="P19" s="492"/>
      <c r="Q19" s="492"/>
      <c r="R19" s="492"/>
      <c r="S19" s="492"/>
      <c r="T19" s="492"/>
      <c r="U19" s="492"/>
      <c r="V19" s="492"/>
      <c r="W19" s="492"/>
      <c r="X19" s="492"/>
      <c r="Y19" s="492"/>
      <c r="Z19" s="492"/>
      <c r="AA19" s="493"/>
    </row>
    <row r="20" spans="1:46" ht="12.75" customHeight="1" thickBot="1" x14ac:dyDescent="0.25">
      <c r="A20" s="494" t="s">
        <v>168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495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495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333</v>
      </c>
      <c r="AQ22" s="308">
        <v>400</v>
      </c>
      <c r="AR22" s="309"/>
      <c r="AS22" s="309"/>
      <c r="AT22" s="112"/>
    </row>
    <row r="23" spans="1:46" x14ac:dyDescent="0.2">
      <c r="A23" s="495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328</v>
      </c>
      <c r="AT23" s="113" t="s">
        <v>327</v>
      </c>
    </row>
    <row r="24" spans="1:46" x14ac:dyDescent="0.2">
      <c r="A24" s="495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495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495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495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495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495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495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495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495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495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333</v>
      </c>
      <c r="AQ33" s="308">
        <v>450</v>
      </c>
      <c r="AR33" s="309" t="s">
        <v>329</v>
      </c>
      <c r="AS33" s="309" t="s">
        <v>331</v>
      </c>
      <c r="AT33" s="309"/>
      <c r="AU33" s="112"/>
      <c r="AW33" s="3"/>
      <c r="AX33" s="3"/>
      <c r="AY33" s="3"/>
      <c r="AZ33" s="3"/>
    </row>
    <row r="34" spans="1:52" x14ac:dyDescent="0.2">
      <c r="A34" s="495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328</v>
      </c>
      <c r="AU34" s="113" t="s">
        <v>327</v>
      </c>
      <c r="AW34" s="3"/>
      <c r="AX34" s="3"/>
      <c r="AY34" s="3"/>
      <c r="AZ34" s="3"/>
    </row>
    <row r="35" spans="1:52" x14ac:dyDescent="0.2">
      <c r="A35" s="495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495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495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495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495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495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495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495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495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495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333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495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328</v>
      </c>
      <c r="AU45" s="113" t="s">
        <v>327</v>
      </c>
      <c r="AW45" s="3"/>
      <c r="AX45" s="3"/>
      <c r="AY45" s="3"/>
      <c r="AZ45" s="3"/>
    </row>
    <row r="46" spans="1:52" x14ac:dyDescent="0.2">
      <c r="A46" s="495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495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495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495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496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330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497" t="s">
        <v>332</v>
      </c>
      <c r="L52" s="498"/>
      <c r="M52" s="498"/>
      <c r="N52" s="498"/>
      <c r="O52" s="498"/>
      <c r="P52" s="498"/>
      <c r="Q52" s="498"/>
      <c r="R52" s="498"/>
      <c r="S52" s="498"/>
      <c r="T52" s="498"/>
      <c r="U52" s="498"/>
      <c r="V52" s="498"/>
      <c r="W52" s="498"/>
      <c r="X52" s="498"/>
      <c r="Y52" s="498"/>
      <c r="Z52" s="498"/>
      <c r="AA52" s="499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334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335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333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328</v>
      </c>
      <c r="AU56" s="113" t="s">
        <v>327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339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340</v>
      </c>
      <c r="D62">
        <f ca="1">OFFSET(B20,MATCH(C16,B21:B50),MATCH(B16,C20:AA20),1,1)</f>
        <v>235</v>
      </c>
      <c r="E62" t="s">
        <v>170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341</v>
      </c>
      <c r="D63">
        <f ca="1">IF(B16&lt;799,OFFSET(B53,1,MATCH(B16,C20:J20),1,1),0)</f>
        <v>9</v>
      </c>
      <c r="E63" t="s">
        <v>170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342</v>
      </c>
      <c r="D64">
        <f>IF(D16=B4,F4,IF(D16=B5,F5,0))</f>
        <v>0</v>
      </c>
      <c r="E64" t="s">
        <v>170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172</v>
      </c>
      <c r="D65">
        <f>D7</f>
        <v>9</v>
      </c>
      <c r="E65" t="s">
        <v>170</v>
      </c>
      <c r="AW65" s="3"/>
      <c r="AX65" s="3"/>
      <c r="AY65" s="3"/>
      <c r="AZ65" s="3"/>
    </row>
    <row r="66" spans="1:52" x14ac:dyDescent="0.2">
      <c r="A66" t="s">
        <v>347</v>
      </c>
      <c r="D66">
        <f>MROUND(РГО!B7*2.5,1)</f>
        <v>23</v>
      </c>
      <c r="E66" t="s">
        <v>170</v>
      </c>
      <c r="AW66" s="3"/>
      <c r="AX66" s="3"/>
      <c r="AY66" s="3"/>
      <c r="AZ66" s="3"/>
    </row>
    <row r="67" spans="1:52" x14ac:dyDescent="0.2">
      <c r="A67" t="s">
        <v>401</v>
      </c>
      <c r="D67">
        <f>1.2*2</f>
        <v>2.4</v>
      </c>
      <c r="E67" t="s">
        <v>170</v>
      </c>
      <c r="AW67" s="3"/>
      <c r="AX67" s="3"/>
      <c r="AY67" s="3"/>
      <c r="AZ67" s="3"/>
    </row>
    <row r="68" spans="1:52" x14ac:dyDescent="0.2">
      <c r="A68" t="s">
        <v>182</v>
      </c>
      <c r="D68">
        <f ca="1">MROUND(D62*0.02,1)</f>
        <v>5</v>
      </c>
      <c r="E68" t="s">
        <v>170</v>
      </c>
      <c r="AP68" s="186" t="s">
        <v>333</v>
      </c>
      <c r="AQ68" s="308">
        <v>600</v>
      </c>
      <c r="AR68" s="309"/>
      <c r="AS68" s="309"/>
      <c r="AT68" s="309" t="s">
        <v>329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328</v>
      </c>
      <c r="AU69" s="113" t="s">
        <v>327</v>
      </c>
      <c r="AW69" s="3"/>
      <c r="AX69" s="3"/>
      <c r="AY69" s="3"/>
      <c r="AZ69" s="3"/>
    </row>
    <row r="70" spans="1:52" x14ac:dyDescent="0.2">
      <c r="A70" t="s">
        <v>343</v>
      </c>
      <c r="D70">
        <f ca="1">D62+D63+D64+D67</f>
        <v>246.4</v>
      </c>
      <c r="E70" t="s">
        <v>170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344</v>
      </c>
      <c r="D72">
        <f>IF(AND(B16&lt;1801,C16&lt;2301),D11,D12)</f>
        <v>40</v>
      </c>
      <c r="E72" t="s">
        <v>170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345</v>
      </c>
      <c r="D74">
        <f ca="1">ROUNDUP(D62+D63+D64+D72,-1)</f>
        <v>290</v>
      </c>
      <c r="E74" t="s">
        <v>170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346</v>
      </c>
      <c r="D75">
        <f ca="1">MROUND(D62+D63+D64+D65-D66-D67+D68,1)</f>
        <v>233</v>
      </c>
      <c r="E75" t="s">
        <v>170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333</v>
      </c>
      <c r="AQ79" s="308">
        <v>650</v>
      </c>
      <c r="AR79" s="309"/>
      <c r="AS79" s="309"/>
      <c r="AT79" s="309" t="s">
        <v>329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328</v>
      </c>
      <c r="AU80" s="113" t="s">
        <v>327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333</v>
      </c>
      <c r="AQ90" s="308">
        <v>700</v>
      </c>
      <c r="AR90" s="309"/>
      <c r="AS90" s="309"/>
      <c r="AT90" s="309" t="s">
        <v>329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328</v>
      </c>
      <c r="AU91" s="113" t="s">
        <v>327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333</v>
      </c>
      <c r="AQ101" s="308">
        <v>750</v>
      </c>
      <c r="AR101" s="309"/>
      <c r="AS101" s="309"/>
      <c r="AT101" s="309" t="s">
        <v>329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328</v>
      </c>
      <c r="AU102" s="113" t="s">
        <v>327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91" t="s">
        <v>106</v>
      </c>
      <c r="AQ1" s="592"/>
      <c r="AR1" s="592" t="s">
        <v>107</v>
      </c>
      <c r="AS1" s="595"/>
      <c r="AV1" s="574" t="s">
        <v>121</v>
      </c>
      <c r="AW1" s="575"/>
      <c r="AX1" s="580" t="s">
        <v>122</v>
      </c>
      <c r="AY1" s="581"/>
      <c r="AZ1" s="581"/>
      <c r="BA1" s="581"/>
      <c r="BB1" s="581"/>
      <c r="BC1" s="581"/>
      <c r="BD1" s="581"/>
      <c r="BE1" s="581"/>
      <c r="BF1" s="582"/>
    </row>
    <row r="2" spans="6:69" ht="22.5" customHeight="1" thickBot="1" x14ac:dyDescent="0.35">
      <c r="F2" s="116"/>
      <c r="G2" s="117"/>
      <c r="H2" s="590"/>
      <c r="I2" s="590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93"/>
      <c r="AQ2" s="594"/>
      <c r="AR2" s="594"/>
      <c r="AS2" s="596"/>
      <c r="AV2" s="576"/>
      <c r="AW2" s="577"/>
      <c r="AX2" s="584">
        <v>5</v>
      </c>
      <c r="AY2" s="565">
        <v>10</v>
      </c>
      <c r="AZ2" s="565">
        <v>20</v>
      </c>
      <c r="BA2" s="565">
        <v>50</v>
      </c>
      <c r="BB2" s="565">
        <v>100</v>
      </c>
      <c r="BC2" s="565">
        <v>300</v>
      </c>
      <c r="BD2" s="565">
        <v>500</v>
      </c>
      <c r="BE2" s="565">
        <v>1000</v>
      </c>
      <c r="BF2" s="567" t="s">
        <v>128</v>
      </c>
    </row>
    <row r="3" spans="6:69" ht="19.5" thickBot="1" x14ac:dyDescent="0.35">
      <c r="F3" s="116"/>
      <c r="G3" s="117" t="s">
        <v>108</v>
      </c>
      <c r="H3" s="597">
        <f>Цена!E16</f>
        <v>6</v>
      </c>
      <c r="I3" s="573"/>
      <c r="J3" s="118" t="s">
        <v>0</v>
      </c>
      <c r="K3" s="119" t="s">
        <v>109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98">
        <v>75</v>
      </c>
      <c r="AQ3" s="599"/>
      <c r="AR3" s="599">
        <v>0.105</v>
      </c>
      <c r="AS3" s="600"/>
      <c r="AV3" s="578"/>
      <c r="AW3" s="579"/>
      <c r="AX3" s="585"/>
      <c r="AY3" s="566"/>
      <c r="AZ3" s="566"/>
      <c r="BA3" s="566"/>
      <c r="BB3" s="566"/>
      <c r="BC3" s="566"/>
      <c r="BD3" s="566"/>
      <c r="BE3" s="566"/>
      <c r="BF3" s="568"/>
    </row>
    <row r="4" spans="6:69" x14ac:dyDescent="0.3">
      <c r="F4" s="116"/>
      <c r="G4" s="117" t="s">
        <v>110</v>
      </c>
      <c r="H4" s="589">
        <f>S18</f>
        <v>1.3876500000000005E-2</v>
      </c>
      <c r="I4" s="589"/>
      <c r="J4" s="118" t="s">
        <v>111</v>
      </c>
      <c r="K4" s="119" t="s">
        <v>112</v>
      </c>
      <c r="L4" s="118"/>
      <c r="M4" s="118"/>
      <c r="N4" s="118"/>
      <c r="O4" s="118"/>
      <c r="P4" s="118"/>
      <c r="Q4" s="118"/>
      <c r="R4" s="120">
        <f>H4*3600</f>
        <v>49.955400000000019</v>
      </c>
      <c r="S4" s="121" t="s">
        <v>113</v>
      </c>
      <c r="T4" s="116"/>
      <c r="U4" s="116"/>
      <c r="V4" s="114"/>
      <c r="AA4" s="114"/>
      <c r="AP4" s="586">
        <v>70</v>
      </c>
      <c r="AQ4" s="587"/>
      <c r="AR4" s="587">
        <v>0.108</v>
      </c>
      <c r="AS4" s="588"/>
      <c r="AV4" s="555" t="s">
        <v>135</v>
      </c>
      <c r="AW4" s="556"/>
      <c r="AX4" s="559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71">
        <v>1.44</v>
      </c>
    </row>
    <row r="5" spans="6:69" x14ac:dyDescent="0.3">
      <c r="F5" s="116"/>
      <c r="G5" s="117" t="s">
        <v>114</v>
      </c>
      <c r="H5" s="569">
        <f>Цена!B16/1000</f>
        <v>0.4</v>
      </c>
      <c r="I5" s="569"/>
      <c r="J5" s="118" t="s">
        <v>115</v>
      </c>
      <c r="K5" s="119" t="s">
        <v>165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86">
        <v>65</v>
      </c>
      <c r="AQ5" s="587"/>
      <c r="AR5" s="587">
        <v>0.104</v>
      </c>
      <c r="AS5" s="588"/>
      <c r="AV5" s="557"/>
      <c r="AW5" s="558"/>
      <c r="AX5" s="560"/>
      <c r="AY5" s="554"/>
      <c r="AZ5" s="554"/>
      <c r="BA5" s="554"/>
      <c r="BB5" s="554"/>
      <c r="BC5" s="554"/>
      <c r="BD5" s="554"/>
      <c r="BE5" s="554"/>
      <c r="BF5" s="572"/>
    </row>
    <row r="6" spans="6:69" x14ac:dyDescent="0.3">
      <c r="F6" s="116"/>
      <c r="G6" s="117" t="s">
        <v>116</v>
      </c>
      <c r="H6" s="569">
        <f>Цена!C16/1000</f>
        <v>0.4</v>
      </c>
      <c r="I6" s="569"/>
      <c r="J6" s="118" t="s">
        <v>115</v>
      </c>
      <c r="K6" s="119" t="s">
        <v>166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86">
        <v>60</v>
      </c>
      <c r="AQ6" s="587"/>
      <c r="AR6" s="587">
        <v>0.1</v>
      </c>
      <c r="AS6" s="588"/>
      <c r="AV6" s="545" t="s">
        <v>139</v>
      </c>
      <c r="AW6" s="546"/>
      <c r="AX6" s="549">
        <v>0.38</v>
      </c>
      <c r="AY6" s="551">
        <v>0.45</v>
      </c>
      <c r="AZ6" s="551">
        <v>0.5</v>
      </c>
      <c r="BA6" s="551">
        <v>0.55000000000000004</v>
      </c>
      <c r="BB6" s="551">
        <v>0.59</v>
      </c>
      <c r="BC6" s="551">
        <v>0.62</v>
      </c>
      <c r="BD6" s="551">
        <v>0.66</v>
      </c>
      <c r="BE6" s="551">
        <v>0.69</v>
      </c>
      <c r="BF6" s="534">
        <v>0.71</v>
      </c>
    </row>
    <row r="7" spans="6:69" ht="19.5" thickBot="1" x14ac:dyDescent="0.35">
      <c r="F7" s="116"/>
      <c r="G7" s="117" t="s">
        <v>117</v>
      </c>
      <c r="H7" s="569">
        <f>H6-H8</f>
        <v>0.25</v>
      </c>
      <c r="I7" s="569"/>
      <c r="J7" s="118" t="s">
        <v>115</v>
      </c>
      <c r="K7" s="119" t="s">
        <v>118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86">
        <v>55</v>
      </c>
      <c r="AQ7" s="587"/>
      <c r="AR7" s="587">
        <v>9.4E-2</v>
      </c>
      <c r="AS7" s="588"/>
      <c r="AV7" s="547"/>
      <c r="AW7" s="548"/>
      <c r="AX7" s="550"/>
      <c r="AY7" s="552"/>
      <c r="AZ7" s="552"/>
      <c r="BA7" s="552"/>
      <c r="BB7" s="552"/>
      <c r="BC7" s="552"/>
      <c r="BD7" s="552"/>
      <c r="BE7" s="552"/>
      <c r="BF7" s="535"/>
    </row>
    <row r="8" spans="6:69" ht="19.5" customHeight="1" thickBot="1" x14ac:dyDescent="0.35">
      <c r="F8" s="116"/>
      <c r="G8" s="122" t="s">
        <v>119</v>
      </c>
      <c r="H8" s="564">
        <f>IF(AND(H6&lt;=1,H6&gt;0.5),0.3,IF(H6&lt;=0.5,0.15,0.5))</f>
        <v>0.15</v>
      </c>
      <c r="I8" s="564"/>
      <c r="J8" s="118" t="s">
        <v>115</v>
      </c>
      <c r="K8" s="119" t="s">
        <v>120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86">
        <v>50</v>
      </c>
      <c r="AQ8" s="587"/>
      <c r="AR8" s="587">
        <v>8.7999999999999995E-2</v>
      </c>
      <c r="AS8" s="588"/>
      <c r="AV8" s="536" t="s">
        <v>140</v>
      </c>
      <c r="AW8" s="537"/>
      <c r="AX8" s="537"/>
      <c r="AY8" s="537"/>
      <c r="AZ8" s="537"/>
      <c r="BA8" s="537"/>
      <c r="BB8" s="537"/>
      <c r="BC8" s="537"/>
      <c r="BD8" s="537"/>
      <c r="BE8" s="537"/>
      <c r="BF8" s="538"/>
    </row>
    <row r="9" spans="6:69" ht="21" customHeight="1" thickBot="1" x14ac:dyDescent="0.35">
      <c r="F9" s="116"/>
      <c r="G9" s="117" t="s">
        <v>123</v>
      </c>
      <c r="H9" s="583">
        <v>1</v>
      </c>
      <c r="I9" s="583"/>
      <c r="J9" s="118" t="s">
        <v>124</v>
      </c>
      <c r="K9" s="119" t="s">
        <v>125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126</v>
      </c>
      <c r="X9" s="124"/>
      <c r="Y9" s="125" t="s">
        <v>127</v>
      </c>
      <c r="Z9" s="124"/>
      <c r="AA9" s="114"/>
      <c r="AP9" s="586">
        <v>45</v>
      </c>
      <c r="AQ9" s="587"/>
      <c r="AR9" s="587">
        <v>8.1000000000000003E-2</v>
      </c>
      <c r="AS9" s="588"/>
      <c r="AV9" s="539"/>
      <c r="AW9" s="540"/>
      <c r="AX9" s="540"/>
      <c r="AY9" s="540"/>
      <c r="AZ9" s="540"/>
      <c r="BA9" s="540"/>
      <c r="BB9" s="540"/>
      <c r="BC9" s="540"/>
      <c r="BD9" s="540"/>
      <c r="BE9" s="540"/>
      <c r="BF9" s="541"/>
    </row>
    <row r="10" spans="6:69" ht="20.25" customHeight="1" x14ac:dyDescent="0.3">
      <c r="F10" s="116"/>
      <c r="G10" s="117" t="s">
        <v>129</v>
      </c>
      <c r="H10" s="573">
        <v>0.7</v>
      </c>
      <c r="I10" s="573"/>
      <c r="J10" s="118" t="s">
        <v>124</v>
      </c>
      <c r="K10" s="119" t="s">
        <v>130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131</v>
      </c>
      <c r="Z10" s="129"/>
      <c r="AA10" s="114"/>
      <c r="AP10" s="586">
        <v>40</v>
      </c>
      <c r="AQ10" s="587"/>
      <c r="AR10" s="587">
        <v>7.3999999999999996E-2</v>
      </c>
      <c r="AS10" s="588"/>
      <c r="AV10" s="539"/>
      <c r="AW10" s="540"/>
      <c r="AX10" s="540"/>
      <c r="AY10" s="540"/>
      <c r="AZ10" s="540"/>
      <c r="BA10" s="540"/>
      <c r="BB10" s="540"/>
      <c r="BC10" s="540"/>
      <c r="BD10" s="540"/>
      <c r="BE10" s="540"/>
      <c r="BF10" s="541"/>
    </row>
    <row r="11" spans="6:69" ht="18.75" customHeight="1" x14ac:dyDescent="0.3">
      <c r="F11" s="116"/>
      <c r="G11" s="117" t="s">
        <v>132</v>
      </c>
      <c r="H11" s="573">
        <f>IF(H3&lt;=8,6,IF(OR(8&lt;H3,H3&lt;=16),8,IF(H3&gt;16,10,0)))</f>
        <v>6</v>
      </c>
      <c r="I11" s="573"/>
      <c r="J11" s="118" t="s">
        <v>0</v>
      </c>
      <c r="K11" s="119" t="s">
        <v>133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134</v>
      </c>
      <c r="Z11" s="133"/>
      <c r="AA11" s="114"/>
      <c r="AP11" s="586">
        <v>35</v>
      </c>
      <c r="AQ11" s="587"/>
      <c r="AR11" s="587">
        <v>6.6000000000000003E-2</v>
      </c>
      <c r="AS11" s="588"/>
      <c r="AV11" s="539"/>
      <c r="AW11" s="540"/>
      <c r="AX11" s="540"/>
      <c r="AY11" s="540"/>
      <c r="AZ11" s="540"/>
      <c r="BA11" s="540"/>
      <c r="BB11" s="540"/>
      <c r="BC11" s="540"/>
      <c r="BD11" s="540"/>
      <c r="BE11" s="540"/>
      <c r="BF11" s="541"/>
    </row>
    <row r="12" spans="6:69" ht="21" customHeight="1" thickBot="1" x14ac:dyDescent="0.35">
      <c r="F12" s="116"/>
      <c r="G12" s="117" t="s">
        <v>136</v>
      </c>
      <c r="H12" s="561">
        <v>2.7</v>
      </c>
      <c r="I12" s="561"/>
      <c r="J12" s="134"/>
      <c r="K12" s="119" t="s">
        <v>137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138</v>
      </c>
      <c r="Z12" s="138"/>
      <c r="AA12" s="114"/>
      <c r="AP12" s="570">
        <v>30</v>
      </c>
      <c r="AQ12" s="562"/>
      <c r="AR12" s="562">
        <v>5.6000000000000001E-2</v>
      </c>
      <c r="AS12" s="563"/>
      <c r="AV12" s="539"/>
      <c r="AW12" s="540"/>
      <c r="AX12" s="540"/>
      <c r="AY12" s="540"/>
      <c r="AZ12" s="540"/>
      <c r="BA12" s="540"/>
      <c r="BB12" s="540"/>
      <c r="BC12" s="540"/>
      <c r="BD12" s="540"/>
      <c r="BE12" s="540"/>
      <c r="BF12" s="541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42"/>
      <c r="AW13" s="543"/>
      <c r="AX13" s="543"/>
      <c r="AY13" s="543"/>
      <c r="AZ13" s="543"/>
      <c r="BA13" s="543"/>
      <c r="BB13" s="543"/>
      <c r="BC13" s="543"/>
      <c r="BD13" s="543"/>
      <c r="BE13" s="543"/>
      <c r="BF13" s="544"/>
    </row>
    <row r="14" spans="6:69" ht="22.5" customHeight="1" thickBot="1" x14ac:dyDescent="0.35">
      <c r="F14" s="114"/>
      <c r="G14" s="114"/>
      <c r="H14" s="507" t="s">
        <v>141</v>
      </c>
      <c r="I14" s="508"/>
      <c r="J14" s="508"/>
      <c r="K14" s="508"/>
      <c r="L14" s="508"/>
      <c r="M14" s="508"/>
      <c r="N14" s="509"/>
      <c r="O14" s="516" t="s">
        <v>142</v>
      </c>
      <c r="P14" s="517"/>
      <c r="Q14" s="517"/>
      <c r="R14" s="517"/>
      <c r="S14" s="517" t="s">
        <v>143</v>
      </c>
      <c r="T14" s="517"/>
      <c r="U14" s="517"/>
      <c r="V14" s="522"/>
      <c r="W14" s="525" t="s">
        <v>144</v>
      </c>
      <c r="X14" s="525"/>
      <c r="Y14" s="525"/>
      <c r="Z14" s="525"/>
      <c r="AA14" s="525"/>
      <c r="AB14" s="525"/>
      <c r="AC14" s="525"/>
      <c r="AD14" s="525"/>
      <c r="AE14" s="525"/>
      <c r="AF14" s="525"/>
      <c r="AG14" s="525"/>
      <c r="AH14" s="525"/>
      <c r="AI14" s="525"/>
      <c r="AJ14" s="525"/>
      <c r="AK14" s="525"/>
      <c r="AL14" s="525"/>
      <c r="AM14" s="525"/>
      <c r="AN14" s="525"/>
      <c r="AO14" s="525"/>
      <c r="AP14" s="525"/>
      <c r="AQ14" s="525"/>
      <c r="AR14" s="525"/>
      <c r="AS14" s="525"/>
      <c r="AT14" s="525"/>
      <c r="AU14" s="525"/>
      <c r="AV14" s="525"/>
      <c r="AW14" s="525"/>
      <c r="AX14" s="525"/>
      <c r="AY14" s="525"/>
      <c r="AZ14" s="525"/>
      <c r="BA14" s="525"/>
      <c r="BB14" s="525"/>
      <c r="BC14" s="525"/>
      <c r="BD14" s="525"/>
      <c r="BE14" s="525"/>
      <c r="BF14" s="525"/>
      <c r="BG14" s="525"/>
      <c r="BH14" s="525"/>
      <c r="BI14" s="525"/>
      <c r="BJ14" s="525"/>
      <c r="BK14" s="525"/>
      <c r="BL14" s="525"/>
      <c r="BM14" s="525"/>
      <c r="BN14" s="525"/>
      <c r="BO14" s="525"/>
      <c r="BP14" s="525"/>
      <c r="BQ14" s="526"/>
    </row>
    <row r="15" spans="6:69" ht="20.25" customHeight="1" x14ac:dyDescent="0.3">
      <c r="F15" s="114"/>
      <c r="G15" s="146"/>
      <c r="H15" s="510"/>
      <c r="I15" s="511"/>
      <c r="J15" s="511"/>
      <c r="K15" s="511"/>
      <c r="L15" s="511"/>
      <c r="M15" s="511"/>
      <c r="N15" s="512"/>
      <c r="O15" s="518"/>
      <c r="P15" s="519"/>
      <c r="Q15" s="519"/>
      <c r="R15" s="519"/>
      <c r="S15" s="519"/>
      <c r="T15" s="519"/>
      <c r="U15" s="519"/>
      <c r="V15" s="523"/>
      <c r="W15" s="527" t="s">
        <v>145</v>
      </c>
      <c r="X15" s="528"/>
      <c r="Y15" s="531">
        <v>70</v>
      </c>
      <c r="Z15" s="532"/>
      <c r="AA15" s="532"/>
      <c r="AB15" s="532"/>
      <c r="AC15" s="533"/>
      <c r="AD15" s="501">
        <v>65</v>
      </c>
      <c r="AE15" s="502"/>
      <c r="AF15" s="502"/>
      <c r="AG15" s="502"/>
      <c r="AH15" s="503"/>
      <c r="AI15" s="501">
        <v>60</v>
      </c>
      <c r="AJ15" s="502"/>
      <c r="AK15" s="502"/>
      <c r="AL15" s="502"/>
      <c r="AM15" s="503"/>
      <c r="AN15" s="501">
        <v>55</v>
      </c>
      <c r="AO15" s="502"/>
      <c r="AP15" s="502"/>
      <c r="AQ15" s="502"/>
      <c r="AR15" s="503"/>
      <c r="AS15" s="501">
        <v>50</v>
      </c>
      <c r="AT15" s="502"/>
      <c r="AU15" s="502"/>
      <c r="AV15" s="502"/>
      <c r="AW15" s="503"/>
      <c r="AX15" s="501">
        <v>45</v>
      </c>
      <c r="AY15" s="502"/>
      <c r="AZ15" s="502"/>
      <c r="BA15" s="502"/>
      <c r="BB15" s="503"/>
      <c r="BC15" s="501">
        <v>40</v>
      </c>
      <c r="BD15" s="502"/>
      <c r="BE15" s="502"/>
      <c r="BF15" s="502"/>
      <c r="BG15" s="503"/>
      <c r="BH15" s="501">
        <v>35</v>
      </c>
      <c r="BI15" s="502"/>
      <c r="BJ15" s="502"/>
      <c r="BK15" s="502"/>
      <c r="BL15" s="503"/>
      <c r="BM15" s="501">
        <v>30</v>
      </c>
      <c r="BN15" s="502"/>
      <c r="BO15" s="502"/>
      <c r="BP15" s="502"/>
      <c r="BQ15" s="503"/>
    </row>
    <row r="16" spans="6:69" ht="19.5" thickBot="1" x14ac:dyDescent="0.35">
      <c r="F16" s="114"/>
      <c r="G16" s="146"/>
      <c r="H16" s="513"/>
      <c r="I16" s="514"/>
      <c r="J16" s="514"/>
      <c r="K16" s="514"/>
      <c r="L16" s="514"/>
      <c r="M16" s="514"/>
      <c r="N16" s="515"/>
      <c r="O16" s="520"/>
      <c r="P16" s="521"/>
      <c r="Q16" s="521"/>
      <c r="R16" s="521"/>
      <c r="S16" s="521"/>
      <c r="T16" s="521"/>
      <c r="U16" s="521"/>
      <c r="V16" s="524"/>
      <c r="W16" s="529"/>
      <c r="X16" s="530"/>
      <c r="Y16" s="531"/>
      <c r="Z16" s="532"/>
      <c r="AA16" s="532"/>
      <c r="AB16" s="532"/>
      <c r="AC16" s="533"/>
      <c r="AD16" s="504"/>
      <c r="AE16" s="505"/>
      <c r="AF16" s="505"/>
      <c r="AG16" s="505"/>
      <c r="AH16" s="506"/>
      <c r="AI16" s="504"/>
      <c r="AJ16" s="505"/>
      <c r="AK16" s="505"/>
      <c r="AL16" s="505"/>
      <c r="AM16" s="506"/>
      <c r="AN16" s="504"/>
      <c r="AO16" s="505"/>
      <c r="AP16" s="505"/>
      <c r="AQ16" s="505"/>
      <c r="AR16" s="506"/>
      <c r="AS16" s="504"/>
      <c r="AT16" s="505"/>
      <c r="AU16" s="505"/>
      <c r="AV16" s="505"/>
      <c r="AW16" s="506"/>
      <c r="AX16" s="504"/>
      <c r="AY16" s="505"/>
      <c r="AZ16" s="505"/>
      <c r="BA16" s="505"/>
      <c r="BB16" s="506"/>
      <c r="BC16" s="504"/>
      <c r="BD16" s="505"/>
      <c r="BE16" s="505"/>
      <c r="BF16" s="505"/>
      <c r="BG16" s="506"/>
      <c r="BH16" s="504"/>
      <c r="BI16" s="505"/>
      <c r="BJ16" s="505"/>
      <c r="BK16" s="505"/>
      <c r="BL16" s="506"/>
      <c r="BM16" s="504"/>
      <c r="BN16" s="505"/>
      <c r="BO16" s="505"/>
      <c r="BP16" s="505"/>
      <c r="BQ16" s="506"/>
    </row>
    <row r="17" spans="1:69" ht="144.75" thickBot="1" x14ac:dyDescent="0.35">
      <c r="F17" s="114"/>
      <c r="G17" s="147" t="s">
        <v>146</v>
      </c>
      <c r="H17" s="148" t="s">
        <v>147</v>
      </c>
      <c r="I17" s="149" t="s">
        <v>148</v>
      </c>
      <c r="J17" s="149" t="s">
        <v>149</v>
      </c>
      <c r="K17" s="150" t="s">
        <v>150</v>
      </c>
      <c r="L17" s="149" t="s">
        <v>151</v>
      </c>
      <c r="M17" s="149" t="s">
        <v>152</v>
      </c>
      <c r="N17" s="151" t="s">
        <v>153</v>
      </c>
      <c r="O17" s="152" t="s">
        <v>154</v>
      </c>
      <c r="P17" s="152" t="s">
        <v>155</v>
      </c>
      <c r="Q17" s="153" t="s">
        <v>156</v>
      </c>
      <c r="R17" s="154" t="s">
        <v>157</v>
      </c>
      <c r="S17" s="154" t="s">
        <v>158</v>
      </c>
      <c r="T17" s="154" t="s">
        <v>159</v>
      </c>
      <c r="U17" s="154" t="s">
        <v>160</v>
      </c>
      <c r="V17" s="155" t="s">
        <v>161</v>
      </c>
      <c r="W17" s="156" t="s">
        <v>162</v>
      </c>
      <c r="X17" s="157" t="s">
        <v>163</v>
      </c>
      <c r="Y17" s="158" t="s">
        <v>157</v>
      </c>
      <c r="Z17" s="159" t="s">
        <v>158</v>
      </c>
      <c r="AA17" s="159" t="s">
        <v>159</v>
      </c>
      <c r="AB17" s="159" t="s">
        <v>160</v>
      </c>
      <c r="AC17" s="160" t="s">
        <v>161</v>
      </c>
      <c r="AD17" s="158" t="s">
        <v>157</v>
      </c>
      <c r="AE17" s="159" t="s">
        <v>158</v>
      </c>
      <c r="AF17" s="159" t="s">
        <v>159</v>
      </c>
      <c r="AG17" s="159" t="s">
        <v>164</v>
      </c>
      <c r="AH17" s="160" t="s">
        <v>161</v>
      </c>
      <c r="AI17" s="158" t="s">
        <v>157</v>
      </c>
      <c r="AJ17" s="159" t="s">
        <v>158</v>
      </c>
      <c r="AK17" s="159" t="s">
        <v>159</v>
      </c>
      <c r="AL17" s="159" t="s">
        <v>160</v>
      </c>
      <c r="AM17" s="160" t="s">
        <v>161</v>
      </c>
      <c r="AN17" s="158" t="s">
        <v>157</v>
      </c>
      <c r="AO17" s="159" t="s">
        <v>158</v>
      </c>
      <c r="AP17" s="159" t="s">
        <v>159</v>
      </c>
      <c r="AQ17" s="159" t="s">
        <v>160</v>
      </c>
      <c r="AR17" s="160" t="s">
        <v>161</v>
      </c>
      <c r="AS17" s="158" t="s">
        <v>157</v>
      </c>
      <c r="AT17" s="159" t="s">
        <v>158</v>
      </c>
      <c r="AU17" s="159" t="s">
        <v>159</v>
      </c>
      <c r="AV17" s="159" t="s">
        <v>160</v>
      </c>
      <c r="AW17" s="160" t="s">
        <v>161</v>
      </c>
      <c r="AX17" s="158" t="s">
        <v>157</v>
      </c>
      <c r="AY17" s="159" t="s">
        <v>158</v>
      </c>
      <c r="AZ17" s="159" t="s">
        <v>159</v>
      </c>
      <c r="BA17" s="159" t="s">
        <v>160</v>
      </c>
      <c r="BB17" s="160" t="s">
        <v>161</v>
      </c>
      <c r="BC17" s="158" t="s">
        <v>157</v>
      </c>
      <c r="BD17" s="159" t="s">
        <v>158</v>
      </c>
      <c r="BE17" s="159" t="s">
        <v>159</v>
      </c>
      <c r="BF17" s="159" t="s">
        <v>160</v>
      </c>
      <c r="BG17" s="160" t="s">
        <v>161</v>
      </c>
      <c r="BH17" s="158" t="s">
        <v>157</v>
      </c>
      <c r="BI17" s="159" t="s">
        <v>158</v>
      </c>
      <c r="BJ17" s="159" t="s">
        <v>159</v>
      </c>
      <c r="BK17" s="159" t="s">
        <v>160</v>
      </c>
      <c r="BL17" s="160" t="s">
        <v>161</v>
      </c>
      <c r="BM17" s="158" t="s">
        <v>157</v>
      </c>
      <c r="BN17" s="159" t="s">
        <v>158</v>
      </c>
      <c r="BO17" s="159" t="s">
        <v>159</v>
      </c>
      <c r="BP17" s="159" t="s">
        <v>160</v>
      </c>
      <c r="BQ17" s="160" t="s">
        <v>161</v>
      </c>
    </row>
    <row r="18" spans="1:69" x14ac:dyDescent="0.3">
      <c r="F18" s="114"/>
      <c r="G18" s="161">
        <f>H3</f>
        <v>6</v>
      </c>
      <c r="H18" s="162">
        <f>H5*1000</f>
        <v>400</v>
      </c>
      <c r="I18" s="163">
        <f>((((ROUNDUP((((H18/2)-30)-1.5-G18-80)/(H3+$H$11),0))*(H3+$H$11))+1.5)*2)+160</f>
        <v>331</v>
      </c>
      <c r="J18" s="163">
        <f>H18-I18</f>
        <v>69</v>
      </c>
      <c r="K18" s="163">
        <f>J18/2</f>
        <v>34.5</v>
      </c>
      <c r="L18" s="163">
        <f>((((((((ROUNDUP((((H18/2)-30)-1.5-H3-80)/(H3+$H$11),0)))))+1)*(H3+$H$11))+1.5)*2)+160</f>
        <v>355</v>
      </c>
      <c r="M18" s="163">
        <f>H18-L18</f>
        <v>45</v>
      </c>
      <c r="N18" s="164">
        <f>M18/2</f>
        <v>22.5</v>
      </c>
      <c r="O18" s="165">
        <f>IF(K18&gt;50,L18,I18)</f>
        <v>331</v>
      </c>
      <c r="P18" s="166">
        <f>(((((ROUNDUP((((H18/2)-30)-1.5-H3-80)/(H3+$H$11),0))))))*2</f>
        <v>14</v>
      </c>
      <c r="Q18" s="166">
        <f>P18-1</f>
        <v>13</v>
      </c>
      <c r="R18" s="167">
        <f>($H$6-$H$8-$AR$3)*((H3/1000)*(Q18+1)+0.003)</f>
        <v>1.2615000000000003E-2</v>
      </c>
      <c r="S18" s="168">
        <f>R18*T18</f>
        <v>1.3876500000000005E-2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00" t="e">
        <f>#REF!/#REF!</f>
        <v>#REF!</v>
      </c>
      <c r="B20" s="500"/>
      <c r="C20" s="500"/>
      <c r="D20" s="500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tabSelected="1" zoomScaleNormal="100" workbookViewId="0">
      <selection activeCell="I23" sqref="I23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185</v>
      </c>
      <c r="B1" s="202"/>
      <c r="C1" s="207"/>
      <c r="D1" s="207"/>
      <c r="E1" s="202"/>
      <c r="F1" s="202"/>
      <c r="G1" s="202"/>
      <c r="H1" s="202"/>
      <c r="I1" s="202"/>
      <c r="J1" s="601"/>
      <c r="K1" s="601"/>
      <c r="L1" s="601"/>
      <c r="M1" s="601"/>
      <c r="N1" s="601"/>
      <c r="O1" s="601"/>
      <c r="P1" s="601"/>
      <c r="Q1" s="601"/>
      <c r="R1" s="601"/>
      <c r="S1" s="601"/>
      <c r="T1" s="601"/>
      <c r="U1" s="601"/>
      <c r="V1" s="601"/>
      <c r="W1" s="601"/>
      <c r="X1" s="601"/>
      <c r="Y1" s="601"/>
      <c r="Z1" s="601"/>
      <c r="AA1" s="601"/>
      <c r="AB1" s="601"/>
      <c r="AC1" s="601"/>
      <c r="AD1" s="601"/>
      <c r="AE1" s="601"/>
      <c r="AF1" s="601"/>
      <c r="AG1" s="601"/>
      <c r="AH1" s="601"/>
      <c r="AI1" s="601"/>
      <c r="AJ1" s="601"/>
      <c r="AK1" s="601"/>
      <c r="AL1" s="601"/>
      <c r="AM1" s="601"/>
      <c r="AN1" s="601"/>
      <c r="AO1" s="601"/>
      <c r="AP1" s="601"/>
      <c r="AQ1" s="601"/>
      <c r="AR1" s="601"/>
      <c r="AS1" s="601"/>
      <c r="AT1" s="601"/>
      <c r="AU1" s="601"/>
      <c r="AV1" s="601"/>
      <c r="AW1" s="601"/>
      <c r="AX1" s="601"/>
      <c r="AY1" s="601"/>
      <c r="AZ1" s="601"/>
      <c r="BA1" s="601"/>
      <c r="BB1" s="601"/>
      <c r="BC1" s="601"/>
      <c r="BD1" s="601"/>
      <c r="BE1" s="601"/>
      <c r="BF1" s="601"/>
      <c r="BG1" s="601"/>
      <c r="BH1" s="601"/>
      <c r="BI1" s="601"/>
      <c r="BJ1" s="601"/>
      <c r="BK1" s="601"/>
      <c r="BL1" s="601"/>
      <c r="BM1" s="601"/>
      <c r="BN1" s="601"/>
      <c r="BO1" s="601"/>
      <c r="BP1" s="601"/>
      <c r="BQ1" s="601"/>
      <c r="BR1" s="601"/>
      <c r="BS1" s="601"/>
      <c r="BT1" s="601"/>
      <c r="BU1" s="601"/>
      <c r="BV1" s="601"/>
      <c r="BW1" s="601"/>
      <c r="BX1" s="601"/>
      <c r="BY1" s="601"/>
      <c r="BZ1" s="601"/>
      <c r="CA1" s="601"/>
      <c r="CB1" s="601"/>
      <c r="CC1" s="601"/>
      <c r="CD1" s="601"/>
      <c r="CE1" s="601"/>
      <c r="CF1" s="601"/>
      <c r="CG1" s="601"/>
      <c r="CH1" s="601"/>
      <c r="CI1" s="601"/>
      <c r="CJ1" s="601"/>
      <c r="CK1" s="601"/>
      <c r="CL1" s="601"/>
      <c r="CM1" s="601"/>
      <c r="CN1" s="601"/>
      <c r="CO1" s="601"/>
      <c r="CP1" s="601"/>
      <c r="CQ1" s="601"/>
      <c r="CR1" s="601"/>
      <c r="CS1" s="601"/>
      <c r="CT1" s="601"/>
      <c r="CU1" s="601"/>
      <c r="CV1" s="601"/>
      <c r="CW1" s="601"/>
      <c r="CX1" s="601"/>
      <c r="CY1" s="601"/>
      <c r="CZ1" s="601"/>
      <c r="DA1" s="601"/>
      <c r="DB1" s="601"/>
      <c r="DC1" s="601"/>
      <c r="DD1" s="601"/>
      <c r="DE1" s="601"/>
      <c r="DF1" s="601"/>
      <c r="DG1" s="601"/>
      <c r="DH1" s="601"/>
      <c r="DI1" s="601"/>
      <c r="DJ1" s="601"/>
      <c r="DK1" s="601"/>
      <c r="DL1" s="601"/>
      <c r="DM1" s="601"/>
      <c r="DN1" s="601"/>
      <c r="DO1" s="601"/>
      <c r="DP1" s="601"/>
      <c r="DQ1" s="601"/>
      <c r="DR1" s="601"/>
      <c r="DS1" s="601"/>
      <c r="DT1" s="601"/>
      <c r="DU1" s="601"/>
      <c r="DV1" s="601"/>
      <c r="DW1" s="601"/>
      <c r="DX1" s="601"/>
      <c r="DY1" s="601"/>
      <c r="DZ1" s="601"/>
      <c r="EA1" s="601"/>
      <c r="EB1" s="601"/>
      <c r="EC1" s="601"/>
      <c r="ED1" s="601"/>
      <c r="EE1" s="601"/>
      <c r="EF1" s="601"/>
      <c r="EG1" s="601"/>
      <c r="EH1" s="601"/>
      <c r="EI1" s="601"/>
      <c r="EJ1" s="601"/>
      <c r="EK1" s="601"/>
      <c r="EL1" s="601"/>
      <c r="EM1" s="601"/>
      <c r="EN1" s="601"/>
      <c r="EO1" s="601"/>
      <c r="EP1" s="601"/>
      <c r="EQ1" s="601"/>
      <c r="ER1" s="601"/>
      <c r="ES1" s="601"/>
      <c r="ET1" s="601"/>
      <c r="EU1" s="601"/>
      <c r="EV1" s="601"/>
      <c r="EW1" s="601"/>
      <c r="EX1" s="601"/>
      <c r="EY1" s="601"/>
      <c r="EZ1" s="601"/>
      <c r="FA1" s="601"/>
      <c r="FB1" s="601"/>
      <c r="FC1" s="601"/>
      <c r="FD1" s="601"/>
      <c r="FE1" s="601"/>
      <c r="FF1" s="601"/>
      <c r="FG1" s="601"/>
      <c r="FH1" s="601"/>
      <c r="FI1" s="601"/>
      <c r="FJ1" s="601"/>
      <c r="FK1" s="601"/>
      <c r="FL1" s="601"/>
      <c r="FM1" s="601"/>
      <c r="FN1" s="601"/>
      <c r="FO1" s="601"/>
      <c r="FP1" s="601"/>
      <c r="FQ1" s="601"/>
      <c r="FR1" s="601"/>
      <c r="FS1" s="601"/>
      <c r="FT1" s="601"/>
      <c r="FU1" s="601"/>
      <c r="FV1" s="601"/>
      <c r="FW1" s="601"/>
      <c r="FX1" s="601"/>
      <c r="FY1" s="601"/>
      <c r="FZ1" s="601"/>
      <c r="GA1" s="601"/>
      <c r="GB1" s="601"/>
      <c r="GC1" s="601"/>
      <c r="GD1" s="601"/>
      <c r="GE1" s="601"/>
      <c r="GF1" s="601"/>
      <c r="GG1" s="601"/>
      <c r="GH1" s="601"/>
      <c r="GI1" s="601"/>
      <c r="GJ1" s="601"/>
      <c r="GK1" s="601"/>
      <c r="GL1" s="601"/>
      <c r="GM1" s="601"/>
      <c r="GN1" s="601"/>
      <c r="GO1" s="601"/>
      <c r="GP1" s="601"/>
      <c r="GQ1" s="601"/>
      <c r="GR1" s="601"/>
      <c r="GS1" s="601"/>
      <c r="GT1" s="601"/>
      <c r="GU1" s="601"/>
      <c r="GV1" s="601"/>
      <c r="GW1" s="601"/>
      <c r="GX1" s="601"/>
      <c r="GY1" s="601"/>
      <c r="GZ1" s="601"/>
      <c r="HA1" s="601"/>
      <c r="HB1" s="601"/>
      <c r="HC1" s="601"/>
      <c r="HD1" s="601"/>
      <c r="HE1" s="601"/>
      <c r="HF1" s="601"/>
      <c r="HG1" s="601"/>
      <c r="HH1" s="601"/>
      <c r="HI1" s="601"/>
      <c r="HJ1" s="601"/>
      <c r="HK1" s="601"/>
      <c r="HL1" s="601"/>
      <c r="HM1" s="601"/>
      <c r="HN1" s="601"/>
      <c r="HO1" s="601"/>
      <c r="HP1" s="601"/>
      <c r="HQ1" s="601"/>
      <c r="HR1" s="601"/>
      <c r="HS1" s="601"/>
      <c r="HT1" s="601"/>
      <c r="HU1" s="601"/>
      <c r="HV1" s="601"/>
      <c r="HW1" s="601"/>
      <c r="HX1" s="601"/>
      <c r="HY1" s="601"/>
      <c r="HZ1" s="601"/>
      <c r="IA1" s="601"/>
      <c r="IB1" s="601"/>
      <c r="IC1" s="601"/>
      <c r="ID1" s="601"/>
      <c r="IE1" s="601"/>
      <c r="IF1" s="601"/>
      <c r="IG1" s="601"/>
      <c r="IH1" s="601"/>
      <c r="II1" s="601"/>
      <c r="IJ1" s="601"/>
      <c r="IK1" s="601"/>
      <c r="IL1" s="601"/>
      <c r="IM1" s="601"/>
      <c r="IN1" s="601"/>
      <c r="IO1" s="601"/>
      <c r="IP1" s="601"/>
      <c r="IQ1" s="601"/>
      <c r="IR1" s="601"/>
      <c r="IS1" s="601"/>
      <c r="IT1" s="601"/>
    </row>
    <row r="2" spans="1:254" ht="13.5" thickBot="1" x14ac:dyDescent="0.25">
      <c r="A2" s="182" t="s">
        <v>85</v>
      </c>
      <c r="B2" s="242" t="s">
        <v>497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0 0 (8544) 24.12.21</v>
      </c>
      <c r="J2" t="s">
        <v>268</v>
      </c>
    </row>
    <row r="3" spans="1:254" ht="12.75" customHeight="1" x14ac:dyDescent="0.2">
      <c r="A3" s="182" t="s">
        <v>184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8544 0 0 24.12.21</v>
      </c>
      <c r="J3" s="616"/>
      <c r="K3" s="617"/>
      <c r="L3" s="618"/>
    </row>
    <row r="4" spans="1:254" x14ac:dyDescent="0.2">
      <c r="A4" s="182" t="s">
        <v>98</v>
      </c>
      <c r="B4" s="475" t="s">
        <v>498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400.400.850.6</v>
      </c>
      <c r="J4" s="619"/>
      <c r="K4" s="620"/>
      <c r="L4" s="621"/>
    </row>
    <row r="5" spans="1:254" x14ac:dyDescent="0.2">
      <c r="A5" s="182" t="s">
        <v>169</v>
      </c>
      <c r="B5" s="475" t="s">
        <v>499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400.400.850.6 (AISI 201; 0,37 кВт.; IP55; с ШУ и ВПУ)</v>
      </c>
      <c r="J5" s="619"/>
      <c r="K5" s="620"/>
      <c r="L5" s="621"/>
    </row>
    <row r="6" spans="1:254" x14ac:dyDescent="0.2">
      <c r="A6" s="182" t="s">
        <v>99</v>
      </c>
      <c r="B6" s="475">
        <v>0</v>
      </c>
      <c r="C6" s="243"/>
      <c r="D6" s="244"/>
      <c r="E6" s="181"/>
      <c r="F6" s="181"/>
      <c r="G6" s="181"/>
      <c r="H6" s="181"/>
      <c r="I6" s="181"/>
      <c r="J6" s="619"/>
      <c r="K6" s="620"/>
      <c r="L6" s="621"/>
      <c r="O6" t="s">
        <v>466</v>
      </c>
      <c r="P6" t="s">
        <v>179</v>
      </c>
      <c r="Q6" t="s">
        <v>180</v>
      </c>
    </row>
    <row r="7" spans="1:254" ht="12.75" customHeight="1" x14ac:dyDescent="0.2">
      <c r="A7" s="182" t="s">
        <v>100</v>
      </c>
      <c r="B7" s="475">
        <v>0</v>
      </c>
      <c r="C7" s="243"/>
      <c r="D7" s="244"/>
      <c r="E7" s="181"/>
      <c r="F7" s="181"/>
      <c r="G7" s="181"/>
      <c r="H7" s="181"/>
      <c r="I7" s="181"/>
      <c r="J7" s="619"/>
      <c r="K7" s="620"/>
      <c r="L7" s="621"/>
      <c r="O7" t="s">
        <v>102</v>
      </c>
      <c r="P7" t="s">
        <v>402</v>
      </c>
      <c r="Q7" t="s">
        <v>86</v>
      </c>
    </row>
    <row r="8" spans="1:254" ht="12.75" customHeight="1" thickBot="1" x14ac:dyDescent="0.25">
      <c r="A8" s="182" t="s">
        <v>266</v>
      </c>
      <c r="B8" s="475">
        <v>0</v>
      </c>
      <c r="C8" s="243"/>
      <c r="D8" s="244"/>
      <c r="E8" s="181"/>
      <c r="F8" s="181"/>
      <c r="G8" s="181"/>
      <c r="H8" s="181"/>
      <c r="I8" s="181"/>
      <c r="J8" s="622"/>
      <c r="K8" s="623"/>
      <c r="L8" s="624"/>
      <c r="O8" t="s">
        <v>464</v>
      </c>
      <c r="P8" t="s">
        <v>102</v>
      </c>
      <c r="Q8" t="s">
        <v>87</v>
      </c>
    </row>
    <row r="9" spans="1:254" x14ac:dyDescent="0.2">
      <c r="A9" s="181" t="s">
        <v>171</v>
      </c>
      <c r="B9" s="246">
        <v>8544</v>
      </c>
      <c r="C9" s="243"/>
      <c r="D9" s="244"/>
      <c r="E9" s="181"/>
      <c r="F9" s="181"/>
      <c r="G9" s="181"/>
      <c r="H9" s="181"/>
      <c r="I9" s="181"/>
      <c r="O9" t="s">
        <v>465</v>
      </c>
      <c r="Q9" t="s">
        <v>181</v>
      </c>
    </row>
    <row r="10" spans="1:254" x14ac:dyDescent="0.2">
      <c r="A10" s="182" t="s">
        <v>183</v>
      </c>
      <c r="B10" s="475" t="s">
        <v>492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101</v>
      </c>
      <c r="B11" s="475">
        <v>0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209</v>
      </c>
      <c r="B13" s="202"/>
      <c r="C13" s="203"/>
      <c r="D13" s="203"/>
      <c r="E13" s="202"/>
      <c r="F13" s="202"/>
      <c r="G13" s="202"/>
      <c r="H13" s="202"/>
      <c r="I13" s="202"/>
      <c r="J13" s="601"/>
      <c r="K13" s="601"/>
      <c r="L13" s="601"/>
      <c r="M13" s="601"/>
      <c r="N13" s="601"/>
      <c r="O13" s="601"/>
      <c r="P13" s="601"/>
      <c r="Q13" s="601"/>
      <c r="R13" s="601"/>
      <c r="S13" s="601"/>
      <c r="T13" s="601"/>
      <c r="U13" s="601"/>
      <c r="V13" s="601"/>
      <c r="W13" s="601"/>
      <c r="X13" s="601"/>
      <c r="Y13" s="601"/>
      <c r="Z13" s="601"/>
      <c r="AA13" s="601"/>
      <c r="AB13" s="601"/>
      <c r="AC13" s="601"/>
      <c r="AD13" s="601"/>
      <c r="AE13" s="601"/>
      <c r="AF13" s="601"/>
      <c r="AG13" s="601"/>
      <c r="AH13" s="601"/>
      <c r="AI13" s="601"/>
      <c r="AJ13" s="601"/>
      <c r="AK13" s="601"/>
      <c r="AL13" s="601"/>
      <c r="AM13" s="601"/>
      <c r="AN13" s="601"/>
      <c r="AO13" s="601"/>
      <c r="AP13" s="601"/>
      <c r="AQ13" s="601"/>
      <c r="AR13" s="601"/>
      <c r="AS13" s="601"/>
      <c r="AT13" s="601"/>
      <c r="AU13" s="601"/>
      <c r="AV13" s="601"/>
      <c r="AW13" s="601"/>
      <c r="AX13" s="601"/>
      <c r="AY13" s="601"/>
      <c r="AZ13" s="601"/>
      <c r="BA13" s="601"/>
      <c r="BB13" s="601"/>
      <c r="BC13" s="601"/>
      <c r="BD13" s="601"/>
      <c r="BE13" s="601"/>
      <c r="BF13" s="601"/>
      <c r="BG13" s="601"/>
      <c r="BH13" s="601"/>
      <c r="BI13" s="601"/>
      <c r="BJ13" s="601"/>
      <c r="BK13" s="601"/>
      <c r="BL13" s="601"/>
      <c r="BM13" s="601"/>
      <c r="BN13" s="601"/>
      <c r="BO13" s="601"/>
      <c r="BP13" s="601"/>
      <c r="BQ13" s="601"/>
      <c r="BR13" s="601"/>
      <c r="BS13" s="601"/>
      <c r="BT13" s="601"/>
      <c r="BU13" s="601"/>
      <c r="BV13" s="601"/>
      <c r="BW13" s="601"/>
      <c r="BX13" s="601"/>
      <c r="BY13" s="601"/>
      <c r="BZ13" s="601"/>
      <c r="CA13" s="601"/>
      <c r="CB13" s="601"/>
      <c r="CC13" s="601"/>
      <c r="CD13" s="601"/>
      <c r="CE13" s="601"/>
      <c r="CF13" s="601"/>
      <c r="CG13" s="601"/>
      <c r="CH13" s="601"/>
      <c r="CI13" s="601"/>
      <c r="CJ13" s="601"/>
      <c r="CK13" s="601"/>
      <c r="CL13" s="601"/>
      <c r="CM13" s="601"/>
      <c r="CN13" s="601"/>
      <c r="CO13" s="601"/>
      <c r="CP13" s="601"/>
      <c r="CQ13" s="601"/>
      <c r="CR13" s="601"/>
      <c r="CS13" s="601"/>
      <c r="CT13" s="601"/>
      <c r="CU13" s="601"/>
      <c r="CV13" s="601"/>
      <c r="CW13" s="601"/>
      <c r="CX13" s="601"/>
      <c r="CY13" s="601"/>
      <c r="CZ13" s="601"/>
      <c r="DA13" s="601"/>
      <c r="DB13" s="601"/>
      <c r="DC13" s="601"/>
      <c r="DD13" s="601"/>
      <c r="DE13" s="601"/>
      <c r="DF13" s="601"/>
      <c r="DG13" s="601"/>
      <c r="DH13" s="601"/>
      <c r="DI13" s="601"/>
      <c r="DJ13" s="601"/>
      <c r="DK13" s="601"/>
      <c r="DL13" s="601"/>
      <c r="DM13" s="601"/>
      <c r="DN13" s="601"/>
      <c r="DO13" s="601"/>
      <c r="DP13" s="601"/>
      <c r="DQ13" s="601"/>
      <c r="DR13" s="601"/>
      <c r="DS13" s="601"/>
      <c r="DT13" s="601"/>
      <c r="DU13" s="601"/>
      <c r="DV13" s="601"/>
      <c r="DW13" s="601"/>
      <c r="DX13" s="601"/>
      <c r="DY13" s="601"/>
      <c r="DZ13" s="601"/>
      <c r="EA13" s="601"/>
      <c r="EB13" s="601"/>
      <c r="EC13" s="601"/>
      <c r="ED13" s="601"/>
      <c r="EE13" s="601"/>
      <c r="EF13" s="601"/>
      <c r="EG13" s="601"/>
      <c r="EH13" s="601"/>
      <c r="EI13" s="601"/>
      <c r="EJ13" s="601"/>
      <c r="EK13" s="601"/>
      <c r="EL13" s="601"/>
      <c r="EM13" s="601"/>
      <c r="EN13" s="601"/>
      <c r="EO13" s="601"/>
      <c r="EP13" s="601"/>
      <c r="EQ13" s="601"/>
      <c r="ER13" s="601"/>
      <c r="ES13" s="601"/>
      <c r="ET13" s="601"/>
      <c r="EU13" s="601"/>
      <c r="EV13" s="601"/>
      <c r="EW13" s="601"/>
      <c r="EX13" s="601"/>
      <c r="EY13" s="601"/>
      <c r="EZ13" s="601"/>
      <c r="FA13" s="601"/>
      <c r="FB13" s="601"/>
      <c r="FC13" s="601"/>
      <c r="FD13" s="601"/>
      <c r="FE13" s="601"/>
      <c r="FF13" s="601"/>
      <c r="FG13" s="601"/>
      <c r="FH13" s="601"/>
      <c r="FI13" s="601"/>
      <c r="FJ13" s="601"/>
      <c r="FK13" s="601"/>
      <c r="FL13" s="601"/>
      <c r="FM13" s="601"/>
      <c r="FN13" s="601"/>
      <c r="FO13" s="601"/>
      <c r="FP13" s="601"/>
      <c r="FQ13" s="601"/>
      <c r="FR13" s="601"/>
      <c r="FS13" s="601"/>
      <c r="FT13" s="601"/>
      <c r="FU13" s="601"/>
      <c r="FV13" s="601"/>
      <c r="FW13" s="601"/>
      <c r="FX13" s="601"/>
      <c r="FY13" s="601"/>
      <c r="FZ13" s="601"/>
      <c r="GA13" s="601"/>
      <c r="GB13" s="601"/>
      <c r="GC13" s="601"/>
      <c r="GD13" s="601"/>
      <c r="GE13" s="601"/>
      <c r="GF13" s="601"/>
      <c r="GG13" s="601"/>
      <c r="GH13" s="601"/>
      <c r="GI13" s="601"/>
      <c r="GJ13" s="601"/>
      <c r="GK13" s="601"/>
      <c r="GL13" s="601"/>
      <c r="GM13" s="601"/>
      <c r="GN13" s="601"/>
      <c r="GO13" s="601"/>
      <c r="GP13" s="601"/>
      <c r="GQ13" s="601"/>
      <c r="GR13" s="601"/>
      <c r="GS13" s="601"/>
      <c r="GT13" s="601"/>
      <c r="GU13" s="601"/>
      <c r="GV13" s="601"/>
      <c r="GW13" s="601"/>
      <c r="GX13" s="601"/>
      <c r="GY13" s="601"/>
      <c r="GZ13" s="601"/>
      <c r="HA13" s="601"/>
      <c r="HB13" s="601"/>
      <c r="HC13" s="601"/>
      <c r="HD13" s="601"/>
      <c r="HE13" s="601"/>
      <c r="HF13" s="601"/>
      <c r="HG13" s="601"/>
      <c r="HH13" s="601"/>
      <c r="HI13" s="601"/>
      <c r="HJ13" s="601"/>
      <c r="HK13" s="601"/>
      <c r="HL13" s="601"/>
      <c r="HM13" s="601"/>
      <c r="HN13" s="601"/>
      <c r="HO13" s="601"/>
      <c r="HP13" s="601"/>
      <c r="HQ13" s="601"/>
      <c r="HR13" s="601"/>
      <c r="HS13" s="601"/>
      <c r="HT13" s="601"/>
      <c r="HU13" s="601"/>
      <c r="HV13" s="601"/>
      <c r="HW13" s="601"/>
      <c r="HX13" s="601"/>
      <c r="HY13" s="601"/>
      <c r="HZ13" s="601"/>
      <c r="IA13" s="601"/>
      <c r="IB13" s="601"/>
      <c r="IC13" s="601"/>
      <c r="ID13" s="601"/>
      <c r="IE13" s="601"/>
      <c r="IF13" s="601"/>
      <c r="IG13" s="601"/>
      <c r="IH13" s="601"/>
      <c r="II13" s="601"/>
      <c r="IJ13" s="601"/>
      <c r="IK13" s="601"/>
      <c r="IL13" s="601"/>
      <c r="IM13" s="601"/>
      <c r="IN13" s="601"/>
      <c r="IO13" s="601"/>
      <c r="IP13" s="601"/>
      <c r="IQ13" s="601"/>
      <c r="IR13" s="601"/>
      <c r="IS13" s="601"/>
      <c r="IT13" s="60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400</v>
      </c>
      <c r="C16" s="190">
        <v>400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04" t="s">
        <v>97</v>
      </c>
      <c r="B18" s="608" t="s">
        <v>477</v>
      </c>
      <c r="C18" s="609"/>
      <c r="D18" s="460">
        <f ca="1">ROUNDUP(ТХ!D70,1)</f>
        <v>246.4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06"/>
      <c r="B19" s="614" t="s">
        <v>375</v>
      </c>
      <c r="C19" s="615"/>
      <c r="D19" s="211">
        <f ca="1">ТХ!D74</f>
        <v>290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04" t="s">
        <v>461</v>
      </c>
      <c r="B20" s="608" t="s">
        <v>397</v>
      </c>
      <c r="C20" s="609"/>
      <c r="D20" s="213">
        <f>CEILING((C16+D16+900)/SIN(75*PI()/180)/10,5)*10</f>
        <v>2250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05"/>
      <c r="B21" s="610" t="s">
        <v>395</v>
      </c>
      <c r="C21" s="611"/>
      <c r="D21" s="210">
        <f>D20-650</f>
        <v>1600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06"/>
      <c r="B22" s="614" t="s">
        <v>396</v>
      </c>
      <c r="C22" s="615"/>
      <c r="D22" s="217">
        <f>C16-IF(C16&lt;=1200,0,250)</f>
        <v>400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07"/>
      <c r="B23" s="610" t="s">
        <v>275</v>
      </c>
      <c r="C23" s="611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04" t="s">
        <v>197</v>
      </c>
      <c r="B24" s="608" t="s">
        <v>198</v>
      </c>
      <c r="C24" s="609"/>
      <c r="D24" s="471" t="s">
        <v>180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05"/>
      <c r="B25" s="610" t="s">
        <v>199</v>
      </c>
      <c r="C25" s="611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x14ac:dyDescent="0.2">
      <c r="A26" s="606"/>
      <c r="B26" s="610" t="s">
        <v>179</v>
      </c>
      <c r="C26" s="611"/>
      <c r="D26" s="472" t="s">
        <v>402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07"/>
      <c r="B27" s="612" t="s">
        <v>463</v>
      </c>
      <c r="C27" s="613"/>
      <c r="D27" s="473" t="s">
        <v>500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205</v>
      </c>
      <c r="D29" s="216" t="s">
        <v>206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191</v>
      </c>
      <c r="B30" s="195"/>
      <c r="E30" s="195"/>
      <c r="F30" s="195"/>
      <c r="G30" s="195"/>
      <c r="H30" s="195"/>
      <c r="I30" s="195"/>
      <c r="J30" s="603"/>
      <c r="K30" s="603"/>
      <c r="L30" s="603"/>
      <c r="M30" s="603"/>
      <c r="N30" s="603"/>
      <c r="O30" s="603"/>
      <c r="P30" s="603"/>
      <c r="Q30" s="603"/>
      <c r="R30" s="603"/>
      <c r="S30" s="603"/>
      <c r="T30" s="603"/>
      <c r="U30" s="603"/>
      <c r="V30" s="603"/>
      <c r="W30" s="603"/>
      <c r="X30" s="603"/>
      <c r="Y30" s="603"/>
      <c r="Z30" s="603"/>
      <c r="AA30" s="603"/>
      <c r="AB30" s="603"/>
      <c r="AC30" s="603"/>
      <c r="AD30" s="603"/>
      <c r="AE30" s="603"/>
      <c r="AF30" s="603"/>
      <c r="AG30" s="603"/>
      <c r="AH30" s="603"/>
      <c r="AI30" s="603"/>
      <c r="AJ30" s="603"/>
      <c r="AK30" s="603"/>
      <c r="AL30" s="603"/>
      <c r="AM30" s="603"/>
      <c r="AN30" s="603"/>
      <c r="AO30" s="603"/>
      <c r="AP30" s="603"/>
      <c r="AQ30" s="603"/>
      <c r="AR30" s="603"/>
      <c r="AS30" s="603"/>
      <c r="AT30" s="603"/>
      <c r="AU30" s="603"/>
      <c r="AV30" s="603"/>
      <c r="AW30" s="603"/>
      <c r="AX30" s="603"/>
      <c r="AY30" s="603"/>
      <c r="AZ30" s="603"/>
      <c r="BA30" s="603"/>
      <c r="BB30" s="603"/>
      <c r="BC30" s="603"/>
      <c r="BD30" s="603"/>
      <c r="BE30" s="603"/>
      <c r="BF30" s="603"/>
      <c r="BG30" s="603"/>
      <c r="BH30" s="603"/>
      <c r="BI30" s="603"/>
      <c r="BJ30" s="603"/>
      <c r="BK30" s="603"/>
      <c r="BL30" s="603"/>
      <c r="BM30" s="603"/>
      <c r="BN30" s="603"/>
      <c r="BO30" s="603"/>
      <c r="BP30" s="603"/>
      <c r="BQ30" s="603"/>
      <c r="BR30" s="603"/>
      <c r="BS30" s="603"/>
      <c r="BT30" s="603"/>
      <c r="BU30" s="603"/>
      <c r="BV30" s="603"/>
      <c r="BW30" s="603"/>
      <c r="BX30" s="603"/>
      <c r="BY30" s="603"/>
      <c r="BZ30" s="603"/>
      <c r="CA30" s="603"/>
      <c r="CB30" s="603"/>
      <c r="CC30" s="603"/>
      <c r="CD30" s="603"/>
      <c r="CE30" s="603"/>
      <c r="CF30" s="603"/>
      <c r="CG30" s="603"/>
      <c r="CH30" s="603"/>
      <c r="CI30" s="603"/>
      <c r="CJ30" s="603"/>
      <c r="CK30" s="603"/>
      <c r="CL30" s="603"/>
      <c r="CM30" s="603"/>
      <c r="CN30" s="603"/>
      <c r="CO30" s="603"/>
      <c r="CP30" s="603"/>
      <c r="CQ30" s="603"/>
      <c r="CR30" s="603"/>
      <c r="CS30" s="603"/>
      <c r="CT30" s="603"/>
      <c r="CU30" s="603"/>
      <c r="CV30" s="603"/>
      <c r="CW30" s="603"/>
      <c r="CX30" s="603"/>
      <c r="CY30" s="603"/>
      <c r="CZ30" s="603"/>
      <c r="DA30" s="603"/>
      <c r="DB30" s="603"/>
      <c r="DC30" s="603"/>
      <c r="DD30" s="603"/>
      <c r="DE30" s="603"/>
      <c r="DF30" s="603"/>
      <c r="DG30" s="603"/>
      <c r="DH30" s="603"/>
      <c r="DI30" s="603"/>
      <c r="DJ30" s="603"/>
      <c r="DK30" s="603"/>
      <c r="DL30" s="603"/>
      <c r="DM30" s="603"/>
      <c r="DN30" s="603"/>
      <c r="DO30" s="603"/>
      <c r="DP30" s="603"/>
      <c r="DQ30" s="603"/>
      <c r="DR30" s="603"/>
      <c r="DS30" s="603"/>
      <c r="DT30" s="603"/>
      <c r="DU30" s="603"/>
      <c r="DV30" s="603"/>
      <c r="DW30" s="603"/>
      <c r="DX30" s="603"/>
      <c r="DY30" s="603"/>
      <c r="DZ30" s="603"/>
      <c r="EA30" s="603"/>
      <c r="EB30" s="603"/>
      <c r="EC30" s="603"/>
      <c r="ED30" s="603"/>
      <c r="EE30" s="603"/>
      <c r="EF30" s="603"/>
      <c r="EG30" s="603"/>
      <c r="EH30" s="603"/>
      <c r="EI30" s="603"/>
      <c r="EJ30" s="603"/>
      <c r="EK30" s="603"/>
      <c r="EL30" s="603"/>
      <c r="EM30" s="603"/>
      <c r="EN30" s="603"/>
      <c r="EO30" s="603"/>
      <c r="EP30" s="603"/>
      <c r="EQ30" s="603"/>
      <c r="ER30" s="603"/>
      <c r="ES30" s="603"/>
      <c r="ET30" s="603"/>
      <c r="EU30" s="603"/>
      <c r="EV30" s="603"/>
      <c r="EW30" s="603"/>
      <c r="EX30" s="603"/>
      <c r="EY30" s="603"/>
      <c r="EZ30" s="603"/>
      <c r="FA30" s="603"/>
      <c r="FB30" s="603"/>
      <c r="FC30" s="603"/>
      <c r="FD30" s="603"/>
      <c r="FE30" s="603"/>
      <c r="FF30" s="603"/>
      <c r="FG30" s="603"/>
      <c r="FH30" s="603"/>
      <c r="FI30" s="603"/>
      <c r="FJ30" s="603"/>
      <c r="FK30" s="603"/>
      <c r="FL30" s="603"/>
      <c r="FM30" s="603"/>
      <c r="FN30" s="603"/>
      <c r="FO30" s="603"/>
      <c r="FP30" s="603"/>
      <c r="FQ30" s="603"/>
      <c r="FR30" s="603"/>
      <c r="FS30" s="603"/>
      <c r="FT30" s="603"/>
      <c r="FU30" s="603"/>
      <c r="FV30" s="603"/>
      <c r="FW30" s="603"/>
      <c r="FX30" s="603"/>
      <c r="FY30" s="603"/>
      <c r="FZ30" s="603"/>
      <c r="GA30" s="603"/>
      <c r="GB30" s="603"/>
      <c r="GC30" s="603"/>
      <c r="GD30" s="603"/>
      <c r="GE30" s="603"/>
      <c r="GF30" s="603"/>
      <c r="GG30" s="603"/>
      <c r="GH30" s="603"/>
      <c r="GI30" s="603"/>
      <c r="GJ30" s="603"/>
      <c r="GK30" s="603"/>
      <c r="GL30" s="603"/>
      <c r="GM30" s="603"/>
      <c r="GN30" s="603"/>
      <c r="GO30" s="603"/>
      <c r="GP30" s="603"/>
      <c r="GQ30" s="603"/>
      <c r="GR30" s="603"/>
      <c r="GS30" s="603"/>
      <c r="GT30" s="603"/>
      <c r="GU30" s="603"/>
      <c r="GV30" s="603"/>
      <c r="GW30" s="603"/>
      <c r="GX30" s="603"/>
      <c r="GY30" s="603"/>
      <c r="GZ30" s="603"/>
      <c r="HA30" s="603"/>
      <c r="HB30" s="603"/>
      <c r="HC30" s="603"/>
      <c r="HD30" s="603"/>
      <c r="HE30" s="603"/>
      <c r="HF30" s="603"/>
      <c r="HG30" s="603"/>
      <c r="HH30" s="603"/>
      <c r="HI30" s="603"/>
      <c r="HJ30" s="603"/>
      <c r="HK30" s="603"/>
      <c r="HL30" s="603"/>
      <c r="HM30" s="603"/>
      <c r="HN30" s="603"/>
      <c r="HO30" s="603"/>
      <c r="HP30" s="603"/>
      <c r="HQ30" s="603"/>
      <c r="HR30" s="603"/>
      <c r="HS30" s="603"/>
      <c r="HT30" s="603"/>
      <c r="HU30" s="603"/>
      <c r="HV30" s="603"/>
      <c r="HW30" s="603"/>
      <c r="HX30" s="603"/>
      <c r="HY30" s="603"/>
      <c r="HZ30" s="603"/>
      <c r="IA30" s="603"/>
      <c r="IB30" s="603"/>
      <c r="IC30" s="603"/>
      <c r="ID30" s="603"/>
      <c r="IE30" s="603"/>
      <c r="IF30" s="603"/>
      <c r="IG30" s="603"/>
      <c r="IH30" s="603"/>
      <c r="II30" s="603"/>
      <c r="IJ30" s="603"/>
      <c r="IK30" s="603"/>
      <c r="IL30" s="603"/>
      <c r="IM30" s="603"/>
      <c r="IN30" s="603"/>
      <c r="IO30" s="603"/>
      <c r="IP30" s="603"/>
      <c r="IQ30" s="603"/>
      <c r="IR30" s="603"/>
      <c r="IS30" s="603"/>
      <c r="IT30" s="603"/>
    </row>
    <row r="31" spans="1:254" s="199" customFormat="1" ht="16.5" customHeight="1" thickBot="1" x14ac:dyDescent="0.4">
      <c r="A31" s="197"/>
      <c r="B31" s="197"/>
      <c r="C31" s="215">
        <f ca="1">SUM(C33:C36)</f>
        <v>218005.74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203 н.ч.</v>
      </c>
      <c r="C33" s="209">
        <f>ФОТ!C37</f>
        <v>62475</v>
      </c>
    </row>
    <row r="34" spans="1:254" x14ac:dyDescent="0.2">
      <c r="A34" s="71" t="s">
        <v>178</v>
      </c>
      <c r="B34" s="110" t="str">
        <f ca="1">CONCATENATE(ROUNDUP(C34/Параметры!B3,0)," н.ч.")</f>
        <v>8 н.ч.</v>
      </c>
      <c r="C34" s="209">
        <f ca="1">ФОТ!C54</f>
        <v>2472</v>
      </c>
    </row>
    <row r="35" spans="1:254" x14ac:dyDescent="0.2">
      <c r="A35" s="71" t="s">
        <v>92</v>
      </c>
      <c r="B35" s="110" t="str">
        <f>CONCATENATE(ROUNDUP(C35/Параметры!B3,0)," н.ч.")</f>
        <v>40 н.ч.</v>
      </c>
      <c r="C35" s="209">
        <f>ФОТ!C45</f>
        <v>12360</v>
      </c>
    </row>
    <row r="36" spans="1:254" ht="25.5" x14ac:dyDescent="0.2">
      <c r="A36" s="71" t="s">
        <v>194</v>
      </c>
      <c r="B36" s="307">
        <f>Параметры!B4</f>
        <v>1.82</v>
      </c>
      <c r="C36" s="209">
        <f ca="1">SUM(C33:C35)*B36</f>
        <v>140698.74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192</v>
      </c>
      <c r="B38" s="200"/>
      <c r="E38" s="200"/>
      <c r="F38" s="200"/>
      <c r="G38" s="200"/>
      <c r="H38" s="200"/>
      <c r="I38" s="200"/>
      <c r="J38" s="602"/>
      <c r="K38" s="602"/>
      <c r="L38" s="602"/>
      <c r="M38" s="602"/>
      <c r="N38" s="602"/>
      <c r="O38" s="602"/>
      <c r="P38" s="602"/>
      <c r="Q38" s="602"/>
      <c r="R38" s="602"/>
      <c r="S38" s="602"/>
      <c r="T38" s="602"/>
      <c r="U38" s="602"/>
      <c r="V38" s="602"/>
      <c r="W38" s="602"/>
      <c r="X38" s="602"/>
      <c r="Y38" s="602"/>
      <c r="Z38" s="602"/>
      <c r="AA38" s="602"/>
      <c r="AB38" s="602"/>
      <c r="AC38" s="602"/>
      <c r="AD38" s="602"/>
      <c r="AE38" s="602"/>
      <c r="AF38" s="602"/>
      <c r="AG38" s="602"/>
      <c r="AH38" s="602"/>
      <c r="AI38" s="602"/>
      <c r="AJ38" s="602"/>
      <c r="AK38" s="602"/>
      <c r="AL38" s="602"/>
      <c r="AM38" s="602"/>
      <c r="AN38" s="602"/>
      <c r="AO38" s="602"/>
      <c r="AP38" s="602"/>
      <c r="AQ38" s="602"/>
      <c r="AR38" s="602"/>
      <c r="AS38" s="602"/>
      <c r="AT38" s="602"/>
      <c r="AU38" s="602"/>
      <c r="AV38" s="602"/>
      <c r="AW38" s="602"/>
      <c r="AX38" s="602"/>
      <c r="AY38" s="602"/>
      <c r="AZ38" s="602"/>
      <c r="BA38" s="602"/>
      <c r="BB38" s="602"/>
      <c r="BC38" s="602"/>
      <c r="BD38" s="602"/>
      <c r="BE38" s="602"/>
      <c r="BF38" s="602"/>
      <c r="BG38" s="602"/>
      <c r="BH38" s="602"/>
      <c r="BI38" s="602"/>
      <c r="BJ38" s="602"/>
      <c r="BK38" s="602"/>
      <c r="BL38" s="602"/>
      <c r="BM38" s="602"/>
      <c r="BN38" s="602"/>
      <c r="BO38" s="602"/>
      <c r="BP38" s="602"/>
      <c r="BQ38" s="602"/>
      <c r="BR38" s="602"/>
      <c r="BS38" s="602"/>
      <c r="BT38" s="602"/>
      <c r="BU38" s="602"/>
      <c r="BV38" s="602"/>
      <c r="BW38" s="602"/>
      <c r="BX38" s="602"/>
      <c r="BY38" s="602"/>
      <c r="BZ38" s="602"/>
      <c r="CA38" s="602"/>
      <c r="CB38" s="602"/>
      <c r="CC38" s="602"/>
      <c r="CD38" s="602"/>
      <c r="CE38" s="602"/>
      <c r="CF38" s="602"/>
      <c r="CG38" s="602"/>
      <c r="CH38" s="602"/>
      <c r="CI38" s="602"/>
      <c r="CJ38" s="602"/>
      <c r="CK38" s="602"/>
      <c r="CL38" s="602"/>
      <c r="CM38" s="602"/>
      <c r="CN38" s="602"/>
      <c r="CO38" s="602"/>
      <c r="CP38" s="602"/>
      <c r="CQ38" s="602"/>
      <c r="CR38" s="602"/>
      <c r="CS38" s="602"/>
      <c r="CT38" s="602"/>
      <c r="CU38" s="602"/>
      <c r="CV38" s="602"/>
      <c r="CW38" s="602"/>
      <c r="CX38" s="602"/>
      <c r="CY38" s="602"/>
      <c r="CZ38" s="602"/>
      <c r="DA38" s="602"/>
      <c r="DB38" s="602"/>
      <c r="DC38" s="602"/>
      <c r="DD38" s="602"/>
      <c r="DE38" s="602"/>
      <c r="DF38" s="602"/>
      <c r="DG38" s="602"/>
      <c r="DH38" s="602"/>
      <c r="DI38" s="602"/>
      <c r="DJ38" s="602"/>
      <c r="DK38" s="602"/>
      <c r="DL38" s="602"/>
      <c r="DM38" s="602"/>
      <c r="DN38" s="602"/>
      <c r="DO38" s="602"/>
      <c r="DP38" s="602"/>
      <c r="DQ38" s="602"/>
      <c r="DR38" s="602"/>
      <c r="DS38" s="602"/>
      <c r="DT38" s="602"/>
      <c r="DU38" s="602"/>
      <c r="DV38" s="602"/>
      <c r="DW38" s="602"/>
      <c r="DX38" s="602"/>
      <c r="DY38" s="602"/>
      <c r="DZ38" s="602"/>
      <c r="EA38" s="602"/>
      <c r="EB38" s="602"/>
      <c r="EC38" s="602"/>
      <c r="ED38" s="602"/>
      <c r="EE38" s="602"/>
      <c r="EF38" s="602"/>
      <c r="EG38" s="602"/>
      <c r="EH38" s="602"/>
      <c r="EI38" s="602"/>
      <c r="EJ38" s="602"/>
      <c r="EK38" s="602"/>
      <c r="EL38" s="602"/>
      <c r="EM38" s="602"/>
      <c r="EN38" s="602"/>
      <c r="EO38" s="602"/>
      <c r="EP38" s="602"/>
      <c r="EQ38" s="602"/>
      <c r="ER38" s="602"/>
      <c r="ES38" s="602"/>
      <c r="ET38" s="602"/>
      <c r="EU38" s="602"/>
      <c r="EV38" s="602"/>
      <c r="EW38" s="602"/>
      <c r="EX38" s="602"/>
      <c r="EY38" s="602"/>
      <c r="EZ38" s="602"/>
      <c r="FA38" s="602"/>
      <c r="FB38" s="602"/>
      <c r="FC38" s="602"/>
      <c r="FD38" s="602"/>
      <c r="FE38" s="602"/>
      <c r="FF38" s="602"/>
      <c r="FG38" s="602"/>
      <c r="FH38" s="602"/>
      <c r="FI38" s="602"/>
      <c r="FJ38" s="602"/>
      <c r="FK38" s="602"/>
      <c r="FL38" s="602"/>
      <c r="FM38" s="602"/>
      <c r="FN38" s="602"/>
      <c r="FO38" s="602"/>
      <c r="FP38" s="602"/>
      <c r="FQ38" s="602"/>
      <c r="FR38" s="602"/>
      <c r="FS38" s="602"/>
      <c r="FT38" s="602"/>
      <c r="FU38" s="602"/>
      <c r="FV38" s="602"/>
      <c r="FW38" s="602"/>
      <c r="FX38" s="602"/>
      <c r="FY38" s="602"/>
      <c r="FZ38" s="602"/>
      <c r="GA38" s="602"/>
      <c r="GB38" s="602"/>
      <c r="GC38" s="602"/>
      <c r="GD38" s="602"/>
      <c r="GE38" s="602"/>
      <c r="GF38" s="602"/>
      <c r="GG38" s="602"/>
      <c r="GH38" s="602"/>
      <c r="GI38" s="602"/>
      <c r="GJ38" s="602"/>
      <c r="GK38" s="602"/>
      <c r="GL38" s="602"/>
      <c r="GM38" s="602"/>
      <c r="GN38" s="602"/>
      <c r="GO38" s="602"/>
      <c r="GP38" s="602"/>
      <c r="GQ38" s="602"/>
      <c r="GR38" s="602"/>
      <c r="GS38" s="602"/>
      <c r="GT38" s="602"/>
      <c r="GU38" s="602"/>
      <c r="GV38" s="602"/>
      <c r="GW38" s="602"/>
      <c r="GX38" s="602"/>
      <c r="GY38" s="602"/>
      <c r="GZ38" s="602"/>
      <c r="HA38" s="602"/>
      <c r="HB38" s="602"/>
      <c r="HC38" s="602"/>
      <c r="HD38" s="602"/>
      <c r="HE38" s="602"/>
      <c r="HF38" s="602"/>
      <c r="HG38" s="602"/>
      <c r="HH38" s="602"/>
      <c r="HI38" s="602"/>
      <c r="HJ38" s="602"/>
      <c r="HK38" s="602"/>
      <c r="HL38" s="602"/>
      <c r="HM38" s="602"/>
      <c r="HN38" s="602"/>
      <c r="HO38" s="602"/>
      <c r="HP38" s="602"/>
      <c r="HQ38" s="602"/>
      <c r="HR38" s="602"/>
      <c r="HS38" s="602"/>
      <c r="HT38" s="602"/>
      <c r="HU38" s="602"/>
      <c r="HV38" s="602"/>
      <c r="HW38" s="602"/>
      <c r="HX38" s="602"/>
      <c r="HY38" s="602"/>
      <c r="HZ38" s="602"/>
      <c r="IA38" s="602"/>
      <c r="IB38" s="602"/>
      <c r="IC38" s="602"/>
      <c r="ID38" s="602"/>
      <c r="IE38" s="602"/>
      <c r="IF38" s="602"/>
      <c r="IG38" s="602"/>
      <c r="IH38" s="602"/>
      <c r="II38" s="602"/>
      <c r="IJ38" s="602"/>
      <c r="IK38" s="602"/>
      <c r="IL38" s="602"/>
      <c r="IM38" s="602"/>
      <c r="IN38" s="602"/>
      <c r="IO38" s="602"/>
      <c r="IP38" s="602"/>
      <c r="IQ38" s="602"/>
      <c r="IR38" s="602"/>
      <c r="IS38" s="602"/>
      <c r="IT38" s="602"/>
    </row>
    <row r="39" spans="1:254" s="199" customFormat="1" ht="16.5" customHeight="1" thickBot="1" x14ac:dyDescent="0.4">
      <c r="A39" s="197"/>
      <c r="B39" s="197"/>
      <c r="C39" s="215">
        <f ca="1">SUM(C41:C47)</f>
        <v>310240.16666666663</v>
      </c>
      <c r="D39" s="215">
        <f ca="1">SUM(D41:D47)</f>
        <v>372288.2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377</v>
      </c>
      <c r="B41" s="110"/>
      <c r="C41" s="209">
        <f ca="1">РГО!B5</f>
        <v>61500</v>
      </c>
      <c r="D41" s="209">
        <f t="shared" ref="D41:D47" ca="1" si="0">C41*1.2</f>
        <v>73800</v>
      </c>
    </row>
    <row r="42" spans="1:254" x14ac:dyDescent="0.2">
      <c r="A42" t="str">
        <f>CONCATENATE("Цепи (",РГО!B7," м.п.)")</f>
        <v>Цепи (9 м.п.)</v>
      </c>
      <c r="B42" s="4"/>
      <c r="C42" s="209">
        <f>РГО!B8</f>
        <v>48600</v>
      </c>
      <c r="D42" s="209">
        <f t="shared" si="0"/>
        <v>58320</v>
      </c>
    </row>
    <row r="43" spans="1:254" x14ac:dyDescent="0.2">
      <c r="A43" t="s">
        <v>175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460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389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190</v>
      </c>
      <c r="B46" s="4"/>
      <c r="C46" s="209">
        <f ca="1">IF(D26="Да",РГО!B86,0)</f>
        <v>97850</v>
      </c>
      <c r="D46" s="209">
        <f t="shared" ca="1" si="0"/>
        <v>117420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9037</v>
      </c>
      <c r="D47" s="209">
        <f t="shared" ca="1" si="0"/>
        <v>10844.4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193</v>
      </c>
      <c r="B49" s="202"/>
      <c r="C49" s="214">
        <f ca="1">MROUND(C31+C39,1)</f>
        <v>528246</v>
      </c>
      <c r="D49" s="214">
        <f ca="1">C49*1.2</f>
        <v>633895.19999999995</v>
      </c>
      <c r="E49" s="202"/>
      <c r="F49" s="202"/>
      <c r="G49" s="202"/>
      <c r="H49" s="202"/>
      <c r="I49" s="202"/>
      <c r="J49" s="601"/>
      <c r="K49" s="601"/>
      <c r="L49" s="601"/>
      <c r="M49" s="601"/>
      <c r="N49" s="601"/>
      <c r="O49" s="601"/>
      <c r="P49" s="601"/>
      <c r="Q49" s="601"/>
      <c r="R49" s="601"/>
      <c r="S49" s="601"/>
      <c r="T49" s="601"/>
      <c r="U49" s="601"/>
      <c r="V49" s="601"/>
      <c r="W49" s="601"/>
      <c r="X49" s="601"/>
      <c r="Y49" s="601"/>
      <c r="Z49" s="601"/>
      <c r="AA49" s="601"/>
      <c r="AB49" s="601"/>
      <c r="AC49" s="601"/>
      <c r="AD49" s="601"/>
      <c r="AE49" s="601"/>
      <c r="AF49" s="601"/>
      <c r="AG49" s="601"/>
      <c r="AH49" s="601"/>
      <c r="AI49" s="601"/>
      <c r="AJ49" s="601"/>
      <c r="AK49" s="601"/>
      <c r="AL49" s="601"/>
      <c r="AM49" s="601"/>
      <c r="AN49" s="601"/>
      <c r="AO49" s="601"/>
      <c r="AP49" s="601"/>
      <c r="AQ49" s="601"/>
      <c r="AR49" s="601"/>
      <c r="AS49" s="601"/>
      <c r="AT49" s="601"/>
      <c r="AU49" s="601"/>
      <c r="AV49" s="601"/>
      <c r="AW49" s="601"/>
      <c r="AX49" s="601"/>
      <c r="AY49" s="601"/>
      <c r="AZ49" s="601"/>
      <c r="BA49" s="601"/>
      <c r="BB49" s="601"/>
      <c r="BC49" s="601"/>
      <c r="BD49" s="601"/>
      <c r="BE49" s="601"/>
      <c r="BF49" s="601"/>
      <c r="BG49" s="601"/>
      <c r="BH49" s="601"/>
      <c r="BI49" s="601"/>
      <c r="BJ49" s="601"/>
      <c r="BK49" s="601"/>
      <c r="BL49" s="601"/>
      <c r="BM49" s="601"/>
      <c r="BN49" s="601"/>
      <c r="BO49" s="601"/>
      <c r="BP49" s="601"/>
      <c r="BQ49" s="601"/>
      <c r="BR49" s="601"/>
      <c r="BS49" s="601"/>
      <c r="BT49" s="601"/>
      <c r="BU49" s="601"/>
      <c r="BV49" s="601"/>
      <c r="BW49" s="601"/>
      <c r="BX49" s="601"/>
      <c r="BY49" s="601"/>
      <c r="BZ49" s="601"/>
      <c r="CA49" s="601"/>
      <c r="CB49" s="601"/>
      <c r="CC49" s="601"/>
      <c r="CD49" s="601"/>
      <c r="CE49" s="601"/>
      <c r="CF49" s="601"/>
      <c r="CG49" s="601"/>
      <c r="CH49" s="601"/>
      <c r="CI49" s="601"/>
      <c r="CJ49" s="601"/>
      <c r="CK49" s="601"/>
      <c r="CL49" s="601"/>
      <c r="CM49" s="601"/>
      <c r="CN49" s="601"/>
      <c r="CO49" s="601"/>
      <c r="CP49" s="601"/>
      <c r="CQ49" s="601"/>
      <c r="CR49" s="601"/>
      <c r="CS49" s="601"/>
      <c r="CT49" s="601"/>
      <c r="CU49" s="601"/>
      <c r="CV49" s="601"/>
      <c r="CW49" s="601"/>
      <c r="CX49" s="601"/>
      <c r="CY49" s="601"/>
      <c r="CZ49" s="601"/>
      <c r="DA49" s="601"/>
      <c r="DB49" s="601"/>
      <c r="DC49" s="601"/>
      <c r="DD49" s="601"/>
      <c r="DE49" s="601"/>
      <c r="DF49" s="601"/>
      <c r="DG49" s="601"/>
      <c r="DH49" s="601"/>
      <c r="DI49" s="601"/>
      <c r="DJ49" s="601"/>
      <c r="DK49" s="601"/>
      <c r="DL49" s="601"/>
      <c r="DM49" s="601"/>
      <c r="DN49" s="601"/>
      <c r="DO49" s="601"/>
      <c r="DP49" s="601"/>
      <c r="DQ49" s="601"/>
      <c r="DR49" s="601"/>
      <c r="DS49" s="601"/>
      <c r="DT49" s="601"/>
      <c r="DU49" s="601"/>
      <c r="DV49" s="601"/>
      <c r="DW49" s="601"/>
      <c r="DX49" s="601"/>
      <c r="DY49" s="601"/>
      <c r="DZ49" s="601"/>
      <c r="EA49" s="601"/>
      <c r="EB49" s="601"/>
      <c r="EC49" s="601"/>
      <c r="ED49" s="601"/>
      <c r="EE49" s="601"/>
      <c r="EF49" s="601"/>
      <c r="EG49" s="601"/>
      <c r="EH49" s="601"/>
      <c r="EI49" s="601"/>
      <c r="EJ49" s="601"/>
      <c r="EK49" s="601"/>
      <c r="EL49" s="601"/>
      <c r="EM49" s="601"/>
      <c r="EN49" s="601"/>
      <c r="EO49" s="601"/>
      <c r="EP49" s="601"/>
      <c r="EQ49" s="601"/>
      <c r="ER49" s="601"/>
      <c r="ES49" s="601"/>
      <c r="ET49" s="601"/>
      <c r="EU49" s="601"/>
      <c r="EV49" s="601"/>
      <c r="EW49" s="601"/>
      <c r="EX49" s="601"/>
      <c r="EY49" s="601"/>
      <c r="EZ49" s="601"/>
      <c r="FA49" s="601"/>
      <c r="FB49" s="601"/>
      <c r="FC49" s="601"/>
      <c r="FD49" s="601"/>
      <c r="FE49" s="601"/>
      <c r="FF49" s="601"/>
      <c r="FG49" s="601"/>
      <c r="FH49" s="601"/>
      <c r="FI49" s="601"/>
      <c r="FJ49" s="601"/>
      <c r="FK49" s="601"/>
      <c r="FL49" s="601"/>
      <c r="FM49" s="601"/>
      <c r="FN49" s="601"/>
      <c r="FO49" s="601"/>
      <c r="FP49" s="601"/>
      <c r="FQ49" s="601"/>
      <c r="FR49" s="601"/>
      <c r="FS49" s="601"/>
      <c r="FT49" s="601"/>
      <c r="FU49" s="601"/>
      <c r="FV49" s="601"/>
      <c r="FW49" s="601"/>
      <c r="FX49" s="601"/>
      <c r="FY49" s="601"/>
      <c r="FZ49" s="601"/>
      <c r="GA49" s="601"/>
      <c r="GB49" s="601"/>
      <c r="GC49" s="601"/>
      <c r="GD49" s="601"/>
      <c r="GE49" s="601"/>
      <c r="GF49" s="601"/>
      <c r="GG49" s="601"/>
      <c r="GH49" s="601"/>
      <c r="GI49" s="601"/>
      <c r="GJ49" s="601"/>
      <c r="GK49" s="601"/>
      <c r="GL49" s="601"/>
      <c r="GM49" s="601"/>
      <c r="GN49" s="601"/>
      <c r="GO49" s="601"/>
      <c r="GP49" s="601"/>
      <c r="GQ49" s="601"/>
      <c r="GR49" s="601"/>
      <c r="GS49" s="601"/>
      <c r="GT49" s="601"/>
      <c r="GU49" s="601"/>
      <c r="GV49" s="601"/>
      <c r="GW49" s="601"/>
      <c r="GX49" s="601"/>
      <c r="GY49" s="601"/>
      <c r="GZ49" s="601"/>
      <c r="HA49" s="601"/>
      <c r="HB49" s="601"/>
      <c r="HC49" s="601"/>
      <c r="HD49" s="601"/>
      <c r="HE49" s="601"/>
      <c r="HF49" s="601"/>
      <c r="HG49" s="601"/>
      <c r="HH49" s="601"/>
      <c r="HI49" s="601"/>
      <c r="HJ49" s="601"/>
      <c r="HK49" s="601"/>
      <c r="HL49" s="601"/>
      <c r="HM49" s="601"/>
      <c r="HN49" s="601"/>
      <c r="HO49" s="601"/>
      <c r="HP49" s="601"/>
      <c r="HQ49" s="601"/>
      <c r="HR49" s="601"/>
      <c r="HS49" s="601"/>
      <c r="HT49" s="601"/>
      <c r="HU49" s="601"/>
      <c r="HV49" s="601"/>
      <c r="HW49" s="601"/>
      <c r="HX49" s="601"/>
      <c r="HY49" s="601"/>
      <c r="HZ49" s="601"/>
      <c r="IA49" s="601"/>
      <c r="IB49" s="601"/>
      <c r="IC49" s="601"/>
      <c r="ID49" s="601"/>
      <c r="IE49" s="601"/>
      <c r="IF49" s="601"/>
      <c r="IG49" s="601"/>
      <c r="IH49" s="601"/>
      <c r="II49" s="601"/>
      <c r="IJ49" s="601"/>
      <c r="IK49" s="601"/>
      <c r="IL49" s="601"/>
      <c r="IM49" s="601"/>
      <c r="IN49" s="601"/>
      <c r="IO49" s="601"/>
      <c r="IP49" s="601"/>
      <c r="IQ49" s="601"/>
      <c r="IR49" s="601"/>
      <c r="IS49" s="601"/>
      <c r="IT49" s="60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207</v>
      </c>
      <c r="B51" s="200"/>
      <c r="E51" s="200"/>
      <c r="F51" s="200"/>
      <c r="G51" s="200"/>
      <c r="H51" s="200"/>
      <c r="I51" s="200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602"/>
      <c r="AB51" s="602"/>
      <c r="AC51" s="602"/>
      <c r="AD51" s="602"/>
      <c r="AE51" s="602"/>
      <c r="AF51" s="602"/>
      <c r="AG51" s="602"/>
      <c r="AH51" s="602"/>
      <c r="AI51" s="602"/>
      <c r="AJ51" s="602"/>
      <c r="AK51" s="602"/>
      <c r="AL51" s="602"/>
      <c r="AM51" s="602"/>
      <c r="AN51" s="602"/>
      <c r="AO51" s="602"/>
      <c r="AP51" s="602"/>
      <c r="AQ51" s="602"/>
      <c r="AR51" s="602"/>
      <c r="AS51" s="602"/>
      <c r="AT51" s="602"/>
      <c r="AU51" s="602"/>
      <c r="AV51" s="602"/>
      <c r="AW51" s="602"/>
      <c r="AX51" s="602"/>
      <c r="AY51" s="602"/>
      <c r="AZ51" s="602"/>
      <c r="BA51" s="602"/>
      <c r="BB51" s="602"/>
      <c r="BC51" s="602"/>
      <c r="BD51" s="602"/>
      <c r="BE51" s="602"/>
      <c r="BF51" s="602"/>
      <c r="BG51" s="602"/>
      <c r="BH51" s="602"/>
      <c r="BI51" s="602"/>
      <c r="BJ51" s="602"/>
      <c r="BK51" s="602"/>
      <c r="BL51" s="602"/>
      <c r="BM51" s="602"/>
      <c r="BN51" s="602"/>
      <c r="BO51" s="602"/>
      <c r="BP51" s="602"/>
      <c r="BQ51" s="602"/>
      <c r="BR51" s="602"/>
      <c r="BS51" s="602"/>
      <c r="BT51" s="602"/>
      <c r="BU51" s="602"/>
      <c r="BV51" s="602"/>
      <c r="BW51" s="602"/>
      <c r="BX51" s="602"/>
      <c r="BY51" s="602"/>
      <c r="BZ51" s="602"/>
      <c r="CA51" s="602"/>
      <c r="CB51" s="602"/>
      <c r="CC51" s="602"/>
      <c r="CD51" s="602"/>
      <c r="CE51" s="602"/>
      <c r="CF51" s="602"/>
      <c r="CG51" s="602"/>
      <c r="CH51" s="602"/>
      <c r="CI51" s="602"/>
      <c r="CJ51" s="602"/>
      <c r="CK51" s="602"/>
      <c r="CL51" s="602"/>
      <c r="CM51" s="602"/>
      <c r="CN51" s="602"/>
      <c r="CO51" s="602"/>
      <c r="CP51" s="602"/>
      <c r="CQ51" s="602"/>
      <c r="CR51" s="602"/>
      <c r="CS51" s="602"/>
      <c r="CT51" s="602"/>
      <c r="CU51" s="602"/>
      <c r="CV51" s="602"/>
      <c r="CW51" s="602"/>
      <c r="CX51" s="602"/>
      <c r="CY51" s="602"/>
      <c r="CZ51" s="602"/>
      <c r="DA51" s="602"/>
      <c r="DB51" s="602"/>
      <c r="DC51" s="602"/>
      <c r="DD51" s="602"/>
      <c r="DE51" s="602"/>
      <c r="DF51" s="602"/>
      <c r="DG51" s="602"/>
      <c r="DH51" s="602"/>
      <c r="DI51" s="602"/>
      <c r="DJ51" s="602"/>
      <c r="DK51" s="602"/>
      <c r="DL51" s="602"/>
      <c r="DM51" s="602"/>
      <c r="DN51" s="602"/>
      <c r="DO51" s="602"/>
      <c r="DP51" s="602"/>
      <c r="DQ51" s="602"/>
      <c r="DR51" s="602"/>
      <c r="DS51" s="602"/>
      <c r="DT51" s="602"/>
      <c r="DU51" s="602"/>
      <c r="DV51" s="602"/>
      <c r="DW51" s="602"/>
      <c r="DX51" s="602"/>
      <c r="DY51" s="602"/>
      <c r="DZ51" s="602"/>
      <c r="EA51" s="602"/>
      <c r="EB51" s="602"/>
      <c r="EC51" s="602"/>
      <c r="ED51" s="602"/>
      <c r="EE51" s="602"/>
      <c r="EF51" s="602"/>
      <c r="EG51" s="602"/>
      <c r="EH51" s="602"/>
      <c r="EI51" s="602"/>
      <c r="EJ51" s="602"/>
      <c r="EK51" s="602"/>
      <c r="EL51" s="602"/>
      <c r="EM51" s="602"/>
      <c r="EN51" s="602"/>
      <c r="EO51" s="602"/>
      <c r="EP51" s="602"/>
      <c r="EQ51" s="602"/>
      <c r="ER51" s="602"/>
      <c r="ES51" s="602"/>
      <c r="ET51" s="602"/>
      <c r="EU51" s="602"/>
      <c r="EV51" s="602"/>
      <c r="EW51" s="602"/>
      <c r="EX51" s="602"/>
      <c r="EY51" s="602"/>
      <c r="EZ51" s="602"/>
      <c r="FA51" s="602"/>
      <c r="FB51" s="602"/>
      <c r="FC51" s="602"/>
      <c r="FD51" s="602"/>
      <c r="FE51" s="602"/>
      <c r="FF51" s="602"/>
      <c r="FG51" s="602"/>
      <c r="FH51" s="602"/>
      <c r="FI51" s="602"/>
      <c r="FJ51" s="602"/>
      <c r="FK51" s="602"/>
      <c r="FL51" s="602"/>
      <c r="FM51" s="602"/>
      <c r="FN51" s="602"/>
      <c r="FO51" s="602"/>
      <c r="FP51" s="602"/>
      <c r="FQ51" s="602"/>
      <c r="FR51" s="602"/>
      <c r="FS51" s="602"/>
      <c r="FT51" s="602"/>
      <c r="FU51" s="602"/>
      <c r="FV51" s="602"/>
      <c r="FW51" s="602"/>
      <c r="FX51" s="602"/>
      <c r="FY51" s="602"/>
      <c r="FZ51" s="602"/>
      <c r="GA51" s="602"/>
      <c r="GB51" s="602"/>
      <c r="GC51" s="602"/>
      <c r="GD51" s="602"/>
      <c r="GE51" s="602"/>
      <c r="GF51" s="602"/>
      <c r="GG51" s="602"/>
      <c r="GH51" s="602"/>
      <c r="GI51" s="602"/>
      <c r="GJ51" s="602"/>
      <c r="GK51" s="602"/>
      <c r="GL51" s="602"/>
      <c r="GM51" s="602"/>
      <c r="GN51" s="602"/>
      <c r="GO51" s="602"/>
      <c r="GP51" s="602"/>
      <c r="GQ51" s="602"/>
      <c r="GR51" s="602"/>
      <c r="GS51" s="602"/>
      <c r="GT51" s="602"/>
      <c r="GU51" s="602"/>
      <c r="GV51" s="602"/>
      <c r="GW51" s="602"/>
      <c r="GX51" s="602"/>
      <c r="GY51" s="602"/>
      <c r="GZ51" s="602"/>
      <c r="HA51" s="602"/>
      <c r="HB51" s="602"/>
      <c r="HC51" s="602"/>
      <c r="HD51" s="602"/>
      <c r="HE51" s="602"/>
      <c r="HF51" s="602"/>
      <c r="HG51" s="602"/>
      <c r="HH51" s="602"/>
      <c r="HI51" s="602"/>
      <c r="HJ51" s="602"/>
      <c r="HK51" s="602"/>
      <c r="HL51" s="602"/>
      <c r="HM51" s="602"/>
      <c r="HN51" s="602"/>
      <c r="HO51" s="602"/>
      <c r="HP51" s="602"/>
      <c r="HQ51" s="602"/>
      <c r="HR51" s="602"/>
      <c r="HS51" s="602"/>
      <c r="HT51" s="602"/>
      <c r="HU51" s="602"/>
      <c r="HV51" s="602"/>
      <c r="HW51" s="602"/>
      <c r="HX51" s="602"/>
      <c r="HY51" s="602"/>
      <c r="HZ51" s="602"/>
      <c r="IA51" s="602"/>
      <c r="IB51" s="602"/>
      <c r="IC51" s="602"/>
      <c r="ID51" s="602"/>
      <c r="IE51" s="602"/>
      <c r="IF51" s="602"/>
      <c r="IG51" s="602"/>
      <c r="IH51" s="602"/>
      <c r="II51" s="602"/>
      <c r="IJ51" s="602"/>
      <c r="IK51" s="602"/>
      <c r="IL51" s="602"/>
      <c r="IM51" s="602"/>
      <c r="IN51" s="602"/>
      <c r="IO51" s="602"/>
      <c r="IP51" s="602"/>
      <c r="IQ51" s="602"/>
      <c r="IR51" s="602"/>
      <c r="IS51" s="602"/>
      <c r="IT51" s="602"/>
    </row>
    <row r="52" spans="1:254" ht="12.75" customHeight="1" thickBot="1" x14ac:dyDescent="0.25"/>
    <row r="53" spans="1:254" x14ac:dyDescent="0.2">
      <c r="A53" s="219" t="s">
        <v>208</v>
      </c>
      <c r="B53" s="220">
        <v>1.9</v>
      </c>
      <c r="C53" s="221">
        <f ca="1">ROUNDUP($C$49*B53,0)</f>
        <v>1003668</v>
      </c>
      <c r="D53" s="222">
        <f ca="1">ROUNDUP(D49*B53,0)</f>
        <v>1204401</v>
      </c>
      <c r="E53" t="s">
        <v>200</v>
      </c>
      <c r="K53" s="223"/>
    </row>
    <row r="54" spans="1:254" x14ac:dyDescent="0.2">
      <c r="A54" s="7"/>
      <c r="B54" s="224" t="s">
        <v>267</v>
      </c>
      <c r="C54" s="3"/>
      <c r="D54" s="225"/>
      <c r="E54" s="226"/>
    </row>
    <row r="55" spans="1:254" x14ac:dyDescent="0.2">
      <c r="A55" s="227" t="s">
        <v>201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202</v>
      </c>
      <c r="B57" s="224"/>
      <c r="C57" s="230">
        <f ca="1">C53+C55</f>
        <v>1003668</v>
      </c>
      <c r="D57" s="225">
        <f ca="1">D53+D55</f>
        <v>1204401</v>
      </c>
      <c r="E57" s="226"/>
    </row>
    <row r="58" spans="1:254" ht="13.5" thickBot="1" x14ac:dyDescent="0.25">
      <c r="A58" s="187" t="s">
        <v>203</v>
      </c>
      <c r="B58" s="231"/>
      <c r="C58" s="232">
        <f ca="1">C57-C55-C49</f>
        <v>475422</v>
      </c>
      <c r="D58" s="233">
        <f ca="1">D57-D55-D49</f>
        <v>570505.80000000005</v>
      </c>
      <c r="E58" s="226"/>
    </row>
    <row r="59" spans="1:254" ht="13.5" thickBot="1" x14ac:dyDescent="0.25">
      <c r="E59" s="223"/>
    </row>
    <row r="60" spans="1:254" ht="38.25" x14ac:dyDescent="0.2">
      <c r="A60" s="219" t="s">
        <v>204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196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1003668</v>
      </c>
      <c r="D62" s="241">
        <f ca="1">D57/(1-B60*(1+B61))</f>
        <v>1204401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195</v>
      </c>
      <c r="B64" s="202"/>
      <c r="C64" s="205">
        <f ca="1">C62</f>
        <v>1003668</v>
      </c>
      <c r="D64" s="205">
        <f ca="1">D62</f>
        <v>1204401</v>
      </c>
      <c r="F64" s="202"/>
      <c r="G64" s="202"/>
      <c r="H64" s="202"/>
      <c r="I64" s="202"/>
      <c r="J64" s="601"/>
      <c r="K64" s="601"/>
      <c r="L64" s="601"/>
      <c r="M64" s="601"/>
      <c r="N64" s="601"/>
      <c r="O64" s="601"/>
      <c r="P64" s="601"/>
      <c r="Q64" s="601"/>
      <c r="R64" s="601"/>
      <c r="S64" s="601"/>
      <c r="T64" s="601"/>
      <c r="U64" s="601"/>
      <c r="V64" s="601"/>
      <c r="W64" s="601"/>
      <c r="X64" s="601"/>
      <c r="Y64" s="601"/>
      <c r="Z64" s="601"/>
      <c r="AA64" s="601"/>
      <c r="AB64" s="601"/>
      <c r="AC64" s="601"/>
      <c r="AD64" s="601"/>
      <c r="AE64" s="601"/>
      <c r="AF64" s="601"/>
      <c r="AG64" s="601"/>
      <c r="AH64" s="601"/>
      <c r="AI64" s="601"/>
      <c r="AJ64" s="601"/>
      <c r="AK64" s="601"/>
      <c r="AL64" s="601"/>
      <c r="AM64" s="601"/>
      <c r="AN64" s="601"/>
      <c r="AO64" s="601"/>
      <c r="AP64" s="601"/>
      <c r="AQ64" s="601"/>
      <c r="AR64" s="601"/>
      <c r="AS64" s="601"/>
      <c r="AT64" s="601"/>
      <c r="AU64" s="601"/>
      <c r="AV64" s="601"/>
      <c r="AW64" s="601"/>
      <c r="AX64" s="601"/>
      <c r="AY64" s="601"/>
      <c r="AZ64" s="601"/>
      <c r="BA64" s="601"/>
      <c r="BB64" s="601"/>
      <c r="BC64" s="601"/>
      <c r="BD64" s="601"/>
      <c r="BE64" s="601"/>
      <c r="BF64" s="601"/>
      <c r="BG64" s="601"/>
      <c r="BH64" s="601"/>
      <c r="BI64" s="601"/>
      <c r="BJ64" s="601"/>
      <c r="BK64" s="601"/>
      <c r="BL64" s="601"/>
      <c r="BM64" s="601"/>
      <c r="BN64" s="601"/>
      <c r="BO64" s="601"/>
      <c r="BP64" s="601"/>
      <c r="BQ64" s="601"/>
      <c r="BR64" s="601"/>
      <c r="BS64" s="601"/>
      <c r="BT64" s="601"/>
      <c r="BU64" s="601"/>
      <c r="BV64" s="601"/>
      <c r="BW64" s="601"/>
      <c r="BX64" s="601"/>
      <c r="BY64" s="601"/>
      <c r="BZ64" s="601"/>
      <c r="CA64" s="601"/>
      <c r="CB64" s="601"/>
      <c r="CC64" s="601"/>
      <c r="CD64" s="601"/>
      <c r="CE64" s="601"/>
      <c r="CF64" s="601"/>
      <c r="CG64" s="601"/>
      <c r="CH64" s="601"/>
      <c r="CI64" s="601"/>
      <c r="CJ64" s="601"/>
      <c r="CK64" s="601"/>
      <c r="CL64" s="601"/>
      <c r="CM64" s="601"/>
      <c r="CN64" s="601"/>
      <c r="CO64" s="601"/>
      <c r="CP64" s="601"/>
      <c r="CQ64" s="601"/>
      <c r="CR64" s="601"/>
      <c r="CS64" s="601"/>
      <c r="CT64" s="601"/>
      <c r="CU64" s="601"/>
      <c r="CV64" s="601"/>
      <c r="CW64" s="601"/>
      <c r="CX64" s="601"/>
      <c r="CY64" s="601"/>
      <c r="CZ64" s="601"/>
      <c r="DA64" s="601"/>
      <c r="DB64" s="601"/>
      <c r="DC64" s="601"/>
      <c r="DD64" s="601"/>
      <c r="DE64" s="601"/>
      <c r="DF64" s="601"/>
      <c r="DG64" s="601"/>
      <c r="DH64" s="601"/>
      <c r="DI64" s="601"/>
      <c r="DJ64" s="601"/>
      <c r="DK64" s="601"/>
      <c r="DL64" s="601"/>
      <c r="DM64" s="601"/>
      <c r="DN64" s="601"/>
      <c r="DO64" s="601"/>
      <c r="DP64" s="601"/>
      <c r="DQ64" s="601"/>
      <c r="DR64" s="601"/>
      <c r="DS64" s="601"/>
      <c r="DT64" s="601"/>
      <c r="DU64" s="601"/>
      <c r="DV64" s="601"/>
      <c r="DW64" s="601"/>
      <c r="DX64" s="601"/>
      <c r="DY64" s="601"/>
      <c r="DZ64" s="601"/>
      <c r="EA64" s="601"/>
      <c r="EB64" s="601"/>
      <c r="EC64" s="601"/>
      <c r="ED64" s="601"/>
      <c r="EE64" s="601"/>
      <c r="EF64" s="601"/>
      <c r="EG64" s="601"/>
      <c r="EH64" s="601"/>
      <c r="EI64" s="601"/>
      <c r="EJ64" s="601"/>
      <c r="EK64" s="601"/>
      <c r="EL64" s="601"/>
      <c r="EM64" s="601"/>
      <c r="EN64" s="601"/>
      <c r="EO64" s="601"/>
      <c r="EP64" s="601"/>
      <c r="EQ64" s="601"/>
      <c r="ER64" s="601"/>
      <c r="ES64" s="601"/>
      <c r="ET64" s="601"/>
      <c r="EU64" s="601"/>
      <c r="EV64" s="601"/>
      <c r="EW64" s="601"/>
      <c r="EX64" s="601"/>
      <c r="EY64" s="601"/>
      <c r="EZ64" s="601"/>
      <c r="FA64" s="601"/>
      <c r="FB64" s="601"/>
      <c r="FC64" s="601"/>
      <c r="FD64" s="601"/>
      <c r="FE64" s="601"/>
      <c r="FF64" s="601"/>
      <c r="FG64" s="601"/>
      <c r="FH64" s="601"/>
      <c r="FI64" s="601"/>
      <c r="FJ64" s="601"/>
      <c r="FK64" s="601"/>
      <c r="FL64" s="601"/>
      <c r="FM64" s="601"/>
      <c r="FN64" s="601"/>
      <c r="FO64" s="601"/>
      <c r="FP64" s="601"/>
      <c r="FQ64" s="601"/>
      <c r="FR64" s="601"/>
      <c r="FS64" s="601"/>
      <c r="FT64" s="601"/>
      <c r="FU64" s="601"/>
      <c r="FV64" s="601"/>
      <c r="FW64" s="601"/>
      <c r="FX64" s="601"/>
      <c r="FY64" s="601"/>
      <c r="FZ64" s="601"/>
      <c r="GA64" s="601"/>
      <c r="GB64" s="601"/>
      <c r="GC64" s="601"/>
      <c r="GD64" s="601"/>
      <c r="GE64" s="601"/>
      <c r="GF64" s="601"/>
      <c r="GG64" s="601"/>
      <c r="GH64" s="601"/>
      <c r="GI64" s="601"/>
      <c r="GJ64" s="601"/>
      <c r="GK64" s="601"/>
      <c r="GL64" s="601"/>
      <c r="GM64" s="601"/>
      <c r="GN64" s="601"/>
      <c r="GO64" s="601"/>
      <c r="GP64" s="601"/>
      <c r="GQ64" s="601"/>
      <c r="GR64" s="601"/>
      <c r="GS64" s="601"/>
      <c r="GT64" s="601"/>
      <c r="GU64" s="601"/>
      <c r="GV64" s="601"/>
      <c r="GW64" s="601"/>
      <c r="GX64" s="601"/>
      <c r="GY64" s="601"/>
      <c r="GZ64" s="601"/>
      <c r="HA64" s="601"/>
      <c r="HB64" s="601"/>
      <c r="HC64" s="601"/>
      <c r="HD64" s="601"/>
      <c r="HE64" s="601"/>
      <c r="HF64" s="601"/>
      <c r="HG64" s="601"/>
      <c r="HH64" s="601"/>
      <c r="HI64" s="601"/>
      <c r="HJ64" s="601"/>
      <c r="HK64" s="601"/>
      <c r="HL64" s="601"/>
      <c r="HM64" s="601"/>
      <c r="HN64" s="601"/>
      <c r="HO64" s="601"/>
      <c r="HP64" s="601"/>
      <c r="HQ64" s="601"/>
      <c r="HR64" s="601"/>
      <c r="HS64" s="601"/>
      <c r="HT64" s="601"/>
      <c r="HU64" s="601"/>
      <c r="HV64" s="601"/>
      <c r="HW64" s="601"/>
      <c r="HX64" s="601"/>
      <c r="HY64" s="601"/>
      <c r="HZ64" s="601"/>
      <c r="IA64" s="601"/>
      <c r="IB64" s="601"/>
      <c r="IC64" s="601"/>
      <c r="ID64" s="601"/>
      <c r="IE64" s="601"/>
      <c r="IF64" s="601"/>
      <c r="IG64" s="601"/>
      <c r="IH64" s="601"/>
      <c r="II64" s="601"/>
      <c r="IJ64" s="601"/>
      <c r="IK64" s="601"/>
      <c r="IL64" s="601"/>
      <c r="IM64" s="601"/>
      <c r="IN64" s="601"/>
      <c r="IO64" s="601"/>
      <c r="IP64" s="601"/>
      <c r="IQ64" s="601"/>
      <c r="IR64" s="601"/>
      <c r="IS64" s="601"/>
      <c r="IT64" s="601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CT13:DD13"/>
    <mergeCell ref="DE13:DO13"/>
    <mergeCell ref="J13:T13"/>
    <mergeCell ref="U13:AE13"/>
    <mergeCell ref="AF13:AP13"/>
    <mergeCell ref="AQ13:BA13"/>
    <mergeCell ref="GZ1:HJ1"/>
    <mergeCell ref="HK1:HU1"/>
    <mergeCell ref="BX1:CH1"/>
    <mergeCell ref="CI1:CS1"/>
    <mergeCell ref="CT1:DD1"/>
    <mergeCell ref="DE1:DO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46" zoomScaleNormal="100" workbookViewId="0">
      <selection activeCell="F30" sqref="F30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40" t="s">
        <v>88</v>
      </c>
      <c r="B1" s="641"/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  <c r="N1" s="641"/>
      <c r="O1" s="642"/>
      <c r="P1" s="104"/>
    </row>
    <row r="2" spans="1:119" s="103" customFormat="1" ht="15" x14ac:dyDescent="0.2">
      <c r="A2" s="638" t="s">
        <v>188</v>
      </c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39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210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86" t="s">
        <v>83</v>
      </c>
      <c r="T7" s="687"/>
      <c r="U7" s="687"/>
      <c r="V7" s="687"/>
      <c r="W7" s="687"/>
      <c r="X7" s="687"/>
      <c r="Y7" s="687"/>
      <c r="Z7" s="688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400</v>
      </c>
      <c r="D9" s="82">
        <f>IF(C9&lt;=750,ROUND(C9/50,0)*50,ROUND(C9/100,0)*100)</f>
        <v>400</v>
      </c>
      <c r="E9" s="628" t="s">
        <v>264</v>
      </c>
      <c r="F9" s="629"/>
      <c r="G9" s="629"/>
      <c r="H9" s="629"/>
      <c r="I9" s="629"/>
      <c r="J9" s="629"/>
      <c r="K9" s="629"/>
      <c r="L9" s="629"/>
      <c r="M9" s="629"/>
      <c r="N9" s="629"/>
      <c r="O9" s="630"/>
      <c r="P9" s="3"/>
      <c r="S9" s="282" t="s">
        <v>58</v>
      </c>
      <c r="T9" s="281" t="s">
        <v>59</v>
      </c>
      <c r="U9" s="280" t="s">
        <v>263</v>
      </c>
      <c r="V9" s="679" t="s">
        <v>16</v>
      </c>
      <c r="W9" s="679"/>
      <c r="X9" s="679"/>
      <c r="Y9" s="679"/>
      <c r="Z9" s="680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400</v>
      </c>
      <c r="D10" s="82">
        <f>CEILING(C10,100)</f>
        <v>400</v>
      </c>
      <c r="E10" s="628" t="s">
        <v>211</v>
      </c>
      <c r="F10" s="629"/>
      <c r="G10" s="629"/>
      <c r="H10" s="629"/>
      <c r="I10" s="629"/>
      <c r="J10" s="629"/>
      <c r="K10" s="629"/>
      <c r="L10" s="629"/>
      <c r="M10" s="629"/>
      <c r="N10" s="629"/>
      <c r="O10" s="630"/>
      <c r="P10" s="3"/>
      <c r="S10" s="279"/>
      <c r="T10" s="278" t="s">
        <v>60</v>
      </c>
      <c r="U10" s="277"/>
      <c r="V10" s="683"/>
      <c r="W10" s="684"/>
      <c r="X10" s="684"/>
      <c r="Y10" s="684"/>
      <c r="Z10" s="685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28" t="s">
        <v>262</v>
      </c>
      <c r="F11" s="629"/>
      <c r="G11" s="629"/>
      <c r="H11" s="629"/>
      <c r="I11" s="629"/>
      <c r="J11" s="629"/>
      <c r="K11" s="629"/>
      <c r="L11" s="629"/>
      <c r="M11" s="629"/>
      <c r="N11" s="629"/>
      <c r="O11" s="630"/>
      <c r="P11" s="3"/>
      <c r="S11" s="276">
        <v>1</v>
      </c>
      <c r="T11" s="275" t="s">
        <v>61</v>
      </c>
      <c r="U11" s="274">
        <f>C30*C29+5</f>
        <v>73</v>
      </c>
      <c r="V11" s="681"/>
      <c r="W11" s="681"/>
      <c r="X11" s="681"/>
      <c r="Y11" s="681"/>
      <c r="Z11" s="682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46" t="s">
        <v>21</v>
      </c>
      <c r="F12" s="647"/>
      <c r="G12" s="647"/>
      <c r="H12" s="647"/>
      <c r="I12" s="647"/>
      <c r="J12" s="647"/>
      <c r="K12" s="647"/>
      <c r="L12" s="647"/>
      <c r="M12" s="647"/>
      <c r="N12" s="647"/>
      <c r="O12" s="648"/>
      <c r="P12" s="1"/>
      <c r="S12" s="252">
        <v>2</v>
      </c>
      <c r="T12" s="255" t="s">
        <v>62</v>
      </c>
      <c r="U12" s="254">
        <v>1</v>
      </c>
      <c r="V12" s="677" t="s">
        <v>63</v>
      </c>
      <c r="W12" s="677"/>
      <c r="X12" s="677"/>
      <c r="Y12" s="677"/>
      <c r="Z12" s="678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100</v>
      </c>
      <c r="D13" s="87">
        <f>IF(C10&lt;=1200,C10,C10-250)</f>
        <v>400</v>
      </c>
      <c r="E13" s="643" t="s">
        <v>23</v>
      </c>
      <c r="F13" s="644"/>
      <c r="G13" s="644"/>
      <c r="H13" s="644"/>
      <c r="I13" s="644"/>
      <c r="J13" s="644"/>
      <c r="K13" s="644"/>
      <c r="L13" s="644"/>
      <c r="M13" s="644"/>
      <c r="N13" s="644"/>
      <c r="O13" s="645"/>
      <c r="P13" s="3"/>
      <c r="S13" s="252">
        <v>3</v>
      </c>
      <c r="T13" s="255" t="s">
        <v>261</v>
      </c>
      <c r="U13" s="254">
        <v>1</v>
      </c>
      <c r="V13" s="677" t="s">
        <v>64</v>
      </c>
      <c r="W13" s="677"/>
      <c r="X13" s="677"/>
      <c r="Y13" s="677"/>
      <c r="Z13" s="678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200</v>
      </c>
      <c r="E14" s="668" t="s">
        <v>26</v>
      </c>
      <c r="F14" s="540"/>
      <c r="G14" s="540"/>
      <c r="H14" s="540"/>
      <c r="I14" s="540"/>
      <c r="J14" s="540"/>
      <c r="K14" s="540"/>
      <c r="L14" s="540"/>
      <c r="M14" s="540"/>
      <c r="N14" s="540"/>
      <c r="O14" s="541"/>
      <c r="P14" s="3"/>
      <c r="S14" s="252">
        <v>4</v>
      </c>
      <c r="T14" s="255" t="s">
        <v>260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400</v>
      </c>
      <c r="E15" s="669"/>
      <c r="F15" s="670"/>
      <c r="G15" s="670"/>
      <c r="H15" s="670"/>
      <c r="I15" s="670"/>
      <c r="J15" s="670"/>
      <c r="K15" s="670"/>
      <c r="L15" s="670"/>
      <c r="M15" s="670"/>
      <c r="N15" s="670"/>
      <c r="O15" s="671"/>
      <c r="P15" s="3"/>
      <c r="S15" s="252">
        <v>5</v>
      </c>
      <c r="T15" s="255" t="s">
        <v>259</v>
      </c>
      <c r="U15" s="254">
        <v>1</v>
      </c>
      <c r="V15" s="631" t="s">
        <v>66</v>
      </c>
      <c r="W15" s="632"/>
      <c r="X15" s="632"/>
      <c r="Y15" s="632"/>
      <c r="Z15" s="633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25" t="s">
        <v>258</v>
      </c>
      <c r="F16" s="626"/>
      <c r="G16" s="626"/>
      <c r="H16" s="626"/>
      <c r="I16" s="626"/>
      <c r="J16" s="626"/>
      <c r="K16" s="626"/>
      <c r="L16" s="626"/>
      <c r="M16" s="626"/>
      <c r="N16" s="626"/>
      <c r="O16" s="627"/>
      <c r="P16" s="1"/>
      <c r="S16" s="252">
        <v>6</v>
      </c>
      <c r="T16" s="255" t="s">
        <v>257</v>
      </c>
      <c r="U16" s="254">
        <v>1</v>
      </c>
      <c r="V16" s="631" t="s">
        <v>67</v>
      </c>
      <c r="W16" s="632"/>
      <c r="X16" s="632"/>
      <c r="Y16" s="632"/>
      <c r="Z16" s="633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18</v>
      </c>
      <c r="E17" s="628" t="s">
        <v>30</v>
      </c>
      <c r="F17" s="629"/>
      <c r="G17" s="629"/>
      <c r="H17" s="629"/>
      <c r="I17" s="629"/>
      <c r="J17" s="629"/>
      <c r="K17" s="629"/>
      <c r="L17" s="629"/>
      <c r="M17" s="629"/>
      <c r="N17" s="629"/>
      <c r="O17" s="630"/>
      <c r="P17" s="3"/>
      <c r="S17" s="252">
        <v>7</v>
      </c>
      <c r="T17" s="255" t="s">
        <v>68</v>
      </c>
      <c r="U17" s="254">
        <v>2</v>
      </c>
      <c r="V17" s="631" t="s">
        <v>69</v>
      </c>
      <c r="W17" s="632"/>
      <c r="X17" s="632"/>
      <c r="Y17" s="632"/>
      <c r="Z17" s="633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31" t="s">
        <v>71</v>
      </c>
      <c r="W18" s="632"/>
      <c r="X18" s="632"/>
      <c r="Y18" s="632"/>
      <c r="Z18" s="633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62" t="s">
        <v>31</v>
      </c>
      <c r="G19" s="663"/>
      <c r="H19" s="663"/>
      <c r="I19" s="663"/>
      <c r="J19" s="663"/>
      <c r="K19" s="663"/>
      <c r="L19" s="663"/>
      <c r="M19" s="663"/>
      <c r="N19" s="663"/>
      <c r="O19" s="664"/>
      <c r="P19" s="248"/>
      <c r="S19" s="252">
        <v>9</v>
      </c>
      <c r="T19" s="255" t="s">
        <v>72</v>
      </c>
      <c r="U19" s="259">
        <f>C29</f>
        <v>4</v>
      </c>
      <c r="V19" s="631" t="s">
        <v>73</v>
      </c>
      <c r="W19" s="632"/>
      <c r="X19" s="632"/>
      <c r="Y19" s="632"/>
      <c r="Z19" s="633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65" t="s">
        <v>32</v>
      </c>
      <c r="G20" s="666"/>
      <c r="H20" s="666"/>
      <c r="I20" s="666"/>
      <c r="J20" s="666"/>
      <c r="K20" s="666"/>
      <c r="L20" s="666"/>
      <c r="M20" s="666"/>
      <c r="N20" s="666"/>
      <c r="O20" s="667"/>
      <c r="P20" s="29"/>
      <c r="S20" s="252">
        <v>10</v>
      </c>
      <c r="T20" s="255" t="s">
        <v>74</v>
      </c>
      <c r="U20" s="259">
        <f>C29</f>
        <v>4</v>
      </c>
      <c r="V20" s="631" t="s">
        <v>75</v>
      </c>
      <c r="W20" s="632"/>
      <c r="X20" s="632"/>
      <c r="Y20" s="632"/>
      <c r="Z20" s="633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59" t="s">
        <v>256</v>
      </c>
      <c r="G21" s="660"/>
      <c r="H21" s="660"/>
      <c r="I21" s="660"/>
      <c r="J21" s="660"/>
      <c r="K21" s="660"/>
      <c r="L21" s="660"/>
      <c r="M21" s="660"/>
      <c r="N21" s="660"/>
      <c r="O21" s="661"/>
      <c r="P21" s="32"/>
      <c r="S21" s="252">
        <v>11</v>
      </c>
      <c r="T21" s="253" t="s">
        <v>255</v>
      </c>
      <c r="U21" s="254">
        <v>1</v>
      </c>
      <c r="V21" s="631"/>
      <c r="W21" s="632"/>
      <c r="X21" s="632"/>
      <c r="Y21" s="632"/>
      <c r="Z21" s="633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18</v>
      </c>
      <c r="D22" s="35" t="s">
        <v>35</v>
      </c>
      <c r="E22" s="3"/>
      <c r="F22" s="674" t="s">
        <v>36</v>
      </c>
      <c r="G22" s="634" t="s">
        <v>254</v>
      </c>
      <c r="H22" s="672" t="s">
        <v>37</v>
      </c>
      <c r="I22" s="634" t="s">
        <v>38</v>
      </c>
      <c r="J22" s="672" t="s">
        <v>39</v>
      </c>
      <c r="K22" s="649" t="s">
        <v>40</v>
      </c>
      <c r="L22" s="650"/>
      <c r="M22" s="653" t="s">
        <v>84</v>
      </c>
      <c r="N22" s="655" t="s">
        <v>41</v>
      </c>
      <c r="O22" s="656"/>
      <c r="S22" s="252">
        <v>12</v>
      </c>
      <c r="T22" s="253" t="s">
        <v>253</v>
      </c>
      <c r="U22" s="254">
        <v>1</v>
      </c>
      <c r="V22" s="631"/>
      <c r="W22" s="632"/>
      <c r="X22" s="632"/>
      <c r="Y22" s="632"/>
      <c r="Z22" s="633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75"/>
      <c r="G23" s="635"/>
      <c r="H23" s="676"/>
      <c r="I23" s="635"/>
      <c r="J23" s="673"/>
      <c r="K23" s="651"/>
      <c r="L23" s="652"/>
      <c r="M23" s="654"/>
      <c r="N23" s="657"/>
      <c r="O23" s="658"/>
      <c r="S23" s="252">
        <v>13</v>
      </c>
      <c r="T23" s="253" t="s">
        <v>252</v>
      </c>
      <c r="U23" s="254">
        <v>3</v>
      </c>
      <c r="V23" s="631" t="s">
        <v>76</v>
      </c>
      <c r="W23" s="632"/>
      <c r="X23" s="632"/>
      <c r="Y23" s="632"/>
      <c r="Z23" s="633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210.45689999999999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251</v>
      </c>
      <c r="U24" s="254">
        <v>1</v>
      </c>
      <c r="V24" s="631"/>
      <c r="W24" s="632"/>
      <c r="X24" s="632"/>
      <c r="Y24" s="632"/>
      <c r="Z24" s="633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250</v>
      </c>
      <c r="U25" s="254">
        <v>1</v>
      </c>
      <c r="V25" s="631"/>
      <c r="W25" s="632"/>
      <c r="X25" s="632"/>
      <c r="Y25" s="632"/>
      <c r="Z25" s="633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3.0266666666666664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36" t="s">
        <v>51</v>
      </c>
      <c r="O26" s="637"/>
      <c r="S26" s="252">
        <v>16</v>
      </c>
      <c r="T26" s="255" t="s">
        <v>249</v>
      </c>
      <c r="U26" s="254">
        <v>1</v>
      </c>
      <c r="V26" s="631" t="s">
        <v>77</v>
      </c>
      <c r="W26" s="632"/>
      <c r="X26" s="632"/>
      <c r="Y26" s="632"/>
      <c r="Z26" s="633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248</v>
      </c>
      <c r="U27" s="254">
        <v>1</v>
      </c>
      <c r="V27" s="631" t="s">
        <v>78</v>
      </c>
      <c r="W27" s="632"/>
      <c r="X27" s="632"/>
      <c r="Y27" s="632"/>
      <c r="Z27" s="633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247</v>
      </c>
      <c r="U28" s="254">
        <v>1</v>
      </c>
      <c r="V28" s="631" t="s">
        <v>79</v>
      </c>
      <c r="W28" s="632"/>
      <c r="X28" s="632"/>
      <c r="Y28" s="632"/>
      <c r="Z28" s="633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202.17460299999999</v>
      </c>
      <c r="L29" s="50" t="s">
        <v>46</v>
      </c>
      <c r="M29" s="51"/>
      <c r="N29" s="1"/>
      <c r="O29" s="10"/>
      <c r="S29" s="252">
        <v>19</v>
      </c>
      <c r="T29" s="255" t="s">
        <v>246</v>
      </c>
      <c r="U29" s="254">
        <v>1</v>
      </c>
      <c r="V29" s="631" t="s">
        <v>79</v>
      </c>
      <c r="W29" s="632"/>
      <c r="X29" s="632"/>
      <c r="Y29" s="632"/>
      <c r="Z29" s="633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31" t="s">
        <v>81</v>
      </c>
      <c r="W30" s="632"/>
      <c r="X30" s="632"/>
      <c r="Y30" s="632"/>
      <c r="Z30" s="633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245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244</v>
      </c>
      <c r="U31" s="254">
        <v>1</v>
      </c>
      <c r="V31" s="631"/>
      <c r="W31" s="632"/>
      <c r="X31" s="632"/>
      <c r="Y31" s="632"/>
      <c r="Z31" s="633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16.050433333333334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21</v>
      </c>
      <c r="V32" s="631"/>
      <c r="W32" s="632"/>
      <c r="X32" s="632"/>
      <c r="Y32" s="632"/>
      <c r="Z32" s="633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243</v>
      </c>
      <c r="U33" s="254">
        <v>2</v>
      </c>
      <c r="V33" s="631"/>
      <c r="W33" s="632"/>
      <c r="X33" s="632"/>
      <c r="Y33" s="632"/>
      <c r="Z33" s="633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62471.952326999999</v>
      </c>
      <c r="L34" s="55" t="s">
        <v>1</v>
      </c>
      <c r="M34" s="188"/>
      <c r="N34" s="188"/>
      <c r="O34" s="6"/>
      <c r="S34" s="252">
        <v>24</v>
      </c>
      <c r="T34" s="255" t="s">
        <v>242</v>
      </c>
      <c r="U34" s="254">
        <v>2</v>
      </c>
      <c r="V34" s="631"/>
      <c r="W34" s="632"/>
      <c r="X34" s="632"/>
      <c r="Y34" s="632"/>
      <c r="Z34" s="633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241</v>
      </c>
      <c r="U35" s="251">
        <v>4</v>
      </c>
      <c r="V35" s="631"/>
      <c r="W35" s="632"/>
      <c r="X35" s="632"/>
      <c r="Y35" s="632"/>
      <c r="Z35" s="633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240</v>
      </c>
      <c r="U36" s="251">
        <v>4</v>
      </c>
      <c r="V36" s="631"/>
      <c r="W36" s="632"/>
      <c r="X36" s="632"/>
      <c r="Y36" s="632"/>
      <c r="Z36" s="633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186</v>
      </c>
      <c r="B37" s="5"/>
      <c r="C37" s="193">
        <f>CEILING(K34,5)</f>
        <v>62475</v>
      </c>
      <c r="D37" s="102" t="s">
        <v>187</v>
      </c>
      <c r="S37" s="252">
        <v>27</v>
      </c>
      <c r="T37" s="253" t="s">
        <v>239</v>
      </c>
      <c r="U37" s="251">
        <v>2</v>
      </c>
      <c r="V37" s="631"/>
      <c r="W37" s="632"/>
      <c r="X37" s="632"/>
      <c r="Y37" s="632"/>
      <c r="Z37" s="633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238</v>
      </c>
      <c r="U38" s="251">
        <v>4</v>
      </c>
      <c r="V38" s="631"/>
      <c r="W38" s="632"/>
      <c r="X38" s="632"/>
      <c r="Y38" s="632"/>
      <c r="Z38" s="633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38" t="s">
        <v>92</v>
      </c>
      <c r="B39" s="639"/>
      <c r="C39" s="639"/>
      <c r="D39" s="639"/>
      <c r="E39" s="639"/>
      <c r="F39" s="639"/>
      <c r="G39" s="639"/>
      <c r="H39" s="639"/>
      <c r="I39" s="639"/>
      <c r="J39" s="639"/>
      <c r="K39" s="639"/>
      <c r="L39" s="639"/>
      <c r="M39" s="639"/>
      <c r="N39" s="639"/>
      <c r="O39" s="639"/>
      <c r="S39" s="252">
        <v>29</v>
      </c>
      <c r="T39" s="253" t="s">
        <v>237</v>
      </c>
      <c r="U39" s="251">
        <v>4</v>
      </c>
      <c r="V39" s="631"/>
      <c r="W39" s="632"/>
      <c r="X39" s="632"/>
      <c r="Y39" s="632"/>
      <c r="Z39" s="633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179</v>
      </c>
      <c r="B40" s="39"/>
      <c r="C40" s="433" t="str">
        <f>Цена!D26</f>
        <v>Да</v>
      </c>
      <c r="D40" s="102"/>
      <c r="S40" s="252"/>
      <c r="T40" s="253"/>
      <c r="U40" s="251"/>
      <c r="V40" s="631"/>
      <c r="W40" s="632"/>
      <c r="X40" s="632"/>
      <c r="Y40" s="632"/>
      <c r="Z40" s="633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236</v>
      </c>
      <c r="U41" s="251">
        <v>2</v>
      </c>
      <c r="V41" s="631"/>
      <c r="W41" s="632"/>
      <c r="X41" s="632"/>
      <c r="Y41" s="632"/>
      <c r="Z41" s="633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212</v>
      </c>
      <c r="B42" s="107"/>
      <c r="C42" s="434">
        <f>Параметры!B3</f>
        <v>309</v>
      </c>
      <c r="D42" s="102" t="s">
        <v>213</v>
      </c>
      <c r="S42" s="252">
        <v>31</v>
      </c>
      <c r="T42" s="253" t="s">
        <v>235</v>
      </c>
      <c r="U42" s="251">
        <v>2</v>
      </c>
      <c r="V42" s="631"/>
      <c r="W42" s="632"/>
      <c r="X42" s="632"/>
      <c r="Y42" s="632"/>
      <c r="Z42" s="633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12360</v>
      </c>
      <c r="D43" s="102" t="s">
        <v>1</v>
      </c>
      <c r="F43" s="223"/>
      <c r="S43" s="252">
        <v>32</v>
      </c>
      <c r="T43" s="253" t="s">
        <v>234</v>
      </c>
      <c r="U43" s="251">
        <v>1</v>
      </c>
      <c r="V43" s="631"/>
      <c r="W43" s="632"/>
      <c r="X43" s="632"/>
      <c r="Y43" s="632"/>
      <c r="Z43" s="633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233</v>
      </c>
      <c r="U44" s="251">
        <v>1</v>
      </c>
      <c r="V44" s="631"/>
      <c r="W44" s="632"/>
      <c r="X44" s="632"/>
      <c r="Y44" s="632"/>
      <c r="Z44" s="633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189</v>
      </c>
      <c r="B45" s="5"/>
      <c r="C45" s="193">
        <f>ROUNDUP(C43,0)</f>
        <v>12360</v>
      </c>
      <c r="D45" s="102" t="s">
        <v>187</v>
      </c>
      <c r="S45" s="252">
        <v>34</v>
      </c>
      <c r="T45" s="253" t="s">
        <v>232</v>
      </c>
      <c r="U45" s="251">
        <v>2</v>
      </c>
      <c r="V45" s="631"/>
      <c r="W45" s="632"/>
      <c r="X45" s="632"/>
      <c r="Y45" s="632"/>
      <c r="Z45" s="633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231</v>
      </c>
      <c r="U46" s="251">
        <v>2</v>
      </c>
      <c r="V46" s="631"/>
      <c r="W46" s="632"/>
      <c r="X46" s="632"/>
      <c r="Y46" s="632"/>
      <c r="Z46" s="633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38" t="s">
        <v>178</v>
      </c>
      <c r="B47" s="639"/>
      <c r="C47" s="639"/>
      <c r="D47" s="639"/>
      <c r="E47" s="639"/>
      <c r="F47" s="639"/>
      <c r="G47" s="639"/>
      <c r="H47" s="639"/>
      <c r="I47" s="639"/>
      <c r="J47" s="639"/>
      <c r="K47" s="639"/>
      <c r="L47" s="639"/>
      <c r="M47" s="639"/>
      <c r="N47" s="639"/>
      <c r="O47" s="639"/>
      <c r="S47" s="252">
        <v>29</v>
      </c>
      <c r="T47" s="253" t="s">
        <v>237</v>
      </c>
      <c r="U47" s="251">
        <v>4</v>
      </c>
      <c r="V47" s="631"/>
      <c r="W47" s="632"/>
      <c r="X47" s="632"/>
      <c r="Y47" s="632"/>
      <c r="Z47" s="633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403</v>
      </c>
      <c r="B48" s="39"/>
      <c r="C48" s="433">
        <f ca="1">Цена!D18</f>
        <v>246.4</v>
      </c>
      <c r="D48" s="102"/>
      <c r="S48" s="252"/>
      <c r="T48" s="253"/>
      <c r="U48" s="251"/>
      <c r="V48" s="631"/>
      <c r="W48" s="632"/>
      <c r="X48" s="632"/>
      <c r="Y48" s="632"/>
      <c r="Z48" s="633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404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405</v>
      </c>
      <c r="B50" s="312"/>
      <c r="C50" s="437">
        <f>Параметры!B31</f>
        <v>2</v>
      </c>
      <c r="D50" s="102" t="s">
        <v>406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407</v>
      </c>
      <c r="B51" s="432"/>
      <c r="C51" s="102">
        <f ca="1">MROUND(C48*C49*C50/60,1)</f>
        <v>8</v>
      </c>
      <c r="D51" s="102" t="s">
        <v>94</v>
      </c>
      <c r="S51" s="252">
        <v>30</v>
      </c>
      <c r="T51" s="253" t="s">
        <v>236</v>
      </c>
      <c r="U51" s="251">
        <v>2</v>
      </c>
      <c r="V51" s="631"/>
      <c r="W51" s="632"/>
      <c r="X51" s="632"/>
      <c r="Y51" s="632"/>
      <c r="Z51" s="633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212</v>
      </c>
      <c r="B52" s="5"/>
      <c r="C52" s="434">
        <f>C42</f>
        <v>309</v>
      </c>
      <c r="D52" s="102" t="s">
        <v>213</v>
      </c>
      <c r="S52" s="252">
        <v>31</v>
      </c>
      <c r="T52" s="253" t="s">
        <v>235</v>
      </c>
      <c r="U52" s="251">
        <v>2</v>
      </c>
      <c r="V52" s="631"/>
      <c r="W52" s="632"/>
      <c r="X52" s="632"/>
      <c r="Y52" s="632"/>
      <c r="Z52" s="633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233</v>
      </c>
      <c r="U53" s="251">
        <v>1</v>
      </c>
      <c r="V53" s="631"/>
      <c r="W53" s="632"/>
      <c r="X53" s="632"/>
      <c r="Y53" s="632"/>
      <c r="Z53" s="633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408</v>
      </c>
      <c r="B54" s="5"/>
      <c r="C54" s="193">
        <f ca="1">C51*C52</f>
        <v>2472</v>
      </c>
      <c r="D54" s="102" t="s">
        <v>187</v>
      </c>
      <c r="S54" s="252">
        <v>34</v>
      </c>
      <c r="T54" s="253" t="s">
        <v>232</v>
      </c>
      <c r="U54" s="251">
        <v>2</v>
      </c>
      <c r="V54" s="631"/>
      <c r="W54" s="632"/>
      <c r="X54" s="632"/>
      <c r="Y54" s="632"/>
      <c r="Z54" s="633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231</v>
      </c>
      <c r="U55" s="251">
        <v>2</v>
      </c>
      <c r="V55" s="631"/>
      <c r="W55" s="632"/>
      <c r="X55" s="632"/>
      <c r="Y55" s="632"/>
      <c r="Z55" s="633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230</v>
      </c>
      <c r="D64">
        <v>1500</v>
      </c>
      <c r="E64">
        <v>1800</v>
      </c>
      <c r="F64">
        <v>850</v>
      </c>
      <c r="G64">
        <v>6</v>
      </c>
      <c r="H64" t="s">
        <v>217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229</v>
      </c>
      <c r="D65">
        <v>1400</v>
      </c>
      <c r="E65">
        <v>1800</v>
      </c>
      <c r="F65">
        <v>1500</v>
      </c>
      <c r="G65">
        <v>10</v>
      </c>
      <c r="H65" t="s">
        <v>217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228</v>
      </c>
      <c r="D66">
        <v>1200</v>
      </c>
      <c r="E66">
        <v>1700</v>
      </c>
      <c r="F66">
        <v>1200</v>
      </c>
      <c r="G66">
        <v>16</v>
      </c>
      <c r="H66" t="s">
        <v>217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227</v>
      </c>
      <c r="D67">
        <v>1500</v>
      </c>
      <c r="E67">
        <v>2000</v>
      </c>
      <c r="F67">
        <v>800</v>
      </c>
      <c r="G67">
        <v>10</v>
      </c>
      <c r="H67" t="s">
        <v>217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226</v>
      </c>
      <c r="D68">
        <v>1400</v>
      </c>
      <c r="E68">
        <v>2000</v>
      </c>
      <c r="F68">
        <v>1200</v>
      </c>
      <c r="G68">
        <v>8</v>
      </c>
      <c r="H68" t="s">
        <v>217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225</v>
      </c>
      <c r="D69">
        <v>1400</v>
      </c>
      <c r="E69">
        <v>1700</v>
      </c>
      <c r="F69">
        <v>850</v>
      </c>
      <c r="G69">
        <v>16</v>
      </c>
      <c r="H69" t="s">
        <v>217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224</v>
      </c>
      <c r="D70">
        <v>1100</v>
      </c>
      <c r="E70">
        <v>1600</v>
      </c>
      <c r="F70">
        <v>850</v>
      </c>
      <c r="G70">
        <v>10</v>
      </c>
      <c r="H70" t="s">
        <v>217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223</v>
      </c>
      <c r="D71">
        <v>1100</v>
      </c>
      <c r="E71">
        <v>1400</v>
      </c>
      <c r="F71">
        <v>850</v>
      </c>
      <c r="G71">
        <v>10</v>
      </c>
      <c r="H71" t="s">
        <v>217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222</v>
      </c>
      <c r="D72">
        <v>1600</v>
      </c>
      <c r="E72">
        <v>2200</v>
      </c>
      <c r="F72">
        <v>1200</v>
      </c>
      <c r="G72">
        <v>16</v>
      </c>
      <c r="H72" t="s">
        <v>217</v>
      </c>
    </row>
    <row r="73" spans="2:242" x14ac:dyDescent="0.2">
      <c r="B73" t="s">
        <v>221</v>
      </c>
      <c r="D73">
        <v>1200</v>
      </c>
      <c r="E73">
        <v>1500</v>
      </c>
      <c r="F73">
        <v>850</v>
      </c>
      <c r="G73">
        <v>10</v>
      </c>
      <c r="H73" t="s">
        <v>217</v>
      </c>
    </row>
    <row r="74" spans="2:242" x14ac:dyDescent="0.2">
      <c r="B74" t="s">
        <v>220</v>
      </c>
      <c r="D74">
        <v>2000</v>
      </c>
      <c r="E74">
        <v>3100</v>
      </c>
      <c r="F74">
        <v>850</v>
      </c>
      <c r="G74">
        <v>14</v>
      </c>
      <c r="H74" t="s">
        <v>219</v>
      </c>
    </row>
    <row r="75" spans="2:242" x14ac:dyDescent="0.2">
      <c r="B75" t="s">
        <v>218</v>
      </c>
      <c r="D75">
        <v>2300</v>
      </c>
      <c r="E75">
        <v>2000</v>
      </c>
      <c r="F75">
        <v>1200</v>
      </c>
      <c r="G75">
        <v>8</v>
      </c>
      <c r="H75" t="s">
        <v>217</v>
      </c>
    </row>
    <row r="76" spans="2:242" x14ac:dyDescent="0.2">
      <c r="B76" t="s">
        <v>216</v>
      </c>
      <c r="D76">
        <v>1200</v>
      </c>
      <c r="E76">
        <v>1500</v>
      </c>
      <c r="F76">
        <v>1200</v>
      </c>
      <c r="G76">
        <v>8</v>
      </c>
      <c r="H76" t="s">
        <v>214</v>
      </c>
    </row>
    <row r="77" spans="2:242" x14ac:dyDescent="0.2">
      <c r="B77" t="s">
        <v>215</v>
      </c>
      <c r="D77">
        <v>900</v>
      </c>
      <c r="E77">
        <v>1300</v>
      </c>
      <c r="F77">
        <v>850</v>
      </c>
      <c r="G77">
        <v>6</v>
      </c>
      <c r="H77" t="s">
        <v>214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29:Z29"/>
    <mergeCell ref="V30:Z30"/>
    <mergeCell ref="V31:Z31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E16:O16"/>
    <mergeCell ref="E17:O17"/>
    <mergeCell ref="V40:Z40"/>
    <mergeCell ref="V48:Z48"/>
    <mergeCell ref="V51:Z5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61" workbookViewId="0">
      <selection activeCell="K83" sqref="K83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376</v>
      </c>
      <c r="B1" s="397"/>
    </row>
    <row r="2" spans="1:17" x14ac:dyDescent="0.2">
      <c r="A2" s="399" t="s">
        <v>377</v>
      </c>
      <c r="B2" s="400"/>
      <c r="E2" s="402"/>
    </row>
    <row r="3" spans="1:17" x14ac:dyDescent="0.2">
      <c r="A3" s="393" t="s">
        <v>391</v>
      </c>
      <c r="B3" s="403">
        <f ca="1">ТХ!D75</f>
        <v>233</v>
      </c>
      <c r="D3" s="401" t="s">
        <v>17</v>
      </c>
      <c r="E3" s="404">
        <f>Цена!B16</f>
        <v>400</v>
      </c>
      <c r="I3" s="394" t="s">
        <v>377</v>
      </c>
      <c r="J3" s="394" t="s">
        <v>378</v>
      </c>
    </row>
    <row r="4" spans="1:17" x14ac:dyDescent="0.2">
      <c r="A4" s="393" t="s">
        <v>380</v>
      </c>
      <c r="B4" s="403">
        <f ca="1">ROUNDUP(B3/E16,0-1)</f>
        <v>300</v>
      </c>
      <c r="D4" s="401" t="s">
        <v>18</v>
      </c>
      <c r="E4" s="404">
        <f>Цена!C16</f>
        <v>400</v>
      </c>
      <c r="I4" s="406" t="s">
        <v>180</v>
      </c>
      <c r="J4" s="407">
        <f>Параметры!B11</f>
        <v>205</v>
      </c>
    </row>
    <row r="5" spans="1:17" x14ac:dyDescent="0.2">
      <c r="A5" s="393" t="s">
        <v>383</v>
      </c>
      <c r="B5" s="403">
        <f ca="1">MROUND(B4*$F$11,10)</f>
        <v>61500</v>
      </c>
      <c r="D5" s="401" t="s">
        <v>392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384</v>
      </c>
      <c r="B6" s="418"/>
      <c r="D6" s="401" t="s">
        <v>393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399</v>
      </c>
      <c r="B7" s="431">
        <f>ROUNDUP((E8*2+830)*2*1.05/1000,0)</f>
        <v>9</v>
      </c>
      <c r="D7" s="401" t="s">
        <v>397</v>
      </c>
      <c r="E7" s="408">
        <f>Цена!D20</f>
        <v>2250</v>
      </c>
      <c r="I7" s="406" t="s">
        <v>181</v>
      </c>
      <c r="J7" s="407">
        <f>Параметры!B14</f>
        <v>310</v>
      </c>
    </row>
    <row r="8" spans="1:17" x14ac:dyDescent="0.2">
      <c r="A8" s="419" t="s">
        <v>400</v>
      </c>
      <c r="B8" s="403">
        <f>B7*E18</f>
        <v>48600</v>
      </c>
      <c r="D8" s="401" t="s">
        <v>398</v>
      </c>
      <c r="E8" s="408">
        <f>Цена!D21</f>
        <v>1600</v>
      </c>
    </row>
    <row r="9" spans="1:17" s="440" customFormat="1" ht="30" x14ac:dyDescent="0.2">
      <c r="A9" s="438" t="s">
        <v>386</v>
      </c>
      <c r="B9" s="439">
        <f ca="1">OFFSET(L9,MATCH(1,Q10:Q15,0),1,1,1)</f>
        <v>737</v>
      </c>
      <c r="D9" s="440" t="s">
        <v>396</v>
      </c>
      <c r="E9" s="441">
        <f>Цена!D22</f>
        <v>400</v>
      </c>
      <c r="L9" s="442" t="s">
        <v>361</v>
      </c>
      <c r="M9" s="443" t="s">
        <v>362</v>
      </c>
      <c r="N9" s="443" t="s">
        <v>274</v>
      </c>
      <c r="O9" s="443" t="s">
        <v>363</v>
      </c>
      <c r="P9" s="443" t="s">
        <v>85</v>
      </c>
      <c r="Q9" s="443" t="s">
        <v>382</v>
      </c>
    </row>
    <row r="10" spans="1:17" ht="15" x14ac:dyDescent="0.25">
      <c r="A10" s="419" t="s">
        <v>388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409</v>
      </c>
      <c r="B11" s="421">
        <f>4000*2</f>
        <v>8000</v>
      </c>
      <c r="D11" s="401" t="s">
        <v>377</v>
      </c>
      <c r="E11" s="404" t="str">
        <f>Цена!D24</f>
        <v>AISI 201</v>
      </c>
      <c r="F11" s="401">
        <f ca="1">OFFSET(I3,MATCH(E11,I4:I7,0),1,1,1)</f>
        <v>205</v>
      </c>
      <c r="G11" s="401" t="s">
        <v>378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389</v>
      </c>
      <c r="B12" s="403">
        <f>B73</f>
        <v>15233.166666666668</v>
      </c>
      <c r="D12" s="409" t="s">
        <v>379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390</v>
      </c>
      <c r="B13" s="426">
        <f ca="1">B5+B8+B10+B12</f>
        <v>195353.16666666666</v>
      </c>
      <c r="D13" s="409" t="s">
        <v>381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385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103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387</v>
      </c>
      <c r="E16" s="420">
        <f>Параметры!B30</f>
        <v>0.8</v>
      </c>
    </row>
    <row r="17" spans="1:19" x14ac:dyDescent="0.2">
      <c r="D17" s="401" t="s">
        <v>353</v>
      </c>
      <c r="E17" s="421">
        <f>Параметры!B5</f>
        <v>0.03</v>
      </c>
    </row>
    <row r="18" spans="1:19" s="391" customFormat="1" x14ac:dyDescent="0.2">
      <c r="D18" s="401" t="s">
        <v>394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689" t="s">
        <v>389</v>
      </c>
      <c r="B20" s="690"/>
    </row>
    <row r="21" spans="1:19" x14ac:dyDescent="0.2">
      <c r="A21" s="422" t="s">
        <v>410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411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458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412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413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414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415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416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417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418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419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420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421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422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423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424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425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426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427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428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429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430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431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432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433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434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435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436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437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438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439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440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441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442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443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444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445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446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447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448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449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450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451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452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453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454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455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456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448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457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459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689" t="s">
        <v>190</v>
      </c>
      <c r="B76" s="690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470</v>
      </c>
      <c r="B78" s="459">
        <f>Параметры!B54</f>
        <v>840</v>
      </c>
      <c r="C78" s="408"/>
      <c r="D78" s="408" t="s">
        <v>469</v>
      </c>
      <c r="E78" s="448" t="str">
        <f>Цена!D26</f>
        <v>Да</v>
      </c>
    </row>
    <row r="79" spans="1:13" ht="30" x14ac:dyDescent="0.25">
      <c r="A79" s="419" t="s">
        <v>463</v>
      </c>
      <c r="B79" s="459">
        <f ca="1">OFFSET(L83,MATCH(1,K84:K86,0),1,1,1)</f>
        <v>100</v>
      </c>
      <c r="C79" s="408"/>
      <c r="D79" s="445" t="s">
        <v>463</v>
      </c>
      <c r="E79" s="457" t="str">
        <f>Цена!D27</f>
        <v>ModBus RTU</v>
      </c>
      <c r="L79" s="369" t="s">
        <v>364</v>
      </c>
      <c r="M79" s="382" t="s">
        <v>365</v>
      </c>
    </row>
    <row r="80" spans="1:13" ht="15" x14ac:dyDescent="0.25">
      <c r="A80" s="393" t="s">
        <v>471</v>
      </c>
      <c r="B80" s="459">
        <f ca="1">OFFSET(L79,MATCH(1,K80:K82,0),1,1,1)</f>
        <v>60</v>
      </c>
      <c r="C80" s="408"/>
      <c r="D80" s="408" t="s">
        <v>472</v>
      </c>
      <c r="E80" s="449">
        <f>IF(E15=55,55,IF(E15=66,66,IF(E15=68,67)))</f>
        <v>55</v>
      </c>
      <c r="K80" s="450">
        <f>IF(E80=55,1,0)</f>
        <v>1</v>
      </c>
      <c r="L80" s="373" t="s">
        <v>495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496</v>
      </c>
      <c r="M81" s="383">
        <v>80</v>
      </c>
    </row>
    <row r="82" spans="1:13" ht="15" x14ac:dyDescent="0.25">
      <c r="A82" s="401" t="s">
        <v>474</v>
      </c>
      <c r="B82" s="459">
        <f ca="1">SUM(B78:B80)</f>
        <v>1000</v>
      </c>
      <c r="K82" s="450">
        <f>IF(SUM(K80:K81)=0,1,0)</f>
        <v>0</v>
      </c>
      <c r="L82" s="377" t="s">
        <v>265</v>
      </c>
      <c r="M82" s="384">
        <v>180</v>
      </c>
    </row>
    <row r="83" spans="1:13" x14ac:dyDescent="0.2">
      <c r="A83" s="401" t="s">
        <v>475</v>
      </c>
      <c r="B83" s="458">
        <f ca="1">B82*E14</f>
        <v>95000</v>
      </c>
    </row>
    <row r="84" spans="1:13" x14ac:dyDescent="0.2">
      <c r="A84" s="401" t="s">
        <v>90</v>
      </c>
      <c r="B84" s="458">
        <f ca="1">ROUND(B83*E17,1)</f>
        <v>2850</v>
      </c>
      <c r="K84" s="450">
        <f>IF(L84=$E$79,1,0)</f>
        <v>0</v>
      </c>
      <c r="L84" s="451" t="s">
        <v>102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464</v>
      </c>
      <c r="M85" s="455">
        <f>Параметры!B51</f>
        <v>100</v>
      </c>
    </row>
    <row r="86" spans="1:13" ht="13.5" thickBot="1" x14ac:dyDescent="0.25">
      <c r="A86" s="427" t="s">
        <v>476</v>
      </c>
      <c r="B86" s="426">
        <f ca="1">B83+B84</f>
        <v>97850</v>
      </c>
      <c r="J86" s="401" t="s">
        <v>473</v>
      </c>
      <c r="K86" s="450">
        <f>IF(L86=$E$79,1,0)</f>
        <v>0</v>
      </c>
      <c r="L86" s="453" t="s">
        <v>465</v>
      </c>
      <c r="M86" s="456">
        <f>Параметры!B52</f>
        <v>240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88" workbookViewId="0">
      <selection activeCell="D52" sqref="D52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279</v>
      </c>
      <c r="C1" s="109" t="s">
        <v>274</v>
      </c>
      <c r="D1" s="109" t="s">
        <v>275</v>
      </c>
      <c r="E1" s="109" t="s">
        <v>276</v>
      </c>
      <c r="F1" s="109" t="s">
        <v>277</v>
      </c>
      <c r="G1" s="109" t="s">
        <v>278</v>
      </c>
    </row>
    <row r="2" spans="1:8" ht="89.25" x14ac:dyDescent="0.2">
      <c r="A2" s="297" t="str">
        <f>A5</f>
        <v>РТО 400.400.850.6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- 50 м3/ч.; прозор - 6 мм.; ширина канала - 400 мм.; глубина канала - 400 мм.; высота выгрузки отбросов - 850 мм.; вес решетки в сборе - 290 кг.; привод - 0,37 кВт.; IP 55; 380 В; 50 Гц;  материал исполнения - AISI 201; в комплекте с ШУ и ВПУ.</v>
      </c>
      <c r="C2" s="110">
        <f ca="1">C11</f>
        <v>290</v>
      </c>
      <c r="D2" s="108">
        <f ca="1">C12</f>
        <v>0.37</v>
      </c>
      <c r="E2" s="108">
        <v>1</v>
      </c>
      <c r="F2" s="110">
        <f ca="1">MROUND(Цена!C49,100)</f>
        <v>528200</v>
      </c>
      <c r="G2" s="110">
        <f ca="1">F2*E2</f>
        <v>528200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269</v>
      </c>
      <c r="B4" t="s">
        <v>270</v>
      </c>
      <c r="C4" t="s">
        <v>273</v>
      </c>
    </row>
    <row r="5" spans="1:8" x14ac:dyDescent="0.2">
      <c r="A5" t="str">
        <f>Цена!I4</f>
        <v>РТО 400.400.850.6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271</v>
      </c>
      <c r="C6" s="298">
        <f>ROUNDUP(Гидравлика!R4,-1)</f>
        <v>50</v>
      </c>
      <c r="D6" t="s">
        <v>113</v>
      </c>
      <c r="E6" t="str">
        <f>CONCATENATE(B6," ",C6," ",D6,".;")</f>
        <v>Максимальная производительность - 50 м3/ч.;</v>
      </c>
    </row>
    <row r="7" spans="1:8" x14ac:dyDescent="0.2">
      <c r="B7" s="186" t="s">
        <v>280</v>
      </c>
      <c r="C7" s="110">
        <f>Цена!E16</f>
        <v>6</v>
      </c>
      <c r="D7" t="s">
        <v>167</v>
      </c>
      <c r="E7" t="str">
        <f>CONCATENATE(B7," ",C7," ",D7,";")</f>
        <v>прозор - 6 мм.;</v>
      </c>
    </row>
    <row r="8" spans="1:8" x14ac:dyDescent="0.2">
      <c r="B8" s="186" t="s">
        <v>281</v>
      </c>
      <c r="C8" s="110">
        <f>Цена!B16</f>
        <v>400</v>
      </c>
      <c r="D8" t="s">
        <v>167</v>
      </c>
      <c r="E8" t="str">
        <f>CONCATENATE(B8," ",C8," ",D8,";")</f>
        <v>ширина канала - 400 мм.;</v>
      </c>
    </row>
    <row r="9" spans="1:8" x14ac:dyDescent="0.2">
      <c r="B9" s="186" t="s">
        <v>282</v>
      </c>
      <c r="C9" s="110">
        <f>Цена!C16</f>
        <v>400</v>
      </c>
      <c r="D9" t="s">
        <v>167</v>
      </c>
      <c r="E9" t="str">
        <f>CONCATENATE(B9," ",C9," ",D9,";")</f>
        <v>глубина канала - 400 мм.;</v>
      </c>
    </row>
    <row r="10" spans="1:8" x14ac:dyDescent="0.2">
      <c r="B10" s="186" t="s">
        <v>283</v>
      </c>
      <c r="C10" s="110">
        <f>Цена!D16</f>
        <v>850</v>
      </c>
      <c r="D10" t="s">
        <v>167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284</v>
      </c>
      <c r="C11" s="110">
        <f ca="1">Цена!D19</f>
        <v>290</v>
      </c>
      <c r="D11" t="s">
        <v>170</v>
      </c>
      <c r="E11" t="str">
        <f ca="1">CONCATENATE(B11," ",C11," ",D11,";")</f>
        <v>вес решетки в сборе - 290 кг.;</v>
      </c>
    </row>
    <row r="12" spans="1:8" x14ac:dyDescent="0.2">
      <c r="B12" s="186" t="s">
        <v>462</v>
      </c>
      <c r="C12" s="447">
        <f ca="1">Цена!D23</f>
        <v>0.37</v>
      </c>
      <c r="D12" t="s">
        <v>272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285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286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302</v>
      </c>
    </row>
    <row r="21" spans="2:15" s="304" customFormat="1" x14ac:dyDescent="0.2">
      <c r="B21" s="302" t="s">
        <v>303</v>
      </c>
      <c r="C21" s="303" t="s">
        <v>304</v>
      </c>
      <c r="D21" s="303">
        <f>Цена!B9</f>
        <v>8544</v>
      </c>
    </row>
    <row r="22" spans="2:15" x14ac:dyDescent="0.2">
      <c r="B22" s="186" t="s">
        <v>289</v>
      </c>
      <c r="C22" s="283"/>
      <c r="D22" s="283" t="str">
        <f>CONCATENATE("ТКП №",Цена!I3)</f>
        <v>ТКП №8544 0 0 24.12.21</v>
      </c>
    </row>
    <row r="23" spans="2:15" s="304" customFormat="1" x14ac:dyDescent="0.2">
      <c r="B23" s="302" t="s">
        <v>290</v>
      </c>
      <c r="C23" s="305" t="s">
        <v>318</v>
      </c>
      <c r="D23" s="305" t="str">
        <f>Цена!I4</f>
        <v>РТО 400.400.850.6</v>
      </c>
    </row>
    <row r="24" spans="2:15" s="304" customFormat="1" x14ac:dyDescent="0.2">
      <c r="B24" s="302" t="s">
        <v>291</v>
      </c>
      <c r="C24" s="304" t="s">
        <v>305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291</v>
      </c>
      <c r="C25" s="305" t="s">
        <v>317</v>
      </c>
      <c r="D25" s="305" t="str">
        <f>Цена!A16</f>
        <v>РТО</v>
      </c>
    </row>
    <row r="26" spans="2:15" s="304" customFormat="1" x14ac:dyDescent="0.2">
      <c r="B26" s="302" t="s">
        <v>292</v>
      </c>
      <c r="C26" s="303" t="s">
        <v>306</v>
      </c>
      <c r="D26" s="303">
        <f>Цена!E16</f>
        <v>6</v>
      </c>
    </row>
    <row r="27" spans="2:15" s="304" customFormat="1" x14ac:dyDescent="0.2">
      <c r="B27" s="302" t="s">
        <v>293</v>
      </c>
      <c r="C27" s="303" t="s">
        <v>307</v>
      </c>
      <c r="D27" s="303">
        <f>Цена!B16</f>
        <v>400</v>
      </c>
    </row>
    <row r="28" spans="2:15" s="304" customFormat="1" x14ac:dyDescent="0.2">
      <c r="B28" s="302" t="s">
        <v>294</v>
      </c>
      <c r="C28" s="303" t="s">
        <v>308</v>
      </c>
      <c r="D28" s="303">
        <f>Цена!C16</f>
        <v>400</v>
      </c>
    </row>
    <row r="29" spans="2:15" s="304" customFormat="1" x14ac:dyDescent="0.2">
      <c r="B29" s="302" t="s">
        <v>295</v>
      </c>
      <c r="C29" s="303" t="s">
        <v>309</v>
      </c>
      <c r="D29" s="303">
        <f>Цена!D16</f>
        <v>850</v>
      </c>
    </row>
    <row r="30" spans="2:15" s="304" customFormat="1" x14ac:dyDescent="0.2">
      <c r="B30" s="302" t="s">
        <v>296</v>
      </c>
      <c r="C30" s="305" t="s">
        <v>310</v>
      </c>
      <c r="D30" s="305">
        <f>IF(C10=850,1770,IF(C10=1200,2120,IF(C10=1500,2420,)))</f>
        <v>1770</v>
      </c>
    </row>
    <row r="31" spans="2:15" s="304" customFormat="1" x14ac:dyDescent="0.2">
      <c r="B31" s="302" t="s">
        <v>297</v>
      </c>
      <c r="C31" s="305" t="s">
        <v>311</v>
      </c>
      <c r="D31" s="305">
        <f>IF(C9&lt;1200,0,250)</f>
        <v>0</v>
      </c>
    </row>
    <row r="32" spans="2:15" x14ac:dyDescent="0.2">
      <c r="B32" s="186" t="s">
        <v>288</v>
      </c>
      <c r="C32" s="283"/>
      <c r="D32" s="283" t="str">
        <f>IF(C13="IP 55","IP 54",IF(C13="IP 66","IP 65","IP 67"))</f>
        <v>IP 54</v>
      </c>
    </row>
    <row r="33" spans="2:6" s="304" customFormat="1" x14ac:dyDescent="0.2">
      <c r="B33" s="302" t="s">
        <v>301</v>
      </c>
      <c r="C33" s="304" t="s">
        <v>314</v>
      </c>
      <c r="D33" s="304" t="str">
        <f>C13</f>
        <v>IP 55</v>
      </c>
    </row>
    <row r="34" spans="2:6" s="304" customFormat="1" x14ac:dyDescent="0.2">
      <c r="B34" s="302" t="s">
        <v>287</v>
      </c>
      <c r="C34" s="306" t="s">
        <v>312</v>
      </c>
      <c r="D34" s="306">
        <f>C6</f>
        <v>50</v>
      </c>
    </row>
    <row r="35" spans="2:6" s="304" customFormat="1" x14ac:dyDescent="0.2">
      <c r="B35" s="302" t="s">
        <v>298</v>
      </c>
      <c r="C35" s="305" t="s">
        <v>313</v>
      </c>
      <c r="D35" s="305">
        <f ca="1">D2</f>
        <v>0.37</v>
      </c>
    </row>
    <row r="36" spans="2:6" s="304" customFormat="1" x14ac:dyDescent="0.2">
      <c r="B36" s="302" t="s">
        <v>299</v>
      </c>
      <c r="C36" s="303" t="s">
        <v>315</v>
      </c>
      <c r="D36" s="303">
        <f ca="1">C11</f>
        <v>290</v>
      </c>
    </row>
    <row r="37" spans="2:6" s="304" customFormat="1" x14ac:dyDescent="0.2">
      <c r="B37" s="302" t="s">
        <v>300</v>
      </c>
      <c r="C37" s="304" t="s">
        <v>316</v>
      </c>
      <c r="D37" s="304" t="str">
        <f>C14</f>
        <v>AISI 201</v>
      </c>
    </row>
    <row r="38" spans="2:6" s="304" customFormat="1" x14ac:dyDescent="0.2">
      <c r="B38" s="302" t="s">
        <v>320</v>
      </c>
      <c r="C38" s="304" t="s">
        <v>319</v>
      </c>
      <c r="D38" s="304" t="str">
        <f>IF(C15="Да","в комплекте с ШУ и ВПУ.","без ШУ.")</f>
        <v>в комплекте с ШУ и ВПУ.</v>
      </c>
    </row>
    <row r="39" spans="2:6" s="304" customFormat="1" x14ac:dyDescent="0.2">
      <c r="B39" s="302" t="s">
        <v>321</v>
      </c>
      <c r="C39" s="304" t="s">
        <v>322</v>
      </c>
      <c r="D39" s="304" t="str">
        <f>IF(C15="Да","- Шкаф управления ШУ;","")</f>
        <v>- Шкаф управления ШУ;</v>
      </c>
    </row>
    <row r="40" spans="2:6" s="304" customFormat="1" x14ac:dyDescent="0.2">
      <c r="B40" s="302" t="s">
        <v>323</v>
      </c>
      <c r="C40" s="304" t="s">
        <v>324</v>
      </c>
      <c r="D40" s="304" t="str">
        <f>IF(C15="Да","- Выносной пульт управления ВПУ;","")</f>
        <v>- Выносной пульт управления ВПУ;</v>
      </c>
    </row>
    <row r="41" spans="2:6" x14ac:dyDescent="0.2">
      <c r="B41" s="300" t="s">
        <v>325</v>
      </c>
      <c r="C41" s="301" t="s">
        <v>326</v>
      </c>
      <c r="D41" s="301" t="str">
        <f>IF(C15="Да",", ШУ, ВПУ","")</f>
        <v>, ШУ, ВПУ</v>
      </c>
    </row>
    <row r="42" spans="2:6" s="486" customFormat="1" x14ac:dyDescent="0.2">
      <c r="B42" s="487" t="s">
        <v>493</v>
      </c>
      <c r="D42" s="488" t="str">
        <f>IF(D33="IP 68","14÷16","8÷10")</f>
        <v>8÷10</v>
      </c>
      <c r="E42" s="487"/>
      <c r="F42" s="489" t="s">
        <v>494</v>
      </c>
    </row>
    <row r="43" spans="2:6" x14ac:dyDescent="0.2">
      <c r="B43" s="186"/>
    </row>
    <row r="44" spans="2:6" x14ac:dyDescent="0.2">
      <c r="B44" s="186"/>
    </row>
    <row r="100" spans="1:8" s="71" customFormat="1" ht="38.25" x14ac:dyDescent="0.2">
      <c r="A100" s="109" t="s">
        <v>266</v>
      </c>
      <c r="B100" s="109" t="s">
        <v>478</v>
      </c>
      <c r="C100" s="109" t="s">
        <v>480</v>
      </c>
      <c r="D100" s="109" t="s">
        <v>479</v>
      </c>
      <c r="E100" s="109" t="s">
        <v>274</v>
      </c>
      <c r="F100" s="109" t="s">
        <v>199</v>
      </c>
      <c r="G100" s="109" t="s">
        <v>481</v>
      </c>
      <c r="H100" s="109" t="s">
        <v>198</v>
      </c>
    </row>
    <row r="101" spans="1:8" x14ac:dyDescent="0.2">
      <c r="A101" s="474">
        <f>Цена!B8</f>
        <v>0</v>
      </c>
      <c r="B101" s="474" t="str">
        <f>Цена!B10</f>
        <v>-</v>
      </c>
      <c r="C101" s="110">
        <f ca="1">MROUND((Цена!C49-Спецификация!D101),5)</f>
        <v>392605</v>
      </c>
      <c r="D101" s="110">
        <f ca="1">IF(Цена!D26="Нет",0,MROUND((Цена!C46*(1+Цена!B47))+Цена!C35*(1+Цена!B36),5))</f>
        <v>135640</v>
      </c>
      <c r="E101" s="110">
        <f ca="1">Спецификация!C2</f>
        <v>290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482</v>
      </c>
    </row>
    <row r="116" spans="1:7" s="477" customFormat="1" x14ac:dyDescent="0.2">
      <c r="A116" s="476"/>
    </row>
    <row r="117" spans="1:7" s="477" customFormat="1" x14ac:dyDescent="0.2">
      <c r="A117" s="478" t="s">
        <v>269</v>
      </c>
      <c r="B117" s="478" t="s">
        <v>483</v>
      </c>
      <c r="C117" s="478" t="s">
        <v>484</v>
      </c>
      <c r="D117" s="478" t="s">
        <v>485</v>
      </c>
      <c r="E117" s="477" t="s">
        <v>486</v>
      </c>
      <c r="F117" s="477" t="s">
        <v>487</v>
      </c>
      <c r="G117" s="479" t="s">
        <v>488</v>
      </c>
    </row>
    <row r="118" spans="1:7" s="477" customFormat="1" x14ac:dyDescent="0.2">
      <c r="A118" s="480" t="str">
        <f>A2</f>
        <v>РТО 400.400.850.6</v>
      </c>
      <c r="B118" s="481">
        <f ca="1">C101</f>
        <v>392605</v>
      </c>
      <c r="C118" s="482">
        <f>ROUNDUP(ФОТ!K29,0)</f>
        <v>203</v>
      </c>
      <c r="D118" s="482">
        <f ca="1">ФОТ!C51</f>
        <v>8</v>
      </c>
      <c r="E118" s="482">
        <f ca="1">IF(B118=0,0,(C118+D118)*Параметры!B3*(1+Параметры!B4))</f>
        <v>183861.18000000002</v>
      </c>
      <c r="F118" s="482">
        <f ca="1">B118-E118</f>
        <v>208743.81999999998</v>
      </c>
      <c r="G118" s="477" t="str">
        <f ca="1">CONCATENATE(A118," (",H101,"; ",G101," кВт.; ",F101,")")</f>
        <v>РТО 400.400.850.6 (AISI 201; 0,37 кВт.; IP 55)</v>
      </c>
    </row>
    <row r="119" spans="1:7" s="477" customFormat="1" x14ac:dyDescent="0.2">
      <c r="A119" s="479" t="s">
        <v>489</v>
      </c>
      <c r="B119" s="481">
        <f ca="1">IF(Цена!D26="Да",Спецификация!D101,0)</f>
        <v>135640</v>
      </c>
      <c r="C119" s="482">
        <f ca="1">IF(B119=0,0,ФОТ!C41)</f>
        <v>40</v>
      </c>
      <c r="D119" s="482">
        <v>0</v>
      </c>
      <c r="E119" s="482">
        <f ca="1">IF(B119=0,0,(C119+D119)*Параметры!B3*(1+Параметры!B4))</f>
        <v>34855.200000000004</v>
      </c>
      <c r="F119" s="482">
        <f ca="1">B119-E119</f>
        <v>100784.79999999999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528245</v>
      </c>
      <c r="C121" s="483">
        <f ca="1">SUM(C118:C119)</f>
        <v>243</v>
      </c>
      <c r="D121" s="483">
        <f ca="1">SUM(D118:D119)</f>
        <v>8</v>
      </c>
      <c r="E121" s="483">
        <f ca="1">SUM(E118:E119)</f>
        <v>218716.38000000003</v>
      </c>
      <c r="F121" s="483">
        <f ca="1">SUM(F118:F119)</f>
        <v>309528.62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2021-12-24T13:26:21Z</dcterms:modified>
</cp:coreProperties>
</file>