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D:\1_newProgram(ver.2)\docs\initial\"/>
    </mc:Choice>
  </mc:AlternateContent>
  <bookViews>
    <workbookView xWindow="14385" yWindow="225" windowWidth="14430" windowHeight="11010" activeTab="3"/>
  </bookViews>
  <sheets>
    <sheet name="Параметры" sheetId="15" r:id="rId1"/>
    <sheet name="ТХ" sheetId="6" r:id="rId2"/>
    <sheet name="Гидравлика" sheetId="8" r:id="rId3"/>
    <sheet name="Цена" sheetId="12" r:id="rId4"/>
    <sheet name="ФОТ" sheetId="13" r:id="rId5"/>
    <sheet name="РГО" sheetId="16" r:id="rId6"/>
    <sheet name="Спецификация" sheetId="14" r:id="rId7"/>
  </sheets>
  <definedNames>
    <definedName name="Валюта" localSheetId="4">#REF!</definedName>
    <definedName name="Валюта">#REF!</definedName>
    <definedName name="Глубина">OFFSET(#REF!,MATCH(#REF!,#REF!,0),1,COUNTIF(#REF!,#REF!),1)</definedName>
    <definedName name="Количество" localSheetId="3">#REF!</definedName>
    <definedName name="Менеджера" localSheetId="4">#REF!</definedName>
    <definedName name="Менеджера">#REF!:#REF!</definedName>
    <definedName name="Прозор" localSheetId="4">#REF!</definedName>
    <definedName name="Прозор">#REF!</definedName>
    <definedName name="Степень_защиты_привода" localSheetId="4">#REF!</definedName>
    <definedName name="Степень_защиты_привода">#REF!</definedName>
  </definedNames>
  <calcPr calcId="162913"/>
</workbook>
</file>

<file path=xl/calcChain.xml><?xml version="1.0" encoding="utf-8"?>
<calcChain xmlns="http://schemas.openxmlformats.org/spreadsheetml/2006/main">
  <c r="B3" i="12" l="1"/>
  <c r="E14" i="16" s="1"/>
  <c r="B11" i="16"/>
  <c r="E16" i="6"/>
  <c r="B16" i="6"/>
  <c r="E4" i="6" s="1"/>
  <c r="F4" i="6" s="1"/>
  <c r="C16" i="6"/>
  <c r="C10" i="13"/>
  <c r="C13" i="13" s="1"/>
  <c r="D14" i="13" s="1"/>
  <c r="D16" i="6"/>
  <c r="E79" i="16"/>
  <c r="K85" i="16" s="1"/>
  <c r="E15" i="16"/>
  <c r="E80" i="16"/>
  <c r="K81" i="16" s="1"/>
  <c r="C9" i="13"/>
  <c r="D9" i="13" s="1"/>
  <c r="C12" i="13"/>
  <c r="D12" i="13"/>
  <c r="C31" i="13" s="1"/>
  <c r="C11" i="13"/>
  <c r="D11" i="13"/>
  <c r="C40" i="13"/>
  <c r="D20" i="12"/>
  <c r="D21" i="12" s="1"/>
  <c r="E8" i="16" s="1"/>
  <c r="B7" i="16" s="1"/>
  <c r="E11" i="16"/>
  <c r="E3" i="16"/>
  <c r="Q12" i="16"/>
  <c r="E4" i="16"/>
  <c r="H101" i="14"/>
  <c r="F101" i="14"/>
  <c r="B101" i="14"/>
  <c r="A101" i="14"/>
  <c r="A16" i="12"/>
  <c r="B36" i="12"/>
  <c r="C55" i="12"/>
  <c r="B47" i="12"/>
  <c r="M86" i="16"/>
  <c r="M85" i="16"/>
  <c r="E78" i="16"/>
  <c r="B54" i="15"/>
  <c r="B78" i="16"/>
  <c r="C15" i="14"/>
  <c r="D41" i="14" s="1"/>
  <c r="C14" i="14"/>
  <c r="E14" i="14"/>
  <c r="C13" i="14"/>
  <c r="D32" i="14" s="1"/>
  <c r="C10" i="14"/>
  <c r="E10" i="14"/>
  <c r="C9" i="14"/>
  <c r="E9" i="14" s="1"/>
  <c r="C8" i="14"/>
  <c r="E8" i="14"/>
  <c r="C7" i="14"/>
  <c r="E7" i="14"/>
  <c r="H6" i="8"/>
  <c r="H5" i="8"/>
  <c r="H18" i="8" s="1"/>
  <c r="H3" i="8"/>
  <c r="C44" i="12"/>
  <c r="D44" i="12"/>
  <c r="D70" i="16"/>
  <c r="D69" i="16"/>
  <c r="D68" i="16"/>
  <c r="D67" i="16"/>
  <c r="D66" i="16"/>
  <c r="D65" i="16"/>
  <c r="D64" i="16"/>
  <c r="D63" i="16"/>
  <c r="D62" i="16"/>
  <c r="D61" i="16"/>
  <c r="D60" i="16"/>
  <c r="D59" i="16"/>
  <c r="D58" i="16"/>
  <c r="D57" i="16"/>
  <c r="D56" i="16"/>
  <c r="D55" i="16"/>
  <c r="D54" i="16"/>
  <c r="D53" i="16"/>
  <c r="D52" i="16"/>
  <c r="D51" i="16"/>
  <c r="D50" i="16"/>
  <c r="D49" i="16"/>
  <c r="D48" i="16"/>
  <c r="D47" i="16"/>
  <c r="D46" i="16"/>
  <c r="D45" i="16"/>
  <c r="D44" i="16"/>
  <c r="D43" i="16"/>
  <c r="D42" i="16"/>
  <c r="D41" i="16"/>
  <c r="D40" i="16"/>
  <c r="D39" i="16"/>
  <c r="D38" i="16"/>
  <c r="D37" i="16"/>
  <c r="D36" i="16"/>
  <c r="D35" i="16"/>
  <c r="D34" i="16"/>
  <c r="D33" i="16"/>
  <c r="D32" i="16"/>
  <c r="D31" i="16"/>
  <c r="D30" i="16"/>
  <c r="D29" i="16"/>
  <c r="D28" i="16"/>
  <c r="D27" i="16"/>
  <c r="D26" i="16"/>
  <c r="D25" i="16"/>
  <c r="D24" i="16"/>
  <c r="D23" i="16"/>
  <c r="D22" i="16"/>
  <c r="D21" i="16"/>
  <c r="B73" i="16"/>
  <c r="B12" i="16"/>
  <c r="C45" i="12"/>
  <c r="D45" i="12"/>
  <c r="E16" i="16"/>
  <c r="K32" i="13"/>
  <c r="C42" i="13"/>
  <c r="C50" i="13"/>
  <c r="C49" i="13"/>
  <c r="N11" i="16"/>
  <c r="O11" i="16"/>
  <c r="N12" i="16"/>
  <c r="O12" i="16"/>
  <c r="N13" i="16"/>
  <c r="O13" i="16"/>
  <c r="N14" i="16"/>
  <c r="O14" i="16"/>
  <c r="N15" i="16"/>
  <c r="O15" i="16"/>
  <c r="O10" i="16"/>
  <c r="N10" i="16"/>
  <c r="M11" i="16"/>
  <c r="M12" i="16"/>
  <c r="M13" i="16"/>
  <c r="M14" i="16"/>
  <c r="M15" i="16"/>
  <c r="M10" i="16"/>
  <c r="L13" i="16"/>
  <c r="L11" i="16"/>
  <c r="L12" i="16"/>
  <c r="L14" i="16"/>
  <c r="L15" i="16"/>
  <c r="L10" i="16"/>
  <c r="J7" i="16"/>
  <c r="J6" i="16"/>
  <c r="F11" i="16" s="1"/>
  <c r="J5" i="16"/>
  <c r="J4" i="16"/>
  <c r="E18" i="16"/>
  <c r="E17" i="16"/>
  <c r="E13" i="16"/>
  <c r="E12" i="16"/>
  <c r="E6" i="16"/>
  <c r="E5" i="16"/>
  <c r="D67" i="6"/>
  <c r="D65" i="6"/>
  <c r="AT103" i="6"/>
  <c r="AT105" i="6"/>
  <c r="AT106" i="6"/>
  <c r="AT107" i="6"/>
  <c r="AT109" i="6"/>
  <c r="AT108" i="6"/>
  <c r="AT110" i="6"/>
  <c r="AT92" i="6"/>
  <c r="AT93" i="6"/>
  <c r="AT94" i="6"/>
  <c r="AT95" i="6"/>
  <c r="AT96" i="6"/>
  <c r="AT97" i="6"/>
  <c r="AT98" i="6"/>
  <c r="AT99" i="6"/>
  <c r="AT81" i="6"/>
  <c r="AT83" i="6"/>
  <c r="AT84" i="6"/>
  <c r="AT85" i="6"/>
  <c r="AT86" i="6"/>
  <c r="AT87" i="6"/>
  <c r="AT88" i="6"/>
  <c r="AT70" i="6"/>
  <c r="AT71" i="6"/>
  <c r="AT72" i="6"/>
  <c r="AT73" i="6"/>
  <c r="AT74" i="6"/>
  <c r="AT75" i="6"/>
  <c r="AT76" i="6"/>
  <c r="AT77" i="6"/>
  <c r="AT57" i="6"/>
  <c r="AT59" i="6"/>
  <c r="AT60" i="6"/>
  <c r="AT61" i="6"/>
  <c r="AT62" i="6"/>
  <c r="AT63" i="6"/>
  <c r="AT64" i="6"/>
  <c r="AT46" i="6"/>
  <c r="AT47" i="6"/>
  <c r="AT48" i="6"/>
  <c r="AT49" i="6"/>
  <c r="AT50" i="6"/>
  <c r="AT51" i="6"/>
  <c r="AT52" i="6"/>
  <c r="AT53" i="6"/>
  <c r="AT35" i="6"/>
  <c r="AT36" i="6"/>
  <c r="AT37" i="6"/>
  <c r="AT38" i="6"/>
  <c r="AT39" i="6"/>
  <c r="AT40" i="6"/>
  <c r="AT41" i="6"/>
  <c r="AT42" i="6"/>
  <c r="AU35" i="6"/>
  <c r="AS25" i="6"/>
  <c r="AS24" i="6"/>
  <c r="AS26" i="6"/>
  <c r="AS27" i="6"/>
  <c r="AS28" i="6"/>
  <c r="AS29" i="6"/>
  <c r="AS30" i="6"/>
  <c r="AS31" i="6"/>
  <c r="AT24" i="6"/>
  <c r="A1" i="14"/>
  <c r="D21" i="14"/>
  <c r="A62" i="12"/>
  <c r="U18" i="8"/>
  <c r="A20" i="8"/>
  <c r="BQ18" i="8"/>
  <c r="BP18" i="8"/>
  <c r="BO18" i="8"/>
  <c r="BN18" i="8"/>
  <c r="BM18" i="8"/>
  <c r="BL18" i="8"/>
  <c r="BK18" i="8"/>
  <c r="BJ18" i="8"/>
  <c r="BI18" i="8"/>
  <c r="BH18" i="8"/>
  <c r="BG18" i="8"/>
  <c r="BF18" i="8"/>
  <c r="BE18" i="8"/>
  <c r="BD18" i="8"/>
  <c r="BC18" i="8"/>
  <c r="BB18" i="8"/>
  <c r="BA18" i="8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D29" i="14"/>
  <c r="D26" i="14"/>
  <c r="A33" i="12"/>
  <c r="I2" i="12"/>
  <c r="I3" i="12"/>
  <c r="D22" i="14" s="1"/>
  <c r="D27" i="14"/>
  <c r="D28" i="14"/>
  <c r="D22" i="12"/>
  <c r="E9" i="16"/>
  <c r="G30" i="6"/>
  <c r="G42" i="6" s="1"/>
  <c r="F23" i="6"/>
  <c r="F21" i="6" s="1"/>
  <c r="M30" i="6"/>
  <c r="M31" i="6"/>
  <c r="M32" i="6" s="1"/>
  <c r="M33" i="6"/>
  <c r="M34" i="6" s="1"/>
  <c r="M35" i="6"/>
  <c r="M36" i="6" s="1"/>
  <c r="M37" i="6" s="1"/>
  <c r="M38" i="6" s="1"/>
  <c r="M39" i="6" s="1"/>
  <c r="M40" i="6" s="1"/>
  <c r="M41" i="6" s="1"/>
  <c r="M42" i="6" s="1"/>
  <c r="M43" i="6" s="1"/>
  <c r="M44" i="6" s="1"/>
  <c r="M45" i="6" s="1"/>
  <c r="M46" i="6" s="1"/>
  <c r="M47" i="6" s="1"/>
  <c r="M48" i="6" s="1"/>
  <c r="M49" i="6" s="1"/>
  <c r="M50" i="6" s="1"/>
  <c r="E22" i="6"/>
  <c r="E28" i="6" s="1"/>
  <c r="E30" i="6"/>
  <c r="E41" i="6" s="1"/>
  <c r="Y39" i="6"/>
  <c r="M27" i="6"/>
  <c r="O30" i="6"/>
  <c r="O31" i="6" s="1"/>
  <c r="O32" i="6"/>
  <c r="O33" i="6" s="1"/>
  <c r="O34" i="6"/>
  <c r="O35" i="6" s="1"/>
  <c r="O36" i="6" s="1"/>
  <c r="O29" i="6"/>
  <c r="B5" i="14"/>
  <c r="E5" i="14" s="1"/>
  <c r="C52" i="13"/>
  <c r="D37" i="14"/>
  <c r="K86" i="16"/>
  <c r="I30" i="6"/>
  <c r="I38" i="6" s="1"/>
  <c r="K25" i="6"/>
  <c r="K24" i="6" s="1"/>
  <c r="K23" i="6" s="1"/>
  <c r="D30" i="14"/>
  <c r="E5" i="6"/>
  <c r="F5" i="6"/>
  <c r="C43" i="13"/>
  <c r="C45" i="13" s="1"/>
  <c r="C35" i="12" s="1"/>
  <c r="B35" i="12" s="1"/>
  <c r="R32" i="6"/>
  <c r="Z40" i="6"/>
  <c r="Z41" i="6"/>
  <c r="Z42" i="6" s="1"/>
  <c r="Z43" i="6"/>
  <c r="Z44" i="6" s="1"/>
  <c r="Z45" i="6"/>
  <c r="Z46" i="6" s="1"/>
  <c r="Z47" i="6" s="1"/>
  <c r="Z48" i="6" s="1"/>
  <c r="Z49" i="6" s="1"/>
  <c r="Z50" i="6" s="1"/>
  <c r="N28" i="6"/>
  <c r="X38" i="6"/>
  <c r="D30" i="6"/>
  <c r="D44" i="6" s="1"/>
  <c r="N30" i="6"/>
  <c r="N31" i="6"/>
  <c r="N32" i="6" s="1"/>
  <c r="N33" i="6"/>
  <c r="N34" i="6" s="1"/>
  <c r="N35" i="6" s="1"/>
  <c r="N36" i="6" s="1"/>
  <c r="N37" i="6" s="1"/>
  <c r="N38" i="6" s="1"/>
  <c r="N39" i="6" s="1"/>
  <c r="N40" i="6" s="1"/>
  <c r="N41" i="6"/>
  <c r="N42" i="6" s="1"/>
  <c r="N43" i="6" s="1"/>
  <c r="N44" i="6" s="1"/>
  <c r="N45" i="6" s="1"/>
  <c r="N46" i="6" s="1"/>
  <c r="N47" i="6" s="1"/>
  <c r="N48" i="6" s="1"/>
  <c r="N49" i="6"/>
  <c r="N50" i="6" s="1"/>
  <c r="D22" i="6"/>
  <c r="D25" i="6" s="1"/>
  <c r="G23" i="6"/>
  <c r="G21" i="6" s="1"/>
  <c r="N29" i="6"/>
  <c r="H24" i="6"/>
  <c r="H28" i="6" s="1"/>
  <c r="J30" i="6"/>
  <c r="J31" i="6" s="1"/>
  <c r="J25" i="6"/>
  <c r="J28" i="6" s="1"/>
  <c r="W37" i="6"/>
  <c r="Q31" i="6"/>
  <c r="Q32" i="6"/>
  <c r="Q33" i="6" s="1"/>
  <c r="T34" i="6"/>
  <c r="L30" i="6"/>
  <c r="L31" i="6" s="1"/>
  <c r="L32" i="6"/>
  <c r="L33" i="6" s="1"/>
  <c r="L34" i="6" s="1"/>
  <c r="L35" i="6" s="1"/>
  <c r="L36" i="6" s="1"/>
  <c r="L37" i="6" s="1"/>
  <c r="L38" i="6" s="1"/>
  <c r="L39" i="6" s="1"/>
  <c r="L40" i="6"/>
  <c r="L41" i="6" s="1"/>
  <c r="L42" i="6" s="1"/>
  <c r="L43" i="6" s="1"/>
  <c r="L44" i="6" s="1"/>
  <c r="L45" i="6" s="1"/>
  <c r="L46" i="6" s="1"/>
  <c r="L47" i="6" s="1"/>
  <c r="L48" i="6" s="1"/>
  <c r="L49" i="6" s="1"/>
  <c r="L50" i="6" s="1"/>
  <c r="I24" i="6"/>
  <c r="I29" i="6" s="1"/>
  <c r="C21" i="6"/>
  <c r="C24" i="6" s="1"/>
  <c r="F30" i="6"/>
  <c r="F32" i="6" s="1"/>
  <c r="L26" i="6"/>
  <c r="L25" i="6" s="1"/>
  <c r="A16" i="6"/>
  <c r="B14" i="6"/>
  <c r="U35" i="6"/>
  <c r="V36" i="6"/>
  <c r="S33" i="6"/>
  <c r="S34" i="6"/>
  <c r="S35" i="6" s="1"/>
  <c r="S36" i="6"/>
  <c r="S37" i="6" s="1"/>
  <c r="S38" i="6" s="1"/>
  <c r="S39" i="6" s="1"/>
  <c r="S40" i="6" s="1"/>
  <c r="S41" i="6" s="1"/>
  <c r="S42" i="6" s="1"/>
  <c r="S43" i="6" s="1"/>
  <c r="S44" i="6" s="1"/>
  <c r="S45" i="6" s="1"/>
  <c r="S46" i="6" s="1"/>
  <c r="S47" i="6" s="1"/>
  <c r="S48" i="6" s="1"/>
  <c r="S49" i="6" s="1"/>
  <c r="S50" i="6" s="1"/>
  <c r="AA41" i="6"/>
  <c r="AA40" i="6"/>
  <c r="AA39" i="6" s="1"/>
  <c r="AA38" i="6"/>
  <c r="AA37" i="6" s="1"/>
  <c r="AA36" i="6"/>
  <c r="AA35" i="6" s="1"/>
  <c r="AA34" i="6"/>
  <c r="AA33" i="6" s="1"/>
  <c r="AA32" i="6" s="1"/>
  <c r="AA31" i="6" s="1"/>
  <c r="AA30" i="6" s="1"/>
  <c r="AA29" i="6" s="1"/>
  <c r="AA28" i="6" s="1"/>
  <c r="AA27" i="6" s="1"/>
  <c r="AA26" i="6"/>
  <c r="AA25" i="6" s="1"/>
  <c r="AA24" i="6" s="1"/>
  <c r="AA23" i="6" s="1"/>
  <c r="AA22" i="6" s="1"/>
  <c r="AA21" i="6" s="1"/>
  <c r="H30" i="6"/>
  <c r="H42" i="6" s="1"/>
  <c r="P30" i="6"/>
  <c r="P31" i="6"/>
  <c r="P32" i="6" s="1"/>
  <c r="K30" i="6"/>
  <c r="K31" i="6" s="1"/>
  <c r="K32" i="6"/>
  <c r="K33" i="6" s="1"/>
  <c r="K34" i="6"/>
  <c r="K35" i="6" s="1"/>
  <c r="K36" i="6" s="1"/>
  <c r="K37" i="6" s="1"/>
  <c r="K38" i="6" s="1"/>
  <c r="K39" i="6" s="1"/>
  <c r="K40" i="6" s="1"/>
  <c r="K41" i="6" s="1"/>
  <c r="K42" i="6"/>
  <c r="K43" i="6" s="1"/>
  <c r="K44" i="6" s="1"/>
  <c r="K45" i="6" s="1"/>
  <c r="K46" i="6" s="1"/>
  <c r="K47" i="6" s="1"/>
  <c r="K48" i="6" s="1"/>
  <c r="K49" i="6" s="1"/>
  <c r="K50" i="6"/>
  <c r="Z39" i="6"/>
  <c r="Z38" i="6"/>
  <c r="Z37" i="6" s="1"/>
  <c r="Z36" i="6"/>
  <c r="Z35" i="6" s="1"/>
  <c r="Z34" i="6"/>
  <c r="Z33" i="6" s="1"/>
  <c r="Z32" i="6" s="1"/>
  <c r="Z31" i="6" s="1"/>
  <c r="Z30" i="6" s="1"/>
  <c r="Z29" i="6" s="1"/>
  <c r="Z28" i="6" s="1"/>
  <c r="Z27" i="6" s="1"/>
  <c r="Z26" i="6"/>
  <c r="Z25" i="6" s="1"/>
  <c r="Z24" i="6" s="1"/>
  <c r="Z23" i="6" s="1"/>
  <c r="Z22" i="6" s="1"/>
  <c r="Z21" i="6" s="1"/>
  <c r="AA42" i="6"/>
  <c r="AA43" i="6" s="1"/>
  <c r="AA44" i="6"/>
  <c r="AA45" i="6" s="1"/>
  <c r="AA46" i="6" s="1"/>
  <c r="AA47" i="6" s="1"/>
  <c r="AA48" i="6" s="1"/>
  <c r="AA49" i="6" s="1"/>
  <c r="AA50" i="6" s="1"/>
  <c r="Q34" i="6"/>
  <c r="Q35" i="6" s="1"/>
  <c r="Q36" i="6"/>
  <c r="Q37" i="6" s="1"/>
  <c r="Q38" i="6"/>
  <c r="Q39" i="6" s="1"/>
  <c r="Q40" i="6"/>
  <c r="Q41" i="6" s="1"/>
  <c r="Q42" i="6" s="1"/>
  <c r="Q43" i="6" s="1"/>
  <c r="Q44" i="6" s="1"/>
  <c r="Q45" i="6" s="1"/>
  <c r="Q46" i="6" s="1"/>
  <c r="Q47" i="6" s="1"/>
  <c r="Q48" i="6"/>
  <c r="Q49" i="6" s="1"/>
  <c r="Q50" i="6" s="1"/>
  <c r="Q30" i="6"/>
  <c r="Q29" i="6"/>
  <c r="Q28" i="6" s="1"/>
  <c r="Q27" i="6"/>
  <c r="Q26" i="6" s="1"/>
  <c r="Q25" i="6" s="1"/>
  <c r="Q24" i="6" s="1"/>
  <c r="Q23" i="6" s="1"/>
  <c r="Q22" i="6" s="1"/>
  <c r="Q21" i="6" s="1"/>
  <c r="S32" i="6"/>
  <c r="S31" i="6"/>
  <c r="S30" i="6" s="1"/>
  <c r="S29" i="6"/>
  <c r="S28" i="6" s="1"/>
  <c r="S27" i="6"/>
  <c r="S26" i="6" s="1"/>
  <c r="S25" i="6"/>
  <c r="S24" i="6" s="1"/>
  <c r="S23" i="6" s="1"/>
  <c r="S22" i="6" s="1"/>
  <c r="S21" i="6" s="1"/>
  <c r="L24" i="6"/>
  <c r="L23" i="6" s="1"/>
  <c r="L22" i="6"/>
  <c r="L21" i="6" s="1"/>
  <c r="L27" i="6"/>
  <c r="L28" i="6" s="1"/>
  <c r="L29" i="6"/>
  <c r="X37" i="6"/>
  <c r="X36" i="6"/>
  <c r="X35" i="6" s="1"/>
  <c r="X34" i="6" s="1"/>
  <c r="X33" i="6" s="1"/>
  <c r="X32" i="6" s="1"/>
  <c r="X31" i="6" s="1"/>
  <c r="X30" i="6" s="1"/>
  <c r="X29" i="6" s="1"/>
  <c r="X28" i="6"/>
  <c r="X27" i="6" s="1"/>
  <c r="X26" i="6" s="1"/>
  <c r="X25" i="6" s="1"/>
  <c r="X24" i="6" s="1"/>
  <c r="X23" i="6" s="1"/>
  <c r="X22" i="6" s="1"/>
  <c r="X21" i="6" s="1"/>
  <c r="X39" i="6"/>
  <c r="X40" i="6" s="1"/>
  <c r="X41" i="6" s="1"/>
  <c r="X42" i="6" s="1"/>
  <c r="X43" i="6" s="1"/>
  <c r="X44" i="6" s="1"/>
  <c r="X45" i="6" s="1"/>
  <c r="X46" i="6" s="1"/>
  <c r="X47" i="6"/>
  <c r="X48" i="6" s="1"/>
  <c r="X49" i="6" s="1"/>
  <c r="X50" i="6" s="1"/>
  <c r="G18" i="8"/>
  <c r="V18" i="8" s="1"/>
  <c r="H11" i="8"/>
  <c r="D10" i="13"/>
  <c r="C29" i="13" s="1"/>
  <c r="V35" i="6"/>
  <c r="V34" i="6" s="1"/>
  <c r="V33" i="6" s="1"/>
  <c r="V32" i="6" s="1"/>
  <c r="V31" i="6" s="1"/>
  <c r="V30" i="6" s="1"/>
  <c r="V29" i="6" s="1"/>
  <c r="V28" i="6" s="1"/>
  <c r="V27" i="6" s="1"/>
  <c r="V26" i="6" s="1"/>
  <c r="V25" i="6" s="1"/>
  <c r="V24" i="6" s="1"/>
  <c r="V23" i="6" s="1"/>
  <c r="V22" i="6" s="1"/>
  <c r="V21" i="6" s="1"/>
  <c r="V37" i="6"/>
  <c r="V38" i="6"/>
  <c r="V39" i="6"/>
  <c r="V40" i="6" s="1"/>
  <c r="V41" i="6" s="1"/>
  <c r="V42" i="6"/>
  <c r="V43" i="6" s="1"/>
  <c r="V44" i="6" s="1"/>
  <c r="V45" i="6" s="1"/>
  <c r="V46" i="6" s="1"/>
  <c r="V47" i="6" s="1"/>
  <c r="V48" i="6" s="1"/>
  <c r="V49" i="6" s="1"/>
  <c r="V50" i="6" s="1"/>
  <c r="D13" i="13"/>
  <c r="D15" i="13" s="1"/>
  <c r="E15" i="14"/>
  <c r="D40" i="14"/>
  <c r="T35" i="6"/>
  <c r="T36" i="6" s="1"/>
  <c r="T37" i="6" s="1"/>
  <c r="T38" i="6"/>
  <c r="T39" i="6"/>
  <c r="T40" i="6" s="1"/>
  <c r="T41" i="6" s="1"/>
  <c r="T42" i="6"/>
  <c r="T43" i="6" s="1"/>
  <c r="T44" i="6" s="1"/>
  <c r="T45" i="6" s="1"/>
  <c r="T46" i="6" s="1"/>
  <c r="T47" i="6" s="1"/>
  <c r="T48" i="6" s="1"/>
  <c r="T49" i="6" s="1"/>
  <c r="T50" i="6" s="1"/>
  <c r="T33" i="6"/>
  <c r="T32" i="6" s="1"/>
  <c r="T31" i="6" s="1"/>
  <c r="T30" i="6"/>
  <c r="T29" i="6"/>
  <c r="T28" i="6" s="1"/>
  <c r="T27" i="6" s="1"/>
  <c r="T26" i="6"/>
  <c r="T25" i="6" s="1"/>
  <c r="T24" i="6" s="1"/>
  <c r="T23" i="6" s="1"/>
  <c r="T22" i="6" s="1"/>
  <c r="T21" i="6" s="1"/>
  <c r="O37" i="6"/>
  <c r="O38" i="6" s="1"/>
  <c r="O39" i="6" s="1"/>
  <c r="O40" i="6" s="1"/>
  <c r="O41" i="6" s="1"/>
  <c r="O42" i="6" s="1"/>
  <c r="O43" i="6" s="1"/>
  <c r="O44" i="6" s="1"/>
  <c r="O45" i="6" s="1"/>
  <c r="O46" i="6" s="1"/>
  <c r="O47" i="6" s="1"/>
  <c r="O48" i="6" s="1"/>
  <c r="O49" i="6" s="1"/>
  <c r="O50" i="6" s="1"/>
  <c r="O28" i="6"/>
  <c r="O27" i="6"/>
  <c r="O26" i="6"/>
  <c r="O25" i="6"/>
  <c r="O24" i="6" s="1"/>
  <c r="O23" i="6" s="1"/>
  <c r="O22" i="6"/>
  <c r="O21" i="6" s="1"/>
  <c r="K22" i="6"/>
  <c r="K21" i="6"/>
  <c r="D31" i="14"/>
  <c r="Q10" i="16"/>
  <c r="Q15" i="16" s="1"/>
  <c r="Q11" i="16"/>
  <c r="Q14" i="16" s="1"/>
  <c r="P33" i="6"/>
  <c r="P34" i="6"/>
  <c r="P35" i="6"/>
  <c r="P36" i="6" s="1"/>
  <c r="P37" i="6" s="1"/>
  <c r="P38" i="6" s="1"/>
  <c r="P39" i="6" s="1"/>
  <c r="P40" i="6" s="1"/>
  <c r="P41" i="6" s="1"/>
  <c r="P42" i="6" s="1"/>
  <c r="P43" i="6" s="1"/>
  <c r="P44" i="6" s="1"/>
  <c r="P45" i="6" s="1"/>
  <c r="P46" i="6" s="1"/>
  <c r="P47" i="6" s="1"/>
  <c r="P48" i="6" s="1"/>
  <c r="P49" i="6" s="1"/>
  <c r="P50" i="6" s="1"/>
  <c r="U34" i="6"/>
  <c r="U33" i="6" s="1"/>
  <c r="U32" i="6" s="1"/>
  <c r="U31" i="6" s="1"/>
  <c r="U30" i="6" s="1"/>
  <c r="U29" i="6" s="1"/>
  <c r="U28" i="6" s="1"/>
  <c r="U27" i="6" s="1"/>
  <c r="U26" i="6" s="1"/>
  <c r="U25" i="6" s="1"/>
  <c r="U24" i="6" s="1"/>
  <c r="U23" i="6" s="1"/>
  <c r="U22" i="6" s="1"/>
  <c r="U21" i="6" s="1"/>
  <c r="U36" i="6"/>
  <c r="U37" i="6"/>
  <c r="U38" i="6" s="1"/>
  <c r="U39" i="6" s="1"/>
  <c r="U40" i="6" s="1"/>
  <c r="U41" i="6" s="1"/>
  <c r="U42" i="6" s="1"/>
  <c r="U43" i="6" s="1"/>
  <c r="U44" i="6" s="1"/>
  <c r="U45" i="6" s="1"/>
  <c r="U46" i="6" s="1"/>
  <c r="U47" i="6" s="1"/>
  <c r="U48" i="6" s="1"/>
  <c r="U49" i="6" s="1"/>
  <c r="U50" i="6" s="1"/>
  <c r="D25" i="14"/>
  <c r="D24" i="14"/>
  <c r="I4" i="12"/>
  <c r="D23" i="14" s="1"/>
  <c r="M28" i="6"/>
  <c r="M29" i="6" s="1"/>
  <c r="M26" i="6"/>
  <c r="M25" i="6"/>
  <c r="M24" i="6"/>
  <c r="M23" i="6" s="1"/>
  <c r="M22" i="6" s="1"/>
  <c r="M21" i="6"/>
  <c r="H8" i="8"/>
  <c r="D16" i="13"/>
  <c r="B9" i="16"/>
  <c r="D72" i="6"/>
  <c r="W18" i="8"/>
  <c r="H7" i="8"/>
  <c r="P29" i="6"/>
  <c r="P28" i="6" s="1"/>
  <c r="P27" i="6" s="1"/>
  <c r="P26" i="6"/>
  <c r="P25" i="6" s="1"/>
  <c r="P24" i="6" s="1"/>
  <c r="P23" i="6" s="1"/>
  <c r="P22" i="6" s="1"/>
  <c r="P21" i="6" s="1"/>
  <c r="K80" i="16"/>
  <c r="K82" i="16" s="1"/>
  <c r="D64" i="6"/>
  <c r="D39" i="14"/>
  <c r="K84" i="16"/>
  <c r="B79" i="16" s="1"/>
  <c r="D38" i="14" l="1"/>
  <c r="D33" i="14"/>
  <c r="D42" i="14" s="1"/>
  <c r="B80" i="16"/>
  <c r="B82" i="16" s="1"/>
  <c r="B83" i="16" s="1"/>
  <c r="B84" i="16" s="1"/>
  <c r="B86" i="16" s="1"/>
  <c r="C46" i="12" s="1"/>
  <c r="C27" i="6"/>
  <c r="G29" i="6"/>
  <c r="F47" i="6"/>
  <c r="F38" i="6"/>
  <c r="R33" i="6"/>
  <c r="R34" i="6" s="1"/>
  <c r="R35" i="6" s="1"/>
  <c r="R36" i="6" s="1"/>
  <c r="R37" i="6" s="1"/>
  <c r="R38" i="6" s="1"/>
  <c r="R39" i="6" s="1"/>
  <c r="R40" i="6" s="1"/>
  <c r="R41" i="6" s="1"/>
  <c r="R42" i="6" s="1"/>
  <c r="R43" i="6" s="1"/>
  <c r="R44" i="6" s="1"/>
  <c r="R45" i="6" s="1"/>
  <c r="R46" i="6" s="1"/>
  <c r="R47" i="6" s="1"/>
  <c r="R48" i="6" s="1"/>
  <c r="R49" i="6" s="1"/>
  <c r="R50" i="6" s="1"/>
  <c r="R31" i="6"/>
  <c r="R30" i="6" s="1"/>
  <c r="R29" i="6" s="1"/>
  <c r="R28" i="6" s="1"/>
  <c r="R27" i="6" s="1"/>
  <c r="R26" i="6" s="1"/>
  <c r="R25" i="6" s="1"/>
  <c r="R24" i="6" s="1"/>
  <c r="R23" i="6" s="1"/>
  <c r="R22" i="6" s="1"/>
  <c r="R21" i="6" s="1"/>
  <c r="W36" i="6"/>
  <c r="W35" i="6" s="1"/>
  <c r="W34" i="6" s="1"/>
  <c r="W33" i="6" s="1"/>
  <c r="W32" i="6" s="1"/>
  <c r="W31" i="6" s="1"/>
  <c r="W30" i="6" s="1"/>
  <c r="W29" i="6" s="1"/>
  <c r="W28" i="6" s="1"/>
  <c r="W27" i="6" s="1"/>
  <c r="W26" i="6" s="1"/>
  <c r="W25" i="6" s="1"/>
  <c r="W24" i="6" s="1"/>
  <c r="W23" i="6" s="1"/>
  <c r="W22" i="6" s="1"/>
  <c r="W21" i="6" s="1"/>
  <c r="W38" i="6"/>
  <c r="W39" i="6" s="1"/>
  <c r="W40" i="6" s="1"/>
  <c r="W41" i="6" s="1"/>
  <c r="W42" i="6" s="1"/>
  <c r="W43" i="6" s="1"/>
  <c r="W44" i="6" s="1"/>
  <c r="W45" i="6" s="1"/>
  <c r="W46" i="6" s="1"/>
  <c r="W47" i="6" s="1"/>
  <c r="W48" i="6" s="1"/>
  <c r="W49" i="6" s="1"/>
  <c r="W50" i="6" s="1"/>
  <c r="N27" i="6"/>
  <c r="N26" i="6" s="1"/>
  <c r="N25" i="6" s="1"/>
  <c r="N24" i="6" s="1"/>
  <c r="N23" i="6" s="1"/>
  <c r="N22" i="6" s="1"/>
  <c r="N21" i="6" s="1"/>
  <c r="Y38" i="6"/>
  <c r="Y37" i="6" s="1"/>
  <c r="Y36" i="6" s="1"/>
  <c r="Y35" i="6" s="1"/>
  <c r="Y34" i="6" s="1"/>
  <c r="Y33" i="6" s="1"/>
  <c r="Y32" i="6" s="1"/>
  <c r="Y31" i="6" s="1"/>
  <c r="Y30" i="6" s="1"/>
  <c r="Y29" i="6" s="1"/>
  <c r="Y28" i="6" s="1"/>
  <c r="Y27" i="6" s="1"/>
  <c r="Y26" i="6" s="1"/>
  <c r="Y25" i="6" s="1"/>
  <c r="Y24" i="6" s="1"/>
  <c r="Y23" i="6" s="1"/>
  <c r="Y22" i="6" s="1"/>
  <c r="Y21" i="6" s="1"/>
  <c r="Y40" i="6"/>
  <c r="Y41" i="6" s="1"/>
  <c r="Y42" i="6" s="1"/>
  <c r="Y43" i="6" s="1"/>
  <c r="Y44" i="6" s="1"/>
  <c r="Y45" i="6" s="1"/>
  <c r="Y46" i="6" s="1"/>
  <c r="Y47" i="6" s="1"/>
  <c r="Y48" i="6" s="1"/>
  <c r="Y49" i="6" s="1"/>
  <c r="Y50" i="6" s="1"/>
  <c r="K26" i="6"/>
  <c r="K27" i="6" s="1"/>
  <c r="K28" i="6" s="1"/>
  <c r="K29" i="6" s="1"/>
  <c r="A42" i="12"/>
  <c r="B8" i="16"/>
  <c r="C42" i="12" s="1"/>
  <c r="D42" i="12" s="1"/>
  <c r="D66" i="6"/>
  <c r="C53" i="6"/>
  <c r="U20" i="13"/>
  <c r="U30" i="13"/>
  <c r="U19" i="13"/>
  <c r="E7" i="16"/>
  <c r="Q13" i="16"/>
  <c r="D23" i="12"/>
  <c r="C12" i="14" s="1"/>
  <c r="E12" i="14" s="1"/>
  <c r="P18" i="8"/>
  <c r="Q18" i="8" s="1"/>
  <c r="R18" i="8" s="1"/>
  <c r="S18" i="8" s="1"/>
  <c r="H4" i="8" s="1"/>
  <c r="R4" i="8" s="1"/>
  <c r="C6" i="14" s="1"/>
  <c r="L18" i="8"/>
  <c r="M18" i="8" s="1"/>
  <c r="N18" i="8" s="1"/>
  <c r="I18" i="8"/>
  <c r="J18" i="8"/>
  <c r="K18" i="8" s="1"/>
  <c r="O18" i="8" s="1"/>
  <c r="D17" i="13"/>
  <c r="K24" i="13"/>
  <c r="K25" i="13"/>
  <c r="K26" i="13"/>
  <c r="A5" i="14"/>
  <c r="A2" i="14" s="1"/>
  <c r="A118" i="14" s="1"/>
  <c r="G31" i="6"/>
  <c r="G48" i="6"/>
  <c r="G38" i="6"/>
  <c r="G32" i="6"/>
  <c r="G41" i="6"/>
  <c r="G36" i="6"/>
  <c r="G35" i="6"/>
  <c r="G39" i="6"/>
  <c r="G34" i="6"/>
  <c r="E40" i="6"/>
  <c r="G46" i="6"/>
  <c r="J24" i="6"/>
  <c r="F34" i="6"/>
  <c r="G24" i="6"/>
  <c r="D27" i="6"/>
  <c r="G50" i="6"/>
  <c r="G33" i="6"/>
  <c r="G44" i="6"/>
  <c r="C26" i="6"/>
  <c r="D40" i="6"/>
  <c r="G26" i="6"/>
  <c r="F26" i="6"/>
  <c r="J22" i="6"/>
  <c r="J21" i="6"/>
  <c r="F40" i="6"/>
  <c r="H35" i="6"/>
  <c r="D50" i="6"/>
  <c r="C42" i="6"/>
  <c r="E21" i="6"/>
  <c r="H21" i="6"/>
  <c r="H33" i="6"/>
  <c r="H47" i="6"/>
  <c r="D36" i="6"/>
  <c r="D48" i="6"/>
  <c r="G25" i="6"/>
  <c r="G28" i="6"/>
  <c r="H50" i="6"/>
  <c r="J29" i="6"/>
  <c r="F46" i="6"/>
  <c r="G22" i="6"/>
  <c r="H40" i="6"/>
  <c r="D49" i="6"/>
  <c r="D43" i="6"/>
  <c r="H48" i="6"/>
  <c r="D34" i="6"/>
  <c r="H43" i="6"/>
  <c r="H45" i="6"/>
  <c r="H31" i="6"/>
  <c r="D47" i="6"/>
  <c r="H46" i="6"/>
  <c r="D37" i="6"/>
  <c r="D41" i="6"/>
  <c r="D32" i="6"/>
  <c r="H44" i="6"/>
  <c r="H49" i="6"/>
  <c r="D45" i="6"/>
  <c r="H37" i="6"/>
  <c r="D42" i="6"/>
  <c r="D33" i="6"/>
  <c r="H32" i="6"/>
  <c r="D31" i="6"/>
  <c r="D38" i="6"/>
  <c r="H36" i="6"/>
  <c r="D35" i="6"/>
  <c r="H38" i="6"/>
  <c r="H39" i="6"/>
  <c r="D39" i="6"/>
  <c r="D46" i="6"/>
  <c r="H41" i="6"/>
  <c r="H34" i="6"/>
  <c r="H29" i="6"/>
  <c r="E24" i="6"/>
  <c r="E25" i="6"/>
  <c r="E29" i="6"/>
  <c r="E27" i="6"/>
  <c r="B10" i="16"/>
  <c r="C43" i="12" s="1"/>
  <c r="D43" i="12" s="1"/>
  <c r="J27" i="6"/>
  <c r="E23" i="6"/>
  <c r="E26" i="6"/>
  <c r="G27" i="6"/>
  <c r="F36" i="6"/>
  <c r="J26" i="6"/>
  <c r="I23" i="6"/>
  <c r="I25" i="6"/>
  <c r="I28" i="6"/>
  <c r="J23" i="6"/>
  <c r="J46" i="6"/>
  <c r="J37" i="6"/>
  <c r="C32" i="6"/>
  <c r="E35" i="6"/>
  <c r="F22" i="6"/>
  <c r="E32" i="6"/>
  <c r="D23" i="6"/>
  <c r="C29" i="6"/>
  <c r="C25" i="6"/>
  <c r="C34" i="6"/>
  <c r="J49" i="6"/>
  <c r="E49" i="6"/>
  <c r="J41" i="6"/>
  <c r="C23" i="6"/>
  <c r="C49" i="6"/>
  <c r="D21" i="6"/>
  <c r="J35" i="6"/>
  <c r="J39" i="6"/>
  <c r="J36" i="6"/>
  <c r="J33" i="6"/>
  <c r="D29" i="6"/>
  <c r="E45" i="6"/>
  <c r="E39" i="6"/>
  <c r="J43" i="6"/>
  <c r="F29" i="6"/>
  <c r="C46" i="6"/>
  <c r="C36" i="6"/>
  <c r="C50" i="6"/>
  <c r="C40" i="6"/>
  <c r="C39" i="6"/>
  <c r="C28" i="6"/>
  <c r="E44" i="6"/>
  <c r="E34" i="6"/>
  <c r="E33" i="6"/>
  <c r="F27" i="6"/>
  <c r="F25" i="6"/>
  <c r="J42" i="6"/>
  <c r="J38" i="6"/>
  <c r="J44" i="6"/>
  <c r="J47" i="6"/>
  <c r="E48" i="6"/>
  <c r="D24" i="6"/>
  <c r="E38" i="6"/>
  <c r="F24" i="6"/>
  <c r="C48" i="6"/>
  <c r="J34" i="6"/>
  <c r="C31" i="6"/>
  <c r="C33" i="6"/>
  <c r="C38" i="6"/>
  <c r="C47" i="6"/>
  <c r="C35" i="6"/>
  <c r="E37" i="6"/>
  <c r="E31" i="6"/>
  <c r="J50" i="6"/>
  <c r="J45" i="6"/>
  <c r="J48" i="6"/>
  <c r="J32" i="6"/>
  <c r="J40" i="6"/>
  <c r="E36" i="6"/>
  <c r="E50" i="6"/>
  <c r="E42" i="6"/>
  <c r="D26" i="6"/>
  <c r="F28" i="6"/>
  <c r="C44" i="6"/>
  <c r="C30" i="6"/>
  <c r="C37" i="6"/>
  <c r="C45" i="6"/>
  <c r="C22" i="6"/>
  <c r="C41" i="6"/>
  <c r="I47" i="6"/>
  <c r="C43" i="6"/>
  <c r="E47" i="6"/>
  <c r="E43" i="6"/>
  <c r="I45" i="6"/>
  <c r="E46" i="6"/>
  <c r="D28" i="6"/>
  <c r="G40" i="6"/>
  <c r="G47" i="6"/>
  <c r="G49" i="6"/>
  <c r="G45" i="6"/>
  <c r="G37" i="6"/>
  <c r="I49" i="6"/>
  <c r="G43" i="6"/>
  <c r="I44" i="6"/>
  <c r="I42" i="6"/>
  <c r="H27" i="6"/>
  <c r="I27" i="6"/>
  <c r="F49" i="6"/>
  <c r="F42" i="6"/>
  <c r="F35" i="6"/>
  <c r="F41" i="6"/>
  <c r="F31" i="6"/>
  <c r="I50" i="6"/>
  <c r="I40" i="6"/>
  <c r="I37" i="6"/>
  <c r="I33" i="6"/>
  <c r="I43" i="6"/>
  <c r="I39" i="6"/>
  <c r="H25" i="6"/>
  <c r="I34" i="6"/>
  <c r="H23" i="6"/>
  <c r="I22" i="6"/>
  <c r="F39" i="6"/>
  <c r="H26" i="6"/>
  <c r="I21" i="6"/>
  <c r="F48" i="6"/>
  <c r="F45" i="6"/>
  <c r="F33" i="6"/>
  <c r="I32" i="6"/>
  <c r="I48" i="6"/>
  <c r="I31" i="6"/>
  <c r="I35" i="6"/>
  <c r="H22" i="6"/>
  <c r="F44" i="6"/>
  <c r="F50" i="6"/>
  <c r="I26" i="6"/>
  <c r="F37" i="6"/>
  <c r="F43" i="6"/>
  <c r="I41" i="6"/>
  <c r="I46" i="6"/>
  <c r="I36" i="6"/>
  <c r="D2" i="14"/>
  <c r="I5" i="12" l="1"/>
  <c r="D53" i="6"/>
  <c r="D54" i="6" s="1"/>
  <c r="C54" i="6"/>
  <c r="D63" i="6" s="1"/>
  <c r="I53" i="6"/>
  <c r="I54" i="6" s="1"/>
  <c r="H53" i="6"/>
  <c r="H54" i="6" s="1"/>
  <c r="G53" i="6"/>
  <c r="G54" i="6" s="1"/>
  <c r="E53" i="6"/>
  <c r="E54" i="6" s="1"/>
  <c r="J53" i="6"/>
  <c r="J54" i="6" s="1"/>
  <c r="F53" i="6"/>
  <c r="F54" i="6" s="1"/>
  <c r="D62" i="6"/>
  <c r="D68" i="6" s="1"/>
  <c r="C22" i="13"/>
  <c r="C30" i="13"/>
  <c r="D34" i="14"/>
  <c r="E6" i="14"/>
  <c r="D46" i="12"/>
  <c r="D101" i="14"/>
  <c r="B119" i="14" s="1"/>
  <c r="D35" i="14"/>
  <c r="G101" i="14"/>
  <c r="G118" i="14" s="1"/>
  <c r="D70" i="6" l="1"/>
  <c r="D18" i="12" s="1"/>
  <c r="C48" i="13" s="1"/>
  <c r="C51" i="13" s="1"/>
  <c r="D118" i="14" s="1"/>
  <c r="D121" i="14" s="1"/>
  <c r="D75" i="6"/>
  <c r="B3" i="16" s="1"/>
  <c r="B4" i="16" s="1"/>
  <c r="B5" i="16" s="1"/>
  <c r="C41" i="12" s="1"/>
  <c r="D41" i="12" s="1"/>
  <c r="U11" i="13"/>
  <c r="C32" i="13"/>
  <c r="D74" i="6"/>
  <c r="D19" i="12" s="1"/>
  <c r="C11" i="14" s="1"/>
  <c r="E11" i="14" s="1"/>
  <c r="B2" i="14" s="1"/>
  <c r="U32" i="13"/>
  <c r="C26" i="13"/>
  <c r="C119" i="14"/>
  <c r="G119" i="14"/>
  <c r="B13" i="16" l="1"/>
  <c r="C54" i="13"/>
  <c r="C34" i="12" s="1"/>
  <c r="B34" i="12" s="1"/>
  <c r="C47" i="12"/>
  <c r="D47" i="12" s="1"/>
  <c r="D39" i="12" s="1"/>
  <c r="C2" i="14"/>
  <c r="E101" i="14" s="1"/>
  <c r="K29" i="13"/>
  <c r="C118" i="14" s="1"/>
  <c r="C121" i="14" s="1"/>
  <c r="D36" i="14"/>
  <c r="E119" i="14"/>
  <c r="F119" i="14" s="1"/>
  <c r="C39" i="12" l="1"/>
  <c r="K34" i="13"/>
  <c r="C37" i="13" s="1"/>
  <c r="C33" i="12" s="1"/>
  <c r="B33" i="12" s="1"/>
  <c r="C36" i="12" l="1"/>
  <c r="C31" i="12" s="1"/>
  <c r="C49" i="12" s="1"/>
  <c r="C101" i="14" s="1"/>
  <c r="B118" i="14" s="1"/>
  <c r="F2" i="14" l="1"/>
  <c r="G2" i="14" s="1"/>
  <c r="C53" i="12"/>
  <c r="C57" i="12" s="1"/>
  <c r="C62" i="12" s="1"/>
  <c r="C60" i="12" s="1"/>
  <c r="C61" i="12" s="1"/>
  <c r="E118" i="14"/>
  <c r="E121" i="14" s="1"/>
  <c r="B121" i="14"/>
  <c r="D49" i="12"/>
  <c r="D53" i="12" s="1"/>
  <c r="D57" i="12" s="1"/>
  <c r="D62" i="12" s="1"/>
  <c r="D64" i="12" s="1"/>
  <c r="C64" i="12" l="1"/>
  <c r="F118" i="14"/>
  <c r="F121" i="14" s="1"/>
  <c r="C58" i="12"/>
  <c r="D60" i="12"/>
  <c r="D61" i="12" s="1"/>
  <c r="D58" i="12"/>
</calcChain>
</file>

<file path=xl/comments1.xml><?xml version="1.0" encoding="utf-8"?>
<comments xmlns="http://schemas.openxmlformats.org/spreadsheetml/2006/main">
  <authors>
    <author>Махлай Константин Александрович</author>
  </authors>
  <commentList>
    <comment ref="B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Утяжеление для решетки ширной 400 мм.</t>
        </r>
      </text>
    </comment>
    <comment ref="C21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Просчитан вес по новой модели. Решетка с облегченным корпусом. 05.06.2019
Решетка с 1 граблиной и высотой выгрузки 850 мм.</t>
        </r>
      </text>
    </comment>
  </commentList>
</comments>
</file>

<file path=xl/comments2.xml><?xml version="1.0" encoding="utf-8"?>
<comments xmlns="http://schemas.openxmlformats.org/spreadsheetml/2006/main">
  <authors>
    <author>Буртянский Ян Владимирович</author>
  </authors>
  <commentList>
    <comment ref="B53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D55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  <comment ref="B60" authorId="0" shapeId="0">
      <text>
        <r>
          <rPr>
            <b/>
            <sz val="9"/>
            <color indexed="81"/>
            <rFont val="Tahoma"/>
            <family val="2"/>
            <charset val="204"/>
          </rPr>
          <t>Заполняет менеджер объекта</t>
        </r>
      </text>
    </comment>
  </commentList>
</comments>
</file>

<file path=xl/comments3.xml><?xml version="1.0" encoding="utf-8"?>
<comments xmlns="http://schemas.openxmlformats.org/spreadsheetml/2006/main">
  <authors>
    <author>Махлай Константин Александрович</author>
  </authors>
  <commentList>
    <comment ref="I3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Цена металла указанна без учета отходов.</t>
        </r>
      </text>
    </comment>
    <comment ref="P10" authorId="0" shapeId="0">
      <text>
        <r>
          <rPr>
            <b/>
            <sz val="9"/>
            <color indexed="81"/>
            <rFont val="Tahoma"/>
            <family val="2"/>
            <charset val="204"/>
          </rPr>
          <t>Махлай Константин Александрович:</t>
        </r>
        <r>
          <rPr>
            <sz val="9"/>
            <color indexed="81"/>
            <rFont val="Tahoma"/>
            <family val="2"/>
            <charset val="204"/>
          </rPr>
          <t xml:space="preserve">
+5% - подорожание на 2019 год.</t>
        </r>
      </text>
    </comment>
  </commentList>
</comments>
</file>

<file path=xl/sharedStrings.xml><?xml version="1.0" encoding="utf-8"?>
<sst xmlns="http://schemas.openxmlformats.org/spreadsheetml/2006/main" count="712" uniqueCount="501">
  <si>
    <t>мм</t>
  </si>
  <si>
    <t>руб.</t>
  </si>
  <si>
    <t>хронометраж</t>
  </si>
  <si>
    <t>норм.</t>
  </si>
  <si>
    <t>факт НГ</t>
  </si>
  <si>
    <t>по старому расчету</t>
  </si>
  <si>
    <t xml:space="preserve">  - заполнить из Опросного листа (факт)</t>
  </si>
  <si>
    <t>РГО 2300.2000.1028.16</t>
  </si>
  <si>
    <t xml:space="preserve">РГО 900.1000.800.20   </t>
  </si>
  <si>
    <t xml:space="preserve">  - необходимо принять по рекомендациям</t>
  </si>
  <si>
    <t>РТО 900.900.600.6</t>
  </si>
  <si>
    <t xml:space="preserve">РГО 1300.2100.1100.16        </t>
  </si>
  <si>
    <t>№ п.п.</t>
  </si>
  <si>
    <t>Наименование параметра</t>
  </si>
  <si>
    <t>Значение факт. 
(по ОЛ)</t>
  </si>
  <si>
    <t>Значение принятое</t>
  </si>
  <si>
    <t>Примечание</t>
  </si>
  <si>
    <t>Ширина канала, мм</t>
  </si>
  <si>
    <t>Глубина канала, мм</t>
  </si>
  <si>
    <t>Высота выгрузки, мм</t>
  </si>
  <si>
    <t>Прозор (е), мм</t>
  </si>
  <si>
    <r>
      <t>предусмотрено по конструкции прозоры 6, 8, 10, 12, 14, 16, 20 (</t>
    </r>
    <r>
      <rPr>
        <sz val="11"/>
        <color indexed="10"/>
        <rFont val="Calibri"/>
        <family val="2"/>
        <charset val="204"/>
      </rPr>
      <t>НАДО ПРОВЕРЯТЬ ПО ГИДРАВЛИКЕ</t>
    </r>
    <r>
      <rPr>
        <sz val="10"/>
        <rFont val="Arial Cyr"/>
        <charset val="204"/>
      </rPr>
      <t>)</t>
    </r>
  </si>
  <si>
    <r>
      <t xml:space="preserve">Уровень воды в канале </t>
    </r>
    <r>
      <rPr>
        <b/>
        <sz val="11"/>
        <color indexed="8"/>
        <rFont val="Calibri"/>
        <family val="2"/>
        <charset val="204"/>
      </rPr>
      <t>MAX</t>
    </r>
  </si>
  <si>
    <t xml:space="preserve">заложено равным глубине канала до 1200 мм, для более глубоких минус 250 мм от глубины канала </t>
  </si>
  <si>
    <t>перед решеткой, мм</t>
  </si>
  <si>
    <t xml:space="preserve">  -</t>
  </si>
  <si>
    <t>с сравнением по ОЛ + 100 мм (принимается большее значение)</t>
  </si>
  <si>
    <t>(высота экрана на просвет)</t>
  </si>
  <si>
    <t>Толщина ламели, мм</t>
  </si>
  <si>
    <t>количество ламелей</t>
  </si>
  <si>
    <t>Для ширины канала до 750 зазор 80 мм, полки по 50 мм, более 750 мм - 100 мм и 80 мм соответственно</t>
  </si>
  <si>
    <t>Норма на РЕШЕТКУ БЕЗ ГРАБЛИН И ЭКРАНА, вкл. всю заготовку, гибку своих деталей, гибку после лазера, токарку, фрезеровку, сборку всей решетки,</t>
  </si>
  <si>
    <t xml:space="preserve"> обкатку, приведение в транспортное положение, упаковку и участие мастера; БЕЗ учета приспособления для транспортировки (+ по необходимости)</t>
  </si>
  <si>
    <t>Норма ЭКРАН (гибка 2 швеллеров и уголков, рихтовка, сборка)</t>
  </si>
  <si>
    <t>Кол-во ламелей</t>
  </si>
  <si>
    <t>шт.</t>
  </si>
  <si>
    <t>модель</t>
  </si>
  <si>
    <t xml:space="preserve">выгр. 1200, н.ч. </t>
  </si>
  <si>
    <t xml:space="preserve">выгр. 1500, н.ч. </t>
  </si>
  <si>
    <t xml:space="preserve">норма на (50) 100 мм 
глубины канала, н.ч.  </t>
  </si>
  <si>
    <t>норма на решетку
без граблин и экрана</t>
  </si>
  <si>
    <t>примечание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</si>
  <si>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6 мм</t>
    </r>
  </si>
  <si>
    <t>мин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</si>
  <si>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8 мм</t>
    </r>
  </si>
  <si>
    <t>от 400 до 750</t>
  </si>
  <si>
    <t>н.ч.</t>
  </si>
  <si>
    <r>
      <t xml:space="preserve">норма на ламель  толщиной </t>
    </r>
    <r>
      <rPr>
        <b/>
        <sz val="11"/>
        <color indexed="8"/>
        <rFont val="Calibri"/>
        <family val="2"/>
        <charset val="204"/>
      </rPr>
      <t>10 мм</t>
    </r>
  </si>
  <si>
    <t xml:space="preserve">от 800 до 1900 </t>
  </si>
  <si>
    <t>ИТОГО  норма экран, вкл. 2 швеллера:</t>
  </si>
  <si>
    <t>от 2000 до 2400</t>
  </si>
  <si>
    <t xml:space="preserve"> + демонтаж узла привода для тран-ки</t>
  </si>
  <si>
    <t xml:space="preserve">Норма ГРАБЛИНЫ (сверловка, изготовление, сварка, сборка) </t>
  </si>
  <si>
    <t>Кол-во граблин</t>
  </si>
  <si>
    <t>НОРМА НА ВСЮ РЕШЕТКУ:</t>
  </si>
  <si>
    <t>кол-во ножей на 1 граблину</t>
  </si>
  <si>
    <t>ИТОГО  норма граблины:</t>
  </si>
  <si>
    <t>руб/н.ч.</t>
  </si>
  <si>
    <t>№
п.п.</t>
  </si>
  <si>
    <t>Наименование</t>
  </si>
  <si>
    <t>ДЕТАЛИ  НА  ЛАЗЕР</t>
  </si>
  <si>
    <t>PХO хххх.хххх.хххх.хх.06.00.001 Нож скребка</t>
  </si>
  <si>
    <t>PХO хххх.хххх.хххх.хх.00.00.004 Накладка</t>
  </si>
  <si>
    <t xml:space="preserve">накладка фиксирующая ламели внизу </t>
  </si>
  <si>
    <t>нижняя планка (шип + установка экрана)</t>
  </si>
  <si>
    <t>нижняя планка (много отверстий в т.ч. овальных пазов)</t>
  </si>
  <si>
    <t>уголок экрана</t>
  </si>
  <si>
    <t xml:space="preserve">швеллер склиза </t>
  </si>
  <si>
    <t>PХO хххх.хххх.хххх.хх.03.00.002 Уголок фиксирующий</t>
  </si>
  <si>
    <t>уголок фикс. экрана (с "ушами")</t>
  </si>
  <si>
    <t>PХO хххх.хххх.хххх.хх.03.01.001 Швеллер</t>
  </si>
  <si>
    <t xml:space="preserve">швеллер экрана с пазами под ламели </t>
  </si>
  <si>
    <t>PХO хххх.хххх.хххх.хх.06.01.001 Планка</t>
  </si>
  <si>
    <t xml:space="preserve">планка граблины </t>
  </si>
  <si>
    <t>PХO хххх.хххх.хххх.хх.06.01.002 Швеллер</t>
  </si>
  <si>
    <t>швеллер граблины (пазы и шипы)</t>
  </si>
  <si>
    <t>поперечный швеллер рамы</t>
  </si>
  <si>
    <t xml:space="preserve">боковина рамы нижняя </t>
  </si>
  <si>
    <t>боковина рамы нижняя</t>
  </si>
  <si>
    <t>боковина рамы верхняя</t>
  </si>
  <si>
    <t>PХO хххх.хххх.хххх.хх.01.003 Фланец</t>
  </si>
  <si>
    <t>фланец граблины</t>
  </si>
  <si>
    <t>PХO хххх.хххх.хххх.хх.03.00.001 Ламель</t>
  </si>
  <si>
    <t>ПЕРЕЧЕНЬ НАИМЕНОВАНИЙ ДЕТАЛЕЙ ИЗГОТАВЛИВАЕМЫХ ПО КООПЕРАЦИИ</t>
  </si>
  <si>
    <t>коэф. типоразмера</t>
  </si>
  <si>
    <t>Дата</t>
  </si>
  <si>
    <t>AISI 304</t>
  </si>
  <si>
    <t>AISI 316</t>
  </si>
  <si>
    <t>ФОТ</t>
  </si>
  <si>
    <t>Материалы</t>
  </si>
  <si>
    <t>Транспорт</t>
  </si>
  <si>
    <t>Прозор, мм</t>
  </si>
  <si>
    <t>Сборка ШУ</t>
  </si>
  <si>
    <t>Трудозатраты на сборку ШУ</t>
  </si>
  <si>
    <t>н.ч</t>
  </si>
  <si>
    <t>ФОТ (ШУ)</t>
  </si>
  <si>
    <t>Высота выгрузки</t>
  </si>
  <si>
    <t>Вес</t>
  </si>
  <si>
    <t>Менеджер</t>
  </si>
  <si>
    <t xml:space="preserve">Город </t>
  </si>
  <si>
    <t>Объект</t>
  </si>
  <si>
    <t>Контактное лицо, организация</t>
  </si>
  <si>
    <t>Нет</t>
  </si>
  <si>
    <t>Степень защиты привода</t>
  </si>
  <si>
    <t>Поправочные коэффициенты</t>
  </si>
  <si>
    <t>Выгрузка</t>
  </si>
  <si>
    <r>
      <t xml:space="preserve">угол установки </t>
    </r>
    <r>
      <rPr>
        <sz val="12"/>
        <rFont val="Symbol"/>
        <family val="1"/>
        <charset val="2"/>
      </rPr>
      <t>a</t>
    </r>
    <r>
      <rPr>
        <sz val="12"/>
        <rFont val="Times New Roman"/>
        <family val="1"/>
        <charset val="204"/>
      </rPr>
      <t xml:space="preserve">, </t>
    </r>
    <r>
      <rPr>
        <vertAlign val="superscript"/>
        <sz val="12"/>
        <rFont val="Times New Roman"/>
        <family val="1"/>
        <charset val="204"/>
      </rPr>
      <t>о</t>
    </r>
  </si>
  <si>
    <r>
      <t>ступенька 
h</t>
    </r>
    <r>
      <rPr>
        <vertAlign val="subscript"/>
        <sz val="12"/>
        <rFont val="Times New Roman"/>
        <family val="1"/>
        <charset val="204"/>
      </rPr>
      <t>ст</t>
    </r>
    <r>
      <rPr>
        <sz val="12"/>
        <rFont val="Times New Roman"/>
        <family val="1"/>
        <charset val="204"/>
      </rPr>
      <t>, м</t>
    </r>
  </si>
  <si>
    <t>p =</t>
  </si>
  <si>
    <t>прозор решетки</t>
  </si>
  <si>
    <r>
      <t xml:space="preserve">q </t>
    </r>
    <r>
      <rPr>
        <vertAlign val="subscript"/>
        <sz val="12"/>
        <rFont val="Times New Roman"/>
        <family val="1"/>
        <charset val="204"/>
      </rPr>
      <t>Nср, мс</t>
    </r>
    <r>
      <rPr>
        <sz val="12"/>
        <rFont val="Times New Roman"/>
        <family val="1"/>
        <charset val="204"/>
      </rPr>
      <t xml:space="preserve"> =</t>
    </r>
  </si>
  <si>
    <r>
      <t>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</si>
  <si>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>средний секундный расход в м</t>
    </r>
    <r>
      <rPr>
        <vertAlign val="superscript"/>
        <sz val="12"/>
        <rFont val="Times New Roman"/>
        <family val="1"/>
        <charset val="204"/>
      </rPr>
      <t xml:space="preserve">3 </t>
    </r>
    <r>
      <rPr>
        <sz val="12"/>
        <rFont val="Times New Roman"/>
        <family val="1"/>
        <charset val="204"/>
      </rPr>
      <t>на одну решетку</t>
    </r>
  </si>
  <si>
    <t>м3/ч</t>
  </si>
  <si>
    <t>B =</t>
  </si>
  <si>
    <t>м</t>
  </si>
  <si>
    <t>Н =</t>
  </si>
  <si>
    <t>Нв =</t>
  </si>
  <si>
    <r>
      <t xml:space="preserve">максимальный уровень воды перед решеткой (из ОЛ, </t>
    </r>
    <r>
      <rPr>
        <b/>
        <sz val="12"/>
        <color indexed="10"/>
        <rFont val="Times New Roman"/>
        <family val="1"/>
        <charset val="204"/>
      </rPr>
      <t>если нет данных, то 0</t>
    </r>
    <r>
      <rPr>
        <sz val="12"/>
        <rFont val="Times New Roman"/>
        <family val="1"/>
        <charset val="204"/>
      </rPr>
      <t>)</t>
    </r>
  </si>
  <si>
    <t xml:space="preserve">∆H = </t>
  </si>
  <si>
    <r>
      <t>зазор уровня воды до верха канала - если не указано Н</t>
    </r>
    <r>
      <rPr>
        <vertAlign val="subscript"/>
        <sz val="12"/>
        <rFont val="Times New Roman"/>
        <family val="1"/>
        <charset val="204"/>
      </rPr>
      <t>в</t>
    </r>
    <r>
      <rPr>
        <sz val="12"/>
        <rFont val="Times New Roman"/>
        <family val="1"/>
        <charset val="204"/>
      </rPr>
      <t xml:space="preserve">, то 0,2*Н, но не менее </t>
    </r>
    <r>
      <rPr>
        <b/>
        <sz val="12"/>
        <rFont val="Times New Roman"/>
        <family val="1"/>
        <charset val="204"/>
      </rPr>
      <t xml:space="preserve">30 см </t>
    </r>
  </si>
  <si>
    <t>коэффициент неравномерности</t>
  </si>
  <si>
    <r>
      <t>Средний проектный расход сточных вод q</t>
    </r>
    <r>
      <rPr>
        <b/>
        <vertAlign val="subscript"/>
        <sz val="10"/>
        <rFont val="Arial Cyr"/>
        <charset val="204"/>
      </rPr>
      <t>ср</t>
    </r>
    <r>
      <rPr>
        <b/>
        <sz val="10"/>
        <rFont val="Arial Cyr"/>
        <charset val="204"/>
      </rPr>
      <t>, л/с</t>
    </r>
  </si>
  <si>
    <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 xml:space="preserve"> =</t>
    </r>
  </si>
  <si>
    <t>м/с</t>
  </si>
  <si>
    <r>
      <t>скорость СВ в прозорах в пределах</t>
    </r>
    <r>
      <rPr>
        <b/>
        <sz val="12"/>
        <rFont val="Times New Roman"/>
        <family val="1"/>
        <charset val="204"/>
      </rPr>
      <t xml:space="preserve"> 0,8 ~ 1 м/с при максимальном  расходе</t>
    </r>
  </si>
  <si>
    <t>Ширина ламели мм.</t>
  </si>
  <si>
    <t>прозор мм</t>
  </si>
  <si>
    <t>5000
и более</t>
  </si>
  <si>
    <t>ω =</t>
  </si>
  <si>
    <r>
      <t xml:space="preserve">скорость CB перед решеткой </t>
    </r>
    <r>
      <rPr>
        <b/>
        <sz val="12"/>
        <rFont val="Times New Roman"/>
        <family val="1"/>
        <charset val="204"/>
      </rPr>
      <t>при максимальном расходе</t>
    </r>
    <r>
      <rPr>
        <sz val="12"/>
        <rFont val="Times New Roman"/>
        <family val="1"/>
        <charset val="204"/>
      </rPr>
      <t xml:space="preserve"> в пределах</t>
    </r>
    <r>
      <rPr>
        <b/>
        <sz val="12"/>
        <rFont val="Times New Roman"/>
        <family val="1"/>
        <charset val="204"/>
      </rPr>
      <t xml:space="preserve"> 0,7 ~ 0,8 м/с</t>
    </r>
  </si>
  <si>
    <t>6-8</t>
  </si>
  <si>
    <t>δ =</t>
  </si>
  <si>
    <t>ширина ламели а</t>
  </si>
  <si>
    <t>9-16</t>
  </si>
  <si>
    <r>
      <t xml:space="preserve">максимальный 
К </t>
    </r>
    <r>
      <rPr>
        <vertAlign val="subscript"/>
        <sz val="10"/>
        <rFont val="Arial Cyr"/>
        <charset val="204"/>
      </rPr>
      <t>gen max</t>
    </r>
  </si>
  <si>
    <r>
      <t>β</t>
    </r>
    <r>
      <rPr>
        <sz val="12"/>
        <rFont val="Symbol"/>
        <family val="1"/>
        <charset val="2"/>
      </rPr>
      <t xml:space="preserve"> =</t>
    </r>
  </si>
  <si>
    <t>коэфициент сопротивления от сечения ламели (для трапеции а/в = 2, L = 5 * a)</t>
  </si>
  <si>
    <t>&gt;18</t>
  </si>
  <si>
    <r>
      <t xml:space="preserve">минимальный
К </t>
    </r>
    <r>
      <rPr>
        <vertAlign val="subscript"/>
        <sz val="10"/>
        <rFont val="Arial Cyr"/>
        <charset val="204"/>
      </rPr>
      <t>gen min</t>
    </r>
  </si>
  <si>
    <t>Примечания: 
1. Общие коэффициенты неравномерности притока сточных вод, приведенные в табл.,  допускается принимать при количестве производственных сточных вод, не превышающем 45% общего расхода. При количестве производственных сточных вод свыше 45% общие коэффициенты неравномерности следует определять с учетом неравномерности отведения бытовых и производственных сточных вод по часам суток согласно данным фактического притока сточных вод и эксплуатации аналогичных объектов.
2. При средних расходах сточных вод менее 5 л/с расчетные расходы надлежит определять согласно СНиП 2.04.01-85.
3. При промежуточных значениях среднего расхода сточных вод общие коэффициенты неравномерности следует определять интерполяцией.</t>
  </si>
  <si>
    <t>ПРЕДВАРИТЕЛЬНЫЙ РАСЧЕТ ГЕОМЕТРИИ</t>
  </si>
  <si>
    <t>ГЕОМЕТРИЯ  РТО</t>
  </si>
  <si>
    <r>
      <t xml:space="preserve">ГИДРАВЛИКА РТО 
при q </t>
    </r>
    <r>
      <rPr>
        <b/>
        <vertAlign val="subscript"/>
        <sz val="12"/>
        <rFont val="Times New Roman"/>
        <family val="1"/>
        <charset val="204"/>
      </rPr>
      <t>Nmax</t>
    </r>
  </si>
  <si>
    <t>ГИДРАВЛИКА  РТОу   ПРИ   РАЗНЫХ УГЛАХ  УСТАНОВКИ</t>
  </si>
  <si>
    <r>
      <t xml:space="preserve">угол наклона РТОу   α, </t>
    </r>
    <r>
      <rPr>
        <b/>
        <vertAlign val="superscript"/>
        <sz val="12"/>
        <rFont val="Times New Roman"/>
        <family val="1"/>
        <charset val="204"/>
      </rPr>
      <t>о</t>
    </r>
  </si>
  <si>
    <t xml:space="preserve">Прозор, мм </t>
  </si>
  <si>
    <t>Шир_канала, мм</t>
  </si>
  <si>
    <t>Ширина решетки 
предварительная 1, мм</t>
  </si>
  <si>
    <t>Зазор межджу рамой и 
стенкой канала пр1, мм</t>
  </si>
  <si>
    <t>Зазор на сторону пр1, мм</t>
  </si>
  <si>
    <t>Ширина решетки 
предварительная 2, мм</t>
  </si>
  <si>
    <t>Зазор межджу рамой и 
стенкой канала пр2, мм</t>
  </si>
  <si>
    <t>Зазор на сторону пр2, мм</t>
  </si>
  <si>
    <t>Ширина решетки, мм</t>
  </si>
  <si>
    <t>Количество ламелей   k, шт.</t>
  </si>
  <si>
    <t xml:space="preserve">Кол-во прозоров   n, шт. </t>
  </si>
  <si>
    <r>
      <t>Площадь живого
сечения  (просвет) S</t>
    </r>
    <r>
      <rPr>
        <vertAlign val="subscript"/>
        <sz val="12"/>
        <rFont val="Times New Roman"/>
        <family val="1"/>
        <charset val="204"/>
      </rPr>
      <t>ж</t>
    </r>
    <r>
      <rPr>
        <sz val="12"/>
        <rFont val="Times New Roman"/>
        <family val="1"/>
        <charset val="204"/>
      </rPr>
      <t>, м</t>
    </r>
    <r>
      <rPr>
        <vertAlign val="superscript"/>
        <sz val="12"/>
        <rFont val="Times New Roman"/>
        <family val="1"/>
        <charset val="204"/>
      </rPr>
      <t>2</t>
    </r>
  </si>
  <si>
    <r>
      <t>Максимальная пропускная 
способность, м</t>
    </r>
    <r>
      <rPr>
        <vertAlign val="superscript"/>
        <sz val="12"/>
        <rFont val="Times New Roman"/>
        <family val="1"/>
        <charset val="204"/>
      </rPr>
      <t>3</t>
    </r>
    <r>
      <rPr>
        <sz val="12"/>
        <rFont val="Times New Roman"/>
        <family val="1"/>
        <charset val="204"/>
      </rPr>
      <t>/с</t>
    </r>
  </si>
  <si>
    <r>
      <t xml:space="preserve">Скорость 
в прозорах </t>
    </r>
    <r>
      <rPr>
        <sz val="12"/>
        <rFont val="Arial Cyr"/>
        <charset val="204"/>
      </rPr>
      <t>ω</t>
    </r>
    <r>
      <rPr>
        <vertAlign val="subscript"/>
        <sz val="12"/>
        <rFont val="Times New Roman"/>
        <family val="1"/>
        <charset val="204"/>
      </rPr>
      <t>п</t>
    </r>
    <r>
      <rPr>
        <sz val="12"/>
        <rFont val="Times New Roman"/>
        <family val="1"/>
        <charset val="204"/>
      </rPr>
      <t>, м/с</t>
    </r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</si>
  <si>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 
напора от засорения</t>
    </r>
  </si>
  <si>
    <r>
      <t>Подпор h</t>
    </r>
    <r>
      <rPr>
        <vertAlign val="subscript"/>
        <sz val="12"/>
        <rFont val="Times New Roman"/>
        <family val="1"/>
        <charset val="204"/>
      </rPr>
      <t>p</t>
    </r>
    <r>
      <rPr>
        <sz val="12"/>
        <rFont val="Times New Roman"/>
        <family val="1"/>
        <charset val="204"/>
      </rPr>
      <t>, м</t>
    </r>
  </si>
  <si>
    <r>
      <t>Угол наклона РТОу с 
минимальным подпором   α</t>
    </r>
    <r>
      <rPr>
        <sz val="12"/>
        <rFont val="Arial Cyr"/>
        <charset val="204"/>
      </rPr>
      <t xml:space="preserve">, </t>
    </r>
    <r>
      <rPr>
        <vertAlign val="superscript"/>
        <sz val="12"/>
        <rFont val="Arial Cyr"/>
        <charset val="204"/>
      </rPr>
      <t>о</t>
    </r>
  </si>
  <si>
    <t>поставить выбор -1
если нет - 0</t>
  </si>
  <si>
    <r>
      <t>К</t>
    </r>
    <r>
      <rPr>
        <vertAlign val="subscript"/>
        <sz val="12"/>
        <rFont val="Times New Roman"/>
        <family val="1"/>
        <charset val="204"/>
      </rPr>
      <t>пн</t>
    </r>
    <r>
      <rPr>
        <sz val="12"/>
        <rFont val="Times New Roman"/>
        <family val="1"/>
        <charset val="204"/>
      </rPr>
      <t xml:space="preserve"> - коэффициент потери
напора от засорения</t>
    </r>
  </si>
  <si>
    <t>ширина канала</t>
  </si>
  <si>
    <t xml:space="preserve">глубина канала </t>
  </si>
  <si>
    <t>мм.</t>
  </si>
  <si>
    <t>Глубина канала , мм</t>
  </si>
  <si>
    <t>Страна</t>
  </si>
  <si>
    <t>кг.</t>
  </si>
  <si>
    <t>№ предложения по архиву</t>
  </si>
  <si>
    <t>Стойка ВПУ</t>
  </si>
  <si>
    <t>надбавка веса кг</t>
  </si>
  <si>
    <t>Определение веса для спецификации</t>
  </si>
  <si>
    <t>Привод</t>
  </si>
  <si>
    <t>0,37 кВт</t>
  </si>
  <si>
    <t>0,55 кВт</t>
  </si>
  <si>
    <t>Лазер</t>
  </si>
  <si>
    <t>ШУ</t>
  </si>
  <si>
    <t>AISI 201</t>
  </si>
  <si>
    <t>AISI 321</t>
  </si>
  <si>
    <t>ЗИП</t>
  </si>
  <si>
    <t>Позиция по проекту</t>
  </si>
  <si>
    <t>Курс евро по МБ</t>
  </si>
  <si>
    <t xml:space="preserve">Общие сведения </t>
  </si>
  <si>
    <t>ФОТ основных рабочих</t>
  </si>
  <si>
    <t>руб. (без НДС)</t>
  </si>
  <si>
    <t>Основных рабочих, вкл. мастера</t>
  </si>
  <si>
    <t>ФОТ на сборку ШУ.</t>
  </si>
  <si>
    <t>Комплектующие ШУ</t>
  </si>
  <si>
    <t>Затраты ПП (трудозатраты + условно-постоянные ПП)</t>
  </si>
  <si>
    <t>Переменные материальные затраты (вкл. Кооперацию)</t>
  </si>
  <si>
    <t>Себестоимость решетки</t>
  </si>
  <si>
    <t>ФОТ ИТР, МОП, АУП, инженерные затраты, налоги</t>
  </si>
  <si>
    <t>Цена решетки для договора</t>
  </si>
  <si>
    <t>Стоимость обналичивания обременения (% от обременения)</t>
  </si>
  <si>
    <t>Комплектация</t>
  </si>
  <si>
    <t>Материал</t>
  </si>
  <si>
    <t>IP</t>
  </si>
  <si>
    <t>Цена без учета доставки и обременения</t>
  </si>
  <si>
    <t>Доставка из ПП к Заказчику</t>
  </si>
  <si>
    <t>Цена решетки с доставкой без обременения</t>
  </si>
  <si>
    <t>Маржинальный доход</t>
  </si>
  <si>
    <t>Обременение (% от суммы договора, указано в обналиченном виде)</t>
  </si>
  <si>
    <t>Руб. без НДС</t>
  </si>
  <si>
    <t>Руб. с НДС</t>
  </si>
  <si>
    <t>Расчет доставки и обременения</t>
  </si>
  <si>
    <t>Коэффициент прибыли</t>
  </si>
  <si>
    <t xml:space="preserve">Параметры решетки </t>
  </si>
  <si>
    <t xml:space="preserve">  - вычисленное значение согласно принятому ряду</t>
  </si>
  <si>
    <r>
      <t xml:space="preserve">разбита по глубине канала </t>
    </r>
    <r>
      <rPr>
        <b/>
        <sz val="11"/>
        <color indexed="8"/>
        <rFont val="Calibri"/>
        <family val="2"/>
        <charset val="204"/>
      </rPr>
      <t>равной ширине канала  и до 2600 с шагом 100 мм</t>
    </r>
    <r>
      <rPr>
        <sz val="10"/>
        <rFont val="Arial Cyr"/>
        <charset val="204"/>
      </rPr>
      <t xml:space="preserve"> (округление до большего значения кратного 100)</t>
    </r>
  </si>
  <si>
    <t>Стоимость работы</t>
  </si>
  <si>
    <t>руб./н.ч</t>
  </si>
  <si>
    <t>4 шт.</t>
  </si>
  <si>
    <t>РТО900.1300.850.6_Саянск_7496</t>
  </si>
  <si>
    <t>РТО1200.1500.1200.8_Одесса_7476</t>
  </si>
  <si>
    <t>6 шт.</t>
  </si>
  <si>
    <t>РТО2300.2000.1200.8_Краснодар_7400</t>
  </si>
  <si>
    <t>8 шт.</t>
  </si>
  <si>
    <t>РТО2000.3100.850.14_Алматы_7384</t>
  </si>
  <si>
    <t>РТО1200.1500.850.10_Стерлитамак_7385</t>
  </si>
  <si>
    <t>РГО1600.2200.1200.16_Солигорск_7353</t>
  </si>
  <si>
    <t>РТО1100.1400.850.10_7297_Магнитогорск</t>
  </si>
  <si>
    <t>РТО1100.1600.850.10_7297_Магнитогорск</t>
  </si>
  <si>
    <t>РГО1400.1700.800.16_7231_Нижнекамскнефтехим</t>
  </si>
  <si>
    <t>РТО1400.2000.1200.8_Орск_7168</t>
  </si>
  <si>
    <t>РТО1500.2000.800.10_Егорьевск_7151</t>
  </si>
  <si>
    <t>РГО1200.1700.1200.16_Бельцы_7042</t>
  </si>
  <si>
    <t>РТО1400.1800.1500.10_Херсон_6934</t>
  </si>
  <si>
    <t>РТО1500.1800.850.6_Улан-Удэ</t>
  </si>
  <si>
    <t>РГ2.10.00.005 Заглушка</t>
  </si>
  <si>
    <t>РГ2.08.00.001 Плита</t>
  </si>
  <si>
    <t>РГ2.07.01.002-04 Лопасть</t>
  </si>
  <si>
    <t>РГ2.06.04.001 Рычаг</t>
  </si>
  <si>
    <t>РГ2.01.00.010 Ребро</t>
  </si>
  <si>
    <t>РГ2.01.00.009 Фланец</t>
  </si>
  <si>
    <t>РТО хххх.хххх.хххх.х.06.00.004 Планка прижимная</t>
  </si>
  <si>
    <t>РТО хххх.хххх.хххх.хх.06.00.002 Планка стопорная</t>
  </si>
  <si>
    <t>РГ2.00.00.012 Проушина</t>
  </si>
  <si>
    <t>РГ2.00.00.003 Ограничитель</t>
  </si>
  <si>
    <t>РГ2.00.00.002 Подкладка</t>
  </si>
  <si>
    <t>PХO хххх.хххх.хххх.хх.00.00.005-01 Ограничитель цепи</t>
  </si>
  <si>
    <t>PХO хххх.хххх.хххх.хх.00.00.005 Ограничитель цепи</t>
  </si>
  <si>
    <t>РГ2.06.00.003 Звездочка датчика</t>
  </si>
  <si>
    <t>Норма на фрезеровку ножей при прозоре 6 мм</t>
  </si>
  <si>
    <t>PХO хххх.хххх.хххх.хх.01.01.002-01 Швеллер</t>
  </si>
  <si>
    <t>PХO хххх.хххх.хххх.хх.01.01.002 Швеллер</t>
  </si>
  <si>
    <t>PХO хххх.хххх.хххх.хх.01.01.001-01 Швеллер</t>
  </si>
  <si>
    <t>PХO хххх.хххх.хххх.хх.01.01.001 Швеллер</t>
  </si>
  <si>
    <t>РГ2.01.00.008-04 Швеллер</t>
  </si>
  <si>
    <t>РГ2.01.00.007-04 Швеллер</t>
  </si>
  <si>
    <t>РГ2.01.00.006-04 Швеллер</t>
  </si>
  <si>
    <t>РГ2.01.00.005-04 Швеллер</t>
  </si>
  <si>
    <t xml:space="preserve">выгр. 850, н.ч. </t>
  </si>
  <si>
    <t>РГ2.01.00.004-04 Швеллер</t>
  </si>
  <si>
    <t>(кооперация, согласно перечня, детали: лазер  - 42 наименования; гидроабразив - 1 наименование)</t>
  </si>
  <si>
    <t>РГ2.01.02.002 Швеллер (исполнения 00-11)</t>
  </si>
  <si>
    <t>предусмотрено 6 мм (е= 6 и 8 мм), 8 мм (е= 10, 12, 14, 16 мм с высотой экрана до 3 м и 20 мм с высотой экрана до 2 м включительно) и 10 мм (е= 20 мм - с высотой экрана более 2 м, и е=40 мм с любой высотой экрана)</t>
  </si>
  <si>
    <t>РГ2.01.00.003 Уголок (исполнения 00-11)</t>
  </si>
  <si>
    <t>РГ2.01.00.002 Планка (исполнения 00-11)</t>
  </si>
  <si>
    <t>РГ2.01.00.001 Планка (исполнения 00-11)</t>
  </si>
  <si>
    <r>
      <t xml:space="preserve">может быть 850, 1200 и 1500 (округление в большую сторону); </t>
    </r>
    <r>
      <rPr>
        <b/>
        <sz val="11"/>
        <color indexed="60"/>
        <rFont val="Calibri"/>
        <family val="2"/>
        <charset val="204"/>
      </rPr>
      <t>ЕСЛИ БОЛЕЕ 1500 - НЕСТАНДАРТ</t>
    </r>
  </si>
  <si>
    <t>кол-во на решетку+ЗИП (5 ножей + 3 ламели)</t>
  </si>
  <si>
    <r>
      <t xml:space="preserve">разбита по ширине на 3 конструкции </t>
    </r>
    <r>
      <rPr>
        <b/>
        <sz val="11"/>
        <color indexed="56"/>
        <rFont val="Calibri"/>
        <family val="2"/>
        <charset val="204"/>
      </rPr>
      <t xml:space="preserve">от </t>
    </r>
    <r>
      <rPr>
        <b/>
        <sz val="11"/>
        <color indexed="30"/>
        <rFont val="Calibri"/>
        <family val="2"/>
        <charset val="204"/>
      </rPr>
      <t>400 до 750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50 мм</t>
    </r>
    <r>
      <rPr>
        <sz val="10"/>
        <rFont val="Arial Cyr"/>
        <charset val="204"/>
      </rPr>
      <t xml:space="preserve">; </t>
    </r>
    <r>
      <rPr>
        <b/>
        <sz val="11"/>
        <color indexed="60"/>
        <rFont val="Calibri"/>
        <family val="2"/>
        <charset val="204"/>
      </rPr>
      <t xml:space="preserve">от </t>
    </r>
    <r>
      <rPr>
        <b/>
        <sz val="11"/>
        <color indexed="60"/>
        <rFont val="Calibri"/>
        <family val="2"/>
        <charset val="204"/>
      </rPr>
      <t>800 до 1900</t>
    </r>
    <r>
      <rPr>
        <sz val="11"/>
        <color indexed="60"/>
        <rFont val="Calibri"/>
        <family val="2"/>
        <charset val="204"/>
      </rPr>
      <t xml:space="preserve"> </t>
    </r>
    <r>
      <rPr>
        <sz val="10"/>
        <rFont val="Arial Cyr"/>
        <charset val="204"/>
      </rPr>
      <t xml:space="preserve">и </t>
    </r>
    <r>
      <rPr>
        <b/>
        <sz val="11"/>
        <color indexed="10"/>
        <rFont val="Calibri"/>
        <family val="2"/>
        <charset val="204"/>
      </rPr>
      <t>от 2000 до 2400</t>
    </r>
    <r>
      <rPr>
        <sz val="10"/>
        <rFont val="Arial Cyr"/>
        <charset val="204"/>
      </rPr>
      <t xml:space="preserve"> </t>
    </r>
    <r>
      <rPr>
        <b/>
        <sz val="11"/>
        <color indexed="8"/>
        <rFont val="Calibri"/>
        <family val="2"/>
        <charset val="204"/>
      </rPr>
      <t>с шагом 100 мм</t>
    </r>
    <r>
      <rPr>
        <sz val="10"/>
        <rFont val="Arial Cyr"/>
        <charset val="204"/>
      </rPr>
      <t xml:space="preserve"> (округление по общим правилам)</t>
    </r>
  </si>
  <si>
    <t>IP 67</t>
  </si>
  <si>
    <t>Место установки</t>
  </si>
  <si>
    <t>1,5÷1,9</t>
  </si>
  <si>
    <t>Примечания</t>
  </si>
  <si>
    <t>Маркировка</t>
  </si>
  <si>
    <t>Технические характеристики</t>
  </si>
  <si>
    <t>Максимальная производительность -</t>
  </si>
  <si>
    <t>кВт.</t>
  </si>
  <si>
    <t>Значение</t>
  </si>
  <si>
    <t>Вес, кг</t>
  </si>
  <si>
    <t>Мощность привода, кВт</t>
  </si>
  <si>
    <t>Кол-во, шт</t>
  </si>
  <si>
    <t>Себестоимость, руб/шт без НДС</t>
  </si>
  <si>
    <t>Себестоимость комплекта, руб без НДС</t>
  </si>
  <si>
    <t>Характеристики</t>
  </si>
  <si>
    <t>прозор -</t>
  </si>
  <si>
    <t>ширина канала -</t>
  </si>
  <si>
    <t>глубина канала -</t>
  </si>
  <si>
    <t>высота выгрузки отбросов -</t>
  </si>
  <si>
    <t>вес решетки в сборе -</t>
  </si>
  <si>
    <t>материал исполнения -</t>
  </si>
  <si>
    <t>комплектация ШУ -</t>
  </si>
  <si>
    <t>Производительность решетки -</t>
  </si>
  <si>
    <t>Степень защиты пульта -</t>
  </si>
  <si>
    <t>Имя файла -</t>
  </si>
  <si>
    <t>Маркировка -</t>
  </si>
  <si>
    <t>Тип решетки -</t>
  </si>
  <si>
    <t>Прозор -</t>
  </si>
  <si>
    <t>Ширина канала -</t>
  </si>
  <si>
    <t>Глубина канала -</t>
  </si>
  <si>
    <t>Высота выгрузки -</t>
  </si>
  <si>
    <t>Высота решетки -</t>
  </si>
  <si>
    <t>Растояние до фильтровального экрана -</t>
  </si>
  <si>
    <t>Мощность привода, кВт -</t>
  </si>
  <si>
    <t>Вес решетки в сборе -</t>
  </si>
  <si>
    <t>Материал решетки -</t>
  </si>
  <si>
    <t>Степень защиты привода -</t>
  </si>
  <si>
    <t>Информация для формирования ТКП Word</t>
  </si>
  <si>
    <t>Архивный номер -</t>
  </si>
  <si>
    <t>arhN</t>
  </si>
  <si>
    <t>RGO_1</t>
  </si>
  <si>
    <t>RGO_gap</t>
  </si>
  <si>
    <t>RGO_ch_wide</t>
  </si>
  <si>
    <t>RGO_ch_dep</t>
  </si>
  <si>
    <t>RGO_h_load</t>
  </si>
  <si>
    <t>RGO_H_screen</t>
  </si>
  <si>
    <t>RGO_h2</t>
  </si>
  <si>
    <t>RGO_Q_max</t>
  </si>
  <si>
    <t>RGO_P_kw</t>
  </si>
  <si>
    <t>RGO_IP_d</t>
  </si>
  <si>
    <t>RGO_Weight</t>
  </si>
  <si>
    <t>RGO_Mat</t>
  </si>
  <si>
    <t>RGO_2</t>
  </si>
  <si>
    <t>RGO_Mark</t>
  </si>
  <si>
    <t>RGO_CP1</t>
  </si>
  <si>
    <t xml:space="preserve">Комплектация ШУ - </t>
  </si>
  <si>
    <t>Комплектация ШУ для комплекта поставки -</t>
  </si>
  <si>
    <t>RGO_comp_cp</t>
  </si>
  <si>
    <t>Комплектация ВПУ для комплекта поставки -</t>
  </si>
  <si>
    <t>RGO_comp_lcp</t>
  </si>
  <si>
    <t>Крепежи ВПУ и ШУ -</t>
  </si>
  <si>
    <t>RGO_comp_cp1</t>
  </si>
  <si>
    <t>доп гр</t>
  </si>
  <si>
    <t>утяж</t>
  </si>
  <si>
    <t>до 1200</t>
  </si>
  <si>
    <t>Доп граблина, кг/шт</t>
  </si>
  <si>
    <t>от 1300</t>
  </si>
  <si>
    <t>Вес данных моделей с учетом граблин.</t>
  </si>
  <si>
    <t>ширина канал, мм</t>
  </si>
  <si>
    <t>Кол-во граблин, шт</t>
  </si>
  <si>
    <t>Доп вес граблин, кг</t>
  </si>
  <si>
    <t>При +50 мм  к ширине</t>
  </si>
  <si>
    <t>Доп для расчетной ширины</t>
  </si>
  <si>
    <t>ИТОГО</t>
  </si>
  <si>
    <t>ВЕС РЕШЕТКИ ДЛЯ РАСЧЕТОВ</t>
  </si>
  <si>
    <t>Вес стандартной решетки</t>
  </si>
  <si>
    <t>Вес дополнительных граблин</t>
  </si>
  <si>
    <t>Увеличение выгрузки</t>
  </si>
  <si>
    <t>ВЕС МЕТАЛЛА РЕШЕТКИ</t>
  </si>
  <si>
    <t>Вес привода</t>
  </si>
  <si>
    <t>ВЕС ДЛЯ СПЕЦИФИКАЦИИ</t>
  </si>
  <si>
    <t>ВЕС ДЛЯ РАСЧЕТА</t>
  </si>
  <si>
    <t>Вес цепи (вычитается)</t>
  </si>
  <si>
    <t>Ед. измерения</t>
  </si>
  <si>
    <t>Дата последней актализации</t>
  </si>
  <si>
    <t>Нименование переменной</t>
  </si>
  <si>
    <t>Стоимость нормо часа</t>
  </si>
  <si>
    <t>Коэффициент к ФОТ учитывающий АУП, МОП, инженерные затраты, налоги….</t>
  </si>
  <si>
    <t>Коэф учитывающий доставку комплектующих</t>
  </si>
  <si>
    <t>Листовой металл</t>
  </si>
  <si>
    <t>руб/кг без НДС</t>
  </si>
  <si>
    <t>АМг3М</t>
  </si>
  <si>
    <t>Переработка металла</t>
  </si>
  <si>
    <t>Условное время обработки 1 кг изделия</t>
  </si>
  <si>
    <t>мин.</t>
  </si>
  <si>
    <t>Процент обработки металла на лазере</t>
  </si>
  <si>
    <t>Привода:</t>
  </si>
  <si>
    <t>Цена, евро без НДС</t>
  </si>
  <si>
    <t>Мощность, кВт</t>
  </si>
  <si>
    <t>Пульт управления ВПУ:</t>
  </si>
  <si>
    <t>евро без НДС</t>
  </si>
  <si>
    <t>Решетка грабельная РТО/РГО</t>
  </si>
  <si>
    <t>Мотор-редуктор СВPP-  85-225,4-KWO 37/6/80B5 LFB IP55</t>
  </si>
  <si>
    <t>Мотор-редуктор СВPP-  85-225,4-KWO 37/6/80B5 LFB IP66</t>
  </si>
  <si>
    <t>Редуктор СВРР 110 1/225,4 80В5 М3 LFB IP55</t>
  </si>
  <si>
    <t>Редуктор СВРР 110 1/225,4 80В5 М3 LFB IP66</t>
  </si>
  <si>
    <t>Рредуктор СВPP-  85-225,4 М3 LFB - AXF90SG,0,37KW,6P,230VD/400 IP 68</t>
  </si>
  <si>
    <t>Редуктор СВРР 110 1/225,4 80В5 М3 LFB - AXF90SG,0,37KW,6P,230VD/400 IP 68</t>
  </si>
  <si>
    <t xml:space="preserve">Стоимость цепи с учетом материала </t>
  </si>
  <si>
    <t>руб/м.п. без НДС</t>
  </si>
  <si>
    <t>в сборе, кг</t>
  </si>
  <si>
    <t>Материалы и покупные</t>
  </si>
  <si>
    <t>Металл</t>
  </si>
  <si>
    <t>руб./кг без НДС</t>
  </si>
  <si>
    <t>Стоимость н.ч.</t>
  </si>
  <si>
    <t>Вес заготовки, кг</t>
  </si>
  <si>
    <t>Коэф к ФОТ</t>
  </si>
  <si>
    <t>Контр.</t>
  </si>
  <si>
    <t>Итого стоимость металла, руб без НДС</t>
  </si>
  <si>
    <t>Покупные</t>
  </si>
  <si>
    <t>Курс евро</t>
  </si>
  <si>
    <t>Привод, евро/шт без НДС</t>
  </si>
  <si>
    <t>Процент переработки метала (отходы)</t>
  </si>
  <si>
    <t>Привод, евро/шт, руб/шт без НДС</t>
  </si>
  <si>
    <t>Крепежи</t>
  </si>
  <si>
    <t>Материалы и покупные руб без НДС</t>
  </si>
  <si>
    <t>Вес металла по модели, кг</t>
  </si>
  <si>
    <t>Высота выгркузки, мм</t>
  </si>
  <si>
    <t>Прозор решетки, мм</t>
  </si>
  <si>
    <t>Стоимость цепи, руб/м.п. без НДС</t>
  </si>
  <si>
    <t>Межосевое рас-е, мм</t>
  </si>
  <si>
    <t>Высота экрана, мм</t>
  </si>
  <si>
    <t>Общая длина, мм</t>
  </si>
  <si>
    <t>Межосевое рассстояниее, мм</t>
  </si>
  <si>
    <t>Длина цепи, м.п.</t>
  </si>
  <si>
    <t>Стоимость цепи, руб/комплект</t>
  </si>
  <si>
    <t>Вес направляющих</t>
  </si>
  <si>
    <t>Да</t>
  </si>
  <si>
    <t>Вес решетки по модели</t>
  </si>
  <si>
    <t>Процент переработке металла на лазере</t>
  </si>
  <si>
    <t>Условное время на порезку</t>
  </si>
  <si>
    <t>мин/кг</t>
  </si>
  <si>
    <t>Время порезки на решетку</t>
  </si>
  <si>
    <t>ФОТ на спорезку</t>
  </si>
  <si>
    <t>Нижние направляющие цепей, руб без НДС</t>
  </si>
  <si>
    <t>KIPP K0522.20185 Шпингалет</t>
  </si>
  <si>
    <t>KIPP K1114.245X180 Выступ для шпингалета</t>
  </si>
  <si>
    <t>Капсула HILTI HVU М12х110</t>
  </si>
  <si>
    <t>Капсула HILTI HVU М16х125</t>
  </si>
  <si>
    <t>Ручка бугельная KIPP K0190.213208</t>
  </si>
  <si>
    <t>Узел подшипниковый UCF209 NSK</t>
  </si>
  <si>
    <t>Уплотнитель MESAN 340.09.004 L= 1230 мм</t>
  </si>
  <si>
    <t>Болт M10x20.21.12Х18H10Т ГОСТ 7798-70</t>
  </si>
  <si>
    <t>Болт M10x30.21.12Х18H10Т ГОСТ 7798-70</t>
  </si>
  <si>
    <t>Болт M12x40.21.12Х18H10Т ГОСТ 7798-70</t>
  </si>
  <si>
    <t>Болт M6x12.21.12Х18H10Т ГОСТ 7798-70</t>
  </si>
  <si>
    <t>Болт M6x16.21.12Х18H10Т ГОСТ 7798-70</t>
  </si>
  <si>
    <t>Болт M6x22.21.12Х18H10Т ГОСТ 7798-70</t>
  </si>
  <si>
    <t>Болт M6x35.21.12Х18H10Т ГОСТ 7798-70</t>
  </si>
  <si>
    <t>Болт M6x40.21.12Х18H10Т ГОСТ 7798-70</t>
  </si>
  <si>
    <t>Болт M8x16.21.12Х18H10Т ГОСТ 7798-70</t>
  </si>
  <si>
    <t>Болт M8x20.21.12Х18H10Т ГОСТ 7798-70</t>
  </si>
  <si>
    <t>Болт M8x25.21.12Х18H10Т ГОСТ 7798-70</t>
  </si>
  <si>
    <t>Болт M8x25-A2 DIN 933</t>
  </si>
  <si>
    <t>Болт M8x35.21.12Х18H10Т ГОСТ 7798-70</t>
  </si>
  <si>
    <t>Болт M8x60.21.12Х18H10Т ГОСТ 7798-70</t>
  </si>
  <si>
    <t>Винт B.2.M4x20.21.12Х18H10Т ГОСТ 17473-80</t>
  </si>
  <si>
    <t>Винт B.2.M6x12.21.12Х18H10Т ГОСТ 17475-80</t>
  </si>
  <si>
    <t>Винт B.2.M6x16.21.12Х18H10Т ГОСТ 17475-80</t>
  </si>
  <si>
    <t>Винт B.2.M8x65.21.12Х18H10Т ГОСТ 17475-80</t>
  </si>
  <si>
    <t>Гайка DIN 985 - M4 - А2</t>
  </si>
  <si>
    <t>Гайка DIN 985 - M6 - А2</t>
  </si>
  <si>
    <t>Гайка DIN 985 - M8 - А2</t>
  </si>
  <si>
    <t>Гайка M10.21.12Х18H10Т ГОСТ 5915-70</t>
  </si>
  <si>
    <t>Гайка M12.21.12Х18H10Т ГОСТ 5915-70</t>
  </si>
  <si>
    <t>Гайка M16.21.12Х18H10Т ГОСТ 5915-70</t>
  </si>
  <si>
    <t>Гайка M6.21.12Х18H10Т ГОСТ 5915-70</t>
  </si>
  <si>
    <t>Гайка M8.21.12Х18H10Т ГОСТ 5915-70</t>
  </si>
  <si>
    <t>Шайба 10 30Х13 ГОСТ 6402-70</t>
  </si>
  <si>
    <t>Шайба 12 30Х13 ГОСТ 6402-70</t>
  </si>
  <si>
    <t>Шайба 16 30Х13 ГОСТ 6402-70</t>
  </si>
  <si>
    <t>Шайба 6 30Х13 ГОСТ 6402-70</t>
  </si>
  <si>
    <t>Шайба 8 30Х13 ГОСТ 6402-70</t>
  </si>
  <si>
    <t>Шайба C.10.21 ГОСТ 6958-78</t>
  </si>
  <si>
    <t>Шайба C.12.21 ГОСТ 11371-78</t>
  </si>
  <si>
    <t>Шайба C.16.21 ГОСТ 11371-78</t>
  </si>
  <si>
    <t>Шайба C.4.21 ГОСТ 11371-78</t>
  </si>
  <si>
    <t>Шайба C.6.21 ГОСТ 11371-78</t>
  </si>
  <si>
    <t>Шайба C.6.21 ГОСТ 6958-78</t>
  </si>
  <si>
    <t>Шайба C.8.21 ГОСТ 11371-78</t>
  </si>
  <si>
    <t>Шпонка 2-10х8х100 ГОСТ 23360-78</t>
  </si>
  <si>
    <t>Винт B.2.M8x20.21.12Х18H10Т ГОСТ 17475-80</t>
  </si>
  <si>
    <t>Винт установочный DIN914-А2-M10x12</t>
  </si>
  <si>
    <t>Втулка рессорная_x000D_ №412-2912028</t>
  </si>
  <si>
    <t>ИТОГО крепеж, руб без НДС</t>
  </si>
  <si>
    <t>Нижние направляющие</t>
  </si>
  <si>
    <t>Расчетные параметры</t>
  </si>
  <si>
    <t>привод -</t>
  </si>
  <si>
    <t>Протокол связи</t>
  </si>
  <si>
    <t>Modbus RTU</t>
  </si>
  <si>
    <t>Modbus TCP</t>
  </si>
  <si>
    <t>Протокол</t>
  </si>
  <si>
    <t>Мodbus RTU</t>
  </si>
  <si>
    <t xml:space="preserve">Мodbus TCP </t>
  </si>
  <si>
    <t>Комплектация ШУ</t>
  </si>
  <si>
    <t>Стоимость комплектующих ШУ, евро без НДС</t>
  </si>
  <si>
    <t>ВПУ, евро без НДС</t>
  </si>
  <si>
    <t>Степень защиты ВПУ</t>
  </si>
  <si>
    <t xml:space="preserve"> </t>
  </si>
  <si>
    <t>Итого комплектующие ШУ, евро без НДС</t>
  </si>
  <si>
    <t>Итого комплектующие ШУ, руб без НДС</t>
  </si>
  <si>
    <t>ИТОГО комплектующие ШУ, руб без НДС</t>
  </si>
  <si>
    <t>без привода, кг</t>
  </si>
  <si>
    <t xml:space="preserve">Позиция </t>
  </si>
  <si>
    <t>Себестоимость ШУ, руб без НДС</t>
  </si>
  <si>
    <t>Себестоимость изделия, руб без НДС</t>
  </si>
  <si>
    <t>Мощность привода, кВт.</t>
  </si>
  <si>
    <t>Параметры для заявки на изготовление</t>
  </si>
  <si>
    <t>Себ, руб без НДС</t>
  </si>
  <si>
    <t>ФОТ н.ч.</t>
  </si>
  <si>
    <t>Лазер, н.ч.</t>
  </si>
  <si>
    <t>ФОТ с АУП, МОП, ИТР, руб</t>
  </si>
  <si>
    <t>Мат, руб без НДС</t>
  </si>
  <si>
    <t xml:space="preserve">Экспликация </t>
  </si>
  <si>
    <t>ШУ-РГ</t>
  </si>
  <si>
    <t>ПЭ 1000</t>
  </si>
  <si>
    <t>руб/м2 без НДС</t>
  </si>
  <si>
    <t>-</t>
  </si>
  <si>
    <t>Срок поставки</t>
  </si>
  <si>
    <t>term</t>
  </si>
  <si>
    <t>IP 55</t>
  </si>
  <si>
    <t>IP 66</t>
  </si>
  <si>
    <t>04.01.2022</t>
  </si>
  <si>
    <t>Андронова Е. В.</t>
  </si>
  <si>
    <t>Белоруссия</t>
  </si>
  <si>
    <t>ModBus RTU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</si>
</sst>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164" formatCode="#,##0.0"/>
    <numFmt numFmtId="165" formatCode="0.0"/>
    <numFmt numFmtId="166" formatCode="#,##0.000"/>
    <numFmt numFmtId="167" formatCode="0.000"/>
    <numFmt numFmtId="168" formatCode="#,##0.0000"/>
    <numFmt numFmtId="169" formatCode="#,##0\ [$€-1]"/>
    <numFmt numFmtId="170" formatCode="0.000000000000"/>
  </numFmts>
  <fonts count="70" x14ac:knownFonts="1">
    <font>
      <sz val="10"/>
      <name val="Arial Cyr"/>
      <charset val="204"/>
    </font>
    <font>
      <sz val="8"/>
      <name val="Arial Cyr"/>
      <charset val="204"/>
    </font>
    <font>
      <b/>
      <sz val="10"/>
      <name val="Arial Cyr"/>
      <charset val="204"/>
    </font>
    <font>
      <b/>
      <sz val="10"/>
      <name val="Arial Cyr"/>
      <family val="2"/>
      <charset val="204"/>
    </font>
    <font>
      <sz val="10"/>
      <name val="Arial Cyr"/>
      <charset val="204"/>
    </font>
    <font>
      <sz val="12"/>
      <name val="Arial Cyr"/>
      <charset val="204"/>
    </font>
    <font>
      <b/>
      <sz val="11"/>
      <color indexed="8"/>
      <name val="Calibri"/>
      <family val="2"/>
      <charset val="204"/>
    </font>
    <font>
      <sz val="11"/>
      <color indexed="10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30"/>
      <name val="Calibri"/>
      <family val="2"/>
      <charset val="204"/>
    </font>
    <font>
      <b/>
      <sz val="11"/>
      <color indexed="60"/>
      <name val="Calibri"/>
      <family val="2"/>
      <charset val="204"/>
    </font>
    <font>
      <sz val="11"/>
      <color indexed="60"/>
      <name val="Calibri"/>
      <family val="2"/>
      <charset val="204"/>
    </font>
    <font>
      <b/>
      <sz val="11"/>
      <color indexed="10"/>
      <name val="Calibri"/>
      <family val="2"/>
      <charset val="204"/>
    </font>
    <font>
      <b/>
      <sz val="9"/>
      <name val="Arial"/>
      <family val="2"/>
      <charset val="204"/>
    </font>
    <font>
      <sz val="8"/>
      <name val="Arial"/>
      <family val="2"/>
      <charset val="204"/>
    </font>
    <font>
      <b/>
      <sz val="12"/>
      <name val="Arial Cyr"/>
      <family val="2"/>
      <charset val="204"/>
    </font>
    <font>
      <b/>
      <u/>
      <sz val="10"/>
      <color indexed="10"/>
      <name val="Arial Cyr"/>
      <charset val="204"/>
    </font>
    <font>
      <b/>
      <i/>
      <sz val="10"/>
      <name val="Arial Cyr"/>
      <charset val="204"/>
    </font>
    <font>
      <sz val="16"/>
      <name val="Arial Cyr"/>
      <charset val="204"/>
    </font>
    <font>
      <b/>
      <i/>
      <sz val="12"/>
      <name val="Arial Cyr"/>
      <charset val="204"/>
    </font>
    <font>
      <sz val="12"/>
      <name val="Times New Roman"/>
      <family val="1"/>
      <charset val="204"/>
    </font>
    <font>
      <sz val="14"/>
      <name val="Times New Roman"/>
      <family val="1"/>
      <charset val="204"/>
    </font>
    <font>
      <vertAlign val="superscript"/>
      <sz val="12"/>
      <name val="Times New Roman"/>
      <family val="1"/>
      <charset val="204"/>
    </font>
    <font>
      <sz val="12"/>
      <name val="Symbol"/>
      <family val="1"/>
      <charset val="2"/>
    </font>
    <font>
      <vertAlign val="subscript"/>
      <sz val="12"/>
      <name val="Times New Roman"/>
      <family val="1"/>
      <charset val="204"/>
    </font>
    <font>
      <b/>
      <sz val="12"/>
      <color indexed="10"/>
      <name val="Times New Roman"/>
      <family val="1"/>
      <charset val="204"/>
    </font>
    <font>
      <b/>
      <sz val="12"/>
      <name val="Times New Roman"/>
      <family val="1"/>
      <charset val="204"/>
    </font>
    <font>
      <b/>
      <vertAlign val="subscript"/>
      <sz val="10"/>
      <name val="Arial Cyr"/>
      <charset val="204"/>
    </font>
    <font>
      <sz val="9"/>
      <name val="Arial"/>
      <family val="2"/>
      <charset val="204"/>
    </font>
    <font>
      <vertAlign val="subscript"/>
      <sz val="10"/>
      <name val="Arial Cyr"/>
      <charset val="204"/>
    </font>
    <font>
      <b/>
      <vertAlign val="subscript"/>
      <sz val="12"/>
      <name val="Times New Roman"/>
      <family val="1"/>
      <charset val="204"/>
    </font>
    <font>
      <b/>
      <vertAlign val="superscript"/>
      <sz val="12"/>
      <name val="Times New Roman"/>
      <family val="1"/>
      <charset val="204"/>
    </font>
    <font>
      <b/>
      <sz val="14"/>
      <name val="Times New Roman"/>
      <family val="1"/>
      <charset val="204"/>
    </font>
    <font>
      <vertAlign val="superscript"/>
      <sz val="12"/>
      <name val="Arial Cyr"/>
      <charset val="204"/>
    </font>
    <font>
      <sz val="10"/>
      <name val="Times New Roman"/>
      <family val="1"/>
      <charset val="204"/>
    </font>
    <font>
      <b/>
      <i/>
      <sz val="14"/>
      <name val="Times New Roman"/>
      <family val="1"/>
      <charset val="204"/>
    </font>
    <font>
      <b/>
      <sz val="10"/>
      <name val="Times New Roman"/>
      <family val="1"/>
      <charset val="204"/>
    </font>
    <font>
      <b/>
      <i/>
      <sz val="11"/>
      <name val="Times New Roman"/>
      <family val="1"/>
      <charset val="204"/>
    </font>
    <font>
      <sz val="1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sz val="9"/>
      <color indexed="81"/>
      <name val="Tahoma"/>
      <family val="2"/>
      <charset val="204"/>
    </font>
    <font>
      <sz val="11"/>
      <name val="Times New Roman"/>
      <family val="1"/>
      <charset val="204"/>
    </font>
    <font>
      <i/>
      <u/>
      <sz val="11"/>
      <name val="Times New Roman"/>
      <family val="1"/>
      <charset val="204"/>
    </font>
    <font>
      <i/>
      <sz val="12"/>
      <name val="Times New Roman"/>
      <family val="1"/>
      <charset val="204"/>
    </font>
    <font>
      <b/>
      <i/>
      <sz val="10"/>
      <name val="Arial"/>
      <family val="2"/>
      <charset val="204"/>
    </font>
    <font>
      <i/>
      <u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rgb="FF0070C0"/>
      <name val="Calibri"/>
      <family val="2"/>
      <charset val="204"/>
      <scheme val="minor"/>
    </font>
    <font>
      <b/>
      <sz val="11"/>
      <color rgb="FFC00000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i/>
      <sz val="12"/>
      <color rgb="FFFF0000"/>
      <name val="Arial Cyr"/>
      <charset val="204"/>
    </font>
    <font>
      <b/>
      <i/>
      <sz val="11"/>
      <color rgb="FFFF0000"/>
      <name val="Times New Roman"/>
      <family val="1"/>
      <charset val="204"/>
    </font>
    <font>
      <b/>
      <i/>
      <sz val="14"/>
      <color rgb="FFFF0000"/>
      <name val="Times New Roman"/>
      <family val="1"/>
      <charset val="204"/>
    </font>
    <font>
      <b/>
      <sz val="10"/>
      <color rgb="FF7030A0"/>
      <name val="Arial"/>
      <family val="2"/>
      <charset val="204"/>
    </font>
    <font>
      <sz val="10"/>
      <color rgb="FFFF0000"/>
      <name val="Arial Cyr"/>
      <charset val="204"/>
    </font>
    <font>
      <i/>
      <sz val="10"/>
      <color theme="0" tint="-0.34998626667073579"/>
      <name val="Arial Cyr"/>
      <charset val="204"/>
    </font>
    <font>
      <sz val="10"/>
      <color rgb="FFFF0000"/>
      <name val="Arial"/>
      <family val="2"/>
      <charset val="204"/>
    </font>
    <font>
      <sz val="11"/>
      <color rgb="FFFF0000"/>
      <name val="Times New Roman"/>
      <family val="1"/>
      <charset val="204"/>
    </font>
    <font>
      <sz val="10"/>
      <color theme="0" tint="-0.249977111117893"/>
      <name val="Arial"/>
      <family val="2"/>
      <charset val="204"/>
    </font>
    <font>
      <sz val="10"/>
      <color theme="0" tint="-0.499984740745262"/>
      <name val="Arial"/>
      <family val="2"/>
      <charset val="204"/>
    </font>
    <font>
      <i/>
      <sz val="10"/>
      <color theme="0" tint="-0.34998626667073579"/>
      <name val="Arial"/>
      <family val="2"/>
      <charset val="204"/>
    </font>
    <font>
      <i/>
      <sz val="10"/>
      <color theme="0" tint="-0.499984740745262"/>
      <name val="Arial"/>
      <family val="2"/>
      <charset val="204"/>
    </font>
    <font>
      <b/>
      <sz val="8"/>
      <color theme="1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000"/>
        <bgColor indexed="64"/>
      </patternFill>
    </fill>
  </fills>
  <borders count="9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double">
        <color theme="1"/>
      </left>
      <right style="thin">
        <color theme="3" tint="-0.24994659260841701"/>
      </right>
      <top style="double">
        <color rgb="FFFF0000"/>
      </top>
      <bottom style="thin">
        <color theme="3" tint="-0.24994659260841701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double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/>
      <top style="thin">
        <color theme="3" tint="-0.24994659260841701"/>
      </top>
      <bottom style="thin">
        <color theme="3" tint="-0.24994659260841701"/>
      </bottom>
      <diagonal/>
    </border>
    <border>
      <left/>
      <right style="double">
        <color theme="1"/>
      </right>
      <top style="thin">
        <color theme="3" tint="-0.24994659260841701"/>
      </top>
      <bottom style="thin">
        <color theme="3" tint="-0.24994659260841701"/>
      </bottom>
      <diagonal/>
    </border>
    <border>
      <left style="medium">
        <color rgb="FFFF0000"/>
      </left>
      <right style="double">
        <color rgb="FFFF0000"/>
      </right>
      <top style="double">
        <color rgb="FFFF0000"/>
      </top>
      <bottom style="double">
        <color rgb="FFFF0000"/>
      </bottom>
      <diagonal/>
    </border>
    <border>
      <left style="thin">
        <color theme="3" tint="-0.24994659260841701"/>
      </left>
      <right style="double">
        <color theme="1"/>
      </right>
      <top/>
      <bottom style="thin">
        <color theme="3" tint="-0.24994659260841701"/>
      </bottom>
      <diagonal/>
    </border>
    <border>
      <left style="thin">
        <color theme="3" tint="-0.24994659260841701"/>
      </left>
      <right/>
      <top style="double">
        <color rgb="FFFF0000"/>
      </top>
      <bottom style="thin">
        <color theme="3" tint="-0.24994659260841701"/>
      </bottom>
      <diagonal/>
    </border>
    <border>
      <left/>
      <right/>
      <top style="double">
        <color rgb="FFFF0000"/>
      </top>
      <bottom style="thin">
        <color theme="3" tint="-0.24994659260841701"/>
      </bottom>
      <diagonal/>
    </border>
    <border>
      <left/>
      <right style="double">
        <color theme="1"/>
      </right>
      <top style="double">
        <color rgb="FFFF0000"/>
      </top>
      <bottom style="thin">
        <color theme="3" tint="-0.24994659260841701"/>
      </bottom>
      <diagonal/>
    </border>
    <border>
      <left style="thick">
        <color rgb="FF00B050"/>
      </left>
      <right/>
      <top style="thick">
        <color rgb="FF00B050"/>
      </top>
      <bottom style="thick">
        <color rgb="FF00B050"/>
      </bottom>
      <diagonal/>
    </border>
    <border>
      <left/>
      <right/>
      <top style="thick">
        <color rgb="FF00B050"/>
      </top>
      <bottom style="thick">
        <color rgb="FF00B050"/>
      </bottom>
      <diagonal/>
    </border>
    <border>
      <left/>
      <right style="thick">
        <color rgb="FF00B050"/>
      </right>
      <top style="thick">
        <color rgb="FF00B050"/>
      </top>
      <bottom style="thick">
        <color rgb="FF00B050"/>
      </bottom>
      <diagonal/>
    </border>
  </borders>
  <cellStyleXfs count="2">
    <xf numFmtId="0" fontId="0" fillId="0" borderId="0"/>
    <xf numFmtId="0" fontId="4" fillId="0" borderId="0"/>
  </cellStyleXfs>
  <cellXfs count="691">
    <xf numFmtId="0" fontId="0" fillId="0" borderId="0" xfId="0"/>
    <xf numFmtId="0" fontId="0" fillId="0" borderId="0" xfId="0" applyFill="1" applyBorder="1"/>
    <xf numFmtId="0" fontId="0" fillId="0" borderId="0" xfId="0" applyBorder="1" applyAlignment="1">
      <alignment horizontal="left"/>
    </xf>
    <xf numFmtId="0" fontId="0" fillId="0" borderId="0" xfId="0" applyBorder="1"/>
    <xf numFmtId="0" fontId="0" fillId="0" borderId="0" xfId="0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applyBorder="1" applyAlignment="1">
      <alignment horizontal="center" vertical="center"/>
    </xf>
    <xf numFmtId="0" fontId="0" fillId="7" borderId="1" xfId="0" applyFill="1" applyBorder="1"/>
    <xf numFmtId="0" fontId="0" fillId="0" borderId="4" xfId="0" applyBorder="1"/>
    <xf numFmtId="0" fontId="0" fillId="8" borderId="1" xfId="0" applyFill="1" applyBorder="1"/>
    <xf numFmtId="0" fontId="50" fillId="9" borderId="1" xfId="0" applyFont="1" applyFill="1" applyBorder="1"/>
    <xf numFmtId="0" fontId="49" fillId="0" borderId="5" xfId="0" applyFont="1" applyBorder="1" applyAlignment="1">
      <alignment horizontal="center" vertical="center" wrapText="1"/>
    </xf>
    <xf numFmtId="0" fontId="49" fillId="0" borderId="1" xfId="0" applyFont="1" applyBorder="1" applyAlignment="1">
      <alignment horizontal="center" vertical="center"/>
    </xf>
    <xf numFmtId="0" fontId="49" fillId="7" borderId="1" xfId="0" applyFont="1" applyFill="1" applyBorder="1" applyAlignment="1">
      <alignment horizontal="center" vertical="center" wrapText="1"/>
    </xf>
    <xf numFmtId="0" fontId="49" fillId="8" borderId="6" xfId="0" applyFont="1" applyFill="1" applyBorder="1" applyAlignment="1">
      <alignment horizontal="center" vertical="center" wrapText="1"/>
    </xf>
    <xf numFmtId="0" fontId="49" fillId="0" borderId="6" xfId="0" applyFont="1" applyBorder="1" applyAlignment="1">
      <alignment horizontal="center" vertical="center"/>
    </xf>
    <xf numFmtId="0" fontId="49" fillId="0" borderId="7" xfId="0" applyFont="1" applyBorder="1"/>
    <xf numFmtId="0" fontId="49" fillId="0" borderId="7" xfId="0" applyFont="1" applyBorder="1" applyAlignment="1">
      <alignment horizontal="center" vertical="center"/>
    </xf>
    <xf numFmtId="0" fontId="49" fillId="0" borderId="8" xfId="0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 applyAlignment="1">
      <alignment horizontal="left" vertical="center" wrapText="1"/>
    </xf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3" xfId="0" applyBorder="1" applyAlignment="1">
      <alignment horizontal="center" vertical="center"/>
    </xf>
    <xf numFmtId="3" fontId="0" fillId="0" borderId="0" xfId="0" applyNumberFormat="1" applyBorder="1" applyAlignment="1">
      <alignment horizontal="right" vertical="center" indent="1"/>
    </xf>
    <xf numFmtId="3" fontId="0" fillId="0" borderId="0" xfId="0" applyNumberFormat="1" applyFill="1" applyBorder="1" applyAlignment="1">
      <alignment horizontal="right" vertical="center" indent="1"/>
    </xf>
    <xf numFmtId="0" fontId="49" fillId="0" borderId="0" xfId="0" applyFont="1" applyBorder="1" applyAlignment="1">
      <alignment vertical="center"/>
    </xf>
    <xf numFmtId="0" fontId="0" fillId="0" borderId="12" xfId="0" applyBorder="1"/>
    <xf numFmtId="0" fontId="0" fillId="0" borderId="13" xfId="0" applyBorder="1"/>
    <xf numFmtId="0" fontId="0" fillId="0" borderId="0" xfId="0" applyBorder="1" applyAlignment="1">
      <alignment vertical="center"/>
    </xf>
    <xf numFmtId="0" fontId="0" fillId="0" borderId="14" xfId="0" applyBorder="1"/>
    <xf numFmtId="3" fontId="0" fillId="0" borderId="15" xfId="0" applyNumberFormat="1" applyBorder="1" applyAlignment="1">
      <alignment horizontal="right" vertical="center" indent="1"/>
    </xf>
    <xf numFmtId="3" fontId="0" fillId="0" borderId="16" xfId="0" applyNumberFormat="1" applyFill="1" applyBorder="1" applyAlignment="1">
      <alignment horizontal="left" vertical="center"/>
    </xf>
    <xf numFmtId="0" fontId="0" fillId="0" borderId="5" xfId="0" applyBorder="1"/>
    <xf numFmtId="164" fontId="0" fillId="0" borderId="6" xfId="0" applyNumberFormat="1" applyBorder="1" applyAlignment="1">
      <alignment horizontal="right" vertical="center" indent="1"/>
    </xf>
    <xf numFmtId="0" fontId="51" fillId="0" borderId="5" xfId="0" applyFont="1" applyBorder="1"/>
    <xf numFmtId="0" fontId="0" fillId="0" borderId="17" xfId="0" applyBorder="1"/>
    <xf numFmtId="0" fontId="52" fillId="0" borderId="5" xfId="0" applyFont="1" applyBorder="1"/>
    <xf numFmtId="168" fontId="49" fillId="0" borderId="18" xfId="0" applyNumberFormat="1" applyFont="1" applyBorder="1" applyAlignment="1">
      <alignment horizontal="right" vertical="center" indent="1"/>
    </xf>
    <xf numFmtId="0" fontId="53" fillId="0" borderId="19" xfId="0" applyFont="1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10" borderId="23" xfId="0" applyFill="1" applyBorder="1"/>
    <xf numFmtId="0" fontId="0" fillId="10" borderId="24" xfId="0" applyFill="1" applyBorder="1"/>
    <xf numFmtId="0" fontId="0" fillId="10" borderId="25" xfId="0" applyFill="1" applyBorder="1"/>
    <xf numFmtId="0" fontId="0" fillId="10" borderId="3" xfId="0" applyFill="1" applyBorder="1"/>
    <xf numFmtId="0" fontId="54" fillId="0" borderId="13" xfId="0" applyFont="1" applyBorder="1"/>
    <xf numFmtId="0" fontId="0" fillId="10" borderId="4" xfId="0" applyFill="1" applyBorder="1"/>
    <xf numFmtId="0" fontId="0" fillId="10" borderId="26" xfId="0" applyFill="1" applyBorder="1"/>
    <xf numFmtId="0" fontId="0" fillId="10" borderId="27" xfId="0" applyFill="1" applyBorder="1"/>
    <xf numFmtId="0" fontId="0" fillId="10" borderId="2" xfId="0" applyFill="1" applyBorder="1"/>
    <xf numFmtId="0" fontId="53" fillId="11" borderId="13" xfId="0" applyFont="1" applyFill="1" applyBorder="1"/>
    <xf numFmtId="0" fontId="53" fillId="0" borderId="0" xfId="0" applyFont="1" applyBorder="1"/>
    <xf numFmtId="4" fontId="53" fillId="11" borderId="28" xfId="0" applyNumberFormat="1" applyFont="1" applyFill="1" applyBorder="1"/>
    <xf numFmtId="0" fontId="0" fillId="0" borderId="7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20" xfId="0" applyBorder="1" applyAlignment="1"/>
    <xf numFmtId="0" fontId="0" fillId="0" borderId="0" xfId="0" applyFill="1" applyBorder="1" applyAlignment="1"/>
    <xf numFmtId="0" fontId="2" fillId="0" borderId="0" xfId="0" applyFont="1" applyFill="1" applyBorder="1"/>
    <xf numFmtId="0" fontId="16" fillId="0" borderId="0" xfId="0" applyFont="1" applyFill="1" applyBorder="1"/>
    <xf numFmtId="3" fontId="2" fillId="2" borderId="76" xfId="0" applyNumberFormat="1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3" fontId="0" fillId="0" borderId="30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wrapText="1"/>
    </xf>
    <xf numFmtId="0" fontId="16" fillId="0" borderId="0" xfId="0" applyFont="1" applyFill="1" applyBorder="1" applyAlignment="1">
      <alignment wrapText="1"/>
    </xf>
    <xf numFmtId="0" fontId="0" fillId="0" borderId="0" xfId="0" applyAlignment="1">
      <alignment wrapText="1"/>
    </xf>
    <xf numFmtId="3" fontId="0" fillId="0" borderId="31" xfId="0" applyNumberFormat="1" applyBorder="1" applyAlignment="1">
      <alignment horizontal="center" vertical="center" wrapText="1"/>
    </xf>
    <xf numFmtId="0" fontId="17" fillId="0" borderId="32" xfId="0" applyFont="1" applyBorder="1" applyAlignment="1">
      <alignment horizontal="center" vertical="center"/>
    </xf>
    <xf numFmtId="0" fontId="1" fillId="0" borderId="0" xfId="0" applyFont="1" applyBorder="1"/>
    <xf numFmtId="168" fontId="54" fillId="0" borderId="28" xfId="0" applyNumberFormat="1" applyFont="1" applyBorder="1"/>
    <xf numFmtId="0" fontId="0" fillId="10" borderId="0" xfId="0" applyFill="1" applyBorder="1"/>
    <xf numFmtId="0" fontId="0" fillId="0" borderId="33" xfId="0" applyBorder="1" applyAlignment="1">
      <alignment horizontal="left"/>
    </xf>
    <xf numFmtId="0" fontId="0" fillId="0" borderId="14" xfId="0" applyBorder="1" applyAlignment="1">
      <alignment horizontal="center" vertical="center" wrapText="1"/>
    </xf>
    <xf numFmtId="3" fontId="0" fillId="7" borderId="11" xfId="0" applyNumberFormat="1" applyFill="1" applyBorder="1" applyAlignment="1">
      <alignment horizontal="right" vertical="center" wrapText="1"/>
    </xf>
    <xf numFmtId="0" fontId="0" fillId="0" borderId="5" xfId="0" applyBorder="1" applyAlignment="1">
      <alignment horizontal="center" vertical="center" wrapText="1"/>
    </xf>
    <xf numFmtId="3" fontId="0" fillId="7" borderId="1" xfId="0" applyNumberFormat="1" applyFill="1" applyBorder="1" applyAlignment="1">
      <alignment horizontal="right" vertical="center" wrapText="1"/>
    </xf>
    <xf numFmtId="3" fontId="0" fillId="8" borderId="6" xfId="0" applyNumberFormat="1" applyFill="1" applyBorder="1" applyAlignment="1">
      <alignment horizontal="right" vertical="center" wrapText="1"/>
    </xf>
    <xf numFmtId="3" fontId="0" fillId="8" borderId="0" xfId="0" applyNumberFormat="1" applyFill="1" applyBorder="1" applyAlignment="1">
      <alignment horizontal="right" vertical="center" wrapText="1"/>
    </xf>
    <xf numFmtId="3" fontId="0" fillId="12" borderId="6" xfId="0" applyNumberFormat="1" applyFill="1" applyBorder="1" applyAlignment="1">
      <alignment horizontal="right" vertical="center" wrapText="1"/>
    </xf>
    <xf numFmtId="0" fontId="0" fillId="0" borderId="34" xfId="0" applyBorder="1" applyAlignment="1">
      <alignment horizontal="center" vertical="center" wrapText="1"/>
    </xf>
    <xf numFmtId="3" fontId="0" fillId="7" borderId="9" xfId="0" applyNumberFormat="1" applyFill="1" applyBorder="1" applyAlignment="1">
      <alignment horizontal="right" vertical="center" wrapText="1"/>
    </xf>
    <xf numFmtId="3" fontId="0" fillId="0" borderId="35" xfId="0" applyNumberFormat="1" applyFill="1" applyBorder="1" applyAlignment="1">
      <alignment horizontal="right" vertical="center" wrapText="1"/>
    </xf>
    <xf numFmtId="0" fontId="0" fillId="0" borderId="36" xfId="0" applyBorder="1" applyAlignment="1">
      <alignment horizontal="center" vertical="center" wrapText="1"/>
    </xf>
    <xf numFmtId="3" fontId="0" fillId="0" borderId="10" xfId="0" applyNumberFormat="1" applyBorder="1" applyAlignment="1">
      <alignment horizontal="right" vertical="center" wrapText="1"/>
    </xf>
    <xf numFmtId="3" fontId="0" fillId="0" borderId="37" xfId="0" applyNumberFormat="1" applyFill="1" applyBorder="1" applyAlignment="1">
      <alignment horizontal="right" vertical="center" wrapText="1"/>
    </xf>
    <xf numFmtId="3" fontId="0" fillId="0" borderId="11" xfId="0" applyNumberFormat="1" applyBorder="1" applyAlignment="1">
      <alignment horizontal="right" vertical="center" wrapText="1"/>
    </xf>
    <xf numFmtId="3" fontId="0" fillId="8" borderId="11" xfId="0" applyNumberFormat="1" applyFill="1" applyBorder="1" applyAlignment="1">
      <alignment horizontal="right" vertical="center" wrapText="1"/>
    </xf>
    <xf numFmtId="3" fontId="0" fillId="0" borderId="1" xfId="0" applyNumberFormat="1" applyBorder="1" applyAlignment="1">
      <alignment horizontal="right" vertical="center" wrapText="1"/>
    </xf>
    <xf numFmtId="0" fontId="0" fillId="0" borderId="11" xfId="0" applyBorder="1" applyAlignment="1">
      <alignment vertical="center" wrapText="1"/>
    </xf>
    <xf numFmtId="0" fontId="0" fillId="0" borderId="1" xfId="0" applyBorder="1" applyAlignment="1">
      <alignment vertical="center" wrapText="1"/>
    </xf>
    <xf numFmtId="0" fontId="0" fillId="0" borderId="1" xfId="0" applyFill="1" applyBorder="1" applyAlignment="1">
      <alignment vertical="center" wrapText="1"/>
    </xf>
    <xf numFmtId="0" fontId="55" fillId="0" borderId="28" xfId="0" applyFont="1" applyBorder="1" applyAlignment="1">
      <alignment horizontal="left" vertical="center"/>
    </xf>
    <xf numFmtId="0" fontId="55" fillId="0" borderId="19" xfId="0" applyFont="1" applyFill="1" applyBorder="1" applyAlignment="1">
      <alignment horizontal="right" vertical="center"/>
    </xf>
    <xf numFmtId="0" fontId="55" fillId="0" borderId="19" xfId="0" applyFont="1" applyBorder="1" applyAlignment="1">
      <alignment horizontal="right" vertical="center"/>
    </xf>
    <xf numFmtId="0" fontId="0" fillId="0" borderId="0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13" borderId="0" xfId="0" applyFill="1"/>
    <xf numFmtId="0" fontId="18" fillId="8" borderId="0" xfId="0" applyFont="1" applyFill="1" applyBorder="1"/>
    <xf numFmtId="0" fontId="18" fillId="8" borderId="0" xfId="0" applyFont="1" applyFill="1"/>
    <xf numFmtId="164" fontId="17" fillId="0" borderId="17" xfId="0" applyNumberFormat="1" applyFont="1" applyBorder="1" applyAlignment="1">
      <alignment horizontal="center" vertical="center"/>
    </xf>
    <xf numFmtId="0" fontId="0" fillId="0" borderId="9" xfId="0" applyBorder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/>
    </xf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20" fillId="0" borderId="0" xfId="0" applyFont="1"/>
    <xf numFmtId="0" fontId="21" fillId="0" borderId="0" xfId="0" applyFont="1"/>
    <xf numFmtId="0" fontId="20" fillId="0" borderId="7" xfId="0" applyFont="1" applyBorder="1"/>
    <xf numFmtId="0" fontId="20" fillId="0" borderId="7" xfId="0" applyFont="1" applyBorder="1" applyAlignment="1">
      <alignment horizontal="right" vertical="center"/>
    </xf>
    <xf numFmtId="0" fontId="20" fillId="0" borderId="7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1" fontId="20" fillId="4" borderId="1" xfId="0" applyNumberFormat="1" applyFont="1" applyFill="1" applyBorder="1" applyAlignment="1">
      <alignment vertical="center"/>
    </xf>
    <xf numFmtId="0" fontId="20" fillId="4" borderId="1" xfId="0" applyFont="1" applyFill="1" applyBorder="1" applyAlignment="1">
      <alignment vertical="center"/>
    </xf>
    <xf numFmtId="0" fontId="20" fillId="0" borderId="7" xfId="0" applyFont="1" applyBorder="1" applyAlignment="1">
      <alignment horizontal="right" vertical="top"/>
    </xf>
    <xf numFmtId="0" fontId="20" fillId="2" borderId="23" xfId="0" applyFont="1" applyFill="1" applyBorder="1"/>
    <xf numFmtId="0" fontId="20" fillId="2" borderId="25" xfId="0" applyFont="1" applyFill="1" applyBorder="1"/>
    <xf numFmtId="0" fontId="20" fillId="2" borderId="24" xfId="0" applyFont="1" applyFill="1" applyBorder="1"/>
    <xf numFmtId="0" fontId="20" fillId="0" borderId="41" xfId="0" applyFont="1" applyBorder="1"/>
    <xf numFmtId="0" fontId="20" fillId="0" borderId="42" xfId="0" applyFont="1" applyBorder="1"/>
    <xf numFmtId="49" fontId="20" fillId="0" borderId="42" xfId="0" applyNumberFormat="1" applyFont="1" applyBorder="1" applyAlignment="1">
      <alignment horizontal="center"/>
    </xf>
    <xf numFmtId="0" fontId="20" fillId="0" borderId="43" xfId="0" applyFont="1" applyBorder="1"/>
    <xf numFmtId="0" fontId="20" fillId="0" borderId="5" xfId="0" applyFont="1" applyBorder="1"/>
    <xf numFmtId="0" fontId="20" fillId="0" borderId="1" xfId="0" applyFont="1" applyBorder="1"/>
    <xf numFmtId="49" fontId="20" fillId="0" borderId="1" xfId="0" applyNumberFormat="1" applyFont="1" applyBorder="1" applyAlignment="1">
      <alignment horizontal="center"/>
    </xf>
    <xf numFmtId="0" fontId="20" fillId="0" borderId="44" xfId="0" applyFont="1" applyBorder="1"/>
    <xf numFmtId="0" fontId="22" fillId="0" borderId="7" xfId="0" applyFont="1" applyBorder="1" applyAlignment="1">
      <alignment vertical="center"/>
    </xf>
    <xf numFmtId="0" fontId="20" fillId="0" borderId="19" xfId="0" applyFont="1" applyBorder="1"/>
    <xf numFmtId="0" fontId="20" fillId="0" borderId="20" xfId="0" applyFont="1" applyBorder="1"/>
    <xf numFmtId="49" fontId="20" fillId="0" borderId="20" xfId="0" applyNumberFormat="1" applyFont="1" applyBorder="1" applyAlignment="1">
      <alignment horizontal="center"/>
    </xf>
    <xf numFmtId="0" fontId="20" fillId="0" borderId="45" xfId="0" applyFont="1" applyBorder="1"/>
    <xf numFmtId="0" fontId="20" fillId="0" borderId="0" xfId="0" applyFont="1" applyBorder="1"/>
    <xf numFmtId="0" fontId="23" fillId="0" borderId="0" xfId="0" applyFont="1" applyBorder="1" applyAlignment="1">
      <alignment horizontal="right" vertical="center"/>
    </xf>
    <xf numFmtId="0" fontId="20" fillId="0" borderId="0" xfId="0" applyFont="1" applyFill="1" applyBorder="1" applyAlignment="1">
      <alignment horizontal="right" vertical="center"/>
    </xf>
    <xf numFmtId="0" fontId="22" fillId="0" borderId="0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0" xfId="0" applyFont="1" applyAlignment="1">
      <alignment vertical="center"/>
    </xf>
    <xf numFmtId="0" fontId="0" fillId="0" borderId="24" xfId="0" applyBorder="1" applyAlignment="1">
      <alignment vertical="center" wrapText="1"/>
    </xf>
    <xf numFmtId="0" fontId="26" fillId="0" borderId="0" xfId="0" applyFont="1" applyFill="1" applyBorder="1" applyAlignment="1">
      <alignment horizontal="center" vertical="center"/>
    </xf>
    <xf numFmtId="0" fontId="32" fillId="4" borderId="32" xfId="0" applyNumberFormat="1" applyFont="1" applyFill="1" applyBorder="1" applyAlignment="1">
      <alignment horizontal="center" vertical="center" textRotation="90"/>
    </xf>
    <xf numFmtId="0" fontId="20" fillId="5" borderId="46" xfId="0" applyNumberFormat="1" applyFont="1" applyFill="1" applyBorder="1" applyAlignment="1">
      <alignment horizontal="center" textRotation="90"/>
    </xf>
    <xf numFmtId="0" fontId="20" fillId="5" borderId="47" xfId="0" applyNumberFormat="1" applyFont="1" applyFill="1" applyBorder="1" applyAlignment="1">
      <alignment horizontal="center" textRotation="90" wrapText="1"/>
    </xf>
    <xf numFmtId="0" fontId="20" fillId="5" borderId="47" xfId="0" applyNumberFormat="1" applyFont="1" applyFill="1" applyBorder="1" applyAlignment="1">
      <alignment horizontal="center" textRotation="90"/>
    </xf>
    <xf numFmtId="0" fontId="20" fillId="5" borderId="48" xfId="0" applyNumberFormat="1" applyFont="1" applyFill="1" applyBorder="1" applyAlignment="1">
      <alignment horizontal="center" textRotation="90"/>
    </xf>
    <xf numFmtId="0" fontId="20" fillId="4" borderId="49" xfId="0" applyNumberFormat="1" applyFont="1" applyFill="1" applyBorder="1" applyAlignment="1">
      <alignment horizontal="center" textRotation="90" wrapText="1"/>
    </xf>
    <xf numFmtId="0" fontId="20" fillId="4" borderId="47" xfId="0" applyNumberFormat="1" applyFont="1" applyFill="1" applyBorder="1" applyAlignment="1">
      <alignment horizontal="center" textRotation="90"/>
    </xf>
    <xf numFmtId="0" fontId="20" fillId="4" borderId="47" xfId="0" applyNumberFormat="1" applyFont="1" applyFill="1" applyBorder="1" applyAlignment="1">
      <alignment horizontal="center" textRotation="90" wrapText="1"/>
    </xf>
    <xf numFmtId="0" fontId="20" fillId="4" borderId="50" xfId="0" applyNumberFormat="1" applyFont="1" applyFill="1" applyBorder="1" applyAlignment="1">
      <alignment horizontal="center" textRotation="90" wrapText="1"/>
    </xf>
    <xf numFmtId="0" fontId="20" fillId="3" borderId="46" xfId="0" applyNumberFormat="1" applyFont="1" applyFill="1" applyBorder="1" applyAlignment="1">
      <alignment horizontal="center" textRotation="90" wrapText="1"/>
    </xf>
    <xf numFmtId="0" fontId="25" fillId="3" borderId="48" xfId="0" applyNumberFormat="1" applyFont="1" applyFill="1" applyBorder="1" applyAlignment="1">
      <alignment horizontal="center" textRotation="90" wrapText="1"/>
    </xf>
    <xf numFmtId="0" fontId="20" fillId="3" borderId="49" xfId="0" applyNumberFormat="1" applyFont="1" applyFill="1" applyBorder="1" applyAlignment="1">
      <alignment horizontal="center" textRotation="90" wrapText="1"/>
    </xf>
    <xf numFmtId="0" fontId="20" fillId="3" borderId="47" xfId="0" applyNumberFormat="1" applyFont="1" applyFill="1" applyBorder="1" applyAlignment="1">
      <alignment horizontal="center" textRotation="90" wrapText="1"/>
    </xf>
    <xf numFmtId="0" fontId="20" fillId="3" borderId="50" xfId="0" applyNumberFormat="1" applyFont="1" applyFill="1" applyBorder="1" applyAlignment="1">
      <alignment horizontal="center" textRotation="90" wrapText="1"/>
    </xf>
    <xf numFmtId="0" fontId="32" fillId="4" borderId="51" xfId="0" applyFont="1" applyFill="1" applyBorder="1" applyAlignment="1">
      <alignment horizontal="center" vertical="center"/>
    </xf>
    <xf numFmtId="0" fontId="20" fillId="5" borderId="41" xfId="0" applyFont="1" applyFill="1" applyBorder="1" applyAlignment="1">
      <alignment horizontal="center" vertical="center"/>
    </xf>
    <xf numFmtId="0" fontId="20" fillId="5" borderId="42" xfId="0" applyFont="1" applyFill="1" applyBorder="1" applyAlignment="1">
      <alignment horizontal="center" vertical="center"/>
    </xf>
    <xf numFmtId="0" fontId="20" fillId="5" borderId="43" xfId="0" applyFont="1" applyFill="1" applyBorder="1" applyAlignment="1">
      <alignment horizontal="center" vertical="center"/>
    </xf>
    <xf numFmtId="0" fontId="20" fillId="4" borderId="14" xfId="0" applyFont="1" applyFill="1" applyBorder="1" applyAlignment="1">
      <alignment horizontal="center" vertical="center"/>
    </xf>
    <xf numFmtId="0" fontId="20" fillId="4" borderId="11" xfId="0" applyFont="1" applyFill="1" applyBorder="1" applyAlignment="1">
      <alignment horizontal="center" vertical="center"/>
    </xf>
    <xf numFmtId="0" fontId="20" fillId="4" borderId="11" xfId="0" applyFont="1" applyFill="1" applyBorder="1"/>
    <xf numFmtId="0" fontId="20" fillId="0" borderId="11" xfId="0" applyFont="1" applyBorder="1"/>
    <xf numFmtId="0" fontId="20" fillId="0" borderId="15" xfId="0" applyFont="1" applyBorder="1"/>
    <xf numFmtId="167" fontId="20" fillId="0" borderId="16" xfId="0" applyNumberFormat="1" applyFont="1" applyBorder="1"/>
    <xf numFmtId="165" fontId="20" fillId="0" borderId="52" xfId="0" applyNumberFormat="1" applyFont="1" applyBorder="1" applyAlignment="1">
      <alignment horizontal="center" vertical="center" wrapText="1"/>
    </xf>
    <xf numFmtId="0" fontId="25" fillId="0" borderId="15" xfId="0" applyFont="1" applyBorder="1" applyAlignment="1">
      <alignment horizontal="center" vertical="center"/>
    </xf>
    <xf numFmtId="0" fontId="20" fillId="0" borderId="14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 wrapText="1"/>
    </xf>
    <xf numFmtId="0" fontId="20" fillId="0" borderId="11" xfId="0" applyFont="1" applyBorder="1" applyAlignment="1">
      <alignment horizontal="center" vertical="center"/>
    </xf>
    <xf numFmtId="0" fontId="20" fillId="0" borderId="53" xfId="0" applyFont="1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34" fillId="0" borderId="0" xfId="0" applyFont="1"/>
    <xf numFmtId="0" fontId="34" fillId="0" borderId="1" xfId="0" applyFont="1" applyBorder="1"/>
    <xf numFmtId="3" fontId="0" fillId="8" borderId="1" xfId="0" applyNumberFormat="1" applyFill="1" applyBorder="1" applyAlignment="1">
      <alignment horizontal="center" vertical="center"/>
    </xf>
    <xf numFmtId="3" fontId="0" fillId="8" borderId="6" xfId="0" applyNumberFormat="1" applyFill="1" applyBorder="1" applyAlignment="1">
      <alignment horizontal="center" vertical="center"/>
    </xf>
    <xf numFmtId="3" fontId="0" fillId="13" borderId="6" xfId="0" applyNumberFormat="1" applyFill="1" applyBorder="1" applyAlignment="1">
      <alignment horizontal="center" vertical="center"/>
    </xf>
    <xf numFmtId="0" fontId="0" fillId="0" borderId="0" xfId="0" applyAlignment="1">
      <alignment horizontal="right"/>
    </xf>
    <xf numFmtId="0" fontId="0" fillId="0" borderId="26" xfId="0" applyBorder="1"/>
    <xf numFmtId="0" fontId="0" fillId="0" borderId="27" xfId="0" applyBorder="1"/>
    <xf numFmtId="0" fontId="0" fillId="0" borderId="9" xfId="0" applyBorder="1" applyAlignment="1">
      <alignment horizontal="center" vertical="center" wrapText="1"/>
    </xf>
    <xf numFmtId="3" fontId="2" fillId="2" borderId="32" xfId="0" applyNumberFormat="1" applyFont="1" applyFill="1" applyBorder="1" applyAlignment="1">
      <alignment horizontal="center" vertical="center"/>
    </xf>
    <xf numFmtId="3" fontId="2" fillId="2" borderId="2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left" vertical="center"/>
    </xf>
    <xf numFmtId="3" fontId="56" fillId="14" borderId="1" xfId="0" applyNumberFormat="1" applyFont="1" applyFill="1" applyBorder="1" applyAlignment="1">
      <alignment horizontal="center" vertical="center"/>
    </xf>
    <xf numFmtId="9" fontId="0" fillId="0" borderId="0" xfId="0" applyNumberFormat="1" applyAlignment="1">
      <alignment horizontal="center"/>
    </xf>
    <xf numFmtId="0" fontId="57" fillId="15" borderId="0" xfId="0" applyFont="1" applyFill="1" applyAlignment="1"/>
    <xf numFmtId="0" fontId="58" fillId="15" borderId="0" xfId="0" applyFont="1" applyFill="1"/>
    <xf numFmtId="0" fontId="37" fillId="0" borderId="54" xfId="0" applyFont="1" applyFill="1" applyBorder="1" applyAlignment="1"/>
    <xf numFmtId="0" fontId="37" fillId="0" borderId="54" xfId="0" applyFont="1" applyFill="1" applyBorder="1" applyAlignment="1">
      <alignment horizontal="left"/>
    </xf>
    <xf numFmtId="0" fontId="35" fillId="0" borderId="54" xfId="0" applyFont="1" applyFill="1" applyBorder="1"/>
    <xf numFmtId="0" fontId="57" fillId="15" borderId="0" xfId="0" applyFont="1" applyFill="1" applyBorder="1" applyAlignment="1"/>
    <xf numFmtId="0" fontId="58" fillId="15" borderId="0" xfId="0" applyFont="1" applyFill="1" applyBorder="1"/>
    <xf numFmtId="0" fontId="57" fillId="16" borderId="0" xfId="0" applyFont="1" applyFill="1" applyAlignment="1"/>
    <xf numFmtId="3" fontId="37" fillId="16" borderId="0" xfId="0" applyNumberFormat="1" applyFont="1" applyFill="1" applyBorder="1" applyAlignment="1">
      <alignment horizontal="center"/>
    </xf>
    <xf numFmtId="0" fontId="58" fillId="16" borderId="0" xfId="0" applyFont="1" applyFill="1"/>
    <xf numFmtId="3" fontId="37" fillId="16" borderId="0" xfId="0" applyNumberFormat="1" applyFont="1" applyFill="1" applyBorder="1" applyAlignment="1"/>
    <xf numFmtId="3" fontId="0" fillId="0" borderId="21" xfId="0" applyNumberFormat="1" applyBorder="1" applyAlignment="1">
      <alignment vertical="center" wrapText="1"/>
    </xf>
    <xf numFmtId="3" fontId="37" fillId="16" borderId="38" xfId="0" applyNumberFormat="1" applyFont="1" applyFill="1" applyBorder="1" applyAlignment="1">
      <alignment horizontal="center"/>
    </xf>
    <xf numFmtId="3" fontId="0" fillId="0" borderId="9" xfId="0" applyNumberFormat="1" applyBorder="1" applyAlignment="1">
      <alignment vertical="center" wrapText="1"/>
    </xf>
    <xf numFmtId="3" fontId="0" fillId="0" borderId="1" xfId="0" applyNumberFormat="1" applyBorder="1" applyAlignment="1">
      <alignment vertical="center"/>
    </xf>
    <xf numFmtId="3" fontId="3" fillId="15" borderId="55" xfId="0" applyNumberFormat="1" applyFont="1" applyFill="1" applyBorder="1" applyAlignment="1">
      <alignment horizontal="center" vertical="center"/>
    </xf>
    <xf numFmtId="3" fontId="3" fillId="15" borderId="56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 wrapText="1"/>
    </xf>
    <xf numFmtId="3" fontId="3" fillId="15" borderId="57" xfId="0" applyNumberFormat="1" applyFont="1" applyFill="1" applyBorder="1" applyAlignment="1">
      <alignment horizontal="center" vertical="center"/>
    </xf>
    <xf numFmtId="3" fontId="37" fillId="16" borderId="0" xfId="0" applyNumberFormat="1" applyFont="1" applyFill="1" applyBorder="1" applyAlignment="1">
      <alignment horizontal="right"/>
    </xf>
    <xf numFmtId="3" fontId="37" fillId="0" borderId="54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center" vertical="center"/>
    </xf>
    <xf numFmtId="3" fontId="3" fillId="15" borderId="58" xfId="0" applyNumberFormat="1" applyFont="1" applyFill="1" applyBorder="1" applyAlignment="1">
      <alignment horizontal="center" vertical="center"/>
    </xf>
    <xf numFmtId="3" fontId="0" fillId="0" borderId="0" xfId="0" applyNumberFormat="1" applyBorder="1" applyAlignment="1">
      <alignment vertical="center"/>
    </xf>
    <xf numFmtId="0" fontId="17" fillId="0" borderId="23" xfId="0" applyFont="1" applyBorder="1" applyAlignment="1">
      <alignment wrapText="1"/>
    </xf>
    <xf numFmtId="4" fontId="2" fillId="8" borderId="24" xfId="0" applyNumberFormat="1" applyFont="1" applyFill="1" applyBorder="1" applyAlignment="1">
      <alignment horizontal="center" vertical="center"/>
    </xf>
    <xf numFmtId="3" fontId="0" fillId="0" borderId="24" xfId="0" applyNumberFormat="1" applyBorder="1" applyAlignment="1">
      <alignment vertical="center"/>
    </xf>
    <xf numFmtId="3" fontId="0" fillId="0" borderId="25" xfId="0" applyNumberFormat="1" applyBorder="1" applyAlignment="1">
      <alignment vertical="center"/>
    </xf>
    <xf numFmtId="3" fontId="0" fillId="0" borderId="0" xfId="0" applyNumberFormat="1"/>
    <xf numFmtId="0" fontId="38" fillId="0" borderId="0" xfId="0" applyFont="1" applyBorder="1" applyAlignment="1">
      <alignment horizontal="center"/>
    </xf>
    <xf numFmtId="3" fontId="17" fillId="0" borderId="4" xfId="0" applyNumberFormat="1" applyFont="1" applyBorder="1"/>
    <xf numFmtId="0" fontId="17" fillId="0" borderId="0" xfId="0" applyFont="1"/>
    <xf numFmtId="0" fontId="17" fillId="0" borderId="3" xfId="0" applyFont="1" applyBorder="1" applyAlignment="1">
      <alignment wrapText="1"/>
    </xf>
    <xf numFmtId="3" fontId="0" fillId="8" borderId="4" xfId="0" applyNumberFormat="1" applyFill="1" applyBorder="1" applyAlignment="1">
      <alignment vertical="center"/>
    </xf>
    <xf numFmtId="0" fontId="0" fillId="0" borderId="3" xfId="0" applyBorder="1" applyAlignment="1">
      <alignment wrapText="1"/>
    </xf>
    <xf numFmtId="3" fontId="0" fillId="0" borderId="0" xfId="0" applyNumberFormat="1" applyBorder="1"/>
    <xf numFmtId="0" fontId="38" fillId="0" borderId="27" xfId="0" applyFont="1" applyBorder="1" applyAlignment="1">
      <alignment horizontal="center"/>
    </xf>
    <xf numFmtId="3" fontId="0" fillId="0" borderId="27" xfId="0" applyNumberFormat="1" applyBorder="1"/>
    <xf numFmtId="3" fontId="17" fillId="0" borderId="2" xfId="0" applyNumberFormat="1" applyFont="1" applyBorder="1"/>
    <xf numFmtId="9" fontId="17" fillId="8" borderId="42" xfId="0" applyNumberFormat="1" applyFont="1" applyFill="1" applyBorder="1" applyAlignment="1">
      <alignment horizontal="center" vertical="center"/>
    </xf>
    <xf numFmtId="3" fontId="0" fillId="14" borderId="42" xfId="0" applyNumberFormat="1" applyFill="1" applyBorder="1" applyAlignment="1">
      <alignment vertical="center"/>
    </xf>
    <xf numFmtId="3" fontId="0" fillId="14" borderId="43" xfId="0" applyNumberFormat="1" applyFill="1" applyBorder="1" applyAlignment="1">
      <alignment vertical="center"/>
    </xf>
    <xf numFmtId="9" fontId="38" fillId="0" borderId="0" xfId="0" applyNumberFormat="1" applyFont="1" applyBorder="1" applyAlignment="1">
      <alignment horizontal="center" vertical="center"/>
    </xf>
    <xf numFmtId="3" fontId="0" fillId="14" borderId="1" xfId="0" applyNumberFormat="1" applyFill="1" applyBorder="1" applyAlignment="1">
      <alignment vertical="center"/>
    </xf>
    <xf numFmtId="3" fontId="0" fillId="14" borderId="44" xfId="0" applyNumberFormat="1" applyFill="1" applyBorder="1" applyAlignment="1">
      <alignment vertical="center"/>
    </xf>
    <xf numFmtId="0" fontId="0" fillId="0" borderId="26" xfId="0" applyBorder="1" applyAlignment="1">
      <alignment wrapText="1"/>
    </xf>
    <xf numFmtId="3" fontId="0" fillId="0" borderId="2" xfId="0" applyNumberFormat="1" applyBorder="1"/>
    <xf numFmtId="14" fontId="36" fillId="8" borderId="6" xfId="0" applyNumberFormat="1" applyFont="1" applyFill="1" applyBorder="1" applyAlignment="1">
      <alignment horizontal="left" vertical="center"/>
    </xf>
    <xf numFmtId="14" fontId="36" fillId="8" borderId="7" xfId="0" applyNumberFormat="1" applyFont="1" applyFill="1" applyBorder="1" applyAlignment="1">
      <alignment vertical="center"/>
    </xf>
    <xf numFmtId="14" fontId="36" fillId="8" borderId="17" xfId="0" applyNumberFormat="1" applyFont="1" applyFill="1" applyBorder="1" applyAlignment="1">
      <alignment vertical="center"/>
    </xf>
    <xf numFmtId="4" fontId="36" fillId="8" borderId="6" xfId="0" applyNumberFormat="1" applyFont="1" applyFill="1" applyBorder="1" applyAlignment="1">
      <alignment horizontal="left" vertical="center"/>
    </xf>
    <xf numFmtId="3" fontId="36" fillId="8" borderId="6" xfId="0" applyNumberFormat="1" applyFont="1" applyFill="1" applyBorder="1" applyAlignment="1">
      <alignment horizontal="left" vertical="center"/>
    </xf>
    <xf numFmtId="1" fontId="20" fillId="0" borderId="0" xfId="0" applyNumberFormat="1" applyFont="1"/>
    <xf numFmtId="0" fontId="49" fillId="0" borderId="0" xfId="0" applyFont="1" applyBorder="1" applyAlignment="1">
      <alignment horizontal="center" vertical="center"/>
    </xf>
    <xf numFmtId="0" fontId="0" fillId="0" borderId="0" xfId="0" applyFill="1"/>
    <xf numFmtId="0" fontId="40" fillId="0" borderId="0" xfId="0" applyFont="1" applyFill="1" applyAlignment="1">
      <alignment vertical="center" wrapText="1"/>
    </xf>
    <xf numFmtId="0" fontId="41" fillId="0" borderId="77" xfId="0" applyFont="1" applyFill="1" applyBorder="1" applyAlignment="1">
      <alignment horizontal="center"/>
    </xf>
    <xf numFmtId="1" fontId="14" fillId="0" borderId="78" xfId="0" applyNumberFormat="1" applyFont="1" applyFill="1" applyBorder="1" applyAlignment="1">
      <alignment horizontal="center" vertical="center" wrapText="1"/>
    </xf>
    <xf numFmtId="0" fontId="14" fillId="0" borderId="77" xfId="0" applyFont="1" applyFill="1" applyBorder="1"/>
    <xf numFmtId="0" fontId="41" fillId="0" borderId="77" xfId="0" applyNumberFormat="1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 wrapText="1"/>
    </xf>
    <xf numFmtId="0" fontId="0" fillId="0" borderId="24" xfId="0" applyFill="1" applyBorder="1" applyAlignment="1">
      <alignment vertical="center"/>
    </xf>
    <xf numFmtId="0" fontId="0" fillId="0" borderId="24" xfId="0" applyBorder="1" applyAlignment="1">
      <alignment horizontal="right" vertical="center" indent="1"/>
    </xf>
    <xf numFmtId="0" fontId="0" fillId="0" borderId="24" xfId="0" applyFill="1" applyBorder="1" applyAlignment="1">
      <alignment wrapText="1"/>
    </xf>
    <xf numFmtId="3" fontId="41" fillId="0" borderId="77" xfId="0" applyNumberFormat="1" applyFont="1" applyFill="1" applyBorder="1" applyAlignment="1">
      <alignment horizontal="center" vertical="center" wrapText="1"/>
    </xf>
    <xf numFmtId="0" fontId="0" fillId="0" borderId="45" xfId="0" applyBorder="1"/>
    <xf numFmtId="168" fontId="49" fillId="0" borderId="20" xfId="0" applyNumberFormat="1" applyFont="1" applyFill="1" applyBorder="1" applyAlignment="1">
      <alignment horizontal="right" vertical="center" indent="1"/>
    </xf>
    <xf numFmtId="0" fontId="0" fillId="17" borderId="44" xfId="0" applyFill="1" applyBorder="1" applyAlignment="1">
      <alignment vertical="center"/>
    </xf>
    <xf numFmtId="0" fontId="0" fillId="17" borderId="1" xfId="0" applyFill="1" applyBorder="1" applyAlignment="1">
      <alignment horizontal="right" vertical="center" indent="1"/>
    </xf>
    <xf numFmtId="0" fontId="0" fillId="17" borderId="5" xfId="0" applyFill="1" applyBorder="1" applyAlignment="1">
      <alignment wrapText="1"/>
    </xf>
    <xf numFmtId="3" fontId="0" fillId="0" borderId="44" xfId="0" applyNumberFormat="1" applyFill="1" applyBorder="1" applyAlignment="1">
      <alignment horizontal="left" vertical="center"/>
    </xf>
    <xf numFmtId="3" fontId="0" fillId="0" borderId="1" xfId="0" applyNumberFormat="1" applyBorder="1" applyAlignment="1">
      <alignment horizontal="right" vertical="center" indent="1"/>
    </xf>
    <xf numFmtId="3" fontId="0" fillId="17" borderId="16" xfId="0" applyNumberFormat="1" applyFill="1" applyBorder="1" applyAlignment="1">
      <alignment horizontal="left" vertical="center"/>
    </xf>
    <xf numFmtId="3" fontId="0" fillId="17" borderId="42" xfId="0" applyNumberFormat="1" applyFill="1" applyBorder="1" applyAlignment="1">
      <alignment horizontal="right" vertical="center" indent="1"/>
    </xf>
    <xf numFmtId="0" fontId="0" fillId="17" borderId="14" xfId="0" applyFill="1" applyBorder="1"/>
    <xf numFmtId="0" fontId="0" fillId="0" borderId="79" xfId="0" applyFill="1" applyBorder="1" applyAlignment="1"/>
    <xf numFmtId="0" fontId="0" fillId="0" borderId="77" xfId="0" applyFill="1" applyBorder="1" applyAlignment="1"/>
    <xf numFmtId="0" fontId="14" fillId="0" borderId="77" xfId="0" applyFont="1" applyFill="1" applyBorder="1" applyAlignment="1"/>
    <xf numFmtId="0" fontId="14" fillId="0" borderId="77" xfId="0" applyNumberFormat="1" applyFont="1" applyFill="1" applyBorder="1" applyAlignment="1">
      <alignment horizontal="left" vertical="center"/>
    </xf>
    <xf numFmtId="0" fontId="41" fillId="0" borderId="80" xfId="0" applyNumberFormat="1" applyFont="1" applyFill="1" applyBorder="1" applyAlignment="1">
      <alignment horizontal="center" vertical="center" wrapText="1"/>
    </xf>
    <xf numFmtId="0" fontId="14" fillId="0" borderId="80" xfId="0" applyNumberFormat="1" applyFont="1" applyFill="1" applyBorder="1" applyAlignment="1">
      <alignment horizontal="left" vertical="center" wrapText="1"/>
    </xf>
    <xf numFmtId="1" fontId="14" fillId="0" borderId="81" xfId="0" applyNumberFormat="1" applyFont="1" applyFill="1" applyBorder="1" applyAlignment="1">
      <alignment horizontal="center" vertical="center" wrapText="1"/>
    </xf>
    <xf numFmtId="0" fontId="13" fillId="0" borderId="82" xfId="0" applyNumberFormat="1" applyFont="1" applyFill="1" applyBorder="1" applyAlignment="1">
      <alignment horizontal="center" vertical="center"/>
    </xf>
    <xf numFmtId="0" fontId="59" fillId="12" borderId="82" xfId="0" applyNumberFormat="1" applyFont="1" applyFill="1" applyBorder="1" applyAlignment="1">
      <alignment horizontal="center" vertical="center"/>
    </xf>
    <xf numFmtId="0" fontId="13" fillId="0" borderId="83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 wrapText="1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5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3" fontId="0" fillId="13" borderId="7" xfId="0" applyNumberFormat="1" applyFill="1" applyBorder="1" applyAlignment="1">
      <alignment horizontal="center" vertical="center"/>
    </xf>
    <xf numFmtId="0" fontId="0" fillId="0" borderId="23" xfId="0" applyBorder="1"/>
    <xf numFmtId="3" fontId="0" fillId="8" borderId="7" xfId="0" applyNumberFormat="1" applyFill="1" applyBorder="1" applyAlignment="1">
      <alignment horizontal="center" vertical="center"/>
    </xf>
    <xf numFmtId="3" fontId="0" fillId="8" borderId="35" xfId="0" applyNumberFormat="1" applyFill="1" applyBorder="1" applyAlignment="1">
      <alignment horizontal="center" vertical="center"/>
    </xf>
    <xf numFmtId="3" fontId="0" fillId="8" borderId="44" xfId="0" applyNumberFormat="1" applyFill="1" applyBorder="1" applyAlignment="1">
      <alignment horizontal="center" vertical="center"/>
    </xf>
    <xf numFmtId="3" fontId="0" fillId="19" borderId="6" xfId="0" applyNumberFormat="1" applyFill="1" applyBorder="1" applyAlignment="1">
      <alignment horizontal="center" vertical="center"/>
    </xf>
    <xf numFmtId="3" fontId="0" fillId="19" borderId="1" xfId="0" applyNumberFormat="1" applyFill="1" applyBorder="1" applyAlignment="1">
      <alignment horizontal="center" vertical="center"/>
    </xf>
    <xf numFmtId="3" fontId="0" fillId="19" borderId="7" xfId="0" applyNumberFormat="1" applyFill="1" applyBorder="1" applyAlignment="1">
      <alignment horizontal="center" vertical="center"/>
    </xf>
    <xf numFmtId="3" fontId="0" fillId="19" borderId="44" xfId="0" applyNumberFormat="1" applyFill="1" applyBorder="1" applyAlignment="1">
      <alignment horizontal="center" vertical="center"/>
    </xf>
    <xf numFmtId="3" fontId="0" fillId="19" borderId="20" xfId="0" applyNumberFormat="1" applyFill="1" applyBorder="1" applyAlignment="1">
      <alignment horizontal="center" vertical="center"/>
    </xf>
    <xf numFmtId="3" fontId="0" fillId="19" borderId="59" xfId="0" applyNumberFormat="1" applyFill="1" applyBorder="1" applyAlignment="1">
      <alignment horizontal="center" vertical="center"/>
    </xf>
    <xf numFmtId="3" fontId="0" fillId="19" borderId="21" xfId="0" applyNumberFormat="1" applyFill="1" applyBorder="1" applyAlignment="1">
      <alignment horizontal="center" vertical="center"/>
    </xf>
    <xf numFmtId="3" fontId="0" fillId="19" borderId="45" xfId="0" applyNumberFormat="1" applyFill="1" applyBorder="1" applyAlignment="1">
      <alignment horizontal="center" vertical="center"/>
    </xf>
    <xf numFmtId="0" fontId="0" fillId="0" borderId="0" xfId="0" applyAlignment="1">
      <alignment vertical="center"/>
    </xf>
    <xf numFmtId="1" fontId="0" fillId="0" borderId="0" xfId="0" applyNumberFormat="1" applyAlignment="1">
      <alignment horizontal="center" vertical="center"/>
    </xf>
    <xf numFmtId="0" fontId="17" fillId="0" borderId="0" xfId="0" applyFont="1" applyAlignment="1">
      <alignment horizontal="right"/>
    </xf>
    <xf numFmtId="0" fontId="0" fillId="8" borderId="0" xfId="0" applyFill="1" applyAlignment="1">
      <alignment horizontal="right"/>
    </xf>
    <xf numFmtId="0" fontId="0" fillId="8" borderId="0" xfId="0" applyFill="1"/>
    <xf numFmtId="0" fontId="0" fillId="10" borderId="0" xfId="0" applyFill="1" applyAlignment="1">
      <alignment horizontal="right"/>
    </xf>
    <xf numFmtId="3" fontId="0" fillId="10" borderId="0" xfId="0" applyNumberFormat="1" applyFill="1" applyAlignment="1">
      <alignment horizontal="left"/>
    </xf>
    <xf numFmtId="0" fontId="0" fillId="10" borderId="0" xfId="0" applyFill="1"/>
    <xf numFmtId="0" fontId="0" fillId="10" borderId="0" xfId="0" applyFill="1" applyAlignment="1">
      <alignment horizontal="left"/>
    </xf>
    <xf numFmtId="1" fontId="0" fillId="10" borderId="0" xfId="0" applyNumberFormat="1" applyFill="1" applyAlignment="1">
      <alignment horizontal="left"/>
    </xf>
    <xf numFmtId="2" fontId="0" fillId="0" borderId="0" xfId="0" applyNumberFormat="1" applyAlignment="1">
      <alignment horizontal="center" vertical="center"/>
    </xf>
    <xf numFmtId="0" fontId="0" fillId="0" borderId="35" xfId="0" applyBorder="1"/>
    <xf numFmtId="0" fontId="0" fillId="0" borderId="60" xfId="0" applyBorder="1"/>
    <xf numFmtId="0" fontId="0" fillId="0" borderId="37" xfId="0" applyBorder="1"/>
    <xf numFmtId="0" fontId="0" fillId="0" borderId="15" xfId="0" applyBorder="1"/>
    <xf numFmtId="0" fontId="0" fillId="0" borderId="52" xfId="0" applyBorder="1"/>
    <xf numFmtId="3" fontId="60" fillId="13" borderId="6" xfId="0" applyNumberFormat="1" applyFont="1" applyFill="1" applyBorder="1" applyAlignment="1">
      <alignment horizontal="center" vertical="center"/>
    </xf>
    <xf numFmtId="3" fontId="60" fillId="8" borderId="1" xfId="0" applyNumberFormat="1" applyFont="1" applyFill="1" applyBorder="1" applyAlignment="1">
      <alignment horizontal="center" vertical="center"/>
    </xf>
    <xf numFmtId="3" fontId="60" fillId="8" borderId="17" xfId="0" applyNumberFormat="1" applyFont="1" applyFill="1" applyBorder="1" applyAlignment="1">
      <alignment horizontal="center" vertical="center"/>
    </xf>
    <xf numFmtId="3" fontId="0" fillId="8" borderId="17" xfId="0" applyNumberFormat="1" applyFill="1" applyBorder="1" applyAlignment="1">
      <alignment horizontal="center" vertical="center"/>
    </xf>
    <xf numFmtId="3" fontId="61" fillId="0" borderId="0" xfId="0" applyNumberFormat="1" applyFont="1" applyFill="1" applyBorder="1" applyAlignment="1">
      <alignment horizontal="center" vertical="center"/>
    </xf>
    <xf numFmtId="3" fontId="0" fillId="19" borderId="17" xfId="0" applyNumberFormat="1" applyFill="1" applyBorder="1" applyAlignment="1">
      <alignment horizontal="center" vertical="center"/>
    </xf>
    <xf numFmtId="3" fontId="60" fillId="13" borderId="1" xfId="0" applyNumberFormat="1" applyFont="1" applyFill="1" applyBorder="1" applyAlignment="1">
      <alignment horizontal="center" vertical="center"/>
    </xf>
    <xf numFmtId="3" fontId="0" fillId="13" borderId="1" xfId="0" applyNumberFormat="1" applyFill="1" applyBorder="1" applyAlignment="1">
      <alignment horizontal="center" vertical="center"/>
    </xf>
    <xf numFmtId="3" fontId="0" fillId="13" borderId="35" xfId="0" applyNumberFormat="1" applyFill="1" applyBorder="1" applyAlignment="1">
      <alignment horizontal="center" vertical="center"/>
    </xf>
    <xf numFmtId="3" fontId="61" fillId="0" borderId="40" xfId="0" applyNumberFormat="1" applyFont="1" applyFill="1" applyBorder="1" applyAlignment="1">
      <alignment horizontal="center" vertical="center"/>
    </xf>
    <xf numFmtId="3" fontId="61" fillId="0" borderId="60" xfId="0" applyNumberFormat="1" applyFont="1" applyFill="1" applyBorder="1" applyAlignment="1">
      <alignment horizontal="center" vertical="center"/>
    </xf>
    <xf numFmtId="0" fontId="0" fillId="0" borderId="24" xfId="0" applyBorder="1"/>
    <xf numFmtId="0" fontId="0" fillId="0" borderId="25" xfId="0" applyBorder="1"/>
    <xf numFmtId="3" fontId="61" fillId="0" borderId="61" xfId="0" applyNumberFormat="1" applyFont="1" applyFill="1" applyBorder="1" applyAlignment="1">
      <alignment horizontal="center" vertical="center"/>
    </xf>
    <xf numFmtId="3" fontId="61" fillId="0" borderId="24" xfId="0" applyNumberFormat="1" applyFont="1" applyFill="1" applyBorder="1" applyAlignment="1">
      <alignment horizontal="center" vertical="center"/>
    </xf>
    <xf numFmtId="3" fontId="61" fillId="0" borderId="62" xfId="0" applyNumberFormat="1" applyFont="1" applyFill="1" applyBorder="1" applyAlignment="1">
      <alignment horizontal="center" vertical="center"/>
    </xf>
    <xf numFmtId="3" fontId="61" fillId="0" borderId="4" xfId="0" applyNumberFormat="1" applyFont="1" applyFill="1" applyBorder="1" applyAlignment="1">
      <alignment horizontal="center" vertical="center"/>
    </xf>
    <xf numFmtId="3" fontId="61" fillId="0" borderId="27" xfId="0" applyNumberFormat="1" applyFont="1" applyFill="1" applyBorder="1" applyAlignment="1">
      <alignment horizontal="center" vertical="center"/>
    </xf>
    <xf numFmtId="3" fontId="61" fillId="0" borderId="22" xfId="0" applyNumberFormat="1" applyFont="1" applyFill="1" applyBorder="1" applyAlignment="1">
      <alignment horizontal="center" vertical="center"/>
    </xf>
    <xf numFmtId="3" fontId="0" fillId="8" borderId="9" xfId="0" applyNumberFormat="1" applyFill="1" applyBorder="1" applyAlignment="1">
      <alignment horizontal="center" vertical="center"/>
    </xf>
    <xf numFmtId="3" fontId="0" fillId="8" borderId="39" xfId="0" applyNumberFormat="1" applyFill="1" applyBorder="1" applyAlignment="1">
      <alignment horizontal="center" vertical="center"/>
    </xf>
    <xf numFmtId="3" fontId="0" fillId="8" borderId="60" xfId="0" applyNumberFormat="1" applyFill="1" applyBorder="1" applyAlignment="1">
      <alignment horizontal="center" vertical="center"/>
    </xf>
    <xf numFmtId="3" fontId="0" fillId="8" borderId="63" xfId="0" applyNumberFormat="1" applyFill="1" applyBorder="1" applyAlignment="1">
      <alignment horizontal="center" vertical="center"/>
    </xf>
    <xf numFmtId="3" fontId="0" fillId="13" borderId="9" xfId="0" applyNumberFormat="1" applyFill="1" applyBorder="1" applyAlignment="1">
      <alignment horizontal="center" vertical="center"/>
    </xf>
    <xf numFmtId="3" fontId="0" fillId="13" borderId="60" xfId="0" applyNumberFormat="1" applyFill="1" applyBorder="1" applyAlignment="1">
      <alignment horizontal="center" vertical="center"/>
    </xf>
    <xf numFmtId="3" fontId="61" fillId="0" borderId="64" xfId="0" applyNumberFormat="1" applyFont="1" applyFill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7" fillId="0" borderId="7" xfId="0" applyFont="1" applyBorder="1" applyAlignment="1">
      <alignment horizontal="center" vertical="center"/>
    </xf>
    <xf numFmtId="0" fontId="17" fillId="0" borderId="17" xfId="0" applyFont="1" applyBorder="1" applyAlignment="1">
      <alignment horizontal="center" vertical="center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3" fontId="60" fillId="13" borderId="65" xfId="0" applyNumberFormat="1" applyFont="1" applyFill="1" applyBorder="1" applyAlignment="1">
      <alignment horizontal="center" vertical="center"/>
    </xf>
    <xf numFmtId="3" fontId="61" fillId="0" borderId="25" xfId="0" applyNumberFormat="1" applyFont="1" applyFill="1" applyBorder="1" applyAlignment="1">
      <alignment horizontal="center" vertical="center"/>
    </xf>
    <xf numFmtId="3" fontId="0" fillId="13" borderId="66" xfId="0" applyNumberFormat="1" applyFill="1" applyBorder="1" applyAlignment="1">
      <alignment horizontal="center" vertical="center"/>
    </xf>
    <xf numFmtId="3" fontId="0" fillId="13" borderId="67" xfId="0" applyNumberFormat="1" applyFill="1" applyBorder="1" applyAlignment="1">
      <alignment horizontal="center" vertical="center"/>
    </xf>
    <xf numFmtId="3" fontId="61" fillId="0" borderId="67" xfId="0" applyNumberFormat="1" applyFont="1" applyFill="1" applyBorder="1" applyAlignment="1">
      <alignment horizontal="center" vertical="center"/>
    </xf>
    <xf numFmtId="3" fontId="61" fillId="0" borderId="3" xfId="0" applyNumberFormat="1" applyFont="1" applyFill="1" applyBorder="1" applyAlignment="1">
      <alignment horizontal="center" vertical="center"/>
    </xf>
    <xf numFmtId="3" fontId="61" fillId="0" borderId="26" xfId="0" applyNumberFormat="1" applyFont="1" applyFill="1" applyBorder="1" applyAlignment="1">
      <alignment horizontal="center" vertical="center"/>
    </xf>
    <xf numFmtId="0" fontId="0" fillId="0" borderId="40" xfId="0" applyFill="1" applyBorder="1" applyAlignment="1">
      <alignment wrapText="1"/>
    </xf>
    <xf numFmtId="0" fontId="0" fillId="0" borderId="40" xfId="0" applyFill="1" applyBorder="1"/>
    <xf numFmtId="0" fontId="0" fillId="0" borderId="40" xfId="0" applyBorder="1" applyAlignment="1">
      <alignment wrapText="1"/>
    </xf>
    <xf numFmtId="0" fontId="44" fillId="0" borderId="0" xfId="1" applyFont="1" applyAlignment="1">
      <alignment horizontal="center" vertical="center" wrapText="1"/>
    </xf>
    <xf numFmtId="0" fontId="44" fillId="0" borderId="0" xfId="0" applyFont="1" applyAlignment="1">
      <alignment wrapText="1"/>
    </xf>
    <xf numFmtId="0" fontId="44" fillId="0" borderId="0" xfId="1" applyFont="1" applyAlignment="1">
      <alignment wrapText="1"/>
    </xf>
    <xf numFmtId="0" fontId="44" fillId="7" borderId="0" xfId="1" applyFont="1" applyFill="1" applyAlignment="1">
      <alignment wrapText="1"/>
    </xf>
    <xf numFmtId="0" fontId="44" fillId="7" borderId="0" xfId="1" applyFont="1" applyFill="1" applyAlignment="1">
      <alignment horizontal="center" vertical="center"/>
    </xf>
    <xf numFmtId="0" fontId="44" fillId="7" borderId="0" xfId="1" applyFont="1" applyFill="1"/>
    <xf numFmtId="0" fontId="44" fillId="7" borderId="0" xfId="0" applyFont="1" applyFill="1"/>
    <xf numFmtId="0" fontId="45" fillId="0" borderId="0" xfId="1" applyFont="1" applyAlignment="1">
      <alignment wrapText="1"/>
    </xf>
    <xf numFmtId="14" fontId="44" fillId="0" borderId="0" xfId="1" applyNumberFormat="1" applyFont="1" applyAlignment="1">
      <alignment horizontal="center" vertical="center" wrapText="1"/>
    </xf>
    <xf numFmtId="0" fontId="46" fillId="7" borderId="0" xfId="1" applyFont="1" applyFill="1" applyAlignment="1">
      <alignment wrapText="1"/>
    </xf>
    <xf numFmtId="0" fontId="46" fillId="7" borderId="0" xfId="1" applyFont="1" applyFill="1" applyAlignment="1">
      <alignment horizontal="center" vertical="center"/>
    </xf>
    <xf numFmtId="0" fontId="46" fillId="7" borderId="0" xfId="1" applyFont="1" applyFill="1"/>
    <xf numFmtId="2" fontId="44" fillId="0" borderId="0" xfId="1" applyNumberFormat="1" applyFont="1" applyAlignment="1">
      <alignment horizontal="center" vertical="center" wrapText="1"/>
    </xf>
    <xf numFmtId="0" fontId="45" fillId="0" borderId="0" xfId="1" applyFont="1" applyAlignment="1">
      <alignment vertical="center" wrapText="1"/>
    </xf>
    <xf numFmtId="0" fontId="44" fillId="0" borderId="35" xfId="1" applyFont="1" applyBorder="1" applyAlignment="1">
      <alignment wrapText="1"/>
    </xf>
    <xf numFmtId="169" fontId="44" fillId="0" borderId="60" xfId="1" applyNumberFormat="1" applyFont="1" applyBorder="1" applyAlignment="1">
      <alignment horizontal="center" vertical="center" wrapText="1"/>
    </xf>
    <xf numFmtId="0" fontId="44" fillId="0" borderId="60" xfId="0" applyFont="1" applyBorder="1" applyAlignment="1">
      <alignment horizontal="center" vertical="center" wrapText="1"/>
    </xf>
    <xf numFmtId="14" fontId="44" fillId="0" borderId="39" xfId="1" applyNumberFormat="1" applyFont="1" applyBorder="1" applyAlignment="1">
      <alignment horizontal="center" vertical="center" wrapText="1"/>
    </xf>
    <xf numFmtId="0" fontId="44" fillId="0" borderId="37" xfId="1" applyFont="1" applyBorder="1" applyAlignment="1">
      <alignment wrapText="1"/>
    </xf>
    <xf numFmtId="169" fontId="44" fillId="0" borderId="0" xfId="1" applyNumberFormat="1" applyFont="1" applyBorder="1" applyAlignment="1">
      <alignment horizontal="center" vertical="center" wrapText="1"/>
    </xf>
    <xf numFmtId="0" fontId="44" fillId="0" borderId="0" xfId="0" applyFont="1" applyBorder="1" applyAlignment="1">
      <alignment horizontal="center" vertical="center" wrapText="1"/>
    </xf>
    <xf numFmtId="14" fontId="44" fillId="0" borderId="40" xfId="1" applyNumberFormat="1" applyFont="1" applyBorder="1" applyAlignment="1">
      <alignment horizontal="center" vertical="center" wrapText="1"/>
    </xf>
    <xf numFmtId="0" fontId="44" fillId="0" borderId="15" xfId="1" applyFont="1" applyBorder="1" applyAlignment="1">
      <alignment wrapText="1"/>
    </xf>
    <xf numFmtId="169" fontId="44" fillId="0" borderId="38" xfId="1" applyNumberFormat="1" applyFont="1" applyBorder="1" applyAlignment="1">
      <alignment horizontal="center" vertical="center" wrapText="1"/>
    </xf>
    <xf numFmtId="0" fontId="44" fillId="0" borderId="38" xfId="0" applyFont="1" applyBorder="1" applyAlignment="1">
      <alignment horizontal="center" vertical="center" wrapText="1"/>
    </xf>
    <xf numFmtId="14" fontId="44" fillId="0" borderId="52" xfId="1" applyNumberFormat="1" applyFont="1" applyBorder="1" applyAlignment="1">
      <alignment horizontal="center" vertical="center" wrapText="1"/>
    </xf>
    <xf numFmtId="169" fontId="44" fillId="0" borderId="0" xfId="1" applyNumberFormat="1" applyFont="1" applyAlignment="1">
      <alignment horizontal="center" vertical="center" wrapText="1"/>
    </xf>
    <xf numFmtId="0" fontId="44" fillId="0" borderId="39" xfId="1" applyFont="1" applyBorder="1" applyAlignment="1">
      <alignment horizontal="center" vertical="center" wrapText="1"/>
    </xf>
    <xf numFmtId="0" fontId="44" fillId="0" borderId="40" xfId="1" applyFont="1" applyBorder="1" applyAlignment="1">
      <alignment horizontal="center" vertical="center" wrapText="1"/>
    </xf>
    <xf numFmtId="0" fontId="44" fillId="0" borderId="52" xfId="1" applyFont="1" applyBorder="1" applyAlignment="1">
      <alignment horizontal="center" vertical="center" wrapText="1"/>
    </xf>
    <xf numFmtId="0" fontId="44" fillId="0" borderId="0" xfId="1" applyFont="1" applyAlignment="1">
      <alignment horizontal="center" vertical="center"/>
    </xf>
    <xf numFmtId="0" fontId="44" fillId="0" borderId="0" xfId="1" applyFont="1"/>
    <xf numFmtId="0" fontId="44" fillId="0" borderId="0" xfId="0" applyFont="1"/>
    <xf numFmtId="0" fontId="44" fillId="0" borderId="0" xfId="0" applyFont="1" applyAlignment="1">
      <alignment horizontal="center" vertical="center"/>
    </xf>
    <xf numFmtId="3" fontId="44" fillId="0" borderId="0" xfId="1" applyNumberFormat="1" applyFont="1" applyAlignment="1">
      <alignment horizontal="center" vertical="center" wrapText="1"/>
    </xf>
    <xf numFmtId="0" fontId="44" fillId="0" borderId="0" xfId="1" applyFont="1" applyAlignment="1">
      <alignment horizontal="left" vertical="center" wrapText="1"/>
    </xf>
    <xf numFmtId="0" fontId="41" fillId="0" borderId="0" xfId="1" applyFont="1"/>
    <xf numFmtId="0" fontId="41" fillId="0" borderId="0" xfId="1" applyFont="1" applyAlignment="1">
      <alignment horizontal="right"/>
    </xf>
    <xf numFmtId="0" fontId="41" fillId="0" borderId="3" xfId="0" applyFont="1" applyBorder="1"/>
    <xf numFmtId="0" fontId="41" fillId="0" borderId="0" xfId="1" applyFont="1" applyAlignment="1">
      <alignment horizontal="center" vertical="center"/>
    </xf>
    <xf numFmtId="0" fontId="47" fillId="0" borderId="28" xfId="1" applyFont="1" applyBorder="1" applyAlignment="1">
      <alignment wrapText="1"/>
    </xf>
    <xf numFmtId="0" fontId="47" fillId="15" borderId="23" xfId="0" applyFont="1" applyFill="1" applyBorder="1" applyAlignment="1"/>
    <xf numFmtId="0" fontId="47" fillId="15" borderId="24" xfId="0" applyFont="1" applyFill="1" applyBorder="1" applyAlignment="1"/>
    <xf numFmtId="0" fontId="47" fillId="15" borderId="12" xfId="0" applyFont="1" applyFill="1" applyBorder="1"/>
    <xf numFmtId="0" fontId="47" fillId="0" borderId="23" xfId="0" applyFont="1" applyBorder="1"/>
    <xf numFmtId="0" fontId="41" fillId="0" borderId="24" xfId="0" applyFont="1" applyBorder="1"/>
    <xf numFmtId="0" fontId="41" fillId="0" borderId="0" xfId="0" applyFont="1"/>
    <xf numFmtId="0" fontId="41" fillId="0" borderId="0" xfId="0" applyFont="1" applyAlignment="1">
      <alignment horizontal="right"/>
    </xf>
    <xf numFmtId="3" fontId="41" fillId="0" borderId="0" xfId="0" applyNumberFormat="1" applyFont="1" applyBorder="1" applyAlignment="1">
      <alignment horizontal="right" vertical="center"/>
    </xf>
    <xf numFmtId="3" fontId="41" fillId="0" borderId="0" xfId="0" applyNumberFormat="1" applyFont="1" applyAlignment="1">
      <alignment horizontal="right"/>
    </xf>
    <xf numFmtId="0" fontId="41" fillId="0" borderId="0" xfId="0" applyFont="1" applyBorder="1"/>
    <xf numFmtId="0" fontId="41" fillId="0" borderId="1" xfId="1" applyFont="1" applyFill="1" applyBorder="1" applyAlignment="1">
      <alignment horizontal="center" vertical="center"/>
    </xf>
    <xf numFmtId="0" fontId="62" fillId="0" borderId="1" xfId="1" applyFont="1" applyFill="1" applyBorder="1" applyAlignment="1">
      <alignment horizontal="center" vertical="center"/>
    </xf>
    <xf numFmtId="3" fontId="41" fillId="0" borderId="0" xfId="0" applyNumberFormat="1" applyFont="1"/>
    <xf numFmtId="0" fontId="41" fillId="0" borderId="0" xfId="1" applyFont="1" applyAlignment="1">
      <alignment vertical="center"/>
    </xf>
    <xf numFmtId="0" fontId="62" fillId="0" borderId="0" xfId="1" applyFont="1" applyAlignment="1">
      <alignment horizontal="right" vertical="center"/>
    </xf>
    <xf numFmtId="0" fontId="41" fillId="0" borderId="0" xfId="1" applyFont="1" applyFill="1" applyBorder="1" applyAlignment="1">
      <alignment horizontal="center" vertical="center"/>
    </xf>
    <xf numFmtId="0" fontId="63" fillId="0" borderId="1" xfId="1" applyFont="1" applyBorder="1" applyAlignment="1">
      <alignment wrapText="1"/>
    </xf>
    <xf numFmtId="169" fontId="63" fillId="0" borderId="1" xfId="1" applyNumberFormat="1" applyFont="1" applyBorder="1" applyAlignment="1">
      <alignment horizontal="center" vertical="center" wrapText="1"/>
    </xf>
    <xf numFmtId="0" fontId="63" fillId="0" borderId="1" xfId="0" applyFont="1" applyBorder="1" applyAlignment="1">
      <alignment horizontal="center" vertical="center" wrapText="1"/>
    </xf>
    <xf numFmtId="14" fontId="63" fillId="0" borderId="1" xfId="1" applyNumberFormat="1" applyFont="1" applyBorder="1" applyAlignment="1">
      <alignment horizontal="center" vertical="center" wrapText="1"/>
    </xf>
    <xf numFmtId="0" fontId="64" fillId="0" borderId="0" xfId="0" applyFont="1"/>
    <xf numFmtId="0" fontId="47" fillId="0" borderId="3" xfId="0" applyFont="1" applyBorder="1"/>
    <xf numFmtId="0" fontId="41" fillId="0" borderId="0" xfId="0" applyFont="1" applyBorder="1" applyAlignment="1">
      <alignment horizontal="right"/>
    </xf>
    <xf numFmtId="0" fontId="41" fillId="0" borderId="3" xfId="0" applyFont="1" applyBorder="1" applyAlignment="1">
      <alignment vertical="center"/>
    </xf>
    <xf numFmtId="2" fontId="62" fillId="0" borderId="0" xfId="0" applyNumberFormat="1" applyFont="1"/>
    <xf numFmtId="0" fontId="62" fillId="0" borderId="0" xfId="0" applyFont="1"/>
    <xf numFmtId="0" fontId="41" fillId="0" borderId="23" xfId="0" applyFont="1" applyBorder="1"/>
    <xf numFmtId="3" fontId="41" fillId="0" borderId="24" xfId="0" applyNumberFormat="1" applyFont="1" applyFill="1" applyBorder="1"/>
    <xf numFmtId="3" fontId="41" fillId="0" borderId="0" xfId="0" applyNumberFormat="1" applyFont="1" applyFill="1" applyBorder="1"/>
    <xf numFmtId="0" fontId="48" fillId="0" borderId="0" xfId="0" applyFont="1" applyAlignment="1">
      <alignment vertical="center"/>
    </xf>
    <xf numFmtId="3" fontId="47" fillId="0" borderId="32" xfId="1" applyNumberFormat="1" applyFont="1" applyBorder="1" applyAlignment="1">
      <alignment horizontal="center" vertical="center"/>
    </xf>
    <xf numFmtId="0" fontId="47" fillId="0" borderId="28" xfId="1" applyFont="1" applyBorder="1" applyAlignment="1">
      <alignment vertical="center" wrapText="1"/>
    </xf>
    <xf numFmtId="0" fontId="41" fillId="0" borderId="0" xfId="0" applyFont="1" applyAlignment="1">
      <alignment wrapText="1"/>
    </xf>
    <xf numFmtId="4" fontId="62" fillId="0" borderId="0" xfId="0" applyNumberFormat="1" applyFont="1" applyAlignment="1">
      <alignment horizontal="right"/>
    </xf>
    <xf numFmtId="3" fontId="62" fillId="0" borderId="0" xfId="0" applyNumberFormat="1" applyFont="1"/>
    <xf numFmtId="3" fontId="65" fillId="0" borderId="0" xfId="0" applyNumberFormat="1" applyFont="1" applyBorder="1" applyAlignment="1">
      <alignment horizontal="right" vertical="center"/>
    </xf>
    <xf numFmtId="0" fontId="0" fillId="0" borderId="11" xfId="0" applyBorder="1"/>
    <xf numFmtId="3" fontId="0" fillId="0" borderId="17" xfId="0" applyNumberFormat="1" applyBorder="1" applyAlignment="1">
      <alignment horizontal="center" vertical="center"/>
    </xf>
    <xf numFmtId="0" fontId="60" fillId="0" borderId="1" xfId="0" applyFont="1" applyBorder="1" applyAlignment="1">
      <alignment horizontal="center" vertical="center"/>
    </xf>
    <xf numFmtId="0" fontId="53" fillId="8" borderId="28" xfId="0" applyFont="1" applyFill="1" applyBorder="1"/>
    <xf numFmtId="4" fontId="60" fillId="0" borderId="17" xfId="0" applyNumberFormat="1" applyFont="1" applyBorder="1" applyAlignment="1">
      <alignment horizontal="center" vertical="center"/>
    </xf>
    <xf numFmtId="3" fontId="60" fillId="0" borderId="17" xfId="0" applyNumberFormat="1" applyFont="1" applyBorder="1" applyAlignment="1">
      <alignment horizontal="center" vertical="center"/>
    </xf>
    <xf numFmtId="0" fontId="41" fillId="0" borderId="3" xfId="0" applyFont="1" applyFill="1" applyBorder="1" applyAlignment="1">
      <alignment vertical="center"/>
    </xf>
    <xf numFmtId="169" fontId="65" fillId="0" borderId="0" xfId="0" applyNumberFormat="1" applyFont="1" applyFill="1" applyBorder="1" applyAlignment="1">
      <alignment horizontal="right" vertical="center"/>
    </xf>
    <xf numFmtId="0" fontId="41" fillId="0" borderId="0" xfId="0" applyFont="1" applyFill="1"/>
    <xf numFmtId="3" fontId="41" fillId="0" borderId="0" xfId="0" applyNumberFormat="1" applyFont="1" applyFill="1"/>
    <xf numFmtId="0" fontId="45" fillId="0" borderId="0" xfId="1" applyFont="1" applyFill="1" applyAlignment="1">
      <alignment vertical="center" wrapText="1"/>
    </xf>
    <xf numFmtId="0" fontId="44" fillId="0" borderId="0" xfId="1" applyFont="1" applyFill="1" applyAlignment="1">
      <alignment horizontal="center" vertical="center" wrapText="1"/>
    </xf>
    <xf numFmtId="3" fontId="41" fillId="0" borderId="0" xfId="1" applyNumberFormat="1" applyFont="1"/>
    <xf numFmtId="3" fontId="41" fillId="0" borderId="0" xfId="0" applyNumberFormat="1" applyFont="1" applyAlignment="1">
      <alignment vertical="center"/>
    </xf>
    <xf numFmtId="4" fontId="3" fillId="15" borderId="55" xfId="0" applyNumberFormat="1" applyFont="1" applyFill="1" applyBorder="1" applyAlignment="1">
      <alignment horizontal="center" vertical="center"/>
    </xf>
    <xf numFmtId="4" fontId="0" fillId="0" borderId="0" xfId="0" quotePrefix="1" applyNumberFormat="1" applyAlignment="1">
      <alignment horizontal="center" vertical="center"/>
    </xf>
    <xf numFmtId="3" fontId="41" fillId="0" borderId="0" xfId="0" applyNumberFormat="1" applyFont="1" applyAlignment="1">
      <alignment horizontal="left"/>
    </xf>
    <xf numFmtId="0" fontId="62" fillId="0" borderId="0" xfId="0" applyFont="1" applyAlignment="1">
      <alignment horizontal="left"/>
    </xf>
    <xf numFmtId="0" fontId="66" fillId="0" borderId="0" xfId="0" applyFont="1"/>
    <xf numFmtId="0" fontId="41" fillId="0" borderId="35" xfId="0" applyFont="1" applyBorder="1"/>
    <xf numFmtId="0" fontId="41" fillId="0" borderId="37" xfId="0" applyFont="1" applyBorder="1"/>
    <xf numFmtId="0" fontId="41" fillId="0" borderId="15" xfId="0" applyFont="1" applyBorder="1"/>
    <xf numFmtId="0" fontId="41" fillId="0" borderId="39" xfId="0" applyFont="1" applyBorder="1" applyAlignment="1">
      <alignment horizontal="center"/>
    </xf>
    <xf numFmtId="0" fontId="41" fillId="0" borderId="40" xfId="0" applyFont="1" applyBorder="1" applyAlignment="1">
      <alignment horizontal="center"/>
    </xf>
    <xf numFmtId="0" fontId="41" fillId="0" borderId="52" xfId="0" applyFont="1" applyBorder="1" applyAlignment="1">
      <alignment horizontal="center"/>
    </xf>
    <xf numFmtId="2" fontId="41" fillId="0" borderId="0" xfId="0" applyNumberFormat="1" applyFont="1" applyAlignment="1">
      <alignment horizontal="left" vertical="center"/>
    </xf>
    <xf numFmtId="3" fontId="41" fillId="0" borderId="0" xfId="0" applyNumberFormat="1" applyFont="1" applyAlignment="1">
      <alignment wrapText="1"/>
    </xf>
    <xf numFmtId="169" fontId="67" fillId="0" borderId="0" xfId="0" applyNumberFormat="1" applyFont="1" applyFill="1" applyBorder="1" applyAlignment="1">
      <alignment horizontal="right" vertical="center"/>
    </xf>
    <xf numFmtId="3" fontId="3" fillId="15" borderId="51" xfId="0" applyNumberFormat="1" applyFont="1" applyFill="1" applyBorder="1" applyAlignment="1">
      <alignment horizontal="center" vertical="center"/>
    </xf>
    <xf numFmtId="0" fontId="44" fillId="0" borderId="0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 wrapText="1"/>
    </xf>
    <xf numFmtId="0" fontId="44" fillId="0" borderId="38" xfId="1" applyFont="1" applyBorder="1" applyAlignment="1">
      <alignment horizontal="center" vertical="center" wrapText="1"/>
    </xf>
    <xf numFmtId="0" fontId="44" fillId="0" borderId="60" xfId="1" applyFont="1" applyBorder="1" applyAlignment="1">
      <alignment horizontal="center" vertical="center"/>
    </xf>
    <xf numFmtId="0" fontId="44" fillId="0" borderId="39" xfId="1" applyFont="1" applyBorder="1" applyAlignment="1">
      <alignment horizontal="center" vertical="center"/>
    </xf>
    <xf numFmtId="0" fontId="44" fillId="0" borderId="38" xfId="1" applyFont="1" applyBorder="1" applyAlignment="1">
      <alignment horizontal="center" vertical="center"/>
    </xf>
    <xf numFmtId="0" fontId="44" fillId="0" borderId="52" xfId="1" applyFont="1" applyBorder="1" applyAlignment="1">
      <alignment horizontal="center" vertical="center"/>
    </xf>
    <xf numFmtId="0" fontId="44" fillId="0" borderId="6" xfId="1" applyFont="1" applyBorder="1" applyAlignment="1">
      <alignment wrapText="1"/>
    </xf>
    <xf numFmtId="0" fontId="44" fillId="0" borderId="7" xfId="1" applyFont="1" applyBorder="1" applyAlignment="1">
      <alignment horizontal="center" vertical="center"/>
    </xf>
    <xf numFmtId="0" fontId="44" fillId="0" borderId="17" xfId="1" applyFont="1" applyBorder="1" applyAlignment="1">
      <alignment horizontal="center" vertical="center"/>
    </xf>
    <xf numFmtId="3" fontId="2" fillId="2" borderId="51" xfId="0" applyNumberFormat="1" applyFont="1" applyFill="1" applyBorder="1" applyAlignment="1">
      <alignment horizontal="center" vertical="center"/>
    </xf>
    <xf numFmtId="3" fontId="2" fillId="2" borderId="55" xfId="0" applyNumberFormat="1" applyFont="1" applyFill="1" applyBorder="1" applyAlignment="1">
      <alignment horizontal="center" vertical="center"/>
    </xf>
    <xf numFmtId="3" fontId="2" fillId="2" borderId="56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49" fontId="36" fillId="8" borderId="6" xfId="0" applyNumberFormat="1" applyFont="1" applyFill="1" applyBorder="1" applyAlignment="1">
      <alignment vertical="center"/>
    </xf>
    <xf numFmtId="0" fontId="2" fillId="0" borderId="0" xfId="1" applyFont="1"/>
    <xf numFmtId="0" fontId="4" fillId="0" borderId="0" xfId="1"/>
    <xf numFmtId="0" fontId="4" fillId="0" borderId="0" xfId="1" applyAlignment="1">
      <alignment horizontal="center" vertical="center"/>
    </xf>
    <xf numFmtId="0" fontId="0" fillId="0" borderId="0" xfId="1" applyFont="1"/>
    <xf numFmtId="0" fontId="4" fillId="0" borderId="0" xfId="1" applyAlignment="1">
      <alignment horizontal="left" vertical="center"/>
    </xf>
    <xf numFmtId="3" fontId="4" fillId="0" borderId="0" xfId="1" applyNumberFormat="1" applyAlignment="1">
      <alignment horizontal="center" vertical="center"/>
    </xf>
    <xf numFmtId="3" fontId="4" fillId="0" borderId="0" xfId="1" applyNumberFormat="1"/>
    <xf numFmtId="3" fontId="4" fillId="0" borderId="0" xfId="1" applyNumberFormat="1" applyAlignment="1">
      <alignment horizontal="right" vertical="center"/>
    </xf>
    <xf numFmtId="0" fontId="63" fillId="0" borderId="0" xfId="1" applyFont="1" applyAlignment="1">
      <alignment horizontal="center" vertical="center" wrapText="1"/>
    </xf>
    <xf numFmtId="0" fontId="63" fillId="7" borderId="0" xfId="1" applyFont="1" applyFill="1" applyAlignment="1">
      <alignment horizontal="center" vertical="center"/>
    </xf>
    <xf numFmtId="0" fontId="4" fillId="9" borderId="0" xfId="1" applyFill="1"/>
    <xf numFmtId="0" fontId="4" fillId="9" borderId="0" xfId="1" applyFill="1" applyAlignment="1">
      <alignment horizontal="right"/>
    </xf>
    <xf numFmtId="3" fontId="4" fillId="9" borderId="0" xfId="1" applyNumberFormat="1" applyFill="1" applyAlignment="1">
      <alignment horizontal="left"/>
    </xf>
    <xf numFmtId="0" fontId="4" fillId="9" borderId="37" xfId="1" applyFill="1" applyBorder="1"/>
    <xf numFmtId="14" fontId="44" fillId="0" borderId="0" xfId="1" applyNumberFormat="1" applyFont="1" applyAlignment="1">
      <alignment horizontal="center" vertical="center"/>
    </xf>
    <xf numFmtId="0" fontId="0" fillId="0" borderId="2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68" xfId="0" applyBorder="1" applyAlignment="1">
      <alignment horizontal="center" vertical="center" textRotation="90"/>
    </xf>
    <xf numFmtId="0" fontId="0" fillId="0" borderId="69" xfId="0" applyBorder="1" applyAlignment="1">
      <alignment horizontal="center" vertical="center" textRotation="90"/>
    </xf>
    <xf numFmtId="0" fontId="0" fillId="0" borderId="70" xfId="0" applyBorder="1" applyAlignment="1">
      <alignment horizontal="center" vertical="center" textRotation="90"/>
    </xf>
    <xf numFmtId="0" fontId="0" fillId="0" borderId="6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7" xfId="0" applyBorder="1" applyAlignment="1">
      <alignment horizontal="left"/>
    </xf>
    <xf numFmtId="170" fontId="21" fillId="0" borderId="0" xfId="0" applyNumberFormat="1" applyFont="1" applyAlignment="1">
      <alignment horizontal="center"/>
    </xf>
    <xf numFmtId="0" fontId="26" fillId="3" borderId="14" xfId="0" applyFont="1" applyFill="1" applyBorder="1" applyAlignment="1">
      <alignment horizontal="center" vertical="center"/>
    </xf>
    <xf numFmtId="0" fontId="26" fillId="3" borderId="11" xfId="0" applyFont="1" applyFill="1" applyBorder="1" applyAlignment="1">
      <alignment horizontal="center" vertical="center"/>
    </xf>
    <xf numFmtId="0" fontId="26" fillId="3" borderId="53" xfId="0" applyFont="1" applyFill="1" applyBorder="1" applyAlignment="1">
      <alignment horizontal="center" vertical="center"/>
    </xf>
    <xf numFmtId="0" fontId="26" fillId="3" borderId="34" xfId="0" applyFont="1" applyFill="1" applyBorder="1" applyAlignment="1">
      <alignment horizontal="center" vertical="center"/>
    </xf>
    <xf numFmtId="0" fontId="26" fillId="3" borderId="9" xfId="0" applyFont="1" applyFill="1" applyBorder="1" applyAlignment="1">
      <alignment horizontal="center" vertical="center"/>
    </xf>
    <xf numFmtId="0" fontId="26" fillId="3" borderId="63" xfId="0" applyFont="1" applyFill="1" applyBorder="1" applyAlignment="1">
      <alignment horizontal="center" vertical="center"/>
    </xf>
    <xf numFmtId="0" fontId="26" fillId="5" borderId="41" xfId="0" applyFont="1" applyFill="1" applyBorder="1" applyAlignment="1">
      <alignment horizontal="center" vertical="center"/>
    </xf>
    <xf numFmtId="0" fontId="26" fillId="5" borderId="42" xfId="0" applyFont="1" applyFill="1" applyBorder="1" applyAlignment="1">
      <alignment horizontal="center" vertical="center"/>
    </xf>
    <xf numFmtId="0" fontId="26" fillId="5" borderId="43" xfId="0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center"/>
    </xf>
    <xf numFmtId="0" fontId="26" fillId="5" borderId="44" xfId="0" applyFont="1" applyFill="1" applyBorder="1" applyAlignment="1">
      <alignment horizontal="center" vertical="center"/>
    </xf>
    <xf numFmtId="0" fontId="26" fillId="5" borderId="19" xfId="0" applyFont="1" applyFill="1" applyBorder="1" applyAlignment="1">
      <alignment horizontal="center" vertical="center"/>
    </xf>
    <xf numFmtId="0" fontId="26" fillId="5" borderId="20" xfId="0" applyFont="1" applyFill="1" applyBorder="1" applyAlignment="1">
      <alignment horizontal="center" vertical="center"/>
    </xf>
    <xf numFmtId="0" fontId="26" fillId="5" borderId="45" xfId="0" applyFont="1" applyFill="1" applyBorder="1" applyAlignment="1">
      <alignment horizontal="center" vertical="center"/>
    </xf>
    <xf numFmtId="0" fontId="26" fillId="4" borderId="41" xfId="0" applyFont="1" applyFill="1" applyBorder="1" applyAlignment="1">
      <alignment horizontal="center" vertical="center" wrapText="1"/>
    </xf>
    <xf numFmtId="0" fontId="26" fillId="4" borderId="42" xfId="0" applyFont="1" applyFill="1" applyBorder="1" applyAlignment="1">
      <alignment horizontal="center" vertical="center" wrapText="1"/>
    </xf>
    <xf numFmtId="0" fontId="26" fillId="4" borderId="5" xfId="0" applyFont="1" applyFill="1" applyBorder="1" applyAlignment="1">
      <alignment horizontal="center" vertical="center" wrapText="1"/>
    </xf>
    <xf numFmtId="0" fontId="26" fillId="4" borderId="1" xfId="0" applyFont="1" applyFill="1" applyBorder="1" applyAlignment="1">
      <alignment horizontal="center" vertical="center" wrapText="1"/>
    </xf>
    <xf numFmtId="0" fontId="26" fillId="4" borderId="34" xfId="0" applyFont="1" applyFill="1" applyBorder="1" applyAlignment="1">
      <alignment horizontal="center" vertical="center" wrapText="1"/>
    </xf>
    <xf numFmtId="0" fontId="26" fillId="4" borderId="9" xfId="0" applyFont="1" applyFill="1" applyBorder="1" applyAlignment="1">
      <alignment horizontal="center" vertical="center" wrapText="1"/>
    </xf>
    <xf numFmtId="0" fontId="26" fillId="4" borderId="43" xfId="0" applyFont="1" applyFill="1" applyBorder="1" applyAlignment="1">
      <alignment horizontal="center" vertical="center" wrapText="1"/>
    </xf>
    <xf numFmtId="0" fontId="26" fillId="4" borderId="44" xfId="0" applyFont="1" applyFill="1" applyBorder="1" applyAlignment="1">
      <alignment horizontal="center" vertical="center" wrapText="1"/>
    </xf>
    <xf numFmtId="0" fontId="26" fillId="4" borderId="63" xfId="0" applyFont="1" applyFill="1" applyBorder="1" applyAlignment="1">
      <alignment horizontal="center" vertical="center" wrapText="1"/>
    </xf>
    <xf numFmtId="0" fontId="26" fillId="3" borderId="12" xfId="0" applyFont="1" applyFill="1" applyBorder="1" applyAlignment="1">
      <alignment horizontal="center" vertical="center"/>
    </xf>
    <xf numFmtId="0" fontId="26" fillId="3" borderId="13" xfId="0" applyFont="1" applyFill="1" applyBorder="1" applyAlignment="1">
      <alignment horizontal="center" vertical="center"/>
    </xf>
    <xf numFmtId="0" fontId="26" fillId="3" borderId="52" xfId="0" applyFont="1" applyFill="1" applyBorder="1" applyAlignment="1">
      <alignment horizontal="center" vertical="center" wrapText="1"/>
    </xf>
    <xf numFmtId="0" fontId="26" fillId="3" borderId="15" xfId="0" applyFont="1" applyFill="1" applyBorder="1" applyAlignment="1">
      <alignment horizontal="center" vertical="center" wrapText="1"/>
    </xf>
    <xf numFmtId="0" fontId="26" fillId="3" borderId="39" xfId="0" applyFont="1" applyFill="1" applyBorder="1" applyAlignment="1">
      <alignment horizontal="center" vertical="center" wrapText="1"/>
    </xf>
    <xf numFmtId="0" fontId="26" fillId="3" borderId="35" xfId="0" applyFont="1" applyFill="1" applyBorder="1" applyAlignment="1">
      <alignment horizontal="center" vertical="center" wrapText="1"/>
    </xf>
    <xf numFmtId="0" fontId="26" fillId="3" borderId="3" xfId="0" applyFont="1" applyFill="1" applyBorder="1" applyAlignment="1">
      <alignment horizontal="center" vertical="center"/>
    </xf>
    <xf numFmtId="0" fontId="26" fillId="3" borderId="0" xfId="0" applyFont="1" applyFill="1" applyBorder="1" applyAlignment="1">
      <alignment horizontal="center" vertical="center"/>
    </xf>
    <xf numFmtId="0" fontId="26" fillId="3" borderId="4" xfId="0" applyFont="1" applyFill="1" applyBorder="1" applyAlignment="1">
      <alignment horizontal="center" vertical="center"/>
    </xf>
    <xf numFmtId="2" fontId="28" fillId="0" borderId="63" xfId="0" applyNumberFormat="1" applyFont="1" applyBorder="1" applyAlignment="1">
      <alignment horizontal="center" vertical="center" wrapText="1"/>
    </xf>
    <xf numFmtId="2" fontId="28" fillId="0" borderId="7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left" vertical="center" wrapText="1"/>
    </xf>
    <xf numFmtId="0" fontId="0" fillId="0" borderId="24" xfId="0" applyBorder="1" applyAlignment="1">
      <alignment horizontal="left" vertical="center" wrapText="1"/>
    </xf>
    <xf numFmtId="0" fontId="0" fillId="0" borderId="25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0" fillId="0" borderId="26" xfId="0" applyBorder="1" applyAlignment="1">
      <alignment horizontal="left" vertical="center" wrapText="1"/>
    </xf>
    <xf numFmtId="0" fontId="0" fillId="0" borderId="27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0" fillId="0" borderId="67" xfId="0" applyBorder="1" applyAlignment="1">
      <alignment horizontal="right" vertical="center" wrapText="1" indent="1"/>
    </xf>
    <xf numFmtId="0" fontId="0" fillId="0" borderId="64" xfId="0" applyBorder="1" applyAlignment="1">
      <alignment horizontal="right" vertical="center" wrapText="1" indent="1"/>
    </xf>
    <xf numFmtId="0" fontId="0" fillId="0" borderId="26" xfId="0" applyBorder="1" applyAlignment="1">
      <alignment horizontal="right" vertical="center" wrapText="1" indent="1"/>
    </xf>
    <xf numFmtId="0" fontId="0" fillId="0" borderId="2" xfId="0" applyBorder="1" applyAlignment="1">
      <alignment horizontal="right" vertical="center" wrapText="1" indent="1"/>
    </xf>
    <xf numFmtId="2" fontId="28" fillId="0" borderId="34" xfId="0" applyNumberFormat="1" applyFont="1" applyBorder="1" applyAlignment="1">
      <alignment horizontal="center" vertical="center" wrapText="1"/>
    </xf>
    <xf numFmtId="2" fontId="28" fillId="0" borderId="72" xfId="0" applyNumberFormat="1" applyFont="1" applyBorder="1" applyAlignment="1">
      <alignment horizontal="center" vertical="center" wrapText="1"/>
    </xf>
    <xf numFmtId="2" fontId="28" fillId="0" borderId="9" xfId="0" applyNumberFormat="1" applyFont="1" applyBorder="1" applyAlignment="1">
      <alignment horizontal="center" vertical="center" wrapText="1"/>
    </xf>
    <xf numFmtId="2" fontId="28" fillId="0" borderId="73" xfId="0" applyNumberFormat="1" applyFont="1" applyBorder="1" applyAlignment="1">
      <alignment horizontal="center" vertical="center" wrapText="1"/>
    </xf>
    <xf numFmtId="2" fontId="28" fillId="0" borderId="30" xfId="0" applyNumberFormat="1" applyFont="1" applyBorder="1" applyAlignment="1">
      <alignment horizontal="center" vertical="center" wrapText="1"/>
    </xf>
    <xf numFmtId="2" fontId="28" fillId="0" borderId="11" xfId="0" applyNumberFormat="1" applyFont="1" applyBorder="1" applyAlignment="1">
      <alignment horizontal="center" vertical="center" wrapText="1"/>
    </xf>
    <xf numFmtId="0" fontId="0" fillId="0" borderId="23" xfId="0" applyBorder="1" applyAlignment="1">
      <alignment horizontal="right" vertical="center" wrapText="1" indent="1"/>
    </xf>
    <xf numFmtId="0" fontId="0" fillId="0" borderId="25" xfId="0" applyBorder="1" applyAlignment="1">
      <alignment horizontal="right" vertical="center" wrapText="1" indent="1"/>
    </xf>
    <xf numFmtId="0" fontId="0" fillId="0" borderId="74" xfId="0" applyBorder="1" applyAlignment="1">
      <alignment horizontal="right" vertical="center" wrapText="1" indent="1"/>
    </xf>
    <xf numFmtId="0" fontId="0" fillId="0" borderId="16" xfId="0" applyBorder="1" applyAlignment="1">
      <alignment horizontal="right" vertical="center" wrapText="1" indent="1"/>
    </xf>
    <xf numFmtId="2" fontId="28" fillId="0" borderId="29" xfId="0" applyNumberFormat="1" applyFont="1" applyBorder="1" applyAlignment="1">
      <alignment horizontal="center" vertical="center" wrapText="1"/>
    </xf>
    <xf numFmtId="2" fontId="28" fillId="0" borderId="14" xfId="0" applyNumberFormat="1" applyFont="1" applyBorder="1" applyAlignment="1">
      <alignment horizontal="center" vertical="center" wrapText="1"/>
    </xf>
    <xf numFmtId="0" fontId="20" fillId="2" borderId="7" xfId="0" applyFont="1" applyFill="1" applyBorder="1" applyAlignment="1">
      <alignment horizontal="right" vertical="center"/>
    </xf>
    <xf numFmtId="0" fontId="20" fillId="0" borderId="73" xfId="0" applyFont="1" applyBorder="1" applyAlignment="1">
      <alignment horizontal="center" vertical="center"/>
    </xf>
    <xf numFmtId="0" fontId="20" fillId="0" borderId="71" xfId="0" applyFont="1" applyBorder="1" applyAlignment="1">
      <alignment horizontal="center" vertical="center"/>
    </xf>
    <xf numFmtId="4" fontId="20" fillId="6" borderId="7" xfId="0" applyNumberFormat="1" applyFont="1" applyFill="1" applyBorder="1" applyAlignment="1">
      <alignment horizontal="right"/>
    </xf>
    <xf numFmtId="0" fontId="28" fillId="0" borderId="30" xfId="0" applyFont="1" applyBorder="1" applyAlignment="1">
      <alignment horizontal="center" vertical="center" wrapText="1"/>
    </xf>
    <xf numFmtId="0" fontId="28" fillId="0" borderId="73" xfId="0" applyFont="1" applyBorder="1" applyAlignment="1">
      <alignment horizontal="center" vertical="center" wrapText="1"/>
    </xf>
    <xf numFmtId="0" fontId="28" fillId="0" borderId="31" xfId="0" applyFont="1" applyBorder="1" applyAlignment="1">
      <alignment horizontal="center" vertical="center" wrapText="1"/>
    </xf>
    <xf numFmtId="0" fontId="28" fillId="0" borderId="71" xfId="0" applyFont="1" applyBorder="1" applyAlignment="1">
      <alignment horizontal="center" vertical="center" wrapText="1"/>
    </xf>
    <xf numFmtId="4" fontId="20" fillId="6" borderId="7" xfId="0" applyNumberFormat="1" applyFont="1" applyFill="1" applyBorder="1" applyAlignment="1">
      <alignment horizontal="right" vertical="center"/>
    </xf>
    <xf numFmtId="0" fontId="20" fillId="0" borderId="72" xfId="0" applyFont="1" applyBorder="1" applyAlignment="1">
      <alignment horizontal="center" vertical="center"/>
    </xf>
    <xf numFmtId="2" fontId="28" fillId="0" borderId="31" xfId="0" applyNumberFormat="1" applyFont="1" applyBorder="1" applyAlignment="1">
      <alignment horizontal="center" vertical="center" wrapText="1"/>
    </xf>
    <xf numFmtId="2" fontId="28" fillId="0" borderId="53" xfId="0" applyNumberFormat="1" applyFont="1" applyBorder="1" applyAlignment="1">
      <alignment horizontal="center" vertical="center" wrapText="1"/>
    </xf>
    <xf numFmtId="0" fontId="20" fillId="6" borderId="7" xfId="0" applyFont="1" applyFill="1" applyBorder="1" applyAlignment="1">
      <alignment horizontal="right" vertical="center"/>
    </xf>
    <xf numFmtId="0" fontId="2" fillId="0" borderId="23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2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2" fontId="20" fillId="6" borderId="7" xfId="0" applyNumberFormat="1" applyFont="1" applyFill="1" applyBorder="1" applyAlignment="1">
      <alignment horizontal="right" vertical="center"/>
    </xf>
    <xf numFmtId="0" fontId="28" fillId="0" borderId="29" xfId="0" applyFont="1" applyBorder="1" applyAlignment="1">
      <alignment horizontal="center" vertical="center" wrapText="1"/>
    </xf>
    <xf numFmtId="0" fontId="28" fillId="0" borderId="72" xfId="0" applyFont="1" applyBorder="1" applyAlignment="1">
      <alignment horizontal="center" vertical="center" wrapText="1"/>
    </xf>
    <xf numFmtId="0" fontId="20" fillId="0" borderId="5" xfId="0" applyFont="1" applyBorder="1" applyAlignment="1">
      <alignment horizontal="center" vertical="center"/>
    </xf>
    <xf numFmtId="0" fontId="20" fillId="0" borderId="1" xfId="0" applyFont="1" applyBorder="1" applyAlignment="1">
      <alignment horizontal="center" vertical="center"/>
    </xf>
    <xf numFmtId="0" fontId="20" fillId="0" borderId="44" xfId="0" applyFont="1" applyBorder="1" applyAlignment="1">
      <alignment horizontal="center" vertical="center"/>
    </xf>
    <xf numFmtId="166" fontId="20" fillId="0" borderId="7" xfId="0" applyNumberFormat="1" applyFont="1" applyBorder="1" applyAlignment="1">
      <alignment horizontal="right" vertical="center"/>
    </xf>
    <xf numFmtId="164" fontId="20" fillId="6" borderId="7" xfId="0" applyNumberFormat="1" applyFont="1" applyFill="1" applyBorder="1" applyAlignment="1">
      <alignment horizontal="right" vertical="center"/>
    </xf>
    <xf numFmtId="0" fontId="20" fillId="0" borderId="29" xfId="0" applyFont="1" applyBorder="1" applyAlignment="1">
      <alignment horizontal="center" vertical="center" wrapText="1"/>
    </xf>
    <xf numFmtId="0" fontId="20" fillId="0" borderId="30" xfId="0" applyFont="1" applyBorder="1" applyAlignment="1">
      <alignment horizontal="center" vertical="center" wrapText="1"/>
    </xf>
    <xf numFmtId="0" fontId="20" fillId="0" borderId="72" xfId="0" applyFont="1" applyBorder="1" applyAlignment="1">
      <alignment horizontal="center" vertical="center" wrapText="1"/>
    </xf>
    <xf numFmtId="0" fontId="20" fillId="0" borderId="73" xfId="0" applyFont="1" applyBorder="1" applyAlignment="1">
      <alignment horizontal="center" vertical="center" wrapText="1"/>
    </xf>
    <xf numFmtId="0" fontId="20" fillId="0" borderId="31" xfId="0" applyFont="1" applyBorder="1" applyAlignment="1">
      <alignment horizontal="center" vertical="center" wrapText="1"/>
    </xf>
    <xf numFmtId="0" fontId="20" fillId="0" borderId="71" xfId="0" applyFont="1" applyBorder="1" applyAlignment="1">
      <alignment horizontal="center" vertical="center" wrapText="1"/>
    </xf>
    <xf numFmtId="3" fontId="20" fillId="6" borderId="7" xfId="0" applyNumberFormat="1" applyFont="1" applyFill="1" applyBorder="1" applyAlignment="1">
      <alignment horizontal="right" vertical="center"/>
    </xf>
    <xf numFmtId="0" fontId="20" fillId="2" borderId="41" xfId="0" applyFont="1" applyFill="1" applyBorder="1" applyAlignment="1">
      <alignment horizontal="center" vertical="center"/>
    </xf>
    <xf numFmtId="0" fontId="20" fillId="2" borderId="42" xfId="0" applyFont="1" applyFill="1" applyBorder="1" applyAlignment="1">
      <alignment horizontal="center" vertical="center"/>
    </xf>
    <xf numFmtId="0" fontId="20" fillId="2" borderId="43" xfId="0" applyFont="1" applyFill="1" applyBorder="1" applyAlignment="1">
      <alignment horizontal="center" vertical="center"/>
    </xf>
    <xf numFmtId="0" fontId="57" fillId="16" borderId="0" xfId="0" applyFont="1" applyFill="1" applyAlignment="1">
      <alignment horizontal="left"/>
    </xf>
    <xf numFmtId="0" fontId="57" fillId="15" borderId="0" xfId="0" applyFont="1" applyFill="1" applyBorder="1" applyAlignment="1">
      <alignment horizontal="left"/>
    </xf>
    <xf numFmtId="0" fontId="57" fillId="15" borderId="0" xfId="0" applyFont="1" applyFill="1" applyAlignment="1">
      <alignment horizontal="left"/>
    </xf>
    <xf numFmtId="0" fontId="15" fillId="0" borderId="51" xfId="0" applyFont="1" applyBorder="1" applyAlignment="1">
      <alignment horizontal="left" vertical="center"/>
    </xf>
    <xf numFmtId="0" fontId="15" fillId="0" borderId="55" xfId="0" applyFont="1" applyBorder="1" applyAlignment="1">
      <alignment horizontal="left" vertical="center"/>
    </xf>
    <xf numFmtId="0" fontId="15" fillId="0" borderId="58" xfId="0" applyFont="1" applyBorder="1" applyAlignment="1">
      <alignment horizontal="left" vertical="center"/>
    </xf>
    <xf numFmtId="0" fontId="15" fillId="0" borderId="56" xfId="0" applyFont="1" applyBorder="1" applyAlignment="1">
      <alignment horizontal="left" vertical="center"/>
    </xf>
    <xf numFmtId="0" fontId="3" fillId="0" borderId="41" xfId="0" applyFont="1" applyBorder="1" applyAlignment="1">
      <alignment horizontal="right" vertical="center"/>
    </xf>
    <xf numFmtId="0" fontId="3" fillId="0" borderId="75" xfId="0" applyFont="1" applyBorder="1" applyAlignment="1">
      <alignment horizontal="right" vertical="center"/>
    </xf>
    <xf numFmtId="0" fontId="3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0" borderId="19" xfId="0" applyFont="1" applyBorder="1" applyAlignment="1">
      <alignment horizontal="right" vertical="center"/>
    </xf>
    <xf numFmtId="0" fontId="3" fillId="0" borderId="21" xfId="0" applyFont="1" applyBorder="1" applyAlignment="1">
      <alignment horizontal="right" vertical="center"/>
    </xf>
    <xf numFmtId="0" fontId="3" fillId="0" borderId="34" xfId="0" applyFont="1" applyBorder="1" applyAlignment="1">
      <alignment horizontal="right" vertical="center"/>
    </xf>
    <xf numFmtId="0" fontId="3" fillId="0" borderId="35" xfId="0" applyFont="1" applyBorder="1" applyAlignment="1">
      <alignment horizontal="right" vertical="center"/>
    </xf>
    <xf numFmtId="0" fontId="0" fillId="0" borderId="23" xfId="0" applyNumberFormat="1" applyBorder="1" applyAlignment="1">
      <alignment horizontal="left" vertical="top" wrapText="1"/>
    </xf>
    <xf numFmtId="0" fontId="0" fillId="0" borderId="24" xfId="0" applyNumberFormat="1" applyBorder="1" applyAlignment="1">
      <alignment horizontal="left" vertical="top" wrapText="1"/>
    </xf>
    <xf numFmtId="0" fontId="0" fillId="0" borderId="25" xfId="0" applyNumberFormat="1" applyBorder="1" applyAlignment="1">
      <alignment horizontal="left" vertical="top" wrapText="1"/>
    </xf>
    <xf numFmtId="0" fontId="0" fillId="0" borderId="3" xfId="0" applyNumberFormat="1" applyBorder="1" applyAlignment="1">
      <alignment horizontal="left" vertical="top" wrapText="1"/>
    </xf>
    <xf numFmtId="0" fontId="0" fillId="0" borderId="0" xfId="0" applyNumberFormat="1" applyBorder="1" applyAlignment="1">
      <alignment horizontal="left" vertical="top" wrapText="1"/>
    </xf>
    <xf numFmtId="0" fontId="0" fillId="0" borderId="4" xfId="0" applyNumberFormat="1" applyBorder="1" applyAlignment="1">
      <alignment horizontal="left" vertical="top" wrapText="1"/>
    </xf>
    <xf numFmtId="0" fontId="0" fillId="0" borderId="26" xfId="0" applyNumberFormat="1" applyBorder="1" applyAlignment="1">
      <alignment horizontal="left" vertical="top" wrapText="1"/>
    </xf>
    <xf numFmtId="0" fontId="0" fillId="0" borderId="27" xfId="0" applyNumberFormat="1" applyBorder="1" applyAlignment="1">
      <alignment horizontal="left" vertical="top" wrapText="1"/>
    </xf>
    <xf numFmtId="0" fontId="0" fillId="0" borderId="2" xfId="0" applyNumberFormat="1" applyBorder="1" applyAlignment="1">
      <alignment horizontal="left" vertical="top" wrapText="1"/>
    </xf>
    <xf numFmtId="0" fontId="0" fillId="17" borderId="6" xfId="0" applyFill="1" applyBorder="1" applyAlignment="1">
      <alignment horizontal="left" wrapText="1"/>
    </xf>
    <xf numFmtId="0" fontId="0" fillId="17" borderId="7" xfId="0" applyFill="1" applyBorder="1" applyAlignment="1">
      <alignment horizontal="left" wrapText="1"/>
    </xf>
    <xf numFmtId="0" fontId="0" fillId="17" borderId="8" xfId="0" applyFill="1" applyBorder="1" applyAlignment="1">
      <alignment horizontal="left" wrapText="1"/>
    </xf>
    <xf numFmtId="0" fontId="0" fillId="0" borderId="6" xfId="0" applyBorder="1" applyAlignment="1">
      <alignment horizontal="left" wrapText="1"/>
    </xf>
    <xf numFmtId="0" fontId="0" fillId="0" borderId="7" xfId="0" applyBorder="1" applyAlignment="1">
      <alignment horizontal="left" wrapText="1"/>
    </xf>
    <xf numFmtId="0" fontId="0" fillId="0" borderId="8" xfId="0" applyBorder="1" applyAlignment="1">
      <alignment horizontal="left" wrapText="1"/>
    </xf>
    <xf numFmtId="0" fontId="14" fillId="0" borderId="86" xfId="0" applyNumberFormat="1" applyFont="1" applyFill="1" applyBorder="1" applyAlignment="1">
      <alignment horizontal="left" vertical="center"/>
    </xf>
    <xf numFmtId="0" fontId="14" fillId="0" borderId="87" xfId="0" applyNumberFormat="1" applyFont="1" applyFill="1" applyBorder="1" applyAlignment="1">
      <alignment horizontal="left" vertical="center"/>
    </xf>
    <xf numFmtId="0" fontId="14" fillId="0" borderId="88" xfId="0" applyNumberFormat="1" applyFont="1" applyFill="1" applyBorder="1" applyAlignment="1">
      <alignment horizontal="left" vertical="center"/>
    </xf>
    <xf numFmtId="0" fontId="68" fillId="0" borderId="42" xfId="0" applyFont="1" applyBorder="1" applyAlignment="1">
      <alignment horizontal="center" vertical="center" wrapText="1"/>
    </xf>
    <xf numFmtId="0" fontId="68" fillId="0" borderId="1" xfId="0" applyFont="1" applyBorder="1" applyAlignment="1">
      <alignment horizontal="center" vertical="center" wrapText="1"/>
    </xf>
    <xf numFmtId="0" fontId="0" fillId="0" borderId="59" xfId="0" applyBorder="1" applyAlignment="1">
      <alignment horizontal="center"/>
    </xf>
    <xf numFmtId="0" fontId="0" fillId="0" borderId="33" xfId="0" applyBorder="1" applyAlignment="1">
      <alignment horizontal="center"/>
    </xf>
    <xf numFmtId="0" fontId="19" fillId="13" borderId="37" xfId="0" applyFont="1" applyFill="1" applyBorder="1" applyAlignment="1">
      <alignment horizontal="left"/>
    </xf>
    <xf numFmtId="0" fontId="19" fillId="13" borderId="0" xfId="0" applyFont="1" applyFill="1" applyBorder="1" applyAlignment="1">
      <alignment horizontal="left"/>
    </xf>
    <xf numFmtId="0" fontId="69" fillId="8" borderId="28" xfId="0" applyFont="1" applyFill="1" applyBorder="1" applyAlignment="1">
      <alignment horizontal="left" vertical="center"/>
    </xf>
    <xf numFmtId="0" fontId="69" fillId="8" borderId="12" xfId="0" applyFont="1" applyFill="1" applyBorder="1" applyAlignment="1">
      <alignment horizontal="left" vertical="center"/>
    </xf>
    <xf numFmtId="0" fontId="69" fillId="8" borderId="13" xfId="0" applyFont="1" applyFill="1" applyBorder="1" applyAlignment="1">
      <alignment horizontal="left" vertical="center"/>
    </xf>
    <xf numFmtId="0" fontId="0" fillId="0" borderId="35" xfId="0" applyBorder="1" applyAlignment="1">
      <alignment horizontal="left" vertical="center" wrapText="1"/>
    </xf>
    <xf numFmtId="0" fontId="0" fillId="0" borderId="60" xfId="0" applyBorder="1" applyAlignment="1">
      <alignment horizontal="left" vertical="center" wrapText="1"/>
    </xf>
    <xf numFmtId="0" fontId="0" fillId="0" borderId="64" xfId="0" applyBorder="1" applyAlignment="1">
      <alignment horizontal="left" vertical="center" wrapText="1"/>
    </xf>
    <xf numFmtId="0" fontId="0" fillId="12" borderId="6" xfId="0" applyFill="1" applyBorder="1" applyAlignment="1">
      <alignment horizontal="left" wrapText="1"/>
    </xf>
    <xf numFmtId="0" fontId="0" fillId="12" borderId="7" xfId="0" applyFill="1" applyBorder="1" applyAlignment="1">
      <alignment horizontal="left" wrapText="1"/>
    </xf>
    <xf numFmtId="0" fontId="0" fillId="12" borderId="8" xfId="0" applyFill="1" applyBorder="1" applyAlignment="1">
      <alignment horizontal="left" wrapText="1"/>
    </xf>
    <xf numFmtId="0" fontId="68" fillId="0" borderId="6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 wrapText="1"/>
    </xf>
    <xf numFmtId="0" fontId="68" fillId="0" borderId="37" xfId="0" applyFont="1" applyBorder="1" applyAlignment="1">
      <alignment horizontal="center" vertical="center" wrapText="1"/>
    </xf>
    <xf numFmtId="0" fontId="68" fillId="0" borderId="0" xfId="0" applyFont="1" applyBorder="1" applyAlignment="1">
      <alignment horizontal="center" vertical="center" wrapText="1"/>
    </xf>
    <xf numFmtId="0" fontId="68" fillId="0" borderId="30" xfId="0" applyFont="1" applyBorder="1" applyAlignment="1">
      <alignment horizontal="center" vertical="center" wrapText="1"/>
    </xf>
    <xf numFmtId="0" fontId="68" fillId="0" borderId="11" xfId="0" applyFont="1" applyBorder="1" applyAlignment="1">
      <alignment horizontal="center" vertical="center" wrapText="1"/>
    </xf>
    <xf numFmtId="0" fontId="68" fillId="0" borderId="24" xfId="0" applyFont="1" applyBorder="1" applyAlignment="1">
      <alignment horizontal="center" vertical="center"/>
    </xf>
    <xf numFmtId="0" fontId="68" fillId="0" borderId="25" xfId="0" applyFont="1" applyBorder="1" applyAlignment="1">
      <alignment horizontal="center" vertical="center"/>
    </xf>
    <xf numFmtId="0" fontId="68" fillId="0" borderId="38" xfId="0" applyFont="1" applyBorder="1" applyAlignment="1">
      <alignment horizontal="center" vertical="center"/>
    </xf>
    <xf numFmtId="0" fontId="68" fillId="0" borderId="16" xfId="0" applyFont="1" applyBorder="1" applyAlignment="1">
      <alignment horizontal="center" vertical="center"/>
    </xf>
    <xf numFmtId="0" fontId="0" fillId="17" borderId="26" xfId="0" applyFill="1" applyBorder="1" applyAlignment="1">
      <alignment horizontal="center" vertical="center"/>
    </xf>
    <xf numFmtId="0" fontId="0" fillId="17" borderId="27" xfId="0" applyFill="1" applyBorder="1" applyAlignment="1">
      <alignment horizontal="center" vertical="center"/>
    </xf>
    <xf numFmtId="0" fontId="0" fillId="17" borderId="2" xfId="0" applyFill="1" applyBorder="1" applyAlignment="1">
      <alignment horizontal="center" vertical="center"/>
    </xf>
    <xf numFmtId="0" fontId="49" fillId="0" borderId="23" xfId="0" applyFont="1" applyBorder="1" applyAlignment="1">
      <alignment horizontal="left" vertical="center"/>
    </xf>
    <xf numFmtId="0" fontId="49" fillId="0" borderId="24" xfId="0" applyFont="1" applyBorder="1" applyAlignment="1">
      <alignment horizontal="left" vertical="center"/>
    </xf>
    <xf numFmtId="0" fontId="49" fillId="0" borderId="25" xfId="0" applyFont="1" applyBorder="1" applyAlignment="1">
      <alignment horizontal="left" vertical="center"/>
    </xf>
    <xf numFmtId="0" fontId="49" fillId="0" borderId="3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/>
    </xf>
    <xf numFmtId="0" fontId="49" fillId="0" borderId="4" xfId="0" applyFont="1" applyBorder="1" applyAlignment="1">
      <alignment horizontal="center" vertical="center"/>
    </xf>
    <xf numFmtId="0" fontId="0" fillId="0" borderId="37" xfId="0" applyBorder="1" applyAlignment="1">
      <alignment horizontal="left" vertical="center" wrapText="1"/>
    </xf>
    <xf numFmtId="0" fontId="0" fillId="0" borderId="15" xfId="0" applyBorder="1" applyAlignment="1">
      <alignment horizontal="left" vertical="center" wrapText="1"/>
    </xf>
    <xf numFmtId="0" fontId="0" fillId="0" borderId="38" xfId="0" applyBorder="1" applyAlignment="1">
      <alignment horizontal="left" vertical="center" wrapText="1"/>
    </xf>
    <xf numFmtId="0" fontId="0" fillId="0" borderId="16" xfId="0" applyBorder="1" applyAlignment="1">
      <alignment horizontal="left" vertical="center" wrapText="1"/>
    </xf>
    <xf numFmtId="0" fontId="68" fillId="0" borderId="42" xfId="0" applyFont="1" applyFill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/>
    </xf>
    <xf numFmtId="0" fontId="68" fillId="0" borderId="41" xfId="0" applyFont="1" applyBorder="1" applyAlignment="1">
      <alignment horizontal="center" vertical="center" wrapText="1"/>
    </xf>
    <xf numFmtId="0" fontId="68" fillId="0" borderId="5" xfId="0" applyFont="1" applyBorder="1" applyAlignment="1">
      <alignment horizontal="center" vertical="center" wrapText="1"/>
    </xf>
    <xf numFmtId="0" fontId="68" fillId="0" borderId="1" xfId="0" applyFont="1" applyFill="1" applyBorder="1" applyAlignment="1">
      <alignment horizontal="center" vertical="center" wrapText="1"/>
    </xf>
    <xf numFmtId="0" fontId="14" fillId="0" borderId="77" xfId="0" applyNumberFormat="1" applyFont="1" applyFill="1" applyBorder="1" applyAlignment="1">
      <alignment horizontal="left" vertical="center"/>
    </xf>
    <xf numFmtId="0" fontId="14" fillId="0" borderId="79" xfId="0" applyNumberFormat="1" applyFont="1" applyFill="1" applyBorder="1" applyAlignment="1">
      <alignment horizontal="left" vertical="center"/>
    </xf>
    <xf numFmtId="0" fontId="13" fillId="18" borderId="84" xfId="0" applyNumberFormat="1" applyFont="1" applyFill="1" applyBorder="1" applyAlignment="1">
      <alignment horizontal="center" vertical="center"/>
    </xf>
    <xf numFmtId="0" fontId="13" fillId="18" borderId="89" xfId="0" applyNumberFormat="1" applyFont="1" applyFill="1" applyBorder="1" applyAlignment="1">
      <alignment horizontal="center" vertical="center"/>
    </xf>
    <xf numFmtId="0" fontId="14" fillId="0" borderId="80" xfId="0" applyNumberFormat="1" applyFont="1" applyFill="1" applyBorder="1" applyAlignment="1">
      <alignment horizontal="left" vertical="center"/>
    </xf>
    <xf numFmtId="0" fontId="14" fillId="0" borderId="90" xfId="0" applyNumberFormat="1" applyFont="1" applyFill="1" applyBorder="1" applyAlignment="1">
      <alignment horizontal="left" vertical="center"/>
    </xf>
    <xf numFmtId="0" fontId="13" fillId="0" borderId="91" xfId="0" applyNumberFormat="1" applyFont="1" applyFill="1" applyBorder="1" applyAlignment="1">
      <alignment horizontal="center" vertical="center"/>
    </xf>
    <xf numFmtId="0" fontId="13" fillId="0" borderId="92" xfId="0" applyNumberFormat="1" applyFont="1" applyFill="1" applyBorder="1" applyAlignment="1">
      <alignment horizontal="center" vertical="center"/>
    </xf>
    <xf numFmtId="0" fontId="13" fillId="0" borderId="93" xfId="0" applyNumberFormat="1" applyFont="1" applyFill="1" applyBorder="1" applyAlignment="1">
      <alignment horizontal="center" vertical="center"/>
    </xf>
    <xf numFmtId="0" fontId="42" fillId="0" borderId="94" xfId="0" applyFont="1" applyBorder="1" applyAlignment="1">
      <alignment horizontal="center"/>
    </xf>
    <xf numFmtId="0" fontId="42" fillId="0" borderId="95" xfId="0" applyFont="1" applyBorder="1" applyAlignment="1">
      <alignment horizontal="center"/>
    </xf>
    <xf numFmtId="0" fontId="42" fillId="0" borderId="96" xfId="0" applyFont="1" applyBorder="1" applyAlignment="1">
      <alignment horizontal="center"/>
    </xf>
    <xf numFmtId="0" fontId="47" fillId="15" borderId="28" xfId="0" applyFont="1" applyFill="1" applyBorder="1" applyAlignment="1">
      <alignment horizontal="left"/>
    </xf>
    <xf numFmtId="0" fontId="47" fillId="15" borderId="12" xfId="0" applyFont="1" applyFill="1" applyBorder="1" applyAlignment="1">
      <alignment horizontal="left"/>
    </xf>
  </cellXfs>
  <cellStyles count="2">
    <cellStyle name="Обычный" xfId="0" builtinId="0"/>
    <cellStyle name="Обычный 2" xfId="1"/>
  </cellStyles>
  <dxfs count="22">
    <dxf>
      <font>
        <b/>
        <i val="0"/>
        <color rgb="FFC00000"/>
      </font>
    </dxf>
    <dxf>
      <font>
        <b/>
        <i val="0"/>
        <color rgb="FFC00000"/>
      </font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  <dxf>
      <fill>
        <patternFill patternType="none">
          <bgColor indexed="65"/>
        </patternFill>
      </fill>
    </dxf>
    <dxf>
      <fill>
        <patternFill>
          <bgColor indexed="11"/>
        </patternFill>
      </fill>
    </dxf>
    <dxf>
      <fill>
        <patternFill>
          <bgColor indexed="52"/>
        </patternFill>
      </fill>
    </dxf>
    <dxf>
      <fill>
        <patternFill>
          <bgColor indexed="52"/>
        </patternFill>
      </fill>
    </dxf>
    <dxf>
      <fill>
        <patternFill>
          <bgColor indexed="1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высота ступеньки РТОу (a ¹ 75</a:t>
            </a:r>
            <a:r>
              <a:rPr lang="ru-RU" sz="1100" b="1" i="0" u="none" strike="noStrike" baseline="30000">
                <a:solidFill>
                  <a:srgbClr val="000000"/>
                </a:solidFill>
                <a:latin typeface="Arial Cyr"/>
                <a:cs typeface="Arial Cyr"/>
              </a:rPr>
              <a:t>о</a:t>
            </a:r>
            <a:r>
              <a:rPr lang="ru-RU" sz="1100" b="1" i="0" u="none" strike="noStrike" baseline="0">
                <a:solidFill>
                  <a:srgbClr val="000000"/>
                </a:solidFill>
                <a:latin typeface="Arial Cyr"/>
                <a:cs typeface="Arial Cyr"/>
              </a:rPr>
              <a:t>)</a:t>
            </a:r>
          </a:p>
        </c:rich>
      </c:tx>
      <c:layout>
        <c:manualLayout>
          <c:xMode val="edge"/>
          <c:yMode val="edge"/>
          <c:x val="0.3424128598711153"/>
          <c:y val="3.678936326730784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8573406307512448E-2"/>
          <c:y val="0.23076923076923078"/>
          <c:w val="0.87159643471905746"/>
          <c:h val="0.53846153846153844"/>
        </c:manualLayout>
      </c:layout>
      <c:scatterChart>
        <c:scatterStyle val="lineMarker"/>
        <c:varyColors val="0"/>
        <c:ser>
          <c:idx val="1"/>
          <c:order val="0"/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trendline>
            <c:spPr>
              <a:ln w="25400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dispRSqr val="0"/>
            <c:dispEq val="1"/>
            <c:trendlineLbl>
              <c:layout>
                <c:manualLayout>
                  <c:x val="-0.18459203948425754"/>
                  <c:y val="-0.12040133779264214"/>
                </c:manualLayout>
              </c:layout>
              <c:tx>
                <c:rich>
                  <a:bodyPr/>
                  <a:lstStyle/>
                  <a:p>
                    <a:pPr>
                      <a:defRPr sz="925" b="0" i="0" u="none" strike="noStrike" baseline="0">
                        <a:solidFill>
                          <a:srgbClr val="000000"/>
                        </a:solidFill>
                        <a:latin typeface="Arial Cyr"/>
                        <a:ea typeface="Arial Cyr"/>
                        <a:cs typeface="Arial Cyr"/>
                      </a:defRPr>
                    </a:pP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y = -1E-05x</a:t>
                    </a:r>
                    <a:r>
                      <a:rPr lang="ru-RU" sz="1100" b="0" i="0" u="none" strike="noStrike" baseline="3000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2</a:t>
                    </a:r>
                    <a:r>
                      <a:rPr lang="ru-RU" sz="1100" b="0" i="0" u="none" strike="noStrike" baseline="0">
                        <a:solidFill>
                          <a:srgbClr val="000000"/>
                        </a:solidFill>
                        <a:latin typeface="Arial Cyr"/>
                        <a:cs typeface="Arial Cyr"/>
                      </a:rPr>
                      <a:t> + 0,0028x - 0,0137</a:t>
                    </a:r>
                  </a:p>
                </c:rich>
              </c:tx>
              <c:numFmt formatCode="General" sourceLinked="0"/>
              <c:spPr>
                <a:noFill/>
                <a:ln w="25400">
                  <a:noFill/>
                </a:ln>
              </c:spPr>
            </c:trendlineLbl>
          </c:trendline>
          <c:xVal>
            <c:numRef>
              <c:f>Гидравлика!$AP$4:$AP$12</c:f>
              <c:numCache>
                <c:formatCode>General</c:formatCode>
                <c:ptCount val="9"/>
                <c:pt idx="0">
                  <c:v>70</c:v>
                </c:pt>
                <c:pt idx="1">
                  <c:v>65</c:v>
                </c:pt>
                <c:pt idx="2">
                  <c:v>60</c:v>
                </c:pt>
                <c:pt idx="3">
                  <c:v>55</c:v>
                </c:pt>
                <c:pt idx="4">
                  <c:v>50</c:v>
                </c:pt>
                <c:pt idx="5">
                  <c:v>45</c:v>
                </c:pt>
                <c:pt idx="6">
                  <c:v>40</c:v>
                </c:pt>
                <c:pt idx="7">
                  <c:v>35</c:v>
                </c:pt>
                <c:pt idx="8">
                  <c:v>30</c:v>
                </c:pt>
              </c:numCache>
            </c:numRef>
          </c:xVal>
          <c:yVal>
            <c:numRef>
              <c:f>Гидравлика!$AR$4:$AR$12</c:f>
              <c:numCache>
                <c:formatCode>General</c:formatCode>
                <c:ptCount val="9"/>
                <c:pt idx="0">
                  <c:v>0.108</c:v>
                </c:pt>
                <c:pt idx="1">
                  <c:v>0.104</c:v>
                </c:pt>
                <c:pt idx="2">
                  <c:v>0.1</c:v>
                </c:pt>
                <c:pt idx="3">
                  <c:v>9.4E-2</c:v>
                </c:pt>
                <c:pt idx="4">
                  <c:v>8.7999999999999995E-2</c:v>
                </c:pt>
                <c:pt idx="5">
                  <c:v>8.1000000000000003E-2</c:v>
                </c:pt>
                <c:pt idx="6">
                  <c:v>7.3999999999999996E-2</c:v>
                </c:pt>
                <c:pt idx="7">
                  <c:v>6.6000000000000003E-2</c:v>
                </c:pt>
                <c:pt idx="8">
                  <c:v>5.6000000000000001E-2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B8-4810-9CE3-8FB32CBA0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268544"/>
        <c:axId val="1"/>
      </c:scatterChart>
      <c:valAx>
        <c:axId val="2442685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угол a, </a:t>
                </a:r>
                <a:r>
                  <a:rPr lang="ru-RU" sz="925" b="1" i="0" u="none" strike="noStrike" baseline="30000">
                    <a:solidFill>
                      <a:srgbClr val="000000"/>
                    </a:solidFill>
                    <a:latin typeface="Arial Cyr"/>
                    <a:cs typeface="Arial Cyr"/>
                  </a:rPr>
                  <a:t>о</a:t>
                </a:r>
              </a:p>
            </c:rich>
          </c:tx>
          <c:layout>
            <c:manualLayout>
              <c:xMode val="edge"/>
              <c:yMode val="edge"/>
              <c:x val="0.50064918927935564"/>
              <c:y val="0.8695652489805556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h</a:t>
                </a:r>
                <a:r>
                  <a:rPr lang="ru-RU" sz="925" b="1" i="0" u="none" strike="noStrike" baseline="-25000">
                    <a:solidFill>
                      <a:srgbClr val="000000"/>
                    </a:solidFill>
                    <a:latin typeface="Arial Cyr"/>
                    <a:cs typeface="Arial Cyr"/>
                  </a:rPr>
                  <a:t>ст</a:t>
                </a:r>
                <a:r>
                  <a:rPr lang="ru-RU" sz="925" b="1" i="0" u="none" strike="noStrike" baseline="0">
                    <a:solidFill>
                      <a:srgbClr val="000000"/>
                    </a:solidFill>
                    <a:latin typeface="Arial Cyr"/>
                    <a:cs typeface="Arial Cyr"/>
                  </a:rPr>
                  <a:t>, м</a:t>
                </a:r>
              </a:p>
            </c:rich>
          </c:tx>
          <c:layout>
            <c:manualLayout>
              <c:xMode val="edge"/>
              <c:yMode val="edge"/>
              <c:x val="2.0752269779507133E-2"/>
              <c:y val="0.4448163183754279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 Cyr"/>
                <a:ea typeface="Arial Cyr"/>
                <a:cs typeface="Arial Cyr"/>
              </a:defRPr>
            </a:pPr>
            <a:endParaRPr lang="ru-RU"/>
          </a:p>
        </c:txPr>
        <c:crossAx val="244268544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 Cyr"/>
          <a:ea typeface="Arial Cyr"/>
          <a:cs typeface="Arial Cyr"/>
        </a:defRPr>
      </a:pPr>
      <a:endParaRPr lang="ru-RU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0</xdr:rowOff>
    </xdr:from>
    <xdr:to>
      <xdr:col>0</xdr:col>
      <xdr:colOff>0</xdr:colOff>
      <xdr:row>19</xdr:row>
      <xdr:rowOff>0</xdr:rowOff>
    </xdr:to>
    <xdr:sp macro="" textlink="">
      <xdr:nvSpPr>
        <xdr:cNvPr id="3040252" name="AutoShape 1025"/>
        <xdr:cNvSpPr>
          <a:spLocks/>
        </xdr:cNvSpPr>
      </xdr:nvSpPr>
      <xdr:spPr bwMode="auto">
        <a:xfrm>
          <a:off x="0" y="6096000"/>
          <a:ext cx="0" cy="238125"/>
        </a:xfrm>
        <a:prstGeom prst="leftBrace">
          <a:avLst>
            <a:gd name="adj1" fmla="val -2147483648"/>
            <a:gd name="adj2" fmla="val 50000"/>
          </a:avLst>
        </a:prstGeom>
        <a:noFill/>
        <a:ln w="5715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stealth" w="med" len="med"/>
          <a:tailEnd type="stealth" w="med" len="med"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26</xdr:col>
      <xdr:colOff>590550</xdr:colOff>
      <xdr:row>0</xdr:row>
      <xdr:rowOff>38100</xdr:rowOff>
    </xdr:from>
    <xdr:to>
      <xdr:col>39</xdr:col>
      <xdr:colOff>85725</xdr:colOff>
      <xdr:row>11</xdr:row>
      <xdr:rowOff>38100</xdr:rowOff>
    </xdr:to>
    <xdr:graphicFrame macro="">
      <xdr:nvGraphicFramePr>
        <xdr:cNvPr id="3040253" name="Диаграмма 10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9"/>
  <dimension ref="A1:H174"/>
  <sheetViews>
    <sheetView topLeftCell="A34" zoomScaleNormal="100" workbookViewId="0">
      <selection activeCell="A44" sqref="A44:IV54"/>
    </sheetView>
  </sheetViews>
  <sheetFormatPr defaultRowHeight="15" x14ac:dyDescent="0.25"/>
  <cols>
    <col min="1" max="1" width="56.5703125" style="387" customWidth="1"/>
    <col min="2" max="2" width="13" style="388" customWidth="1"/>
    <col min="3" max="5" width="18.42578125" style="388" customWidth="1"/>
    <col min="6" max="6" width="24" style="387" customWidth="1"/>
    <col min="7" max="16384" width="9.140625" style="387"/>
  </cols>
  <sheetData>
    <row r="1" spans="1:8" s="356" customFormat="1" ht="30" x14ac:dyDescent="0.25">
      <c r="A1" s="355" t="s">
        <v>13</v>
      </c>
      <c r="B1" s="355" t="s">
        <v>273</v>
      </c>
      <c r="C1" s="355" t="s">
        <v>348</v>
      </c>
      <c r="D1" s="355" t="s">
        <v>349</v>
      </c>
      <c r="E1" s="355" t="s">
        <v>350</v>
      </c>
      <c r="G1" s="357"/>
      <c r="H1" s="357"/>
    </row>
    <row r="2" spans="1:8" s="361" customFormat="1" x14ac:dyDescent="0.25">
      <c r="A2" s="358" t="s">
        <v>88</v>
      </c>
      <c r="B2" s="359"/>
      <c r="C2" s="359"/>
      <c r="D2" s="359"/>
      <c r="E2" s="360"/>
      <c r="G2" s="360"/>
      <c r="H2" s="360"/>
    </row>
    <row r="3" spans="1:8" s="356" customFormat="1" x14ac:dyDescent="0.25">
      <c r="A3" s="357" t="s">
        <v>351</v>
      </c>
      <c r="B3" s="484">
        <v>309</v>
      </c>
      <c r="C3" s="355" t="s">
        <v>46</v>
      </c>
      <c r="D3" s="363">
        <v>44222</v>
      </c>
      <c r="E3" s="357"/>
      <c r="G3" s="357"/>
      <c r="H3" s="357"/>
    </row>
    <row r="4" spans="1:8" s="356" customFormat="1" ht="30" x14ac:dyDescent="0.25">
      <c r="A4" s="357" t="s">
        <v>352</v>
      </c>
      <c r="B4" s="484">
        <v>1.82</v>
      </c>
      <c r="C4" s="355"/>
      <c r="D4" s="363">
        <v>44222</v>
      </c>
      <c r="E4" s="357"/>
      <c r="G4" s="357"/>
      <c r="H4" s="357"/>
    </row>
    <row r="5" spans="1:8" s="356" customFormat="1" x14ac:dyDescent="0.25">
      <c r="A5" s="357" t="s">
        <v>353</v>
      </c>
      <c r="B5" s="484">
        <v>0.03</v>
      </c>
      <c r="C5" s="355"/>
      <c r="D5" s="363">
        <v>44222</v>
      </c>
      <c r="E5" s="357"/>
      <c r="G5" s="357"/>
      <c r="H5" s="357"/>
    </row>
    <row r="6" spans="1:8" s="356" customFormat="1" x14ac:dyDescent="0.25">
      <c r="A6" s="357" t="s">
        <v>385</v>
      </c>
      <c r="B6" s="484">
        <v>95</v>
      </c>
      <c r="C6" s="355"/>
      <c r="D6" s="363">
        <v>44222</v>
      </c>
      <c r="E6" s="357"/>
      <c r="G6" s="357"/>
      <c r="H6" s="357"/>
    </row>
    <row r="7" spans="1:8" s="356" customFormat="1" x14ac:dyDescent="0.25">
      <c r="A7" s="357"/>
      <c r="B7" s="484"/>
      <c r="C7" s="355"/>
      <c r="D7" s="355"/>
      <c r="E7" s="357"/>
      <c r="G7" s="357"/>
      <c r="H7" s="357"/>
    </row>
    <row r="8" spans="1:8" s="356" customFormat="1" x14ac:dyDescent="0.25">
      <c r="A8" s="357"/>
      <c r="B8" s="484"/>
      <c r="C8" s="355"/>
      <c r="D8" s="355"/>
      <c r="E8" s="357"/>
      <c r="G8" s="357"/>
      <c r="H8" s="357"/>
    </row>
    <row r="9" spans="1:8" s="361" customFormat="1" x14ac:dyDescent="0.25">
      <c r="A9" s="358" t="s">
        <v>89</v>
      </c>
      <c r="B9" s="485"/>
      <c r="C9" s="359"/>
      <c r="D9" s="359"/>
      <c r="E9" s="360"/>
      <c r="G9" s="360"/>
      <c r="H9" s="360"/>
    </row>
    <row r="10" spans="1:8" s="356" customFormat="1" x14ac:dyDescent="0.25">
      <c r="A10" s="362" t="s">
        <v>354</v>
      </c>
      <c r="B10" s="484"/>
      <c r="C10" s="355"/>
      <c r="D10" s="355"/>
      <c r="E10" s="357"/>
      <c r="G10" s="357"/>
      <c r="H10" s="357"/>
    </row>
    <row r="11" spans="1:8" s="356" customFormat="1" x14ac:dyDescent="0.25">
      <c r="A11" s="357" t="s">
        <v>180</v>
      </c>
      <c r="B11" s="484">
        <v>205</v>
      </c>
      <c r="C11" s="355" t="s">
        <v>355</v>
      </c>
      <c r="D11" s="363">
        <v>44222</v>
      </c>
      <c r="E11" s="357"/>
      <c r="G11" s="357"/>
      <c r="H11" s="357"/>
    </row>
    <row r="12" spans="1:8" s="356" customFormat="1" x14ac:dyDescent="0.25">
      <c r="A12" s="357" t="s">
        <v>86</v>
      </c>
      <c r="B12" s="484">
        <v>275</v>
      </c>
      <c r="C12" s="355" t="s">
        <v>355</v>
      </c>
      <c r="D12" s="363">
        <v>44222</v>
      </c>
      <c r="E12" s="357"/>
      <c r="G12" s="357"/>
      <c r="H12" s="357"/>
    </row>
    <row r="13" spans="1:8" s="356" customFormat="1" x14ac:dyDescent="0.25">
      <c r="A13" s="357" t="s">
        <v>87</v>
      </c>
      <c r="B13" s="484">
        <v>390</v>
      </c>
      <c r="C13" s="355" t="s">
        <v>355</v>
      </c>
      <c r="D13" s="363">
        <v>44222</v>
      </c>
      <c r="E13" s="357"/>
      <c r="G13" s="357"/>
      <c r="H13" s="357"/>
    </row>
    <row r="14" spans="1:8" s="356" customFormat="1" x14ac:dyDescent="0.25">
      <c r="A14" s="357" t="s">
        <v>181</v>
      </c>
      <c r="B14" s="484">
        <v>310</v>
      </c>
      <c r="C14" s="355" t="s">
        <v>355</v>
      </c>
      <c r="D14" s="363">
        <v>44222</v>
      </c>
      <c r="E14" s="357"/>
      <c r="G14" s="357"/>
      <c r="H14" s="357"/>
    </row>
    <row r="15" spans="1:8" s="356" customFormat="1" x14ac:dyDescent="0.25">
      <c r="A15" s="357" t="s">
        <v>356</v>
      </c>
      <c r="B15" s="484">
        <v>340</v>
      </c>
      <c r="C15" s="355" t="s">
        <v>355</v>
      </c>
      <c r="D15" s="363">
        <v>44242</v>
      </c>
      <c r="E15" s="357"/>
      <c r="G15" s="357"/>
      <c r="H15" s="357"/>
    </row>
    <row r="16" spans="1:8" s="356" customFormat="1" x14ac:dyDescent="0.25">
      <c r="A16" s="357" t="s">
        <v>490</v>
      </c>
      <c r="B16" s="484">
        <v>3650</v>
      </c>
      <c r="C16" s="355" t="s">
        <v>491</v>
      </c>
      <c r="D16" s="363">
        <v>44222</v>
      </c>
      <c r="E16" s="357"/>
      <c r="G16" s="357"/>
      <c r="H16" s="357"/>
    </row>
    <row r="17" spans="1:8" s="356" customFormat="1" x14ac:dyDescent="0.25">
      <c r="A17" s="357"/>
      <c r="B17" s="355"/>
      <c r="C17" s="355"/>
      <c r="D17" s="355"/>
      <c r="E17" s="357"/>
      <c r="G17" s="357"/>
      <c r="H17" s="357"/>
    </row>
    <row r="18" spans="1:8" s="356" customFormat="1" x14ac:dyDescent="0.25">
      <c r="A18" s="357"/>
      <c r="B18" s="355"/>
      <c r="C18" s="355"/>
      <c r="D18" s="355"/>
      <c r="E18" s="357"/>
      <c r="G18" s="357"/>
      <c r="H18" s="357"/>
    </row>
    <row r="19" spans="1:8" s="356" customFormat="1" x14ac:dyDescent="0.25">
      <c r="A19" s="357"/>
      <c r="B19" s="355"/>
      <c r="C19" s="355"/>
      <c r="D19" s="355"/>
      <c r="E19" s="357"/>
      <c r="G19" s="357"/>
      <c r="H19" s="357"/>
    </row>
    <row r="20" spans="1:8" s="356" customFormat="1" x14ac:dyDescent="0.25">
      <c r="A20" s="357"/>
      <c r="B20" s="355"/>
      <c r="C20" s="355"/>
      <c r="D20" s="355"/>
      <c r="E20" s="357"/>
      <c r="G20" s="357"/>
      <c r="H20" s="357"/>
    </row>
    <row r="21" spans="1:8" s="356" customFormat="1" x14ac:dyDescent="0.25">
      <c r="A21" s="357"/>
      <c r="B21" s="355"/>
      <c r="C21" s="355"/>
      <c r="D21" s="355"/>
      <c r="E21" s="357"/>
      <c r="G21" s="357"/>
      <c r="H21" s="357"/>
    </row>
    <row r="22" spans="1:8" s="356" customFormat="1" x14ac:dyDescent="0.25">
      <c r="A22" s="357"/>
      <c r="B22" s="355"/>
      <c r="C22" s="355"/>
      <c r="D22" s="355"/>
      <c r="E22" s="357"/>
      <c r="G22" s="357"/>
      <c r="H22" s="357"/>
    </row>
    <row r="23" spans="1:8" s="356" customFormat="1" x14ac:dyDescent="0.25">
      <c r="A23" s="357"/>
      <c r="B23" s="355"/>
      <c r="C23" s="355"/>
      <c r="D23" s="355"/>
      <c r="E23" s="357"/>
      <c r="G23" s="357"/>
      <c r="H23" s="357"/>
    </row>
    <row r="24" spans="1:8" s="356" customFormat="1" x14ac:dyDescent="0.25">
      <c r="A24" s="357"/>
      <c r="B24" s="355"/>
      <c r="C24" s="355"/>
      <c r="D24" s="355"/>
      <c r="E24" s="357"/>
      <c r="G24" s="357"/>
      <c r="H24" s="357"/>
    </row>
    <row r="25" spans="1:8" s="356" customFormat="1" x14ac:dyDescent="0.25">
      <c r="A25" s="357"/>
      <c r="B25" s="355"/>
      <c r="C25" s="355"/>
      <c r="D25" s="355"/>
      <c r="E25" s="357"/>
      <c r="G25" s="357"/>
      <c r="H25" s="357"/>
    </row>
    <row r="26" spans="1:8" s="356" customFormat="1" x14ac:dyDescent="0.25">
      <c r="A26" s="357"/>
      <c r="B26" s="355"/>
      <c r="C26" s="355"/>
      <c r="D26" s="355"/>
      <c r="E26" s="355"/>
      <c r="F26" s="357"/>
      <c r="G26" s="357"/>
      <c r="H26" s="357"/>
    </row>
    <row r="27" spans="1:8" s="356" customFormat="1" x14ac:dyDescent="0.25">
      <c r="A27" s="357"/>
      <c r="B27" s="355"/>
      <c r="C27" s="355"/>
      <c r="D27" s="355"/>
      <c r="E27" s="355"/>
      <c r="F27" s="357"/>
      <c r="G27" s="357"/>
      <c r="H27" s="357"/>
    </row>
    <row r="28" spans="1:8" s="356" customFormat="1" x14ac:dyDescent="0.25">
      <c r="A28" s="357"/>
      <c r="B28" s="355"/>
      <c r="C28" s="355"/>
      <c r="D28" s="355"/>
      <c r="E28" s="355"/>
      <c r="F28" s="357"/>
      <c r="G28" s="357"/>
      <c r="H28" s="357"/>
    </row>
    <row r="29" spans="1:8" s="361" customFormat="1" ht="15.75" x14ac:dyDescent="0.25">
      <c r="A29" s="364" t="s">
        <v>366</v>
      </c>
      <c r="B29" s="365"/>
      <c r="C29" s="365"/>
      <c r="D29" s="365"/>
      <c r="E29" s="365"/>
      <c r="F29" s="366"/>
      <c r="G29" s="366"/>
      <c r="H29" s="366"/>
    </row>
    <row r="30" spans="1:8" s="356" customFormat="1" x14ac:dyDescent="0.25">
      <c r="A30" s="357" t="s">
        <v>357</v>
      </c>
      <c r="B30" s="367">
        <v>0.8</v>
      </c>
      <c r="C30" s="355"/>
      <c r="D30" s="355"/>
      <c r="E30" s="355"/>
      <c r="F30" s="357"/>
      <c r="G30" s="357"/>
      <c r="H30" s="357"/>
    </row>
    <row r="31" spans="1:8" s="356" customFormat="1" x14ac:dyDescent="0.25">
      <c r="A31" s="357" t="s">
        <v>358</v>
      </c>
      <c r="B31" s="355">
        <v>2</v>
      </c>
      <c r="C31" s="355" t="s">
        <v>359</v>
      </c>
      <c r="D31" s="355"/>
      <c r="E31" s="355"/>
      <c r="F31" s="357"/>
      <c r="G31" s="357"/>
      <c r="H31" s="357"/>
    </row>
    <row r="32" spans="1:8" s="356" customFormat="1" x14ac:dyDescent="0.25">
      <c r="A32" s="357" t="s">
        <v>360</v>
      </c>
      <c r="B32" s="367">
        <v>0.95</v>
      </c>
      <c r="C32" s="355"/>
      <c r="D32" s="355"/>
      <c r="E32" s="355"/>
      <c r="F32" s="357"/>
      <c r="G32" s="357"/>
      <c r="H32" s="357"/>
    </row>
    <row r="33" spans="1:8" s="356" customFormat="1" x14ac:dyDescent="0.25">
      <c r="A33" s="357"/>
      <c r="B33" s="355"/>
      <c r="C33" s="355"/>
      <c r="D33" s="355"/>
      <c r="E33" s="355"/>
      <c r="F33" s="357"/>
      <c r="G33" s="357"/>
      <c r="H33" s="357"/>
    </row>
    <row r="34" spans="1:8" s="356" customFormat="1" ht="30" x14ac:dyDescent="0.25">
      <c r="A34" s="368" t="s">
        <v>361</v>
      </c>
      <c r="B34" s="355" t="s">
        <v>362</v>
      </c>
      <c r="C34" s="355" t="s">
        <v>274</v>
      </c>
      <c r="D34" s="355" t="s">
        <v>363</v>
      </c>
      <c r="E34" s="355" t="s">
        <v>85</v>
      </c>
      <c r="F34" s="357"/>
      <c r="G34" s="357"/>
      <c r="H34" s="357"/>
    </row>
    <row r="35" spans="1:8" s="356" customFormat="1" x14ac:dyDescent="0.25">
      <c r="A35" s="369" t="s">
        <v>367</v>
      </c>
      <c r="B35" s="370">
        <v>737</v>
      </c>
      <c r="C35" s="371">
        <v>40</v>
      </c>
      <c r="D35" s="371">
        <v>0.37</v>
      </c>
      <c r="E35" s="372"/>
      <c r="F35" s="357"/>
      <c r="G35" s="357"/>
      <c r="H35" s="357"/>
    </row>
    <row r="36" spans="1:8" s="356" customFormat="1" x14ac:dyDescent="0.25">
      <c r="A36" s="373" t="s">
        <v>368</v>
      </c>
      <c r="B36" s="374">
        <v>811</v>
      </c>
      <c r="C36" s="375">
        <v>40</v>
      </c>
      <c r="D36" s="375">
        <v>0.37</v>
      </c>
      <c r="E36" s="376"/>
      <c r="F36" s="357"/>
      <c r="G36" s="357"/>
      <c r="H36" s="357"/>
    </row>
    <row r="37" spans="1:8" s="356" customFormat="1" ht="30" x14ac:dyDescent="0.25">
      <c r="A37" s="373" t="s">
        <v>371</v>
      </c>
      <c r="B37" s="374">
        <v>1483</v>
      </c>
      <c r="C37" s="375">
        <v>40</v>
      </c>
      <c r="D37" s="375">
        <v>0.37</v>
      </c>
      <c r="E37" s="376"/>
      <c r="F37" s="357"/>
      <c r="G37" s="357"/>
      <c r="H37" s="357"/>
    </row>
    <row r="38" spans="1:8" s="356" customFormat="1" x14ac:dyDescent="0.25">
      <c r="A38" s="373" t="s">
        <v>369</v>
      </c>
      <c r="B38" s="374">
        <v>1069</v>
      </c>
      <c r="C38" s="375">
        <v>60</v>
      </c>
      <c r="D38" s="375">
        <v>0.55000000000000004</v>
      </c>
      <c r="E38" s="376"/>
      <c r="F38" s="357"/>
      <c r="G38" s="357"/>
      <c r="H38" s="357"/>
    </row>
    <row r="39" spans="1:8" s="356" customFormat="1" x14ac:dyDescent="0.25">
      <c r="A39" s="373" t="s">
        <v>370</v>
      </c>
      <c r="B39" s="374">
        <v>1176</v>
      </c>
      <c r="C39" s="375">
        <v>60</v>
      </c>
      <c r="D39" s="375">
        <v>0.55000000000000004</v>
      </c>
      <c r="E39" s="376"/>
      <c r="F39" s="357"/>
      <c r="G39" s="357"/>
      <c r="H39" s="357"/>
    </row>
    <row r="40" spans="1:8" s="356" customFormat="1" ht="30" x14ac:dyDescent="0.25">
      <c r="A40" s="377" t="s">
        <v>372</v>
      </c>
      <c r="B40" s="378">
        <v>2151</v>
      </c>
      <c r="C40" s="379">
        <v>60</v>
      </c>
      <c r="D40" s="379">
        <v>0.37</v>
      </c>
      <c r="E40" s="380"/>
      <c r="F40" s="357"/>
      <c r="G40" s="357"/>
      <c r="H40" s="357"/>
    </row>
    <row r="41" spans="1:8" s="356" customFormat="1" x14ac:dyDescent="0.25">
      <c r="A41" s="357"/>
      <c r="B41" s="381"/>
      <c r="E41" s="363"/>
      <c r="F41" s="357"/>
      <c r="G41" s="357"/>
      <c r="H41" s="357"/>
    </row>
    <row r="42" spans="1:8" s="356" customFormat="1" x14ac:dyDescent="0.25">
      <c r="A42" s="356" t="s">
        <v>373</v>
      </c>
      <c r="B42" s="389">
        <v>5400</v>
      </c>
      <c r="C42" s="390" t="s">
        <v>374</v>
      </c>
      <c r="D42" s="355"/>
      <c r="E42" s="355"/>
      <c r="F42" s="357"/>
      <c r="G42" s="357"/>
      <c r="H42" s="357"/>
    </row>
    <row r="43" spans="1:8" s="356" customFormat="1" x14ac:dyDescent="0.25">
      <c r="B43" s="381"/>
      <c r="C43" s="355"/>
      <c r="D43" s="355"/>
      <c r="E43" s="355"/>
      <c r="F43" s="357"/>
      <c r="G43" s="357"/>
      <c r="H43" s="357"/>
    </row>
    <row r="44" spans="1:8" s="361" customFormat="1" ht="15.75" x14ac:dyDescent="0.25">
      <c r="A44" s="364" t="s">
        <v>179</v>
      </c>
      <c r="B44" s="365"/>
      <c r="C44" s="365"/>
      <c r="D44" s="365"/>
      <c r="E44" s="365"/>
      <c r="F44" s="366"/>
      <c r="G44" s="366"/>
      <c r="H44" s="366"/>
    </row>
    <row r="45" spans="1:8" s="356" customFormat="1" x14ac:dyDescent="0.25">
      <c r="A45" s="357"/>
      <c r="B45" s="355"/>
      <c r="C45" s="355"/>
      <c r="D45" s="355"/>
      <c r="E45" s="355"/>
      <c r="F45" s="357"/>
      <c r="G45" s="357"/>
      <c r="H45" s="357"/>
    </row>
    <row r="46" spans="1:8" s="356" customFormat="1" x14ac:dyDescent="0.25">
      <c r="A46" s="369" t="s">
        <v>364</v>
      </c>
      <c r="B46" s="462"/>
      <c r="C46" s="382"/>
      <c r="D46" s="355"/>
      <c r="E46" s="355"/>
      <c r="F46" s="357"/>
      <c r="G46" s="357"/>
      <c r="H46" s="357"/>
    </row>
    <row r="47" spans="1:8" s="356" customFormat="1" x14ac:dyDescent="0.25">
      <c r="A47" s="373" t="s">
        <v>495</v>
      </c>
      <c r="B47" s="461">
        <v>60</v>
      </c>
      <c r="C47" s="383" t="s">
        <v>365</v>
      </c>
      <c r="D47" s="355"/>
      <c r="E47" s="355"/>
      <c r="F47" s="357"/>
      <c r="G47" s="357"/>
      <c r="H47" s="357"/>
    </row>
    <row r="48" spans="1:8" s="356" customFormat="1" x14ac:dyDescent="0.25">
      <c r="A48" s="373" t="s">
        <v>496</v>
      </c>
      <c r="B48" s="461">
        <v>80</v>
      </c>
      <c r="C48" s="383" t="s">
        <v>365</v>
      </c>
      <c r="D48" s="355"/>
      <c r="E48" s="355"/>
      <c r="F48" s="357"/>
      <c r="G48" s="357"/>
      <c r="H48" s="357"/>
    </row>
    <row r="49" spans="1:8" s="356" customFormat="1" x14ac:dyDescent="0.25">
      <c r="A49" s="377" t="s">
        <v>265</v>
      </c>
      <c r="B49" s="463">
        <v>180</v>
      </c>
      <c r="C49" s="384" t="s">
        <v>365</v>
      </c>
      <c r="D49" s="355"/>
      <c r="E49" s="355"/>
      <c r="F49" s="357"/>
      <c r="G49" s="357"/>
      <c r="H49" s="357"/>
    </row>
    <row r="50" spans="1:8" x14ac:dyDescent="0.25">
      <c r="A50" s="357"/>
      <c r="B50" s="385"/>
      <c r="C50" s="385"/>
      <c r="D50" s="385"/>
      <c r="E50" s="385"/>
      <c r="F50" s="386"/>
      <c r="G50" s="386"/>
      <c r="H50" s="386"/>
    </row>
    <row r="51" spans="1:8" x14ac:dyDescent="0.25">
      <c r="A51" s="369" t="s">
        <v>467</v>
      </c>
      <c r="B51" s="464">
        <v>100</v>
      </c>
      <c r="C51" s="465" t="s">
        <v>365</v>
      </c>
      <c r="D51" s="490">
        <v>44364</v>
      </c>
      <c r="E51" s="385"/>
      <c r="F51" s="386"/>
      <c r="G51" s="386"/>
      <c r="H51" s="386"/>
    </row>
    <row r="52" spans="1:8" x14ac:dyDescent="0.25">
      <c r="A52" s="377" t="s">
        <v>468</v>
      </c>
      <c r="B52" s="466">
        <v>240</v>
      </c>
      <c r="C52" s="467" t="s">
        <v>365</v>
      </c>
      <c r="D52" s="490">
        <v>44364</v>
      </c>
      <c r="E52" s="385"/>
      <c r="F52" s="386"/>
      <c r="G52" s="386"/>
      <c r="H52" s="386"/>
    </row>
    <row r="53" spans="1:8" x14ac:dyDescent="0.25">
      <c r="A53" s="357"/>
      <c r="B53" s="385"/>
      <c r="C53" s="385"/>
      <c r="D53" s="385"/>
      <c r="E53" s="385"/>
      <c r="F53" s="386"/>
      <c r="G53" s="386"/>
      <c r="H53" s="386"/>
    </row>
    <row r="54" spans="1:8" x14ac:dyDescent="0.25">
      <c r="A54" s="468" t="s">
        <v>190</v>
      </c>
      <c r="B54" s="469">
        <f>900-B47</f>
        <v>840</v>
      </c>
      <c r="C54" s="470" t="s">
        <v>365</v>
      </c>
      <c r="D54" s="385"/>
      <c r="E54" s="385"/>
      <c r="F54" s="386"/>
      <c r="G54" s="386"/>
      <c r="H54" s="386"/>
    </row>
    <row r="55" spans="1:8" x14ac:dyDescent="0.25">
      <c r="A55" s="357"/>
      <c r="B55" s="385"/>
      <c r="C55" s="385"/>
      <c r="D55" s="385"/>
      <c r="E55" s="385"/>
      <c r="F55" s="386"/>
      <c r="G55" s="386"/>
      <c r="H55" s="386"/>
    </row>
    <row r="56" spans="1:8" x14ac:dyDescent="0.25">
      <c r="A56" s="357"/>
      <c r="B56" s="385"/>
      <c r="C56" s="385"/>
      <c r="D56" s="385"/>
      <c r="E56" s="385"/>
      <c r="F56" s="386"/>
      <c r="G56" s="386"/>
      <c r="H56" s="386"/>
    </row>
    <row r="57" spans="1:8" x14ac:dyDescent="0.25">
      <c r="A57" s="357"/>
      <c r="B57" s="385"/>
      <c r="C57" s="385"/>
      <c r="D57" s="385"/>
      <c r="E57" s="385"/>
      <c r="F57" s="386"/>
      <c r="G57" s="386"/>
      <c r="H57" s="386"/>
    </row>
    <row r="58" spans="1:8" x14ac:dyDescent="0.25">
      <c r="A58" s="357"/>
      <c r="B58" s="385"/>
      <c r="C58" s="385"/>
      <c r="D58" s="385"/>
      <c r="E58" s="385"/>
      <c r="F58" s="386"/>
      <c r="G58" s="386"/>
      <c r="H58" s="386"/>
    </row>
    <row r="59" spans="1:8" x14ac:dyDescent="0.25">
      <c r="A59" s="357"/>
      <c r="B59" s="385"/>
      <c r="C59" s="385"/>
      <c r="D59" s="385"/>
      <c r="E59" s="385"/>
      <c r="F59" s="386"/>
      <c r="G59" s="386"/>
      <c r="H59" s="386"/>
    </row>
    <row r="60" spans="1:8" x14ac:dyDescent="0.25">
      <c r="A60" s="357"/>
      <c r="B60" s="385"/>
      <c r="C60" s="385"/>
      <c r="D60" s="385"/>
      <c r="E60" s="385"/>
      <c r="F60" s="386"/>
      <c r="G60" s="386"/>
      <c r="H60" s="386"/>
    </row>
    <row r="61" spans="1:8" x14ac:dyDescent="0.25">
      <c r="A61" s="357"/>
      <c r="B61" s="385"/>
      <c r="C61" s="385"/>
      <c r="D61" s="385"/>
      <c r="E61" s="385"/>
      <c r="F61" s="386"/>
      <c r="G61" s="386"/>
      <c r="H61" s="386"/>
    </row>
    <row r="62" spans="1:8" x14ac:dyDescent="0.25">
      <c r="A62" s="357"/>
      <c r="B62" s="385"/>
      <c r="C62" s="385"/>
      <c r="D62" s="385"/>
      <c r="E62" s="385"/>
      <c r="F62" s="386"/>
      <c r="G62" s="386"/>
      <c r="H62" s="386"/>
    </row>
    <row r="63" spans="1:8" x14ac:dyDescent="0.25">
      <c r="A63" s="357"/>
      <c r="B63" s="385"/>
      <c r="C63" s="385"/>
      <c r="D63" s="385"/>
      <c r="E63" s="385"/>
      <c r="F63" s="386"/>
      <c r="G63" s="386"/>
      <c r="H63" s="386"/>
    </row>
    <row r="64" spans="1:8" x14ac:dyDescent="0.25">
      <c r="A64" s="357"/>
      <c r="B64" s="385"/>
      <c r="C64" s="385"/>
      <c r="D64" s="385"/>
      <c r="E64" s="385"/>
      <c r="F64" s="386"/>
      <c r="G64" s="386"/>
      <c r="H64" s="386"/>
    </row>
    <row r="65" spans="1:8" x14ac:dyDescent="0.25">
      <c r="A65" s="357"/>
      <c r="B65" s="385"/>
      <c r="C65" s="385"/>
      <c r="D65" s="385"/>
      <c r="E65" s="385"/>
      <c r="F65" s="386"/>
      <c r="G65" s="386"/>
      <c r="H65" s="386"/>
    </row>
    <row r="66" spans="1:8" x14ac:dyDescent="0.25">
      <c r="A66" s="357"/>
      <c r="B66" s="385"/>
      <c r="C66" s="385"/>
      <c r="D66" s="385"/>
      <c r="E66" s="385"/>
      <c r="F66" s="386"/>
      <c r="G66" s="386"/>
      <c r="H66" s="386"/>
    </row>
    <row r="67" spans="1:8" x14ac:dyDescent="0.25">
      <c r="A67" s="357"/>
      <c r="B67" s="385"/>
      <c r="C67" s="385"/>
      <c r="D67" s="385"/>
      <c r="E67" s="385"/>
      <c r="F67" s="386"/>
      <c r="G67" s="386"/>
      <c r="H67" s="386"/>
    </row>
    <row r="68" spans="1:8" x14ac:dyDescent="0.25">
      <c r="A68" s="357"/>
      <c r="B68" s="385"/>
      <c r="C68" s="385"/>
      <c r="D68" s="385"/>
      <c r="E68" s="385"/>
      <c r="F68" s="386"/>
      <c r="G68" s="386"/>
      <c r="H68" s="386"/>
    </row>
    <row r="69" spans="1:8" x14ac:dyDescent="0.25">
      <c r="A69" s="357"/>
      <c r="B69" s="385"/>
      <c r="C69" s="385"/>
      <c r="D69" s="385"/>
      <c r="E69" s="385"/>
      <c r="F69" s="386"/>
      <c r="G69" s="386"/>
      <c r="H69" s="386"/>
    </row>
    <row r="70" spans="1:8" x14ac:dyDescent="0.25">
      <c r="A70" s="357"/>
      <c r="B70" s="385"/>
      <c r="C70" s="385"/>
      <c r="D70" s="385"/>
      <c r="E70" s="385"/>
      <c r="F70" s="386"/>
      <c r="G70" s="386"/>
      <c r="H70" s="386"/>
    </row>
    <row r="71" spans="1:8" x14ac:dyDescent="0.25">
      <c r="A71" s="357"/>
      <c r="B71" s="385"/>
      <c r="C71" s="385"/>
      <c r="D71" s="385"/>
      <c r="E71" s="385"/>
      <c r="F71" s="386"/>
      <c r="G71" s="386"/>
      <c r="H71" s="386"/>
    </row>
    <row r="72" spans="1:8" x14ac:dyDescent="0.25">
      <c r="A72" s="357"/>
      <c r="B72" s="385"/>
      <c r="C72" s="385"/>
      <c r="D72" s="385"/>
      <c r="E72" s="385"/>
      <c r="F72" s="386"/>
      <c r="G72" s="386"/>
      <c r="H72" s="386"/>
    </row>
    <row r="73" spans="1:8" x14ac:dyDescent="0.25">
      <c r="A73" s="357"/>
      <c r="B73" s="385"/>
      <c r="C73" s="385"/>
      <c r="D73" s="385"/>
      <c r="E73" s="385"/>
      <c r="F73" s="386"/>
      <c r="G73" s="386"/>
      <c r="H73" s="386"/>
    </row>
    <row r="74" spans="1:8" x14ac:dyDescent="0.25">
      <c r="A74" s="357"/>
      <c r="B74" s="385"/>
      <c r="C74" s="385"/>
      <c r="D74" s="385"/>
      <c r="E74" s="385"/>
      <c r="F74" s="386"/>
      <c r="G74" s="386"/>
      <c r="H74" s="386"/>
    </row>
    <row r="75" spans="1:8" x14ac:dyDescent="0.25">
      <c r="A75" s="357"/>
      <c r="B75" s="385"/>
      <c r="C75" s="385"/>
      <c r="D75" s="385"/>
      <c r="E75" s="385"/>
      <c r="F75" s="386"/>
      <c r="G75" s="386"/>
      <c r="H75" s="386"/>
    </row>
    <row r="76" spans="1:8" x14ac:dyDescent="0.25">
      <c r="A76" s="357"/>
      <c r="B76" s="385"/>
      <c r="C76" s="385"/>
      <c r="D76" s="385"/>
      <c r="E76" s="385"/>
      <c r="F76" s="386"/>
      <c r="G76" s="386"/>
      <c r="H76" s="386"/>
    </row>
    <row r="77" spans="1:8" x14ac:dyDescent="0.25">
      <c r="A77" s="357"/>
      <c r="B77" s="385"/>
      <c r="C77" s="385"/>
      <c r="D77" s="385"/>
      <c r="E77" s="385"/>
      <c r="F77" s="386"/>
      <c r="G77" s="386"/>
      <c r="H77" s="386"/>
    </row>
    <row r="78" spans="1:8" x14ac:dyDescent="0.25">
      <c r="A78" s="357"/>
      <c r="B78" s="385"/>
      <c r="C78" s="385"/>
      <c r="D78" s="385"/>
      <c r="E78" s="385"/>
      <c r="F78" s="386"/>
      <c r="G78" s="386"/>
      <c r="H78" s="386"/>
    </row>
    <row r="79" spans="1:8" x14ac:dyDescent="0.25">
      <c r="A79" s="357"/>
      <c r="B79" s="385"/>
      <c r="C79" s="385"/>
      <c r="D79" s="385"/>
      <c r="E79" s="385"/>
      <c r="F79" s="386"/>
      <c r="G79" s="386"/>
      <c r="H79" s="386"/>
    </row>
    <row r="80" spans="1:8" x14ac:dyDescent="0.25">
      <c r="A80" s="357"/>
      <c r="B80" s="385"/>
      <c r="C80" s="385"/>
      <c r="D80" s="385"/>
      <c r="E80" s="385"/>
      <c r="F80" s="386"/>
      <c r="G80" s="386"/>
      <c r="H80" s="386"/>
    </row>
    <row r="81" spans="1:8" x14ac:dyDescent="0.25">
      <c r="A81" s="357"/>
      <c r="B81" s="385"/>
      <c r="C81" s="385"/>
      <c r="D81" s="385"/>
      <c r="E81" s="385"/>
      <c r="F81" s="386"/>
      <c r="G81" s="386"/>
      <c r="H81" s="386"/>
    </row>
    <row r="82" spans="1:8" x14ac:dyDescent="0.25">
      <c r="A82" s="357"/>
      <c r="B82" s="385"/>
      <c r="C82" s="385"/>
      <c r="D82" s="385"/>
      <c r="E82" s="385"/>
      <c r="F82" s="386"/>
      <c r="G82" s="386"/>
      <c r="H82" s="386"/>
    </row>
    <row r="83" spans="1:8" x14ac:dyDescent="0.25">
      <c r="A83" s="357"/>
      <c r="B83" s="385"/>
      <c r="C83" s="385"/>
      <c r="D83" s="385"/>
      <c r="E83" s="385"/>
      <c r="F83" s="386"/>
      <c r="G83" s="386"/>
      <c r="H83" s="386"/>
    </row>
    <row r="84" spans="1:8" x14ac:dyDescent="0.25">
      <c r="A84" s="357"/>
      <c r="B84" s="385"/>
      <c r="C84" s="385"/>
      <c r="D84" s="385"/>
      <c r="E84" s="385"/>
      <c r="F84" s="386"/>
      <c r="G84" s="386"/>
      <c r="H84" s="386"/>
    </row>
    <row r="85" spans="1:8" x14ac:dyDescent="0.25">
      <c r="A85" s="357"/>
      <c r="B85" s="385"/>
      <c r="C85" s="385"/>
      <c r="D85" s="385"/>
      <c r="E85" s="385"/>
      <c r="F85" s="386"/>
      <c r="G85" s="386"/>
      <c r="H85" s="386"/>
    </row>
    <row r="86" spans="1:8" x14ac:dyDescent="0.25">
      <c r="A86" s="357"/>
      <c r="B86" s="385"/>
      <c r="C86" s="385"/>
      <c r="D86" s="385"/>
      <c r="E86" s="385"/>
      <c r="F86" s="386"/>
      <c r="G86" s="386"/>
      <c r="H86" s="386"/>
    </row>
    <row r="87" spans="1:8" x14ac:dyDescent="0.25">
      <c r="A87" s="357"/>
      <c r="B87" s="385"/>
      <c r="C87" s="385"/>
      <c r="D87" s="385"/>
      <c r="E87" s="385"/>
      <c r="F87" s="386"/>
      <c r="G87" s="386"/>
      <c r="H87" s="386"/>
    </row>
    <row r="88" spans="1:8" x14ac:dyDescent="0.25">
      <c r="A88" s="357"/>
      <c r="B88" s="385"/>
      <c r="C88" s="385"/>
      <c r="D88" s="385"/>
      <c r="E88" s="385"/>
      <c r="F88" s="386"/>
      <c r="G88" s="386"/>
      <c r="H88" s="386"/>
    </row>
    <row r="89" spans="1:8" x14ac:dyDescent="0.25">
      <c r="A89" s="357"/>
      <c r="B89" s="385"/>
      <c r="C89" s="385"/>
      <c r="D89" s="385"/>
      <c r="E89" s="385"/>
      <c r="F89" s="386"/>
      <c r="G89" s="386"/>
      <c r="H89" s="386"/>
    </row>
    <row r="90" spans="1:8" x14ac:dyDescent="0.25">
      <c r="A90" s="357"/>
      <c r="B90" s="385"/>
      <c r="C90" s="385"/>
      <c r="D90" s="385"/>
      <c r="E90" s="385"/>
      <c r="F90" s="386"/>
      <c r="G90" s="386"/>
      <c r="H90" s="386"/>
    </row>
    <row r="91" spans="1:8" x14ac:dyDescent="0.25">
      <c r="A91" s="357"/>
      <c r="B91" s="385"/>
      <c r="C91" s="385"/>
      <c r="D91" s="385"/>
      <c r="E91" s="385"/>
      <c r="F91" s="386"/>
      <c r="G91" s="386"/>
      <c r="H91" s="386"/>
    </row>
    <row r="92" spans="1:8" x14ac:dyDescent="0.25">
      <c r="A92" s="357"/>
      <c r="B92" s="385"/>
      <c r="C92" s="385"/>
      <c r="D92" s="385"/>
      <c r="E92" s="385"/>
      <c r="F92" s="386"/>
      <c r="G92" s="386"/>
      <c r="H92" s="386"/>
    </row>
    <row r="93" spans="1:8" x14ac:dyDescent="0.25">
      <c r="A93" s="357"/>
      <c r="B93" s="385"/>
      <c r="C93" s="385"/>
      <c r="D93" s="385"/>
      <c r="E93" s="385"/>
      <c r="F93" s="386"/>
      <c r="G93" s="386"/>
      <c r="H93" s="386"/>
    </row>
    <row r="94" spans="1:8" x14ac:dyDescent="0.25">
      <c r="A94" s="357"/>
      <c r="B94" s="385"/>
      <c r="C94" s="385"/>
      <c r="D94" s="385"/>
      <c r="E94" s="385"/>
      <c r="F94" s="386"/>
      <c r="G94" s="386"/>
      <c r="H94" s="386"/>
    </row>
    <row r="95" spans="1:8" x14ac:dyDescent="0.25">
      <c r="A95" s="357"/>
      <c r="B95" s="385"/>
      <c r="C95" s="385"/>
      <c r="D95" s="385"/>
      <c r="E95" s="385"/>
      <c r="F95" s="386"/>
      <c r="G95" s="386"/>
      <c r="H95" s="386"/>
    </row>
    <row r="96" spans="1:8" x14ac:dyDescent="0.25">
      <c r="A96" s="357"/>
      <c r="B96" s="385"/>
      <c r="C96" s="385"/>
      <c r="D96" s="385"/>
      <c r="E96" s="385"/>
      <c r="F96" s="386"/>
      <c r="G96" s="386"/>
      <c r="H96" s="386"/>
    </row>
    <row r="97" spans="1:8" x14ac:dyDescent="0.25">
      <c r="A97" s="357"/>
      <c r="B97" s="385"/>
      <c r="C97" s="385"/>
      <c r="D97" s="385"/>
      <c r="E97" s="385"/>
      <c r="F97" s="386"/>
      <c r="G97" s="386"/>
      <c r="H97" s="386"/>
    </row>
    <row r="98" spans="1:8" x14ac:dyDescent="0.25">
      <c r="A98" s="357"/>
      <c r="B98" s="385"/>
      <c r="C98" s="385"/>
      <c r="D98" s="385"/>
      <c r="E98" s="385"/>
      <c r="F98" s="386"/>
      <c r="G98" s="386"/>
      <c r="H98" s="386"/>
    </row>
    <row r="99" spans="1:8" x14ac:dyDescent="0.25">
      <c r="A99" s="357"/>
      <c r="B99" s="385"/>
      <c r="C99" s="385"/>
      <c r="D99" s="385"/>
      <c r="E99" s="385"/>
      <c r="F99" s="386"/>
      <c r="G99" s="386"/>
      <c r="H99" s="386"/>
    </row>
    <row r="100" spans="1:8" x14ac:dyDescent="0.25">
      <c r="A100" s="357"/>
      <c r="B100" s="385"/>
      <c r="C100" s="385"/>
      <c r="D100" s="385"/>
      <c r="E100" s="385"/>
      <c r="F100" s="386"/>
      <c r="G100" s="386"/>
      <c r="H100" s="386"/>
    </row>
    <row r="101" spans="1:8" x14ac:dyDescent="0.25">
      <c r="A101" s="357"/>
      <c r="B101" s="385"/>
      <c r="C101" s="385"/>
      <c r="D101" s="385"/>
      <c r="E101" s="385"/>
      <c r="F101" s="386"/>
      <c r="G101" s="386"/>
      <c r="H101" s="386"/>
    </row>
    <row r="102" spans="1:8" x14ac:dyDescent="0.25">
      <c r="A102" s="357"/>
      <c r="B102" s="385"/>
      <c r="C102" s="385"/>
      <c r="D102" s="385"/>
      <c r="E102" s="385"/>
      <c r="F102" s="386"/>
      <c r="G102" s="386"/>
      <c r="H102" s="386"/>
    </row>
    <row r="103" spans="1:8" x14ac:dyDescent="0.25">
      <c r="A103" s="357"/>
      <c r="B103" s="385"/>
      <c r="C103" s="385"/>
      <c r="D103" s="385"/>
      <c r="E103" s="385"/>
      <c r="F103" s="386"/>
      <c r="G103" s="386"/>
      <c r="H103" s="386"/>
    </row>
    <row r="104" spans="1:8" x14ac:dyDescent="0.25">
      <c r="A104" s="357"/>
      <c r="B104" s="385"/>
      <c r="C104" s="385"/>
      <c r="D104" s="385"/>
      <c r="E104" s="385"/>
      <c r="F104" s="386"/>
      <c r="G104" s="386"/>
      <c r="H104" s="386"/>
    </row>
    <row r="105" spans="1:8" x14ac:dyDescent="0.25">
      <c r="A105" s="357"/>
      <c r="B105" s="385"/>
      <c r="C105" s="385"/>
      <c r="D105" s="385"/>
      <c r="E105" s="385"/>
      <c r="F105" s="386"/>
      <c r="G105" s="386"/>
      <c r="H105" s="386"/>
    </row>
    <row r="106" spans="1:8" x14ac:dyDescent="0.25">
      <c r="A106" s="357"/>
      <c r="B106" s="385"/>
      <c r="C106" s="385"/>
      <c r="D106" s="385"/>
      <c r="E106" s="385"/>
      <c r="F106" s="386"/>
      <c r="G106" s="386"/>
      <c r="H106" s="386"/>
    </row>
    <row r="107" spans="1:8" x14ac:dyDescent="0.25">
      <c r="A107" s="357"/>
      <c r="B107" s="385"/>
      <c r="C107" s="385"/>
      <c r="D107" s="385"/>
      <c r="E107" s="385"/>
      <c r="F107" s="386"/>
      <c r="G107" s="386"/>
      <c r="H107" s="386"/>
    </row>
    <row r="108" spans="1:8" x14ac:dyDescent="0.25">
      <c r="A108" s="357"/>
      <c r="B108" s="385"/>
      <c r="C108" s="385"/>
      <c r="D108" s="385"/>
      <c r="E108" s="385"/>
      <c r="F108" s="386"/>
      <c r="G108" s="386"/>
      <c r="H108" s="386"/>
    </row>
    <row r="109" spans="1:8" x14ac:dyDescent="0.25">
      <c r="A109" s="357"/>
      <c r="B109" s="385"/>
      <c r="C109" s="385"/>
      <c r="D109" s="385"/>
      <c r="E109" s="385"/>
      <c r="F109" s="386"/>
      <c r="G109" s="386"/>
      <c r="H109" s="386"/>
    </row>
    <row r="110" spans="1:8" x14ac:dyDescent="0.25">
      <c r="A110" s="357"/>
      <c r="B110" s="385"/>
      <c r="C110" s="385"/>
      <c r="D110" s="385"/>
      <c r="E110" s="385"/>
      <c r="F110" s="386"/>
      <c r="G110" s="386"/>
      <c r="H110" s="386"/>
    </row>
    <row r="111" spans="1:8" x14ac:dyDescent="0.25">
      <c r="A111" s="357"/>
      <c r="B111" s="385"/>
      <c r="C111" s="385"/>
      <c r="D111" s="385"/>
      <c r="E111" s="385"/>
      <c r="F111" s="386"/>
      <c r="G111" s="386"/>
      <c r="H111" s="386"/>
    </row>
    <row r="112" spans="1:8" x14ac:dyDescent="0.25">
      <c r="A112" s="357"/>
      <c r="B112" s="385"/>
      <c r="C112" s="385"/>
      <c r="D112" s="385"/>
      <c r="E112" s="385"/>
      <c r="F112" s="386"/>
      <c r="G112" s="386"/>
      <c r="H112" s="386"/>
    </row>
    <row r="113" spans="1:8" x14ac:dyDescent="0.25">
      <c r="A113" s="357"/>
      <c r="B113" s="385"/>
      <c r="C113" s="385"/>
      <c r="D113" s="385"/>
      <c r="E113" s="385"/>
      <c r="F113" s="386"/>
      <c r="G113" s="386"/>
      <c r="H113" s="386"/>
    </row>
    <row r="114" spans="1:8" x14ac:dyDescent="0.25">
      <c r="A114" s="357"/>
      <c r="B114" s="385"/>
      <c r="C114" s="385"/>
      <c r="D114" s="385"/>
      <c r="E114" s="385"/>
      <c r="F114" s="386"/>
      <c r="G114" s="386"/>
      <c r="H114" s="386"/>
    </row>
    <row r="115" spans="1:8" x14ac:dyDescent="0.25">
      <c r="A115" s="357"/>
      <c r="B115" s="385"/>
      <c r="C115" s="385"/>
      <c r="D115" s="385"/>
      <c r="E115" s="385"/>
      <c r="F115" s="386"/>
      <c r="G115" s="386"/>
      <c r="H115" s="386"/>
    </row>
    <row r="116" spans="1:8" x14ac:dyDescent="0.25">
      <c r="A116" s="357"/>
      <c r="B116" s="385"/>
      <c r="C116" s="385"/>
      <c r="D116" s="385"/>
      <c r="E116" s="385"/>
      <c r="F116" s="386"/>
      <c r="G116" s="386"/>
      <c r="H116" s="386"/>
    </row>
    <row r="117" spans="1:8" x14ac:dyDescent="0.25">
      <c r="A117" s="357"/>
      <c r="B117" s="385"/>
      <c r="C117" s="385"/>
      <c r="D117" s="385"/>
      <c r="E117" s="385"/>
      <c r="F117" s="386"/>
      <c r="G117" s="386"/>
      <c r="H117" s="386"/>
    </row>
    <row r="118" spans="1:8" x14ac:dyDescent="0.25">
      <c r="A118" s="357"/>
      <c r="B118" s="385"/>
      <c r="C118" s="385"/>
      <c r="D118" s="385"/>
      <c r="E118" s="385"/>
      <c r="F118" s="386"/>
      <c r="G118" s="386"/>
      <c r="H118" s="386"/>
    </row>
    <row r="119" spans="1:8" x14ac:dyDescent="0.25">
      <c r="A119" s="357"/>
      <c r="B119" s="385"/>
      <c r="C119" s="385"/>
      <c r="D119" s="385"/>
      <c r="E119" s="385"/>
      <c r="F119" s="386"/>
      <c r="G119" s="386"/>
      <c r="H119" s="386"/>
    </row>
    <row r="120" spans="1:8" x14ac:dyDescent="0.25">
      <c r="A120" s="357"/>
      <c r="B120" s="385"/>
      <c r="C120" s="385"/>
      <c r="D120" s="385"/>
      <c r="E120" s="385"/>
      <c r="F120" s="386"/>
      <c r="G120" s="386"/>
      <c r="H120" s="386"/>
    </row>
    <row r="121" spans="1:8" x14ac:dyDescent="0.25">
      <c r="A121" s="357"/>
      <c r="B121" s="385"/>
      <c r="C121" s="385"/>
      <c r="D121" s="385"/>
      <c r="E121" s="385"/>
      <c r="F121" s="386"/>
      <c r="G121" s="386"/>
      <c r="H121" s="386"/>
    </row>
    <row r="122" spans="1:8" x14ac:dyDescent="0.25">
      <c r="A122" s="357"/>
      <c r="B122" s="385"/>
      <c r="C122" s="385"/>
      <c r="D122" s="385"/>
      <c r="E122" s="385"/>
      <c r="F122" s="386"/>
      <c r="G122" s="386"/>
      <c r="H122" s="386"/>
    </row>
    <row r="123" spans="1:8" x14ac:dyDescent="0.25">
      <c r="A123" s="357"/>
      <c r="B123" s="385"/>
      <c r="C123" s="385"/>
      <c r="D123" s="385"/>
      <c r="E123" s="385"/>
      <c r="F123" s="386"/>
      <c r="G123" s="386"/>
      <c r="H123" s="386"/>
    </row>
    <row r="124" spans="1:8" x14ac:dyDescent="0.25">
      <c r="A124" s="357"/>
      <c r="B124" s="385"/>
      <c r="C124" s="385"/>
      <c r="D124" s="385"/>
      <c r="E124" s="385"/>
      <c r="F124" s="386"/>
      <c r="G124" s="386"/>
      <c r="H124" s="386"/>
    </row>
    <row r="125" spans="1:8" x14ac:dyDescent="0.25">
      <c r="A125" s="357"/>
      <c r="B125" s="385"/>
      <c r="C125" s="385"/>
      <c r="D125" s="385"/>
      <c r="E125" s="385"/>
      <c r="F125" s="386"/>
      <c r="G125" s="386"/>
      <c r="H125" s="386"/>
    </row>
    <row r="126" spans="1:8" x14ac:dyDescent="0.25">
      <c r="A126" s="357"/>
      <c r="B126" s="385"/>
      <c r="C126" s="385"/>
      <c r="D126" s="385"/>
      <c r="E126" s="385"/>
      <c r="F126" s="386"/>
      <c r="G126" s="386"/>
      <c r="H126" s="386"/>
    </row>
    <row r="127" spans="1:8" x14ac:dyDescent="0.25">
      <c r="A127" s="357"/>
      <c r="B127" s="385"/>
      <c r="C127" s="385"/>
      <c r="D127" s="385"/>
      <c r="E127" s="385"/>
      <c r="F127" s="386"/>
      <c r="G127" s="386"/>
      <c r="H127" s="386"/>
    </row>
    <row r="128" spans="1:8" x14ac:dyDescent="0.25">
      <c r="A128" s="357"/>
      <c r="B128" s="385"/>
      <c r="C128" s="385"/>
      <c r="D128" s="385"/>
      <c r="E128" s="385"/>
      <c r="F128" s="386"/>
      <c r="G128" s="386"/>
      <c r="H128" s="386"/>
    </row>
    <row r="129" spans="1:8" x14ac:dyDescent="0.25">
      <c r="A129" s="357"/>
      <c r="B129" s="385"/>
      <c r="C129" s="385"/>
      <c r="D129" s="385"/>
      <c r="E129" s="385"/>
      <c r="F129" s="386"/>
      <c r="G129" s="386"/>
      <c r="H129" s="386"/>
    </row>
    <row r="130" spans="1:8" x14ac:dyDescent="0.25">
      <c r="A130" s="357"/>
      <c r="B130" s="385"/>
      <c r="C130" s="385"/>
      <c r="D130" s="385"/>
      <c r="E130" s="385"/>
      <c r="F130" s="386"/>
      <c r="G130" s="386"/>
      <c r="H130" s="386"/>
    </row>
    <row r="131" spans="1:8" x14ac:dyDescent="0.25">
      <c r="A131" s="357"/>
      <c r="B131" s="385"/>
      <c r="C131" s="385"/>
      <c r="D131" s="385"/>
      <c r="E131" s="385"/>
      <c r="F131" s="386"/>
      <c r="G131" s="386"/>
      <c r="H131" s="386"/>
    </row>
    <row r="132" spans="1:8" x14ac:dyDescent="0.25">
      <c r="A132" s="357"/>
      <c r="B132" s="385"/>
      <c r="C132" s="385"/>
      <c r="D132" s="385"/>
      <c r="E132" s="385"/>
      <c r="F132" s="386"/>
      <c r="G132" s="386"/>
      <c r="H132" s="386"/>
    </row>
    <row r="133" spans="1:8" x14ac:dyDescent="0.25">
      <c r="A133" s="357"/>
      <c r="B133" s="385"/>
      <c r="C133" s="385"/>
      <c r="D133" s="385"/>
      <c r="E133" s="385"/>
      <c r="F133" s="386"/>
      <c r="G133" s="386"/>
      <c r="H133" s="386"/>
    </row>
    <row r="134" spans="1:8" x14ac:dyDescent="0.25">
      <c r="A134" s="357"/>
      <c r="B134" s="385"/>
      <c r="C134" s="385"/>
      <c r="D134" s="385"/>
      <c r="E134" s="385"/>
      <c r="F134" s="386"/>
      <c r="G134" s="386"/>
      <c r="H134" s="386"/>
    </row>
    <row r="135" spans="1:8" x14ac:dyDescent="0.25">
      <c r="A135" s="357"/>
      <c r="B135" s="385"/>
      <c r="C135" s="385"/>
      <c r="D135" s="385"/>
      <c r="E135" s="385"/>
      <c r="F135" s="386"/>
      <c r="G135" s="386"/>
      <c r="H135" s="386"/>
    </row>
    <row r="136" spans="1:8" x14ac:dyDescent="0.25">
      <c r="A136" s="357"/>
      <c r="B136" s="385"/>
      <c r="C136" s="385"/>
      <c r="D136" s="385"/>
      <c r="E136" s="385"/>
      <c r="F136" s="386"/>
      <c r="G136" s="386"/>
      <c r="H136" s="386"/>
    </row>
    <row r="137" spans="1:8" x14ac:dyDescent="0.25">
      <c r="A137" s="357"/>
      <c r="B137" s="385"/>
      <c r="C137" s="385"/>
      <c r="D137" s="385"/>
      <c r="E137" s="385"/>
      <c r="F137" s="386"/>
      <c r="G137" s="386"/>
      <c r="H137" s="386"/>
    </row>
    <row r="138" spans="1:8" x14ac:dyDescent="0.25">
      <c r="A138" s="357"/>
      <c r="B138" s="385"/>
      <c r="C138" s="385"/>
      <c r="D138" s="385"/>
      <c r="E138" s="385"/>
      <c r="F138" s="386"/>
      <c r="G138" s="386"/>
      <c r="H138" s="386"/>
    </row>
    <row r="139" spans="1:8" x14ac:dyDescent="0.25">
      <c r="A139" s="357"/>
      <c r="B139" s="385"/>
      <c r="C139" s="385"/>
      <c r="D139" s="385"/>
      <c r="E139" s="385"/>
      <c r="F139" s="386"/>
      <c r="G139" s="386"/>
      <c r="H139" s="386"/>
    </row>
    <row r="140" spans="1:8" x14ac:dyDescent="0.25">
      <c r="A140" s="357"/>
      <c r="B140" s="385"/>
      <c r="C140" s="385"/>
      <c r="D140" s="385"/>
      <c r="E140" s="385"/>
      <c r="F140" s="386"/>
      <c r="G140" s="386"/>
      <c r="H140" s="386"/>
    </row>
    <row r="141" spans="1:8" x14ac:dyDescent="0.25">
      <c r="A141" s="357"/>
      <c r="B141" s="385"/>
      <c r="C141" s="385"/>
      <c r="D141" s="385"/>
      <c r="E141" s="385"/>
      <c r="F141" s="386"/>
      <c r="G141" s="386"/>
      <c r="H141" s="386"/>
    </row>
    <row r="142" spans="1:8" x14ac:dyDescent="0.25">
      <c r="A142" s="357"/>
      <c r="B142" s="385"/>
      <c r="C142" s="385"/>
      <c r="D142" s="385"/>
      <c r="E142" s="385"/>
      <c r="F142" s="386"/>
      <c r="G142" s="386"/>
      <c r="H142" s="386"/>
    </row>
    <row r="143" spans="1:8" x14ac:dyDescent="0.25">
      <c r="A143" s="357"/>
      <c r="B143" s="385"/>
      <c r="C143" s="385"/>
      <c r="D143" s="385"/>
      <c r="E143" s="385"/>
      <c r="F143" s="386"/>
      <c r="G143" s="386"/>
      <c r="H143" s="386"/>
    </row>
    <row r="144" spans="1:8" x14ac:dyDescent="0.25">
      <c r="A144" s="357"/>
      <c r="B144" s="385"/>
      <c r="C144" s="385"/>
      <c r="D144" s="385"/>
      <c r="E144" s="385"/>
      <c r="F144" s="386"/>
      <c r="G144" s="386"/>
      <c r="H144" s="386"/>
    </row>
    <row r="145" spans="1:8" x14ac:dyDescent="0.25">
      <c r="A145" s="357"/>
      <c r="B145" s="385"/>
      <c r="C145" s="385"/>
      <c r="D145" s="385"/>
      <c r="E145" s="385"/>
      <c r="F145" s="386"/>
      <c r="G145" s="386"/>
      <c r="H145" s="386"/>
    </row>
    <row r="146" spans="1:8" x14ac:dyDescent="0.25">
      <c r="A146" s="357"/>
      <c r="B146" s="385"/>
      <c r="C146" s="385"/>
      <c r="D146" s="385"/>
      <c r="E146" s="385"/>
      <c r="F146" s="386"/>
      <c r="G146" s="386"/>
      <c r="H146" s="386"/>
    </row>
    <row r="147" spans="1:8" x14ac:dyDescent="0.25">
      <c r="A147" s="357"/>
      <c r="B147" s="385"/>
      <c r="C147" s="385"/>
      <c r="D147" s="385"/>
      <c r="E147" s="385"/>
      <c r="F147" s="386"/>
      <c r="G147" s="386"/>
      <c r="H147" s="386"/>
    </row>
    <row r="148" spans="1:8" x14ac:dyDescent="0.25">
      <c r="A148" s="357"/>
      <c r="B148" s="385"/>
      <c r="C148" s="385"/>
      <c r="D148" s="385"/>
      <c r="E148" s="385"/>
      <c r="F148" s="386"/>
      <c r="G148" s="386"/>
      <c r="H148" s="386"/>
    </row>
    <row r="149" spans="1:8" x14ac:dyDescent="0.25">
      <c r="A149" s="357"/>
      <c r="B149" s="385"/>
      <c r="C149" s="385"/>
      <c r="D149" s="385"/>
      <c r="E149" s="385"/>
      <c r="F149" s="386"/>
      <c r="G149" s="386"/>
      <c r="H149" s="386"/>
    </row>
    <row r="150" spans="1:8" x14ac:dyDescent="0.25">
      <c r="A150" s="357"/>
      <c r="B150" s="385"/>
      <c r="C150" s="385"/>
      <c r="D150" s="385"/>
      <c r="E150" s="385"/>
      <c r="F150" s="386"/>
      <c r="G150" s="386"/>
      <c r="H150" s="386"/>
    </row>
    <row r="151" spans="1:8" x14ac:dyDescent="0.25">
      <c r="A151" s="357"/>
      <c r="B151" s="385"/>
      <c r="C151" s="385"/>
      <c r="D151" s="385"/>
      <c r="E151" s="385"/>
      <c r="F151" s="386"/>
      <c r="G151" s="386"/>
      <c r="H151" s="386"/>
    </row>
    <row r="152" spans="1:8" x14ac:dyDescent="0.25">
      <c r="A152" s="357"/>
      <c r="B152" s="385"/>
      <c r="C152" s="385"/>
      <c r="D152" s="385"/>
      <c r="E152" s="385"/>
      <c r="F152" s="386"/>
      <c r="G152" s="386"/>
      <c r="H152" s="386"/>
    </row>
    <row r="153" spans="1:8" x14ac:dyDescent="0.25">
      <c r="A153" s="357"/>
      <c r="B153" s="385"/>
      <c r="C153" s="385"/>
      <c r="D153" s="385"/>
      <c r="E153" s="385"/>
      <c r="F153" s="386"/>
      <c r="G153" s="386"/>
      <c r="H153" s="386"/>
    </row>
    <row r="154" spans="1:8" x14ac:dyDescent="0.25">
      <c r="A154" s="357"/>
      <c r="B154" s="385"/>
      <c r="C154" s="385"/>
      <c r="D154" s="385"/>
      <c r="E154" s="385"/>
      <c r="F154" s="386"/>
      <c r="G154" s="386"/>
      <c r="H154" s="386"/>
    </row>
    <row r="155" spans="1:8" x14ac:dyDescent="0.25">
      <c r="A155" s="357"/>
      <c r="B155" s="385"/>
      <c r="C155" s="385"/>
      <c r="D155" s="385"/>
      <c r="E155" s="385"/>
      <c r="F155" s="386"/>
      <c r="G155" s="386"/>
      <c r="H155" s="386"/>
    </row>
    <row r="156" spans="1:8" x14ac:dyDescent="0.25">
      <c r="A156" s="357"/>
      <c r="B156" s="385"/>
      <c r="C156" s="385"/>
      <c r="D156" s="385"/>
      <c r="E156" s="385"/>
      <c r="F156" s="386"/>
      <c r="G156" s="386"/>
      <c r="H156" s="386"/>
    </row>
    <row r="157" spans="1:8" x14ac:dyDescent="0.25">
      <c r="A157" s="357"/>
      <c r="B157" s="385"/>
      <c r="C157" s="385"/>
      <c r="D157" s="385"/>
      <c r="E157" s="385"/>
      <c r="F157" s="386"/>
      <c r="G157" s="386"/>
      <c r="H157" s="386"/>
    </row>
    <row r="158" spans="1:8" x14ac:dyDescent="0.25">
      <c r="A158" s="357"/>
      <c r="B158" s="385"/>
      <c r="C158" s="385"/>
      <c r="D158" s="385"/>
      <c r="E158" s="385"/>
      <c r="F158" s="386"/>
      <c r="G158" s="386"/>
      <c r="H158" s="386"/>
    </row>
    <row r="159" spans="1:8" x14ac:dyDescent="0.25">
      <c r="A159" s="357"/>
      <c r="B159" s="385"/>
      <c r="C159" s="385"/>
      <c r="D159" s="385"/>
      <c r="E159" s="385"/>
      <c r="F159" s="386"/>
      <c r="G159" s="386"/>
      <c r="H159" s="386"/>
    </row>
    <row r="160" spans="1:8" x14ac:dyDescent="0.25">
      <c r="A160" s="357"/>
      <c r="B160" s="385"/>
      <c r="C160" s="385"/>
      <c r="D160" s="385"/>
      <c r="E160" s="385"/>
      <c r="F160" s="386"/>
      <c r="G160" s="386"/>
      <c r="H160" s="386"/>
    </row>
    <row r="161" spans="1:8" x14ac:dyDescent="0.25">
      <c r="A161" s="357"/>
      <c r="B161" s="385"/>
      <c r="C161" s="385"/>
      <c r="D161" s="385"/>
      <c r="E161" s="385"/>
      <c r="F161" s="386"/>
      <c r="G161" s="386"/>
      <c r="H161" s="386"/>
    </row>
    <row r="162" spans="1:8" x14ac:dyDescent="0.25">
      <c r="A162" s="357"/>
      <c r="B162" s="385"/>
      <c r="C162" s="385"/>
      <c r="D162" s="385"/>
      <c r="E162" s="385"/>
      <c r="F162" s="386"/>
      <c r="G162" s="386"/>
      <c r="H162" s="386"/>
    </row>
    <row r="163" spans="1:8" x14ac:dyDescent="0.25">
      <c r="A163" s="357"/>
      <c r="B163" s="385"/>
      <c r="C163" s="385"/>
      <c r="D163" s="385"/>
      <c r="E163" s="385"/>
      <c r="F163" s="386"/>
      <c r="G163" s="386"/>
      <c r="H163" s="386"/>
    </row>
    <row r="164" spans="1:8" x14ac:dyDescent="0.25">
      <c r="A164" s="357"/>
      <c r="B164" s="385"/>
      <c r="C164" s="385"/>
      <c r="D164" s="385"/>
      <c r="E164" s="385"/>
      <c r="F164" s="386"/>
      <c r="G164" s="386"/>
      <c r="H164" s="386"/>
    </row>
    <row r="165" spans="1:8" x14ac:dyDescent="0.25">
      <c r="A165" s="357"/>
      <c r="B165" s="385"/>
      <c r="C165" s="385"/>
      <c r="D165" s="385"/>
      <c r="E165" s="385"/>
      <c r="F165" s="386"/>
      <c r="G165" s="386"/>
      <c r="H165" s="386"/>
    </row>
    <row r="166" spans="1:8" x14ac:dyDescent="0.25">
      <c r="A166" s="357"/>
      <c r="B166" s="385"/>
      <c r="C166" s="385"/>
      <c r="D166" s="385"/>
      <c r="E166" s="385"/>
      <c r="F166" s="386"/>
      <c r="G166" s="386"/>
      <c r="H166" s="386"/>
    </row>
    <row r="167" spans="1:8" x14ac:dyDescent="0.25">
      <c r="A167" s="357"/>
      <c r="B167" s="385"/>
      <c r="C167" s="385"/>
      <c r="D167" s="385"/>
      <c r="E167" s="385"/>
      <c r="F167" s="386"/>
      <c r="G167" s="386"/>
      <c r="H167" s="386"/>
    </row>
    <row r="168" spans="1:8" x14ac:dyDescent="0.25">
      <c r="A168" s="357"/>
      <c r="B168" s="385"/>
      <c r="C168" s="385"/>
      <c r="D168" s="385"/>
      <c r="E168" s="385"/>
      <c r="F168" s="386"/>
      <c r="G168" s="386"/>
      <c r="H168" s="386"/>
    </row>
    <row r="169" spans="1:8" x14ac:dyDescent="0.25">
      <c r="A169" s="357"/>
      <c r="B169" s="385"/>
      <c r="C169" s="385"/>
      <c r="D169" s="385"/>
      <c r="E169" s="385"/>
      <c r="F169" s="386"/>
      <c r="G169" s="386"/>
      <c r="H169" s="386"/>
    </row>
    <row r="170" spans="1:8" x14ac:dyDescent="0.25">
      <c r="A170" s="357"/>
      <c r="B170" s="385"/>
      <c r="C170" s="385"/>
      <c r="D170" s="385"/>
      <c r="E170" s="385"/>
      <c r="F170" s="386"/>
      <c r="G170" s="386"/>
      <c r="H170" s="386"/>
    </row>
    <row r="171" spans="1:8" x14ac:dyDescent="0.25">
      <c r="A171" s="357"/>
      <c r="B171" s="385"/>
      <c r="C171" s="385"/>
      <c r="D171" s="385"/>
      <c r="E171" s="385"/>
      <c r="F171" s="386"/>
      <c r="G171" s="386"/>
      <c r="H171" s="386"/>
    </row>
    <row r="172" spans="1:8" x14ac:dyDescent="0.25">
      <c r="A172" s="357"/>
      <c r="B172" s="385"/>
      <c r="C172" s="385"/>
      <c r="D172" s="385"/>
      <c r="E172" s="385"/>
      <c r="F172" s="386"/>
      <c r="G172" s="386"/>
      <c r="H172" s="386"/>
    </row>
    <row r="173" spans="1:8" x14ac:dyDescent="0.25">
      <c r="A173" s="357"/>
      <c r="B173" s="385"/>
      <c r="C173" s="385"/>
      <c r="D173" s="385"/>
      <c r="E173" s="385"/>
      <c r="F173" s="386"/>
      <c r="G173" s="386"/>
      <c r="H173" s="386"/>
    </row>
    <row r="174" spans="1:8" x14ac:dyDescent="0.25">
      <c r="A174" s="357"/>
      <c r="B174" s="385"/>
      <c r="C174" s="385"/>
      <c r="D174" s="385"/>
      <c r="E174" s="385"/>
      <c r="F174" s="386"/>
      <c r="G174" s="386"/>
      <c r="H174" s="38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3"/>
  <dimension ref="A1:AZ111"/>
  <sheetViews>
    <sheetView topLeftCell="A35" workbookViewId="0">
      <selection activeCell="D71" sqref="D71"/>
    </sheetView>
  </sheetViews>
  <sheetFormatPr defaultRowHeight="12.75" x14ac:dyDescent="0.2"/>
  <cols>
    <col min="1" max="1" width="9.5703125" customWidth="1"/>
    <col min="3" max="3" width="9.140625" customWidth="1"/>
    <col min="4" max="4" width="12" customWidth="1"/>
    <col min="5" max="5" width="10.7109375" customWidth="1"/>
    <col min="6" max="27" width="9.140625" customWidth="1"/>
  </cols>
  <sheetData>
    <row r="1" spans="1:18" x14ac:dyDescent="0.2">
      <c r="B1" t="s">
        <v>104</v>
      </c>
      <c r="J1" s="113"/>
    </row>
    <row r="2" spans="1:18" x14ac:dyDescent="0.2">
      <c r="B2" t="s">
        <v>105</v>
      </c>
      <c r="J2" s="113"/>
    </row>
    <row r="3" spans="1:18" s="71" customFormat="1" ht="38.25" x14ac:dyDescent="0.2">
      <c r="B3" s="71" t="s">
        <v>96</v>
      </c>
      <c r="C3" s="71" t="s">
        <v>173</v>
      </c>
      <c r="D3" s="71" t="s">
        <v>336</v>
      </c>
      <c r="E3" s="71" t="s">
        <v>337</v>
      </c>
      <c r="F3" s="71" t="s">
        <v>338</v>
      </c>
      <c r="J3" s="354"/>
    </row>
    <row r="4" spans="1:18" x14ac:dyDescent="0.2">
      <c r="B4">
        <v>1200</v>
      </c>
      <c r="C4">
        <v>22</v>
      </c>
      <c r="D4">
        <v>1</v>
      </c>
      <c r="E4">
        <f>(B16-400)/50*D4</f>
        <v>0</v>
      </c>
      <c r="F4">
        <f>E4+C4</f>
        <v>22</v>
      </c>
      <c r="J4" s="113"/>
    </row>
    <row r="5" spans="1:18" x14ac:dyDescent="0.2">
      <c r="B5">
        <v>1500</v>
      </c>
      <c r="C5">
        <v>41</v>
      </c>
      <c r="D5">
        <v>2</v>
      </c>
      <c r="E5">
        <f>(B16-400)/50*D5</f>
        <v>0</v>
      </c>
      <c r="F5">
        <f>E5+C5</f>
        <v>41</v>
      </c>
      <c r="J5" s="113"/>
    </row>
    <row r="6" spans="1:18" x14ac:dyDescent="0.2">
      <c r="J6" s="113"/>
    </row>
    <row r="7" spans="1:18" x14ac:dyDescent="0.2">
      <c r="B7" s="186" t="s">
        <v>172</v>
      </c>
      <c r="D7">
        <v>9</v>
      </c>
      <c r="E7" t="s">
        <v>170</v>
      </c>
      <c r="J7" s="113"/>
    </row>
    <row r="8" spans="1:18" x14ac:dyDescent="0.2">
      <c r="B8" s="186"/>
      <c r="J8" s="113"/>
    </row>
    <row r="9" spans="1:18" x14ac:dyDescent="0.2">
      <c r="B9" t="s">
        <v>174</v>
      </c>
      <c r="J9" s="113"/>
    </row>
    <row r="10" spans="1:18" x14ac:dyDescent="0.2">
      <c r="B10" s="186" t="s">
        <v>175</v>
      </c>
      <c r="J10" s="113"/>
    </row>
    <row r="11" spans="1:18" x14ac:dyDescent="0.2">
      <c r="B11" s="186" t="s">
        <v>176</v>
      </c>
      <c r="D11">
        <v>40</v>
      </c>
      <c r="E11" t="s">
        <v>170</v>
      </c>
      <c r="J11" s="113"/>
    </row>
    <row r="12" spans="1:18" x14ac:dyDescent="0.2">
      <c r="B12" s="186" t="s">
        <v>177</v>
      </c>
      <c r="D12">
        <v>60</v>
      </c>
      <c r="E12" t="s">
        <v>170</v>
      </c>
      <c r="J12" s="113"/>
    </row>
    <row r="13" spans="1:18" x14ac:dyDescent="0.2">
      <c r="B13" s="186"/>
      <c r="J13" s="113"/>
    </row>
    <row r="14" spans="1:18" ht="13.5" thickBot="1" x14ac:dyDescent="0.25">
      <c r="B14" t="str">
        <f>CONCATENATE(A16,B16,".",C16,".",D16,".",E16)</f>
        <v>РТО 400.400.850.6</v>
      </c>
      <c r="J14" s="113"/>
    </row>
    <row r="15" spans="1:18" s="71" customFormat="1" ht="39" thickBot="1" x14ac:dyDescent="0.25">
      <c r="A15" s="66" t="s">
        <v>59</v>
      </c>
      <c r="B15" s="67" t="s">
        <v>17</v>
      </c>
      <c r="C15" s="67" t="s">
        <v>18</v>
      </c>
      <c r="D15" s="68" t="s">
        <v>19</v>
      </c>
      <c r="E15" s="72" t="s">
        <v>91</v>
      </c>
      <c r="F15" s="69"/>
      <c r="G15" s="69"/>
      <c r="H15" s="69"/>
      <c r="I15" s="70"/>
      <c r="J15" s="352"/>
      <c r="K15" s="69"/>
      <c r="L15" s="69"/>
      <c r="M15" s="69"/>
      <c r="N15" s="69"/>
      <c r="O15" s="69"/>
      <c r="P15" s="69"/>
      <c r="Q15" s="69"/>
      <c r="R15" s="69"/>
    </row>
    <row r="16" spans="1:18" ht="13.5" customHeight="1" thickBot="1" x14ac:dyDescent="0.25">
      <c r="A16" s="73" t="str">
        <f>IF(E16&lt;=14,"РТО ","РГО ")</f>
        <v xml:space="preserve">РТО </v>
      </c>
      <c r="B16" s="65">
        <f>Цена!B16</f>
        <v>400</v>
      </c>
      <c r="C16" s="65">
        <f>Цена!C16</f>
        <v>400</v>
      </c>
      <c r="D16" s="65">
        <f>Цена!D16</f>
        <v>850</v>
      </c>
      <c r="E16" s="65">
        <f>Цена!E16</f>
        <v>6</v>
      </c>
      <c r="F16" s="69"/>
      <c r="G16" s="1"/>
      <c r="H16" s="1"/>
      <c r="I16" s="64"/>
      <c r="J16" s="353"/>
      <c r="K16" s="1"/>
      <c r="L16" s="1"/>
      <c r="M16" s="1"/>
      <c r="N16" s="1"/>
      <c r="O16" s="1"/>
      <c r="P16" s="1"/>
      <c r="Q16" s="1"/>
      <c r="R16" s="1"/>
    </row>
    <row r="17" spans="1:46" x14ac:dyDescent="0.2">
      <c r="J17" s="113"/>
    </row>
    <row r="18" spans="1:46" ht="13.5" thickBot="1" x14ac:dyDescent="0.25"/>
    <row r="19" spans="1:46" ht="13.5" thickBot="1" x14ac:dyDescent="0.25">
      <c r="B19" s="491" t="s">
        <v>17</v>
      </c>
      <c r="C19" s="492"/>
      <c r="D19" s="492"/>
      <c r="E19" s="492"/>
      <c r="F19" s="492"/>
      <c r="G19" s="492"/>
      <c r="H19" s="492"/>
      <c r="I19" s="492"/>
      <c r="J19" s="492"/>
      <c r="K19" s="492"/>
      <c r="L19" s="492"/>
      <c r="M19" s="492"/>
      <c r="N19" s="492"/>
      <c r="O19" s="492"/>
      <c r="P19" s="492"/>
      <c r="Q19" s="492"/>
      <c r="R19" s="492"/>
      <c r="S19" s="492"/>
      <c r="T19" s="492"/>
      <c r="U19" s="492"/>
      <c r="V19" s="492"/>
      <c r="W19" s="492"/>
      <c r="X19" s="492"/>
      <c r="Y19" s="492"/>
      <c r="Z19" s="492"/>
      <c r="AA19" s="493"/>
    </row>
    <row r="20" spans="1:46" ht="12.75" customHeight="1" thickBot="1" x14ac:dyDescent="0.25">
      <c r="A20" s="494" t="s">
        <v>168</v>
      </c>
      <c r="B20" s="285"/>
      <c r="C20" s="324">
        <v>400</v>
      </c>
      <c r="D20" s="324">
        <v>450</v>
      </c>
      <c r="E20" s="324">
        <v>500</v>
      </c>
      <c r="F20" s="324">
        <v>550</v>
      </c>
      <c r="G20" s="324">
        <v>600</v>
      </c>
      <c r="H20" s="324">
        <v>650</v>
      </c>
      <c r="I20" s="324">
        <v>700</v>
      </c>
      <c r="J20" s="324">
        <v>750</v>
      </c>
      <c r="K20" s="324">
        <v>800</v>
      </c>
      <c r="L20" s="324">
        <v>900</v>
      </c>
      <c r="M20" s="324">
        <v>1000</v>
      </c>
      <c r="N20" s="324">
        <v>1100</v>
      </c>
      <c r="O20" s="324">
        <v>1200</v>
      </c>
      <c r="P20" s="324">
        <v>1300</v>
      </c>
      <c r="Q20" s="324">
        <v>1400</v>
      </c>
      <c r="R20" s="324">
        <v>1500</v>
      </c>
      <c r="S20" s="324">
        <v>1600</v>
      </c>
      <c r="T20" s="324">
        <v>1700</v>
      </c>
      <c r="U20" s="324">
        <v>1800</v>
      </c>
      <c r="V20" s="324">
        <v>1900</v>
      </c>
      <c r="W20" s="324">
        <v>2000</v>
      </c>
      <c r="X20" s="324">
        <v>2100</v>
      </c>
      <c r="Y20" s="324">
        <v>2200</v>
      </c>
      <c r="Z20" s="324">
        <v>2300</v>
      </c>
      <c r="AA20" s="325">
        <v>2400</v>
      </c>
    </row>
    <row r="21" spans="1:46" x14ac:dyDescent="0.2">
      <c r="A21" s="495"/>
      <c r="B21" s="285">
        <v>400</v>
      </c>
      <c r="C21" s="345">
        <f ca="1">OFFSET(AQ23,MATCH($E$16,AQ24:AQ31,0),1,1,1)</f>
        <v>235</v>
      </c>
      <c r="D21" s="326">
        <f ca="1">$D$22+OFFSET($AQ$34,MATCH($E$16,$AQ$35:$AQ$42,0),3,1,1)*(B21-$B$22)/100</f>
        <v>244</v>
      </c>
      <c r="E21" s="327">
        <f ca="1">$E$22+OFFSET($AQ$45,MATCH($E$16,$AQ$46:$AQ$53,0),3,1,1)*(B21-$B$22)/100</f>
        <v>255</v>
      </c>
      <c r="F21" s="327">
        <f ca="1">$F$23+OFFSET($AQ$56,MATCH($E$16,$AQ$57:$AQ$64,0),3,1,1)*(B21-$B$23)/100</f>
        <v>261</v>
      </c>
      <c r="G21" s="327">
        <f ca="1">$G$23+OFFSET($AQ$69,MATCH($E$16,$AQ$70:$AQ$77,0),3,1,1)*(B21-$B$23)/100</f>
        <v>271</v>
      </c>
      <c r="H21" s="327">
        <f ca="1">$H$24+OFFSET($AQ$80,MATCH($E$16,$AQ$81:$AQ$88,0),3,1,1)*(B21-$B$24)/100</f>
        <v>279</v>
      </c>
      <c r="I21" s="327">
        <f ca="1">$I$24+OFFSET($AQ$91,MATCH($E$16,$AQ$92:$AQ$99,0),3,1,1)*(B21-$B$24)/100</f>
        <v>290</v>
      </c>
      <c r="J21" s="328">
        <f ca="1">$J$25+OFFSET($AQ$102,MATCH($E$16,$AQ$103:$AQ$110,0),3,1,1)*(B21-$B$25)/100</f>
        <v>293</v>
      </c>
      <c r="K21" s="327">
        <f>K22-IF($E$16=6,14,IF($E$16=8,13,IF($E$16=10,13.5,IF($E$16=12,12.75,IF($E$16=14,12.25,IF($E$16=16,11.75,IF($E$16=20,11.75,IF($E$16=40,10,0))))))))</f>
        <v>431</v>
      </c>
      <c r="L21" s="327">
        <f>L22-IF($E$16=6,15.33,IF($E$16=8,14,IF($E$16=10,14.33,IF($E$16=12,14.33,IF($E$16=14,13.33,IF($E$16=16,12.67,IF($E$16=20,12.67,IF($E$16=40,10.67,0))))))))</f>
        <v>455.35</v>
      </c>
      <c r="M21" s="327">
        <f t="shared" ref="M21:M26" si="0">M22-IF($E$16=6,16.5,IF($E$16=8,15.5,IF($E$16=10,15.5,IF($E$16=12,15,IF($E$16=14,13.5,IF($E$16=16,13.5,IF($E$16=20,13.5,IF($E$16=40,11,0))))))))</f>
        <v>482</v>
      </c>
      <c r="N21" s="327">
        <f t="shared" ref="N21:N26" si="1">N22-($N$31-$N$30)</f>
        <v>506.65999999999997</v>
      </c>
      <c r="O21" s="327">
        <f t="shared" ref="O21:O27" si="2">O22-($O$31-$O$30)</f>
        <v>524.67360000000008</v>
      </c>
      <c r="P21" s="327">
        <f t="shared" ref="P21:P28" si="3">P22-($P$32-$P$31)</f>
        <v>531.27999999999963</v>
      </c>
      <c r="Q21" s="327">
        <f t="shared" ref="Q21:Q29" si="4">Q22-IF($E$16=6,21.25,IF($E$16=8,18.42,IF($E$16=10,18.83,IF($E$16=12,17.75,IF($E$16=14,16.67,IF($E$16=16,16,IF($E$16=20,16,IF($E$16=40,12.75,0))))))))</f>
        <v>553.5</v>
      </c>
      <c r="R21" s="327">
        <f t="shared" ref="R21:R29" si="5">R22-IF($E$16=6,22.36,IF($E$16=8,20.36,IF($E$16=10,20.82,IF($E$16=12,19.45,IF($E$16=14,18.27,IF($E$16=16,17.55,IF($E$16=20,17.36,IF($E$16=40,13.55,0))))))))</f>
        <v>577.03999999999985</v>
      </c>
      <c r="S21" s="327">
        <f t="shared" ref="S21:S29" si="6">S22-IF($E$16=6,23.1,IF($E$16=8,21.4,IF($E$16=10,21.8,IF($E$16=12,20.4,IF($E$16=14,19.3,IF($E$16=16,18.3,IF($E$16=20,18.3,IF($E$16=40,14,0))))))))</f>
        <v>611.79999999999973</v>
      </c>
      <c r="T21" s="327">
        <f t="shared" ref="T21:T29" si="7">T22-IF($E$16=6,24.89,IF($E$16=8,22.33,IF($E$16=10,22.89,IF($E$16=12,21.33,IF($E$16=14,20,IF($E$16=16,19.11,IF($E$16=20,19,IF($E$16=40,14.56,0))))))))</f>
        <v>620.43000000000018</v>
      </c>
      <c r="U21" s="327">
        <f t="shared" ref="U21:U29" si="8">U22-IF($E$16=6,25.88,IF($E$16=8,23.38,IF($E$16=10,24,IF($E$16=12,22.38,IF($E$16=14,21,IF($E$16=16,19.88,IF($E$16=20,19.75,IF($E$16=40,15,0))))))))</f>
        <v>645.68000000000006</v>
      </c>
      <c r="V21" s="327">
        <f t="shared" ref="V21:V29" si="9">V22-IF($E$16=6,27.29,IF($E$16=8,24.43,IF($E$16=10,25,IF($E$16=12,23.29,IF($E$16=14,21.71,IF($E$16=16,20.57,IF($E$16=20,20.71,IF($E$16=40,15.43,0))))))))</f>
        <v>666.65000000000055</v>
      </c>
      <c r="W21" s="327">
        <f t="shared" ref="W21:W29" si="10">W22-IF($E$16=6,28.33,IF($E$16=8,25.33,IF($E$16=10,26.17,IF($E$16=12,24.17,IF($E$16=14,22.67,IF($E$16=16,21.33,IF($E$16=20,21.33,IF($E$16=40,16,0))))))))</f>
        <v>690.7199999999998</v>
      </c>
      <c r="X21" s="327">
        <f t="shared" ref="X21:X29" si="11">X22-IF($E$16=6,29.4,IF($E$16=8,26.4,IF($E$16=10,27.2,IF($E$16=12,25.2,IF($E$16=14,23.6,IF($E$16=16,22.2,IF($E$16=20,22,IF($E$16=40,16.4,0))))))))</f>
        <v>715.1999999999997</v>
      </c>
      <c r="Y21" s="327">
        <f t="shared" ref="Y21:Y29" si="12">Y22-IF($E$16=6,31,IF($E$16=8,27.5,IF($E$16=10,28.25,IF($E$16=12,26.25,IF($E$16=14,24.25,IF($E$16=16,23,IF($E$16=20,23,IF($E$16=40,16.75,0))))))))</f>
        <v>732</v>
      </c>
      <c r="Z21" s="327">
        <f t="shared" ref="Z21:Z29" si="13">Z22-IF($E$16=6,35,IF($E$16=8,28.67,IF($E$16=10,29.33,IF($E$16=12,27,IF($E$16=14,25.33,IF($E$16=16,23.67,IF($E$16=20,23.67,IF($E$16=40,17.33,0))))))))</f>
        <v>691</v>
      </c>
      <c r="AA21" s="346">
        <f t="shared" ref="AA21:AA29" si="14">AA22-IF($E$16=6,33,IF($E$16=8,29.5,IF($E$16=10,30.5,IF($E$16=12,28,IF($E$16=14,26,IF($E$16=16,24.5,IF($E$16=20,24.5,IF($E$16=40,17.5,0))))))))</f>
        <v>748</v>
      </c>
    </row>
    <row r="22" spans="1:46" x14ac:dyDescent="0.2">
      <c r="A22" s="495"/>
      <c r="B22" s="7">
        <v>500</v>
      </c>
      <c r="C22" s="347">
        <f ca="1">$C$21+OFFSET(AQ23,MATCH($E$16,AQ24:AQ31,0),2,1,1)*(B22-$B$21)/100</f>
        <v>243</v>
      </c>
      <c r="D22" s="313">
        <f ca="1">OFFSET($AQ$34,MATCH($E$16,$AQ$35:$AQ$42,0),1,1,1)</f>
        <v>252</v>
      </c>
      <c r="E22" s="313">
        <f ca="1">OFFSET($AQ$45,MATCH($E$16,$AQ$46:$AQ$53,0),1,1,1)</f>
        <v>263</v>
      </c>
      <c r="F22" s="317">
        <f ca="1">$F$23+OFFSET($AQ$56,MATCH($E$16,$AQ$57:$AQ$64,0),3,1,1)*(B22-$B$23)/100</f>
        <v>271</v>
      </c>
      <c r="G22" s="317">
        <f ca="1">$G$23+OFFSET($AQ$69,MATCH($E$16,$AQ$70:$AQ$77,0),3,1,1)*(B22-$B$23)/100</f>
        <v>281</v>
      </c>
      <c r="H22" s="317">
        <f ca="1">$H$24+OFFSET($AQ$80,MATCH($E$16,$AQ$81:$AQ$88,0),3,1,1)*(B22-$B$24)/100</f>
        <v>290</v>
      </c>
      <c r="I22" s="317">
        <f ca="1">$I$24+OFFSET($AQ$91,MATCH($E$16,$AQ$92:$AQ$99,0),3,1,1)*(B22-$B$24)/100</f>
        <v>301</v>
      </c>
      <c r="J22" s="322">
        <f ca="1">$J$25+OFFSET($AQ$102,MATCH($E$16,$AQ$103:$AQ$110,0),3,1,1)*(B22-$B$25)/100</f>
        <v>306</v>
      </c>
      <c r="K22" s="317">
        <f>K23-IF($E$16=6,14,IF($E$16=8,13,IF($E$16=10,13.5,IF($E$16=12,12.75,IF($E$16=14,12.25,IF($E$16=16,11.75,IF($E$16=20,11.75,IF($E$16=40,10,0))))))))</f>
        <v>445</v>
      </c>
      <c r="L22" s="317">
        <f>L23-IF($E$16=6,15.33,IF($E$16=8,14,IF($E$16=10,14.33,IF($E$16=12,14.33,IF($E$16=14,13.33,IF($E$16=16,12.67,IF($E$16=20,12.67,IF($E$16=40,10.67,0))))))))</f>
        <v>470.68</v>
      </c>
      <c r="M22" s="317">
        <f t="shared" si="0"/>
        <v>498.5</v>
      </c>
      <c r="N22" s="317">
        <f t="shared" si="1"/>
        <v>524.28</v>
      </c>
      <c r="O22" s="317">
        <f t="shared" si="2"/>
        <v>542.21440000000007</v>
      </c>
      <c r="P22" s="317">
        <f t="shared" si="3"/>
        <v>551.35999999999967</v>
      </c>
      <c r="Q22" s="317">
        <f t="shared" si="4"/>
        <v>574.75</v>
      </c>
      <c r="R22" s="317">
        <f t="shared" si="5"/>
        <v>599.39999999999986</v>
      </c>
      <c r="S22" s="317">
        <f t="shared" si="6"/>
        <v>634.89999999999975</v>
      </c>
      <c r="T22" s="317">
        <f t="shared" si="7"/>
        <v>645.32000000000016</v>
      </c>
      <c r="U22" s="317">
        <f t="shared" si="8"/>
        <v>671.56000000000006</v>
      </c>
      <c r="V22" s="317">
        <f t="shared" si="9"/>
        <v>693.94000000000051</v>
      </c>
      <c r="W22" s="317">
        <f t="shared" si="10"/>
        <v>719.04999999999984</v>
      </c>
      <c r="X22" s="317">
        <f t="shared" si="11"/>
        <v>744.59999999999968</v>
      </c>
      <c r="Y22" s="317">
        <f t="shared" si="12"/>
        <v>763</v>
      </c>
      <c r="Z22" s="317">
        <f t="shared" si="13"/>
        <v>726</v>
      </c>
      <c r="AA22" s="329">
        <f t="shared" si="14"/>
        <v>781</v>
      </c>
      <c r="AP22" s="186" t="s">
        <v>333</v>
      </c>
      <c r="AQ22" s="308">
        <v>400</v>
      </c>
      <c r="AR22" s="309"/>
      <c r="AS22" s="309"/>
      <c r="AT22" s="112"/>
    </row>
    <row r="23" spans="1:46" x14ac:dyDescent="0.2">
      <c r="A23" s="495"/>
      <c r="B23" s="7">
        <v>600</v>
      </c>
      <c r="C23" s="347">
        <f t="shared" ref="C23:C30" ca="1" si="15">$C$21+OFFSET($AQ$23,MATCH($E$16,$AQ$24:$AQ$31,0),2,1,1)*(B23-$B$21)/100</f>
        <v>251</v>
      </c>
      <c r="D23" s="185">
        <f t="shared" ref="D23:D29" ca="1" si="16">$D$22+OFFSET($AQ$34,MATCH($E$16,$AQ$35:$AQ$42,0),3,1,1)*(B23-$B$22)/100</f>
        <v>260</v>
      </c>
      <c r="E23" s="185">
        <f t="shared" ref="E23:E29" ca="1" si="17">$E$22+OFFSET($AQ$45,MATCH($E$16,$AQ$46:$AQ$53,0),3,1,1)*(B23-$B$22)/100</f>
        <v>271</v>
      </c>
      <c r="F23" s="313">
        <f ca="1">OFFSET($AQ$56,MATCH($E$16,$AQ$57:$AQ$64,0),1,1,1)</f>
        <v>281</v>
      </c>
      <c r="G23" s="313">
        <f ca="1">OFFSET($AQ$69,MATCH($E$16,$AQ$70:$AQ$77,0),1,1,1)</f>
        <v>291</v>
      </c>
      <c r="H23" s="317">
        <f ca="1">$H$24+OFFSET($AQ$80,MATCH($E$16,$AQ$81:$AQ$88,0),3,1,1)*(B23-$B$24)/100</f>
        <v>301</v>
      </c>
      <c r="I23" s="317">
        <f ca="1">$I$24+OFFSET($AQ$91,MATCH($E$16,$AQ$92:$AQ$99,0),3,1,1)*(B23-$B$24)/100</f>
        <v>312</v>
      </c>
      <c r="J23" s="322">
        <f ca="1">$J$25+OFFSET($AQ$102,MATCH($E$16,$AQ$103:$AQ$110,0),3,1,1)*(B23-$B$25)/100</f>
        <v>319</v>
      </c>
      <c r="K23" s="317">
        <f>K24-IF($E$16=6,14,IF($E$16=8,13,IF($E$16=10,13.5,IF($E$16=12,12.75,IF($E$16=14,12.25,IF($E$16=16,11.75,IF($E$16=20,11.75,IF($E$16=40,10,0))))))))</f>
        <v>459</v>
      </c>
      <c r="L23" s="317">
        <f>L24-IF($E$16=6,15.33,IF($E$16=8,14,IF($E$16=10,14.33,IF($E$16=12,14.33,IF($E$16=14,13.33,IF($E$16=16,12.67,IF($E$16=20,12.67,IF($E$16=40,10.67,0))))))))</f>
        <v>486.01</v>
      </c>
      <c r="M23" s="317">
        <f t="shared" si="0"/>
        <v>515</v>
      </c>
      <c r="N23" s="317">
        <f t="shared" si="1"/>
        <v>541.9</v>
      </c>
      <c r="O23" s="317">
        <f t="shared" si="2"/>
        <v>559.75520000000006</v>
      </c>
      <c r="P23" s="317">
        <f t="shared" si="3"/>
        <v>571.43999999999971</v>
      </c>
      <c r="Q23" s="317">
        <f t="shared" si="4"/>
        <v>596</v>
      </c>
      <c r="R23" s="317">
        <f t="shared" si="5"/>
        <v>621.75999999999988</v>
      </c>
      <c r="S23" s="317">
        <f t="shared" si="6"/>
        <v>657.99999999999977</v>
      </c>
      <c r="T23" s="317">
        <f t="shared" si="7"/>
        <v>670.21000000000015</v>
      </c>
      <c r="U23" s="317">
        <f t="shared" si="8"/>
        <v>697.44</v>
      </c>
      <c r="V23" s="317">
        <f t="shared" si="9"/>
        <v>721.23000000000047</v>
      </c>
      <c r="W23" s="317">
        <f t="shared" si="10"/>
        <v>747.37999999999988</v>
      </c>
      <c r="X23" s="317">
        <f t="shared" si="11"/>
        <v>773.99999999999966</v>
      </c>
      <c r="Y23" s="317">
        <f t="shared" si="12"/>
        <v>794</v>
      </c>
      <c r="Z23" s="317">
        <f t="shared" si="13"/>
        <v>761</v>
      </c>
      <c r="AA23" s="329">
        <f t="shared" si="14"/>
        <v>814</v>
      </c>
      <c r="AQ23" s="310"/>
      <c r="AR23" s="3"/>
      <c r="AS23" s="3" t="s">
        <v>328</v>
      </c>
      <c r="AT23" s="113" t="s">
        <v>327</v>
      </c>
    </row>
    <row r="24" spans="1:46" x14ac:dyDescent="0.2">
      <c r="A24" s="495"/>
      <c r="B24" s="7">
        <v>700</v>
      </c>
      <c r="C24" s="347">
        <f t="shared" ca="1" si="15"/>
        <v>259</v>
      </c>
      <c r="D24" s="185">
        <f t="shared" ca="1" si="16"/>
        <v>268</v>
      </c>
      <c r="E24" s="185">
        <f t="shared" ca="1" si="17"/>
        <v>279</v>
      </c>
      <c r="F24" s="185">
        <f t="shared" ref="F24:F29" ca="1" si="18">$F$23+OFFSET($AQ$56,MATCH($E$16,$AQ$57:$AQ$64,0),3,1,1)*(B24-$B$23)/100</f>
        <v>291</v>
      </c>
      <c r="G24" s="185">
        <f t="shared" ref="G24:G29" ca="1" si="19">$G$23+OFFSET($AQ$69,MATCH($E$16,$AQ$70:$AQ$77,0),3,1,1)*(B24-$B$23)/100</f>
        <v>301</v>
      </c>
      <c r="H24" s="313">
        <f ca="1">OFFSET($AQ$80,MATCH($E$16,$AQ$81:$AQ$88,0),1,1,1)</f>
        <v>312</v>
      </c>
      <c r="I24" s="313">
        <f ca="1">OFFSET($AQ$91,MATCH($E$16,$AQ$92:$AQ$99,0),1,1,1)</f>
        <v>323</v>
      </c>
      <c r="J24" s="322">
        <f ca="1">$J$25+OFFSET($AQ$102,MATCH($E$16,$AQ$103:$AQ$110,0),3,1,1)*(B24-$B$25)/100</f>
        <v>332</v>
      </c>
      <c r="K24" s="317">
        <f>K25-IF($E$16=6,14,IF($E$16=8,13,IF($E$16=10,13.5,IF($E$16=12,12.75,IF($E$16=14,12.25,IF($E$16=16,11.75,IF($E$16=20,11.75,IF($E$16=40,10,0))))))))</f>
        <v>473</v>
      </c>
      <c r="L24" s="317">
        <f>L25-IF($E$16=6,15.33,IF($E$16=8,14,IF($E$16=10,14.33,IF($E$16=12,14.33,IF($E$16=14,13.33,IF($E$16=16,12.67,IF($E$16=20,12.67,IF($E$16=40,10.67,0))))))))</f>
        <v>501.34</v>
      </c>
      <c r="M24" s="317">
        <f t="shared" si="0"/>
        <v>531.5</v>
      </c>
      <c r="N24" s="317">
        <f t="shared" si="1"/>
        <v>559.52</v>
      </c>
      <c r="O24" s="317">
        <f t="shared" si="2"/>
        <v>577.29600000000005</v>
      </c>
      <c r="P24" s="317">
        <f t="shared" si="3"/>
        <v>591.51999999999975</v>
      </c>
      <c r="Q24" s="317">
        <f t="shared" si="4"/>
        <v>617.25</v>
      </c>
      <c r="R24" s="317">
        <f t="shared" si="5"/>
        <v>644.11999999999989</v>
      </c>
      <c r="S24" s="317">
        <f t="shared" si="6"/>
        <v>681.0999999999998</v>
      </c>
      <c r="T24" s="317">
        <f t="shared" si="7"/>
        <v>695.10000000000014</v>
      </c>
      <c r="U24" s="317">
        <f t="shared" si="8"/>
        <v>723.32</v>
      </c>
      <c r="V24" s="317">
        <f t="shared" si="9"/>
        <v>748.52000000000044</v>
      </c>
      <c r="W24" s="317">
        <f t="shared" si="10"/>
        <v>775.70999999999992</v>
      </c>
      <c r="X24" s="317">
        <f t="shared" si="11"/>
        <v>803.39999999999964</v>
      </c>
      <c r="Y24" s="317">
        <f t="shared" si="12"/>
        <v>825</v>
      </c>
      <c r="Z24" s="317">
        <f t="shared" si="13"/>
        <v>796</v>
      </c>
      <c r="AA24" s="329">
        <f t="shared" si="14"/>
        <v>847</v>
      </c>
      <c r="AQ24" s="310">
        <v>6</v>
      </c>
      <c r="AR24" s="3">
        <v>235</v>
      </c>
      <c r="AS24" s="3">
        <f>243-AR24</f>
        <v>8</v>
      </c>
      <c r="AT24" s="113">
        <f>238-AR24</f>
        <v>3</v>
      </c>
    </row>
    <row r="25" spans="1:46" x14ac:dyDescent="0.2">
      <c r="A25" s="495"/>
      <c r="B25" s="7">
        <v>800</v>
      </c>
      <c r="C25" s="347">
        <f t="shared" ca="1" si="15"/>
        <v>267</v>
      </c>
      <c r="D25" s="185">
        <f t="shared" ca="1" si="16"/>
        <v>276</v>
      </c>
      <c r="E25" s="185">
        <f t="shared" ca="1" si="17"/>
        <v>287</v>
      </c>
      <c r="F25" s="185">
        <f t="shared" ca="1" si="18"/>
        <v>301</v>
      </c>
      <c r="G25" s="185">
        <f t="shared" ca="1" si="19"/>
        <v>311</v>
      </c>
      <c r="H25" s="185">
        <f ca="1">$H$24+OFFSET($AQ$80,MATCH($E$16,$AQ$81:$AQ$88,0),3,1,1)*(B25-$B$24)/100</f>
        <v>323</v>
      </c>
      <c r="I25" s="185">
        <f ca="1">$I$24+OFFSET($AQ$91,MATCH($E$16,$AQ$92:$AQ$99,0),3,1,1)*(B25-$B$24)/100</f>
        <v>334</v>
      </c>
      <c r="J25" s="319">
        <f ca="1">OFFSET($AQ$102,MATCH($E$16,$AQ$103:$AQ$110,0),1,1,1)</f>
        <v>345</v>
      </c>
      <c r="K25" s="284">
        <f>IF($E$16=6,487,IF($E$16=8,482,IF($E$16=10,480,IF($E$16=12,474,IF($E$16=14,468,IF($E$16=16,464,IF($E$16=20,463,IF($E$16=40,443,0))))))))</f>
        <v>487</v>
      </c>
      <c r="L25" s="317">
        <f>L26-IF($E$16=6,15.33,IF($E$16=8,14,IF($E$16=10,14.33,IF($E$16=12,14.33,IF($E$16=14,13.33,IF($E$16=16,12.67,IF($E$16=20,12.67,IF($E$16=40,10.67,0))))))))</f>
        <v>516.66999999999996</v>
      </c>
      <c r="M25" s="317">
        <f t="shared" si="0"/>
        <v>548</v>
      </c>
      <c r="N25" s="317">
        <f t="shared" si="1"/>
        <v>577.14</v>
      </c>
      <c r="O25" s="317">
        <f t="shared" si="2"/>
        <v>594.83680000000004</v>
      </c>
      <c r="P25" s="317">
        <f t="shared" si="3"/>
        <v>611.5999999999998</v>
      </c>
      <c r="Q25" s="317">
        <f t="shared" si="4"/>
        <v>638.5</v>
      </c>
      <c r="R25" s="317">
        <f t="shared" si="5"/>
        <v>666.4799999999999</v>
      </c>
      <c r="S25" s="317">
        <f t="shared" si="6"/>
        <v>704.19999999999982</v>
      </c>
      <c r="T25" s="317">
        <f t="shared" si="7"/>
        <v>719.99000000000012</v>
      </c>
      <c r="U25" s="317">
        <f t="shared" si="8"/>
        <v>749.2</v>
      </c>
      <c r="V25" s="317">
        <f t="shared" si="9"/>
        <v>775.8100000000004</v>
      </c>
      <c r="W25" s="317">
        <f t="shared" si="10"/>
        <v>804.04</v>
      </c>
      <c r="X25" s="317">
        <f t="shared" si="11"/>
        <v>832.79999999999961</v>
      </c>
      <c r="Y25" s="317">
        <f t="shared" si="12"/>
        <v>856</v>
      </c>
      <c r="Z25" s="317">
        <f t="shared" si="13"/>
        <v>831</v>
      </c>
      <c r="AA25" s="329">
        <f t="shared" si="14"/>
        <v>880</v>
      </c>
      <c r="AQ25" s="310">
        <v>8</v>
      </c>
      <c r="AR25" s="3">
        <v>234</v>
      </c>
      <c r="AS25" s="3">
        <f>242-AR25</f>
        <v>8</v>
      </c>
      <c r="AT25" s="113"/>
    </row>
    <row r="26" spans="1:46" x14ac:dyDescent="0.2">
      <c r="A26" s="495"/>
      <c r="B26" s="7">
        <v>900</v>
      </c>
      <c r="C26" s="347">
        <f t="shared" ca="1" si="15"/>
        <v>275</v>
      </c>
      <c r="D26" s="185">
        <f t="shared" ca="1" si="16"/>
        <v>284</v>
      </c>
      <c r="E26" s="185">
        <f t="shared" ca="1" si="17"/>
        <v>295</v>
      </c>
      <c r="F26" s="185">
        <f t="shared" ca="1" si="18"/>
        <v>311</v>
      </c>
      <c r="G26" s="185">
        <f t="shared" ca="1" si="19"/>
        <v>321</v>
      </c>
      <c r="H26" s="185">
        <f ca="1">$H$24+OFFSET($AQ$80,MATCH($E$16,$AQ$81:$AQ$88,0),3,1,1)*(B26-$B$24)/100</f>
        <v>334</v>
      </c>
      <c r="I26" s="185">
        <f ca="1">$I$24+OFFSET($AQ$91,MATCH($E$16,$AQ$92:$AQ$99,0),3,1,1)*(B26-$B$24)/100</f>
        <v>345</v>
      </c>
      <c r="J26" s="320">
        <f ca="1">$J$25+OFFSET($AQ$102,MATCH($E$16,$AQ$103:$AQ$110,0),3,1,1)*(B26-$B$25)/100</f>
        <v>358</v>
      </c>
      <c r="K26" s="284">
        <f>K25+IF($E$16=6,14,IF($E$16=8,13,IF($E$16=10,13.5,IF($E$16=12,12.75,IF($E$16=14,12.25,IF($E$16=16,11.75,IF($E$16=20,11.75,IF($E$16=40,10,0))))))))</f>
        <v>501</v>
      </c>
      <c r="L26" s="185">
        <f>IF($E$16=6,532,IF($E$16=8,527,IF($E$16=10,525,IF($E$16=12,516,IF($E$16=14,509,IF($E$16=16,505,IF($E$16=20,500,IF($E$16=40,479,0))))))))</f>
        <v>532</v>
      </c>
      <c r="M26" s="317">
        <f t="shared" si="0"/>
        <v>564.5</v>
      </c>
      <c r="N26" s="317">
        <f t="shared" si="1"/>
        <v>594.76</v>
      </c>
      <c r="O26" s="317">
        <f t="shared" si="2"/>
        <v>612.37760000000003</v>
      </c>
      <c r="P26" s="317">
        <f t="shared" si="3"/>
        <v>631.67999999999984</v>
      </c>
      <c r="Q26" s="317">
        <f t="shared" si="4"/>
        <v>659.75</v>
      </c>
      <c r="R26" s="317">
        <f t="shared" si="5"/>
        <v>688.83999999999992</v>
      </c>
      <c r="S26" s="317">
        <f t="shared" si="6"/>
        <v>727.29999999999984</v>
      </c>
      <c r="T26" s="317">
        <f t="shared" si="7"/>
        <v>744.88000000000011</v>
      </c>
      <c r="U26" s="317">
        <f t="shared" si="8"/>
        <v>775.08</v>
      </c>
      <c r="V26" s="317">
        <f t="shared" si="9"/>
        <v>803.10000000000036</v>
      </c>
      <c r="W26" s="317">
        <f t="shared" si="10"/>
        <v>832.37</v>
      </c>
      <c r="X26" s="317">
        <f t="shared" si="11"/>
        <v>862.19999999999959</v>
      </c>
      <c r="Y26" s="317">
        <f t="shared" si="12"/>
        <v>887</v>
      </c>
      <c r="Z26" s="317">
        <f t="shared" si="13"/>
        <v>866</v>
      </c>
      <c r="AA26" s="329">
        <f t="shared" si="14"/>
        <v>913</v>
      </c>
      <c r="AQ26" s="310">
        <v>10</v>
      </c>
      <c r="AR26" s="3">
        <v>234</v>
      </c>
      <c r="AS26" s="3">
        <f>242-AR26</f>
        <v>8</v>
      </c>
      <c r="AT26" s="113"/>
    </row>
    <row r="27" spans="1:46" x14ac:dyDescent="0.2">
      <c r="A27" s="495"/>
      <c r="B27" s="7">
        <v>1000</v>
      </c>
      <c r="C27" s="347">
        <f t="shared" ca="1" si="15"/>
        <v>283</v>
      </c>
      <c r="D27" s="185">
        <f t="shared" ca="1" si="16"/>
        <v>292</v>
      </c>
      <c r="E27" s="185">
        <f t="shared" ca="1" si="17"/>
        <v>303</v>
      </c>
      <c r="F27" s="185">
        <f t="shared" ca="1" si="18"/>
        <v>321</v>
      </c>
      <c r="G27" s="185">
        <f t="shared" ca="1" si="19"/>
        <v>331</v>
      </c>
      <c r="H27" s="185">
        <f ca="1">$H$24+OFFSET($AQ$80,MATCH($E$16,$AQ$81:$AQ$88,0),3,1,1)*(B27-$B$24)/100</f>
        <v>345</v>
      </c>
      <c r="I27" s="185">
        <f ca="1">$I$24+OFFSET($AQ$91,MATCH($E$16,$AQ$92:$AQ$99,0),3,1,1)*(B27-$B$24)/100</f>
        <v>356</v>
      </c>
      <c r="J27" s="320">
        <f ca="1">$J$25+OFFSET($AQ$102,MATCH($E$16,$AQ$103:$AQ$110,0),3,1,1)*(B27-$B$25)/100</f>
        <v>371</v>
      </c>
      <c r="K27" s="284">
        <f>K26+IF($E$16=6,14,IF($E$16=8,13,IF($E$16=10,13.5,IF($E$16=12,12.75,IF($E$16=14,12.25,IF($E$16=16,11.75,IF($E$16=20,11.75,IF($E$16=40,10,0))))))))</f>
        <v>515</v>
      </c>
      <c r="L27" s="185">
        <f>L26+IF($E$16=6,15.33,IF($E$16=8,14,IF($E$16=10,14.33,IF($E$16=12,14.33,IF($E$16=14,13.33,IF($E$16=16,12.67,IF($E$16=20,12.67,IF($E$16=40,10.67,0))))))))</f>
        <v>547.33000000000004</v>
      </c>
      <c r="M27" s="185">
        <f>IF($E$16=6,581,IF($E$16=8,572,IF($E$16=10,569,IF($E$16=12,559,IF($E$16=14,550,IF($E$16=16,545,IF($E$16=20,539,IF($E$16=40,510,0))))))))</f>
        <v>581</v>
      </c>
      <c r="N27" s="317">
        <f>N28-($N$31-$N$30)</f>
        <v>612.38</v>
      </c>
      <c r="O27" s="317">
        <f t="shared" si="2"/>
        <v>629.91840000000002</v>
      </c>
      <c r="P27" s="317">
        <f t="shared" si="3"/>
        <v>651.75999999999988</v>
      </c>
      <c r="Q27" s="317">
        <f t="shared" si="4"/>
        <v>681</v>
      </c>
      <c r="R27" s="317">
        <f t="shared" si="5"/>
        <v>711.19999999999993</v>
      </c>
      <c r="S27" s="317">
        <f t="shared" si="6"/>
        <v>750.39999999999986</v>
      </c>
      <c r="T27" s="317">
        <f t="shared" si="7"/>
        <v>769.7700000000001</v>
      </c>
      <c r="U27" s="317">
        <f t="shared" si="8"/>
        <v>800.96</v>
      </c>
      <c r="V27" s="317">
        <f t="shared" si="9"/>
        <v>830.39000000000033</v>
      </c>
      <c r="W27" s="317">
        <f t="shared" si="10"/>
        <v>860.7</v>
      </c>
      <c r="X27" s="317">
        <f t="shared" si="11"/>
        <v>891.59999999999957</v>
      </c>
      <c r="Y27" s="317">
        <f t="shared" si="12"/>
        <v>918</v>
      </c>
      <c r="Z27" s="317">
        <f t="shared" si="13"/>
        <v>901</v>
      </c>
      <c r="AA27" s="329">
        <f t="shared" si="14"/>
        <v>946</v>
      </c>
      <c r="AQ27" s="310">
        <v>12</v>
      </c>
      <c r="AR27" s="3">
        <v>233</v>
      </c>
      <c r="AS27" s="3">
        <f>241-AR27</f>
        <v>8</v>
      </c>
      <c r="AT27" s="113"/>
    </row>
    <row r="28" spans="1:46" x14ac:dyDescent="0.2">
      <c r="A28" s="495"/>
      <c r="B28" s="7">
        <v>1100</v>
      </c>
      <c r="C28" s="347">
        <f t="shared" ca="1" si="15"/>
        <v>291</v>
      </c>
      <c r="D28" s="185">
        <f t="shared" ca="1" si="16"/>
        <v>300</v>
      </c>
      <c r="E28" s="185">
        <f t="shared" ca="1" si="17"/>
        <v>311</v>
      </c>
      <c r="F28" s="185">
        <f t="shared" ca="1" si="18"/>
        <v>331</v>
      </c>
      <c r="G28" s="185">
        <f t="shared" ca="1" si="19"/>
        <v>341</v>
      </c>
      <c r="H28" s="185">
        <f ca="1">$H$24+OFFSET($AQ$80,MATCH($E$16,$AQ$81:$AQ$88,0),3,1,1)*(B28-$B$24)/100</f>
        <v>356</v>
      </c>
      <c r="I28" s="185">
        <f ca="1">$I$24+OFFSET($AQ$91,MATCH($E$16,$AQ$92:$AQ$99,0),3,1,1)*(B28-$B$24)/100</f>
        <v>367</v>
      </c>
      <c r="J28" s="320">
        <f ca="1">$J$25+OFFSET($AQ$102,MATCH($E$16,$AQ$103:$AQ$110,0),3,1,1)*(B28-$B$25)/100</f>
        <v>384</v>
      </c>
      <c r="K28" s="284">
        <f>K27+IF($E$16=6,14,IF($E$16=8,13,IF($E$16=10,13.5,IF($E$16=12,12.75,IF($E$16=14,12.25,IF($E$16=16,11.75,IF($E$16=20,11.75,IF($E$16=40,10,0))))))))</f>
        <v>529</v>
      </c>
      <c r="L28" s="185">
        <f>L27+IF($E$16=6,15.33,IF($E$16=8,14,IF($E$16=10,14.33,IF($E$16=12,14.33,IF($E$16=14,13.33,IF($E$16=16,12.67,IF($E$16=20,12.67,IF($E$16=40,10.67,0))))))))</f>
        <v>562.66000000000008</v>
      </c>
      <c r="M28" s="185">
        <f>M27+IF($E$16=6,16.5,IF($E$16=8,15.5,IF($E$16=10,15.5,IF($E$16=12,15,IF($E$16=14,13.5,IF($E$16=16,13.5,IF($E$16=20,13.5,IF($E$16=40,11,0))))))))</f>
        <v>597.5</v>
      </c>
      <c r="N28" s="185">
        <f>IF($E$16=6,630,IF($E$16=8,619,IF($E$16=10,618,IF($E$16=12,605,IF($E$16=14,594,IF($E$16=16,586,IF($E$16=20,583,IF($E$16=40,548,0))))))))</f>
        <v>630</v>
      </c>
      <c r="O28" s="317">
        <f>O29-($O$31-$O$30)</f>
        <v>647.45920000000001</v>
      </c>
      <c r="P28" s="317">
        <f t="shared" si="3"/>
        <v>671.83999999999992</v>
      </c>
      <c r="Q28" s="317">
        <f t="shared" si="4"/>
        <v>702.25</v>
      </c>
      <c r="R28" s="317">
        <f t="shared" si="5"/>
        <v>733.56</v>
      </c>
      <c r="S28" s="317">
        <f t="shared" si="6"/>
        <v>773.49999999999989</v>
      </c>
      <c r="T28" s="317">
        <f t="shared" si="7"/>
        <v>794.66000000000008</v>
      </c>
      <c r="U28" s="317">
        <f t="shared" si="8"/>
        <v>826.84</v>
      </c>
      <c r="V28" s="317">
        <f t="shared" si="9"/>
        <v>857.68000000000029</v>
      </c>
      <c r="W28" s="317">
        <f t="shared" si="10"/>
        <v>889.03000000000009</v>
      </c>
      <c r="X28" s="317">
        <f t="shared" si="11"/>
        <v>920.99999999999955</v>
      </c>
      <c r="Y28" s="317">
        <f t="shared" si="12"/>
        <v>949</v>
      </c>
      <c r="Z28" s="317">
        <f t="shared" si="13"/>
        <v>936</v>
      </c>
      <c r="AA28" s="329">
        <f t="shared" si="14"/>
        <v>979</v>
      </c>
      <c r="AQ28" s="310">
        <v>14</v>
      </c>
      <c r="AR28" s="3">
        <v>232</v>
      </c>
      <c r="AS28" s="3">
        <f>239-AR28</f>
        <v>7</v>
      </c>
      <c r="AT28" s="113"/>
    </row>
    <row r="29" spans="1:46" x14ac:dyDescent="0.2">
      <c r="A29" s="495"/>
      <c r="B29" s="7">
        <v>1200</v>
      </c>
      <c r="C29" s="348">
        <f t="shared" ca="1" si="15"/>
        <v>299</v>
      </c>
      <c r="D29" s="321">
        <f t="shared" ca="1" si="16"/>
        <v>308</v>
      </c>
      <c r="E29" s="321">
        <f t="shared" ca="1" si="17"/>
        <v>319</v>
      </c>
      <c r="F29" s="321">
        <f t="shared" ca="1" si="18"/>
        <v>341</v>
      </c>
      <c r="G29" s="321">
        <f t="shared" ca="1" si="19"/>
        <v>351</v>
      </c>
      <c r="H29" s="321">
        <f ca="1">$H$24+OFFSET($AQ$80,MATCH($E$16,$AQ$81:$AQ$88,0),3,1,1)*(B29-$B$24)/100</f>
        <v>367</v>
      </c>
      <c r="I29" s="321">
        <f ca="1">$I$24+OFFSET($AQ$91,MATCH($E$16,$AQ$92:$AQ$99,0),3,1,1)*(B29-$B$24)/100</f>
        <v>378</v>
      </c>
      <c r="J29" s="336">
        <f ca="1">$J$25+OFFSET($AQ$102,MATCH($E$16,$AQ$103:$AQ$110,0),3,1,1)*(B29-$B$25)/100</f>
        <v>397</v>
      </c>
      <c r="K29" s="337">
        <f>K28+IF($E$16=6,14,IF($E$16=8,13,IF($E$16=10,13.5,IF($E$16=12,12.75,IF($E$16=14,12.25,IF($E$16=16,11.75,IF($E$16=20,11.75,IF($E$16=40,10,0))))))))</f>
        <v>543</v>
      </c>
      <c r="L29" s="321">
        <f>L28+IF($E$16=6,15.33,IF($E$16=8,14,IF($E$16=10,14.33,IF($E$16=12,14.33,IF($E$16=14,13.33,IF($E$16=16,12.67,IF($E$16=20,12.67,IF($E$16=40,10.67,0))))))))</f>
        <v>577.99000000000012</v>
      </c>
      <c r="M29" s="321">
        <f>M28+IF($E$16=6,16.5,IF($E$16=8,15.5,IF($E$16=10,15.5,IF($E$16=12,15,IF($E$16=14,13.5,IF($E$16=16,13.5,IF($E$16=20,13.5,IF($E$16=40,11,0))))))))</f>
        <v>614</v>
      </c>
      <c r="N29" s="321">
        <f>IF($E$16=6,648,IF($E$16=8,636,IF($E$16=10,634,IF($E$16=12,620,IF($E$16=14,609,IF($E$16=16,601,IF($E$16=20,597,IF($E$16=40,560,0))))))))</f>
        <v>648</v>
      </c>
      <c r="O29" s="321">
        <f>IF($E$16=6,665,IF($E$16=8,669,IF($E$16=10,666,IF($E$16=12,652,IF($E$16=14,641,IF($E$16=16,630,IF($E$16=20,625,IF($E$16=40,584,0))))))))</f>
        <v>665</v>
      </c>
      <c r="P29" s="317">
        <f>P30-($P$32-$P$31)</f>
        <v>691.92</v>
      </c>
      <c r="Q29" s="317">
        <f t="shared" si="4"/>
        <v>723.5</v>
      </c>
      <c r="R29" s="317">
        <f t="shared" si="5"/>
        <v>755.92</v>
      </c>
      <c r="S29" s="317">
        <f t="shared" si="6"/>
        <v>796.59999999999991</v>
      </c>
      <c r="T29" s="317">
        <f t="shared" si="7"/>
        <v>819.55000000000007</v>
      </c>
      <c r="U29" s="317">
        <f t="shared" si="8"/>
        <v>852.72</v>
      </c>
      <c r="V29" s="317">
        <f t="shared" si="9"/>
        <v>884.97000000000025</v>
      </c>
      <c r="W29" s="317">
        <f t="shared" si="10"/>
        <v>917.36000000000013</v>
      </c>
      <c r="X29" s="317">
        <f t="shared" si="11"/>
        <v>950.39999999999952</v>
      </c>
      <c r="Y29" s="317">
        <f t="shared" si="12"/>
        <v>980</v>
      </c>
      <c r="Z29" s="317">
        <f t="shared" si="13"/>
        <v>971</v>
      </c>
      <c r="AA29" s="329">
        <f t="shared" si="14"/>
        <v>1012</v>
      </c>
      <c r="AQ29" s="310">
        <v>16</v>
      </c>
      <c r="AR29" s="3">
        <v>232</v>
      </c>
      <c r="AS29" s="3">
        <f>238-AR29</f>
        <v>6</v>
      </c>
      <c r="AT29" s="113"/>
    </row>
    <row r="30" spans="1:46" x14ac:dyDescent="0.2">
      <c r="A30" s="495"/>
      <c r="B30" s="7">
        <v>1300</v>
      </c>
      <c r="C30" s="349">
        <f t="shared" ca="1" si="15"/>
        <v>307</v>
      </c>
      <c r="D30" s="315">
        <f ca="1">OFFSET($AQ$34,MATCH($E$16,$AQ$35:$AQ$42,0),2,1,1)</f>
        <v>304</v>
      </c>
      <c r="E30" s="314">
        <f ca="1">OFFSET($AQ$45,MATCH($E$16,$AQ$46:$AQ$53,0),2,1,1)</f>
        <v>318</v>
      </c>
      <c r="F30" s="314">
        <f ca="1">OFFSET($AQ$56,MATCH($E$16,$AQ$57:$AQ$64,0),2,1,1)</f>
        <v>340</v>
      </c>
      <c r="G30" s="314">
        <f ca="1">OFFSET($AQ$69,MATCH($E$16,$AQ$70:$AQ$77,0),2,1,1)</f>
        <v>352</v>
      </c>
      <c r="H30" s="314">
        <f ca="1">OFFSET($AQ$80,MATCH($E$16,$AQ$81:$AQ$88,0),2,1,1)</f>
        <v>365</v>
      </c>
      <c r="I30" s="314">
        <f ca="1">OFFSET($AQ$91,MATCH($E$16,$AQ$92:$AQ$99,0),2,1,1)</f>
        <v>377</v>
      </c>
      <c r="J30" s="314">
        <f ca="1">OFFSET($AQ$102,MATCH($E$16,$AQ$103:$AQ$110,0),2,1,1)</f>
        <v>392</v>
      </c>
      <c r="K30" s="316">
        <f>IF($E$16=6,544,IF($E$16=8,536,IF($E$16=10,535,IF($E$16=12,528,IF($E$16=14,520,IF($E$16=16,515,IF($E$16=20,514,IF($E$16=40,490,0))))))))</f>
        <v>544</v>
      </c>
      <c r="L30" s="183">
        <f>IF($E$16=6,577,IF($E$16=8,570,IF($E$16=10,569,IF($E$16=12,559,IF($E$16=14,551,IF($E$16=16,546,IF($E$16=20,541,IF($E$16=40,517,0))))))))</f>
        <v>577</v>
      </c>
      <c r="M30" s="183">
        <f>IF($E$16=6,612,IF($E$16=8,602,IF($E$16=10,599,IF($E$16=12,589,IF($E$16=14,579,IF($E$16=16,574,IF($E$16=20,569,IF($E$16=40,538,0))))))))</f>
        <v>612</v>
      </c>
      <c r="N30" s="183">
        <f>IF($E$16=6,645,IF($E$16=8,634,IF($E$16=10,632,IF($E$16=12,620,IF($E$16=14,610,IF($E$16=16,602,IF($E$16=20,599,IF($E$16=40,565,0))))))))</f>
        <v>645</v>
      </c>
      <c r="O30" s="183">
        <f>IF($E$16=6,677,IF($E$16=8,666,IF($E$16=10,663,IF($E$16=12,650,IF($E$16=14,640,IF($E$16=16,630,IF($E$16=20,626,IF($E$16=40,589,0))))))))</f>
        <v>677</v>
      </c>
      <c r="P30" s="183">
        <f>IF($E$16=6,712,IF($E$16=8,698,IF($E$16=10,696,IF($E$16=12,681,IF($E$16=14,668,IF($E$16=16,658,IF($E$16=20,656,IF($E$16=40,614,0))))))))</f>
        <v>712</v>
      </c>
      <c r="Q30" s="323">
        <f>Q31-IF($E$16=6,21.25,IF($E$16=8,18.42,IF($E$16=10,18.83,IF($E$16=12,17.75,IF($E$16=14,16.67,IF($E$16=16,16,IF($E$16=20,16,IF($E$16=40,12.75,0))))))))</f>
        <v>744.75</v>
      </c>
      <c r="R30" s="323">
        <f>R31-IF($E$16=6,22.36,IF($E$16=8,20.36,IF($E$16=10,20.82,IF($E$16=12,19.45,IF($E$16=14,18.27,IF($E$16=16,17.55,IF($E$16=20,17.36,IF($E$16=40,13.55,0))))))))</f>
        <v>778.28</v>
      </c>
      <c r="S30" s="323">
        <f>S31-IF($E$16=6,23.1,IF($E$16=8,21.4,IF($E$16=10,21.8,IF($E$16=12,20.4,IF($E$16=14,19.3,IF($E$16=16,18.3,IF($E$16=20,18.3,IF($E$16=40,14,0))))))))</f>
        <v>819.69999999999993</v>
      </c>
      <c r="T30" s="323">
        <f>T31-IF($E$16=6,24.89,IF($E$16=8,22.33,IF($E$16=10,22.89,IF($E$16=12,21.33,IF($E$16=14,20,IF($E$16=16,19.11,IF($E$16=20,19,IF($E$16=40,14.56,0))))))))</f>
        <v>844.44</v>
      </c>
      <c r="U30" s="323">
        <f>U31-IF($E$16=6,25.88,IF($E$16=8,23.38,IF($E$16=10,24,IF($E$16=12,22.38,IF($E$16=14,21,IF($E$16=16,19.88,IF($E$16=20,19.75,IF($E$16=40,15,0))))))))</f>
        <v>878.6</v>
      </c>
      <c r="V30" s="323">
        <f t="shared" ref="V30:V35" si="20">V31-IF($E$16=6,27.29,IF($E$16=8,24.43,IF($E$16=10,25,IF($E$16=12,23.29,IF($E$16=14,21.71,IF($E$16=16,20.57,IF($E$16=20,20.71,IF($E$16=40,15.43,0))))))))</f>
        <v>912.26000000000022</v>
      </c>
      <c r="W30" s="323">
        <f t="shared" ref="W30:W35" si="21">W31-IF($E$16=6,28.33,IF($E$16=8,25.33,IF($E$16=10,26.17,IF($E$16=12,24.17,IF($E$16=14,22.67,IF($E$16=16,21.33,IF($E$16=20,21.33,IF($E$16=40,16,0))))))))</f>
        <v>945.69000000000017</v>
      </c>
      <c r="X30" s="323">
        <f t="shared" ref="X30:X36" si="22">X31-IF($E$16=6,29.4,IF($E$16=8,26.4,IF($E$16=10,27.2,IF($E$16=12,25.2,IF($E$16=14,23.6,IF($E$16=16,22.2,IF($E$16=20,22,IF($E$16=40,16.4,0))))))))</f>
        <v>979.7999999999995</v>
      </c>
      <c r="Y30" s="323">
        <f t="shared" ref="Y30:Y37" si="23">Y31-IF($E$16=6,31,IF($E$16=8,27.5,IF($E$16=10,28.25,IF($E$16=12,26.25,IF($E$16=14,24.25,IF($E$16=16,23,IF($E$16=20,23,IF($E$16=40,16.75,0))))))))</f>
        <v>1011</v>
      </c>
      <c r="Z30" s="323">
        <f t="shared" ref="Z30:Z38" si="24">Z31-IF($E$16=6,35,IF($E$16=8,28.67,IF($E$16=10,29.33,IF($E$16=12,27,IF($E$16=14,25.33,IF($E$16=16,23.67,IF($E$16=20,23.67,IF($E$16=40,17.33,0))))))))</f>
        <v>1006</v>
      </c>
      <c r="AA30" s="338">
        <f t="shared" ref="AA30:AA39" si="25">AA31-IF($E$16=6,33,IF($E$16=8,29.5,IF($E$16=10,30.5,IF($E$16=12,28,IF($E$16=14,26,IF($E$16=16,24.5,IF($E$16=20,24.5,IF($E$16=40,17.5,0))))))))</f>
        <v>1045</v>
      </c>
      <c r="AQ30" s="310">
        <v>20</v>
      </c>
      <c r="AR30" s="3">
        <v>231</v>
      </c>
      <c r="AS30" s="3">
        <f>237-AR30</f>
        <v>6</v>
      </c>
      <c r="AT30" s="113"/>
    </row>
    <row r="31" spans="1:46" x14ac:dyDescent="0.2">
      <c r="A31" s="495"/>
      <c r="B31" s="7">
        <v>1400</v>
      </c>
      <c r="C31" s="350">
        <f t="shared" ref="C31:C50" ca="1" si="26">$C$21+OFFSET($AQ$23,MATCH($E$16,$AQ$24:$AQ$31,0),2,1,1)*(B31-$B$21)/100</f>
        <v>315</v>
      </c>
      <c r="D31" s="316">
        <f ca="1">$D$30+OFFSET($AQ$34,MATCH($E$16,$AQ$35:$AQ$42,0),3,1,1)*(B31-$B$30)/100</f>
        <v>312</v>
      </c>
      <c r="E31" s="184">
        <f t="shared" ref="E31:E37" ca="1" si="27">$E$30+OFFSET($AQ$45,MATCH($E$16,$AQ$46:$AQ$53,0),3,1,1)*(B31-$B$30)/100</f>
        <v>326</v>
      </c>
      <c r="F31" s="184">
        <f ca="1">$F$30+OFFSET($AQ$56,MATCH($E$16,$AQ$57:$AQ$64,0),3,1,1)*(B31-$B$30)/100</f>
        <v>350</v>
      </c>
      <c r="G31" s="184">
        <f t="shared" ref="G31:G50" ca="1" si="28">$G$30+OFFSET($AQ$69,MATCH($E$16,$AQ$70:$AQ$77,0),3,1,1)*(B31-$B$30)/100</f>
        <v>362</v>
      </c>
      <c r="H31" s="184">
        <f t="shared" ref="H31:H50" ca="1" si="29">$H$30+OFFSET($AQ$80,MATCH($E$16,$AQ$81:$AQ$88,0),3,1,1)*(B31-$B$30)/100</f>
        <v>376</v>
      </c>
      <c r="I31" s="184">
        <f t="shared" ref="I31:I50" ca="1" si="30">$I$30+OFFSET($AQ$91,MATCH($E$16,$AQ$92:$AQ$99,0),3,1,1)*(B31-$B$30)/100</f>
        <v>388</v>
      </c>
      <c r="J31" s="183">
        <f t="shared" ref="J31:J50" ca="1" si="31">$J$30+OFFSET($AQ$102,MATCH($E$16,$AQ$103:$AQ$110,0),3,1,1)*(B31-$B$30)/100</f>
        <v>405</v>
      </c>
      <c r="K31" s="286">
        <f>K30+IF($E$16=6,14.09,IF($E$16=8,13.09,IF($E$16=10,13.36,IF($E$16=12,12.73,IF($E$16=14,12.18,IF($E$16=16,11.82,IF($E$16=20,11.91,IF($E$16=40,9.91,0))))))))</f>
        <v>558.09</v>
      </c>
      <c r="L31" s="184">
        <f>L30+IF($E$16=6,15.23,IF($E$16=8,14.23,IF($E$16=10,14.46,IF($E$16=12,13.69,IF($E$16=14,13.15,IF($E$16=16,12.77,IF($E$16=20,12.62,IF($E$16=40,10.69,0))))))))</f>
        <v>592.23</v>
      </c>
      <c r="M31" s="184">
        <f>M30+IF($E$16=6,16.62,IF($E$16=8,15.23,IF($E$16=10,15.46,IF($E$16=12,14.69,IF($E$16=14,13.92,IF($E$16=16,13.54,IF($E$16=20,13.23,IF($E$16=40,10.92,0))))))))</f>
        <v>628.62</v>
      </c>
      <c r="N31" s="184">
        <f>N30+IF($E$16=6,17.62,IF($E$16=8,16.23,IF($E$16=10,16.62,IF($E$16=12,15.62,IF($E$16=14,14.85,IF($E$16=16,14.31,IF($E$16=20,14.23,IF($E$16=40,11.69,0))))))))</f>
        <v>662.62</v>
      </c>
      <c r="O31" s="184">
        <f>O30+IF($E$16=6,17.5408,IF($E$16=8,17.23,IF($E$16=10,17.54,IF($E$16=12,16.62,IF($E$16=14,15.85,IF($E$16=16,15.08,IF($E$16=20,14.92,IF($E$16=40,12.15,0))))))))</f>
        <v>694.54079999999999</v>
      </c>
      <c r="P31" s="184">
        <f>P30+IF($E$16=6,20.08,IF($E$16=8,18.23,IF($E$16=10,18.69,IF($E$16=12,17.54,IF($E$16=14,16.62,IF($E$16=16,15.85,IF($E$16=20,15.92,IF($E$16=40,12.54,0))))))))</f>
        <v>732.08</v>
      </c>
      <c r="Q31" s="183">
        <f>IF($E$16=6,766,IF($E$16=8,750,IF($E$16=10,746,IF($E$16=12,730,IF($E$16=14,714,IF($E$16=16,703,IF($E$16=20,700,IF($E$16=40,651,0))))))))</f>
        <v>766</v>
      </c>
      <c r="R31" s="317">
        <f>R32-IF($E$16=6,22.36,IF($E$16=8,20.36,IF($E$16=10,20.82,IF($E$16=12,19.45,IF($E$16=14,18.27,IF($E$16=16,17.55,IF($E$16=20,17.36,IF($E$16=40,13.55,0))))))))</f>
        <v>800.64</v>
      </c>
      <c r="S31" s="317">
        <f>S32-IF($E$16=6,23.1,IF($E$16=8,21.4,IF($E$16=10,21.8,IF($E$16=12,20.4,IF($E$16=14,19.3,IF($E$16=16,18.3,IF($E$16=20,18.3,IF($E$16=40,14,0))))))))</f>
        <v>842.8</v>
      </c>
      <c r="T31" s="317">
        <f>T32-IF($E$16=6,24.89,IF($E$16=8,22.33,IF($E$16=10,22.89,IF($E$16=12,21.33,IF($E$16=14,20,IF($E$16=16,19.11,IF($E$16=20,19,IF($E$16=40,14.56,0))))))))</f>
        <v>869.33</v>
      </c>
      <c r="U31" s="317">
        <f>U32-IF($E$16=6,25.88,IF($E$16=8,23.38,IF($E$16=10,24,IF($E$16=12,22.38,IF($E$16=14,21,IF($E$16=16,19.88,IF($E$16=20,19.75,IF($E$16=40,15,0))))))))</f>
        <v>904.48</v>
      </c>
      <c r="V31" s="317">
        <f t="shared" si="20"/>
        <v>939.55000000000018</v>
      </c>
      <c r="W31" s="317">
        <f t="shared" si="21"/>
        <v>974.02000000000021</v>
      </c>
      <c r="X31" s="317">
        <f t="shared" si="22"/>
        <v>1009.1999999999995</v>
      </c>
      <c r="Y31" s="317">
        <f t="shared" si="23"/>
        <v>1042</v>
      </c>
      <c r="Z31" s="317">
        <f t="shared" si="24"/>
        <v>1041</v>
      </c>
      <c r="AA31" s="329">
        <f t="shared" si="25"/>
        <v>1078</v>
      </c>
      <c r="AQ31" s="311">
        <v>40</v>
      </c>
      <c r="AR31" s="111">
        <v>229</v>
      </c>
      <c r="AS31" s="111">
        <f>235-AR31</f>
        <v>6</v>
      </c>
      <c r="AT31" s="312"/>
    </row>
    <row r="32" spans="1:46" x14ac:dyDescent="0.2">
      <c r="A32" s="495"/>
      <c r="B32" s="7">
        <v>1500</v>
      </c>
      <c r="C32" s="350">
        <f t="shared" ca="1" si="26"/>
        <v>323</v>
      </c>
      <c r="D32" s="316">
        <f t="shared" ref="D32:D50" ca="1" si="32">$D$30+OFFSET($AQ$34,MATCH($E$16,$AQ$35:$AQ$42,0),3,1,1)*(B32-$B$30)/100</f>
        <v>320</v>
      </c>
      <c r="E32" s="184">
        <f t="shared" ca="1" si="27"/>
        <v>334</v>
      </c>
      <c r="F32" s="184">
        <f t="shared" ref="F32:F50" ca="1" si="33">$F$30+OFFSET($AQ$56,MATCH($E$16,$AQ$57:$AQ$64,0),3,1,1)*(B32-$B$30)/100</f>
        <v>360</v>
      </c>
      <c r="G32" s="184">
        <f t="shared" ca="1" si="28"/>
        <v>372</v>
      </c>
      <c r="H32" s="184">
        <f t="shared" ca="1" si="29"/>
        <v>387</v>
      </c>
      <c r="I32" s="184">
        <f t="shared" ca="1" si="30"/>
        <v>399</v>
      </c>
      <c r="J32" s="183">
        <f t="shared" ca="1" si="31"/>
        <v>418</v>
      </c>
      <c r="K32" s="286">
        <f t="shared" ref="K32:K50" si="34">K31+IF($E$16=6,14.09,IF($E$16=8,13.09,IF($E$16=10,13.36,IF($E$16=12,12.73,IF($E$16=14,12.18,IF($E$16=16,11.82,IF($E$16=20,11.91,IF($E$16=40,9.91,0))))))))</f>
        <v>572.18000000000006</v>
      </c>
      <c r="L32" s="184">
        <f t="shared" ref="L32:L50" si="35">L31+IF($E$16=6,15.23,IF($E$16=8,14.23,IF($E$16=10,14.46,IF($E$16=12,13.69,IF($E$16=14,13.15,IF($E$16=16,12.77,IF($E$16=20,12.62,IF($E$16=40,10.69,0))))))))</f>
        <v>607.46</v>
      </c>
      <c r="M32" s="184">
        <f t="shared" ref="M32:M50" si="36">M31+IF($E$16=6,16.62,IF($E$16=8,15.23,IF($E$16=10,15.46,IF($E$16=12,14.69,IF($E$16=14,13.92,IF($E$16=16,13.54,IF($E$16=20,13.23,IF($E$16=40,10.92,0))))))))</f>
        <v>645.24</v>
      </c>
      <c r="N32" s="184">
        <f t="shared" ref="N32:N50" si="37">N31+IF($E$16=6,17.62,IF($E$16=8,16.23,IF($E$16=10,16.62,IF($E$16=12,15.62,IF($E$16=14,14.85,IF($E$16=16,14.31,IF($E$16=20,14.23,IF($E$16=40,11.69,0))))))))</f>
        <v>680.24</v>
      </c>
      <c r="O32" s="184">
        <f t="shared" ref="O32:O50" si="38">O31+IF($E$16=6,17.5408,IF($E$16=8,17.23,IF($E$16=10,17.54,IF($E$16=12,16.62,IF($E$16=14,15.85,IF($E$16=16,15.08,IF($E$16=20,14.92,IF($E$16=40,12.15,0))))))))</f>
        <v>712.08159999999998</v>
      </c>
      <c r="P32" s="184">
        <f t="shared" ref="P32:P50" si="39">P31+IF($E$16=6,20.08,IF($E$16=8,18.23,IF($E$16=10,18.69,IF($E$16=12,17.54,IF($E$16=14,16.62,IF($E$16=16,15.85,IF($E$16=20,15.92,IF($E$16=40,12.54,0))))))))</f>
        <v>752.16000000000008</v>
      </c>
      <c r="Q32" s="184">
        <f>Q31+IF($E$16=6,21.25,IF($E$16=8,18.42,IF($E$16=10,18.83,IF($E$16=12,17.75,IF($E$16=14,16.67,IF($E$16=16,16,IF($E$16=20,16,IF($E$16=40,12.75,0))))))))</f>
        <v>787.25</v>
      </c>
      <c r="R32" s="183">
        <f>IF($E$16=6,823,IF($E$16=8,805,IF($E$16=10,801,IF($E$16=12,781,IF($E$16=14,764,IF($E$16=16,752,IF($E$16=20,745,IF($E$16=40,689,0))))))))</f>
        <v>823</v>
      </c>
      <c r="S32" s="317">
        <f>S33-IF($E$16=6,23.1,IF($E$16=8,21.4,IF($E$16=10,21.8,IF($E$16=12,20.4,IF($E$16=14,19.3,IF($E$16=16,18.3,IF($E$16=20,18.3,IF($E$16=40,14,0))))))))</f>
        <v>865.9</v>
      </c>
      <c r="T32" s="317">
        <f>T33-IF($E$16=6,24.89,IF($E$16=8,22.33,IF($E$16=10,22.89,IF($E$16=12,21.33,IF($E$16=14,20,IF($E$16=16,19.11,IF($E$16=20,19,IF($E$16=40,14.56,0))))))))</f>
        <v>894.22</v>
      </c>
      <c r="U32" s="317">
        <f>U33-IF($E$16=6,25.88,IF($E$16=8,23.38,IF($E$16=10,24,IF($E$16=12,22.38,IF($E$16=14,21,IF($E$16=16,19.88,IF($E$16=20,19.75,IF($E$16=40,15,0))))))))</f>
        <v>930.36</v>
      </c>
      <c r="V32" s="317">
        <f t="shared" si="20"/>
        <v>966.84000000000015</v>
      </c>
      <c r="W32" s="317">
        <f t="shared" si="21"/>
        <v>1002.3500000000003</v>
      </c>
      <c r="X32" s="317">
        <f t="shared" si="22"/>
        <v>1038.5999999999995</v>
      </c>
      <c r="Y32" s="317">
        <f t="shared" si="23"/>
        <v>1073</v>
      </c>
      <c r="Z32" s="317">
        <f t="shared" si="24"/>
        <v>1076</v>
      </c>
      <c r="AA32" s="329">
        <f t="shared" si="25"/>
        <v>1111</v>
      </c>
    </row>
    <row r="33" spans="1:52" x14ac:dyDescent="0.2">
      <c r="A33" s="495"/>
      <c r="B33" s="7">
        <v>1600</v>
      </c>
      <c r="C33" s="350">
        <f t="shared" ca="1" si="26"/>
        <v>331</v>
      </c>
      <c r="D33" s="316">
        <f t="shared" ca="1" si="32"/>
        <v>328</v>
      </c>
      <c r="E33" s="184">
        <f t="shared" ca="1" si="27"/>
        <v>342</v>
      </c>
      <c r="F33" s="184">
        <f t="shared" ca="1" si="33"/>
        <v>370</v>
      </c>
      <c r="G33" s="184">
        <f t="shared" ca="1" si="28"/>
        <v>382</v>
      </c>
      <c r="H33" s="184">
        <f t="shared" ca="1" si="29"/>
        <v>398</v>
      </c>
      <c r="I33" s="184">
        <f t="shared" ca="1" si="30"/>
        <v>410</v>
      </c>
      <c r="J33" s="183">
        <f t="shared" ca="1" si="31"/>
        <v>431</v>
      </c>
      <c r="K33" s="286">
        <f t="shared" si="34"/>
        <v>586.2700000000001</v>
      </c>
      <c r="L33" s="184">
        <f t="shared" si="35"/>
        <v>622.69000000000005</v>
      </c>
      <c r="M33" s="184">
        <f t="shared" si="36"/>
        <v>661.86</v>
      </c>
      <c r="N33" s="184">
        <f t="shared" si="37"/>
        <v>697.86</v>
      </c>
      <c r="O33" s="184">
        <f t="shared" si="38"/>
        <v>729.62239999999997</v>
      </c>
      <c r="P33" s="184">
        <f t="shared" si="39"/>
        <v>772.24000000000012</v>
      </c>
      <c r="Q33" s="184">
        <f t="shared" ref="Q33:Q50" si="40">Q32+IF($E$16=6,21.25,IF($E$16=8,18.42,IF($E$16=10,18.83,IF($E$16=12,17.75,IF($E$16=14,16.67,IF($E$16=16,16,IF($E$16=20,16,IF($E$16=40,12.75,0))))))))</f>
        <v>808.5</v>
      </c>
      <c r="R33" s="184">
        <f>R32+IF($E$16=6,22.36,IF($E$16=8,20.36,IF($E$16=10,20.82,IF($E$16=12,19.45,IF($E$16=14,18.27,IF($E$16=16,17.55,IF($E$16=20,17.36,IF($E$16=40,13.55,0))))))))</f>
        <v>845.36</v>
      </c>
      <c r="S33" s="183">
        <f>IF($E$16=6,889,IF($E$16=8,860,IF($E$16=10,855,IF($E$16=12,834,IF($E$16=14,815,IF($E$16=16,800,IF($E$16=20,795,IF($E$16=40,728,0))))))))</f>
        <v>889</v>
      </c>
      <c r="T33" s="317">
        <f>T34-IF($E$16=6,24.89,IF($E$16=8,22.33,IF($E$16=10,22.89,IF($E$16=12,21.33,IF($E$16=14,20,IF($E$16=16,19.11,IF($E$16=20,19,IF($E$16=40,14.56,0))))))))</f>
        <v>919.11</v>
      </c>
      <c r="U33" s="317">
        <f>U34-IF($E$16=6,25.88,IF($E$16=8,23.38,IF($E$16=10,24,IF($E$16=12,22.38,IF($E$16=14,21,IF($E$16=16,19.88,IF($E$16=20,19.75,IF($E$16=40,15,0))))))))</f>
        <v>956.24</v>
      </c>
      <c r="V33" s="317">
        <f t="shared" si="20"/>
        <v>994.13000000000011</v>
      </c>
      <c r="W33" s="317">
        <f t="shared" si="21"/>
        <v>1030.6800000000003</v>
      </c>
      <c r="X33" s="317">
        <f t="shared" si="22"/>
        <v>1067.9999999999995</v>
      </c>
      <c r="Y33" s="317">
        <f t="shared" si="23"/>
        <v>1104</v>
      </c>
      <c r="Z33" s="317">
        <f t="shared" si="24"/>
        <v>1111</v>
      </c>
      <c r="AA33" s="329">
        <f t="shared" si="25"/>
        <v>1144</v>
      </c>
      <c r="AP33" s="186" t="s">
        <v>333</v>
      </c>
      <c r="AQ33" s="308">
        <v>450</v>
      </c>
      <c r="AR33" s="309" t="s">
        <v>329</v>
      </c>
      <c r="AS33" s="309" t="s">
        <v>331</v>
      </c>
      <c r="AT33" s="309"/>
      <c r="AU33" s="112"/>
      <c r="AW33" s="3"/>
      <c r="AX33" s="3"/>
      <c r="AY33" s="3"/>
      <c r="AZ33" s="3"/>
    </row>
    <row r="34" spans="1:52" x14ac:dyDescent="0.2">
      <c r="A34" s="495"/>
      <c r="B34" s="7">
        <v>1700</v>
      </c>
      <c r="C34" s="350">
        <f t="shared" ca="1" si="26"/>
        <v>339</v>
      </c>
      <c r="D34" s="317">
        <f t="shared" ca="1" si="32"/>
        <v>336</v>
      </c>
      <c r="E34" s="184">
        <f t="shared" ca="1" si="27"/>
        <v>350</v>
      </c>
      <c r="F34" s="184">
        <f t="shared" ca="1" si="33"/>
        <v>380</v>
      </c>
      <c r="G34" s="184">
        <f t="shared" ca="1" si="28"/>
        <v>392</v>
      </c>
      <c r="H34" s="184">
        <f t="shared" ca="1" si="29"/>
        <v>409</v>
      </c>
      <c r="I34" s="184">
        <f t="shared" ca="1" si="30"/>
        <v>421</v>
      </c>
      <c r="J34" s="183">
        <f t="shared" ca="1" si="31"/>
        <v>444</v>
      </c>
      <c r="K34" s="286">
        <f t="shared" si="34"/>
        <v>600.36000000000013</v>
      </c>
      <c r="L34" s="184">
        <f t="shared" si="35"/>
        <v>637.92000000000007</v>
      </c>
      <c r="M34" s="184">
        <f t="shared" si="36"/>
        <v>678.48</v>
      </c>
      <c r="N34" s="184">
        <f t="shared" si="37"/>
        <v>715.48</v>
      </c>
      <c r="O34" s="184">
        <f t="shared" si="38"/>
        <v>747.16319999999996</v>
      </c>
      <c r="P34" s="184">
        <f t="shared" si="39"/>
        <v>792.32000000000016</v>
      </c>
      <c r="Q34" s="184">
        <f t="shared" si="40"/>
        <v>829.75</v>
      </c>
      <c r="R34" s="184">
        <f t="shared" ref="R34:R50" si="41">R33+IF($E$16=6,22.36,IF($E$16=8,20.36,IF($E$16=10,20.82,IF($E$16=12,19.45,IF($E$16=14,18.27,IF($E$16=16,17.55,IF($E$16=20,17.36,IF($E$16=40,13.55,0))))))))</f>
        <v>867.72</v>
      </c>
      <c r="S34" s="183">
        <f>S33+IF($E$16=6,23.1,IF($E$16=8,21.4,IF($E$16=10,21.8,IF($E$16=12,20.4,IF($E$16=14,19.3,IF($E$16=16,18.3,IF($E$16=20,18.3,IF($E$16=40,14,0))))))))</f>
        <v>912.1</v>
      </c>
      <c r="T34" s="183">
        <f>IF($E$16=6,944,IF($E$16=8,918,IF($E$16=10,915,IF($E$16=12,889,IF($E$16=14,866,IF($E$16=16,849,IF($E$16=20,844,IF($E$16=40,768,0))))))))</f>
        <v>944</v>
      </c>
      <c r="U34" s="317">
        <f>U35-IF($E$16=6,25.88,IF($E$16=8,23.38,IF($E$16=10,24,IF($E$16=12,22.38,IF($E$16=14,21,IF($E$16=16,19.88,IF($E$16=20,19.75,IF($E$16=40,15,0))))))))</f>
        <v>982.12</v>
      </c>
      <c r="V34" s="317">
        <f t="shared" si="20"/>
        <v>1021.4200000000001</v>
      </c>
      <c r="W34" s="317">
        <f t="shared" si="21"/>
        <v>1059.0100000000002</v>
      </c>
      <c r="X34" s="317">
        <f t="shared" si="22"/>
        <v>1097.3999999999996</v>
      </c>
      <c r="Y34" s="317">
        <f t="shared" si="23"/>
        <v>1135</v>
      </c>
      <c r="Z34" s="317">
        <f t="shared" si="24"/>
        <v>1146</v>
      </c>
      <c r="AA34" s="329">
        <f t="shared" si="25"/>
        <v>1177</v>
      </c>
      <c r="AQ34" s="310"/>
      <c r="AR34" s="3"/>
      <c r="AS34" s="3"/>
      <c r="AT34" s="3" t="s">
        <v>328</v>
      </c>
      <c r="AU34" s="113" t="s">
        <v>327</v>
      </c>
      <c r="AW34" s="3"/>
      <c r="AX34" s="3"/>
      <c r="AY34" s="3"/>
      <c r="AZ34" s="3"/>
    </row>
    <row r="35" spans="1:52" x14ac:dyDescent="0.2">
      <c r="A35" s="495"/>
      <c r="B35" s="7">
        <v>1800</v>
      </c>
      <c r="C35" s="350">
        <f t="shared" ca="1" si="26"/>
        <v>347</v>
      </c>
      <c r="D35" s="317">
        <f t="shared" ca="1" si="32"/>
        <v>344</v>
      </c>
      <c r="E35" s="184">
        <f t="shared" ca="1" si="27"/>
        <v>358</v>
      </c>
      <c r="F35" s="184">
        <f t="shared" ca="1" si="33"/>
        <v>390</v>
      </c>
      <c r="G35" s="184">
        <f t="shared" ca="1" si="28"/>
        <v>402</v>
      </c>
      <c r="H35" s="184">
        <f t="shared" ca="1" si="29"/>
        <v>420</v>
      </c>
      <c r="I35" s="184">
        <f t="shared" ca="1" si="30"/>
        <v>432</v>
      </c>
      <c r="J35" s="183">
        <f t="shared" ca="1" si="31"/>
        <v>457</v>
      </c>
      <c r="K35" s="286">
        <f t="shared" si="34"/>
        <v>614.45000000000016</v>
      </c>
      <c r="L35" s="184">
        <f t="shared" si="35"/>
        <v>653.15000000000009</v>
      </c>
      <c r="M35" s="184">
        <f t="shared" si="36"/>
        <v>695.1</v>
      </c>
      <c r="N35" s="184">
        <f t="shared" si="37"/>
        <v>733.1</v>
      </c>
      <c r="O35" s="184">
        <f t="shared" si="38"/>
        <v>764.70399999999995</v>
      </c>
      <c r="P35" s="184">
        <f t="shared" si="39"/>
        <v>812.4000000000002</v>
      </c>
      <c r="Q35" s="184">
        <f t="shared" si="40"/>
        <v>851</v>
      </c>
      <c r="R35" s="184">
        <f t="shared" si="41"/>
        <v>890.08</v>
      </c>
      <c r="S35" s="183">
        <f t="shared" ref="S35:S50" si="42">S34+IF($E$16=6,23.1,IF($E$16=8,21.4,IF($E$16=10,21.8,IF($E$16=12,20.4,IF($E$16=14,19.3,IF($E$16=16,18.3,IF($E$16=20,18.3,IF($E$16=40,14,0))))))))</f>
        <v>935.2</v>
      </c>
      <c r="T35" s="183">
        <f>T34+IF($E$16=6,24.89,IF($E$16=8,22.33,IF($E$16=10,22.89,IF($E$16=12,21.33,IF($E$16=14,20,IF($E$16=16,19.11,IF($E$16=20,19,IF($E$16=40,14.56,0))))))))</f>
        <v>968.89</v>
      </c>
      <c r="U35" s="183">
        <f>IF($E$16=6,1008,IF($E$16=8,977,IF($E$16=10,977,IF($E$16=12,945,IF($E$16=14,921,IF($E$16=16,900,IF($E$16=20,893,IF($E$16=40,809,0))))))))</f>
        <v>1008</v>
      </c>
      <c r="V35" s="317">
        <f t="shared" si="20"/>
        <v>1048.71</v>
      </c>
      <c r="W35" s="317">
        <f t="shared" si="21"/>
        <v>1087.3400000000001</v>
      </c>
      <c r="X35" s="317">
        <f t="shared" si="22"/>
        <v>1126.7999999999997</v>
      </c>
      <c r="Y35" s="317">
        <f t="shared" si="23"/>
        <v>1166</v>
      </c>
      <c r="Z35" s="317">
        <f t="shared" si="24"/>
        <v>1181</v>
      </c>
      <c r="AA35" s="329">
        <f t="shared" si="25"/>
        <v>1210</v>
      </c>
      <c r="AQ35" s="310">
        <v>6</v>
      </c>
      <c r="AR35" s="3">
        <v>252</v>
      </c>
      <c r="AS35" s="3">
        <v>304</v>
      </c>
      <c r="AT35" s="3">
        <f>260-AR35</f>
        <v>8</v>
      </c>
      <c r="AU35" s="113">
        <f>256-AR35</f>
        <v>4</v>
      </c>
      <c r="AW35" s="3"/>
      <c r="AX35" s="3"/>
      <c r="AY35" s="3"/>
      <c r="AZ35" s="3"/>
    </row>
    <row r="36" spans="1:52" x14ac:dyDescent="0.2">
      <c r="A36" s="495"/>
      <c r="B36" s="7">
        <v>1900</v>
      </c>
      <c r="C36" s="350">
        <f t="shared" ca="1" si="26"/>
        <v>355</v>
      </c>
      <c r="D36" s="317">
        <f t="shared" ca="1" si="32"/>
        <v>352</v>
      </c>
      <c r="E36" s="184">
        <f t="shared" ca="1" si="27"/>
        <v>366</v>
      </c>
      <c r="F36" s="184">
        <f t="shared" ca="1" si="33"/>
        <v>400</v>
      </c>
      <c r="G36" s="184">
        <f t="shared" ca="1" si="28"/>
        <v>412</v>
      </c>
      <c r="H36" s="184">
        <f t="shared" ca="1" si="29"/>
        <v>431</v>
      </c>
      <c r="I36" s="184">
        <f t="shared" ca="1" si="30"/>
        <v>443</v>
      </c>
      <c r="J36" s="183">
        <f t="shared" ca="1" si="31"/>
        <v>470</v>
      </c>
      <c r="K36" s="286">
        <f t="shared" si="34"/>
        <v>628.54000000000019</v>
      </c>
      <c r="L36" s="184">
        <f t="shared" si="35"/>
        <v>668.38000000000011</v>
      </c>
      <c r="M36" s="184">
        <f t="shared" si="36"/>
        <v>711.72</v>
      </c>
      <c r="N36" s="184">
        <f t="shared" si="37"/>
        <v>750.72</v>
      </c>
      <c r="O36" s="184">
        <f t="shared" si="38"/>
        <v>782.24479999999994</v>
      </c>
      <c r="P36" s="184">
        <f t="shared" si="39"/>
        <v>832.48000000000025</v>
      </c>
      <c r="Q36" s="184">
        <f t="shared" si="40"/>
        <v>872.25</v>
      </c>
      <c r="R36" s="184">
        <f t="shared" si="41"/>
        <v>912.44</v>
      </c>
      <c r="S36" s="183">
        <f t="shared" si="42"/>
        <v>958.30000000000007</v>
      </c>
      <c r="T36" s="183">
        <f t="shared" ref="T36:T50" si="43">T35+IF($E$16=6,24.89,IF($E$16=8,22.33,IF($E$16=10,22.89,IF($E$16=12,21.33,IF($E$16=14,20,IF($E$16=16,19.11,IF($E$16=20,19,IF($E$16=40,14.56,0))))))))</f>
        <v>993.78</v>
      </c>
      <c r="U36" s="183">
        <f>U35+IF($E$16=6,25.88,IF($E$16=8,23.38,IF($E$16=10,24,IF($E$16=12,22.38,IF($E$16=14,21,IF($E$16=16,19.88,IF($E$16=20,19.75,IF($E$16=40,15,0))))))))</f>
        <v>1033.8800000000001</v>
      </c>
      <c r="V36" s="183">
        <f>IF($E$16=6,1076,IF($E$16=8,1038,IF($E$16=10,1037,IF($E$16=12,1004,IF($E$16=14,975,IF($E$16=16,953,IF($E$16=20,949,IF($E$16=40,851,0))))))))</f>
        <v>1076</v>
      </c>
      <c r="W36" s="317">
        <f>W37-IF($E$16=6,28.33,IF($E$16=8,25.33,IF($E$16=10,26.17,IF($E$16=12,24.17,IF($E$16=14,22.67,IF($E$16=16,21.33,IF($E$16=20,21.33,IF($E$16=40,16,0))))))))</f>
        <v>1115.67</v>
      </c>
      <c r="X36" s="317">
        <f t="shared" si="22"/>
        <v>1156.1999999999998</v>
      </c>
      <c r="Y36" s="317">
        <f t="shared" si="23"/>
        <v>1197</v>
      </c>
      <c r="Z36" s="317">
        <f t="shared" si="24"/>
        <v>1216</v>
      </c>
      <c r="AA36" s="329">
        <f t="shared" si="25"/>
        <v>1243</v>
      </c>
      <c r="AQ36" s="310">
        <v>8</v>
      </c>
      <c r="AR36" s="3">
        <v>251</v>
      </c>
      <c r="AS36" s="3">
        <v>301</v>
      </c>
      <c r="AT36" s="3">
        <f>258-AR36</f>
        <v>7</v>
      </c>
      <c r="AU36" s="113"/>
      <c r="AW36" s="3"/>
      <c r="AX36" s="3"/>
      <c r="AY36" s="3"/>
      <c r="AZ36" s="3"/>
    </row>
    <row r="37" spans="1:52" x14ac:dyDescent="0.2">
      <c r="A37" s="495"/>
      <c r="B37" s="7">
        <v>2000</v>
      </c>
      <c r="C37" s="350">
        <f t="shared" ca="1" si="26"/>
        <v>363</v>
      </c>
      <c r="D37" s="317">
        <f t="shared" ca="1" si="32"/>
        <v>360</v>
      </c>
      <c r="E37" s="317">
        <f t="shared" ca="1" si="27"/>
        <v>374</v>
      </c>
      <c r="F37" s="184">
        <f t="shared" ca="1" si="33"/>
        <v>410</v>
      </c>
      <c r="G37" s="184">
        <f t="shared" ca="1" si="28"/>
        <v>422</v>
      </c>
      <c r="H37" s="184">
        <f t="shared" ca="1" si="29"/>
        <v>442</v>
      </c>
      <c r="I37" s="184">
        <f t="shared" ca="1" si="30"/>
        <v>454</v>
      </c>
      <c r="J37" s="183">
        <f t="shared" ca="1" si="31"/>
        <v>483</v>
      </c>
      <c r="K37" s="286">
        <f t="shared" si="34"/>
        <v>642.63000000000022</v>
      </c>
      <c r="L37" s="184">
        <f t="shared" si="35"/>
        <v>683.61000000000013</v>
      </c>
      <c r="M37" s="184">
        <f t="shared" si="36"/>
        <v>728.34</v>
      </c>
      <c r="N37" s="184">
        <f t="shared" si="37"/>
        <v>768.34</v>
      </c>
      <c r="O37" s="184">
        <f t="shared" si="38"/>
        <v>799.78559999999993</v>
      </c>
      <c r="P37" s="184">
        <f t="shared" si="39"/>
        <v>852.56000000000029</v>
      </c>
      <c r="Q37" s="184">
        <f t="shared" si="40"/>
        <v>893.5</v>
      </c>
      <c r="R37" s="184">
        <f t="shared" si="41"/>
        <v>934.80000000000007</v>
      </c>
      <c r="S37" s="183">
        <f t="shared" si="42"/>
        <v>981.40000000000009</v>
      </c>
      <c r="T37" s="183">
        <f t="shared" si="43"/>
        <v>1018.67</v>
      </c>
      <c r="U37" s="183">
        <f t="shared" ref="U37:U50" si="44">U36+IF($E$16=6,25.88,IF($E$16=8,23.38,IF($E$16=10,24,IF($E$16=12,22.38,IF($E$16=14,21,IF($E$16=16,19.88,IF($E$16=20,19.75,IF($E$16=40,15,0))))))))</f>
        <v>1059.7600000000002</v>
      </c>
      <c r="V37" s="183">
        <f>V36+IF($E$16=6,27.29,IF($E$16=8,24.43,IF($E$16=10,25,IF($E$16=12,23.29,IF($E$16=14,21.71,IF($E$16=16,20.57,IF($E$16=20,20.71,IF($E$16=40,15.43,0))))))))</f>
        <v>1103.29</v>
      </c>
      <c r="W37" s="183">
        <f>IF($E$16=6,1144,IF($E$16=8,1102,IF($E$16=10,1103,IF($E$16=12,1065,IF($E$16=14,1034,IF($E$16=16,1007,IF($E$16=20,1002,IF($E$16=40,894,0))))))))</f>
        <v>1144</v>
      </c>
      <c r="X37" s="317">
        <f>X38-IF($E$16=6,29.4,IF($E$16=8,26.4,IF($E$16=10,27.2,IF($E$16=12,25.2,IF($E$16=14,23.6,IF($E$16=16,22.2,IF($E$16=20,22,IF($E$16=40,16.4,0))))))))</f>
        <v>1185.5999999999999</v>
      </c>
      <c r="Y37" s="317">
        <f t="shared" si="23"/>
        <v>1228</v>
      </c>
      <c r="Z37" s="317">
        <f t="shared" si="24"/>
        <v>1251</v>
      </c>
      <c r="AA37" s="329">
        <f t="shared" si="25"/>
        <v>1276</v>
      </c>
      <c r="AQ37" s="310">
        <v>10</v>
      </c>
      <c r="AR37" s="3">
        <v>251</v>
      </c>
      <c r="AS37" s="3">
        <v>302</v>
      </c>
      <c r="AT37" s="3">
        <f>259-AR37</f>
        <v>8</v>
      </c>
      <c r="AU37" s="113"/>
      <c r="AW37" s="3"/>
      <c r="AX37" s="3"/>
      <c r="AY37" s="3"/>
      <c r="AZ37" s="3"/>
    </row>
    <row r="38" spans="1:52" x14ac:dyDescent="0.2">
      <c r="A38" s="495"/>
      <c r="B38" s="7">
        <v>2100</v>
      </c>
      <c r="C38" s="350">
        <f t="shared" ca="1" si="26"/>
        <v>371</v>
      </c>
      <c r="D38" s="317">
        <f t="shared" ca="1" si="32"/>
        <v>368</v>
      </c>
      <c r="E38" s="317">
        <f t="shared" ref="E38:E50" ca="1" si="45">$E$30+OFFSET($AQ$45,MATCH($E$16,$AQ$46:$AQ$53,0),3,1,1)*(B38-$B$30)/100</f>
        <v>382</v>
      </c>
      <c r="F38" s="184">
        <f t="shared" ca="1" si="33"/>
        <v>420</v>
      </c>
      <c r="G38" s="184">
        <f t="shared" ca="1" si="28"/>
        <v>432</v>
      </c>
      <c r="H38" s="184">
        <f t="shared" ca="1" si="29"/>
        <v>453</v>
      </c>
      <c r="I38" s="184">
        <f t="shared" ca="1" si="30"/>
        <v>465</v>
      </c>
      <c r="J38" s="183">
        <f t="shared" ca="1" si="31"/>
        <v>496</v>
      </c>
      <c r="K38" s="286">
        <f t="shared" si="34"/>
        <v>656.72000000000025</v>
      </c>
      <c r="L38" s="184">
        <f t="shared" si="35"/>
        <v>698.84000000000015</v>
      </c>
      <c r="M38" s="184">
        <f t="shared" si="36"/>
        <v>744.96</v>
      </c>
      <c r="N38" s="184">
        <f t="shared" si="37"/>
        <v>785.96</v>
      </c>
      <c r="O38" s="184">
        <f t="shared" si="38"/>
        <v>817.32639999999992</v>
      </c>
      <c r="P38" s="184">
        <f t="shared" si="39"/>
        <v>872.64000000000033</v>
      </c>
      <c r="Q38" s="184">
        <f t="shared" si="40"/>
        <v>914.75</v>
      </c>
      <c r="R38" s="184">
        <f t="shared" si="41"/>
        <v>957.16000000000008</v>
      </c>
      <c r="S38" s="183">
        <f t="shared" si="42"/>
        <v>1004.5000000000001</v>
      </c>
      <c r="T38" s="183">
        <f t="shared" si="43"/>
        <v>1043.56</v>
      </c>
      <c r="U38" s="183">
        <f t="shared" si="44"/>
        <v>1085.6400000000003</v>
      </c>
      <c r="V38" s="183">
        <f t="shared" ref="V38:V50" si="46">V37+IF($E$16=6,27.29,IF($E$16=8,24.43,IF($E$16=10,25,IF($E$16=12,23.29,IF($E$16=14,21.71,IF($E$16=16,20.57,IF($E$16=20,20.71,IF($E$16=40,15.43,0))))))))</f>
        <v>1130.58</v>
      </c>
      <c r="W38" s="183">
        <f>W37+IF($E$16=6,28.33,IF($E$16=8,25.33,IF($E$16=10,26.17,IF($E$16=12,24.17,IF($E$16=14,22.67,IF($E$16=16,21.33,IF($E$16=20,21.33,IF($E$16=40,16,0))))))))</f>
        <v>1172.33</v>
      </c>
      <c r="X38" s="183">
        <f>IF($E$16=6,1215,IF($E$16=8,1167,IF($E$16=10,1167,IF($E$16=12,1127,IF($E$16=14,1095,IF($E$16=16,1067,IF($E$16=20,1057,IF($E$16=40,938,0))))))))</f>
        <v>1215</v>
      </c>
      <c r="Y38" s="317">
        <f>Y39-IF($E$16=6,31,IF($E$16=8,27.5,IF($E$16=10,28.25,IF($E$16=12,26.25,IF($E$16=14,24.25,IF($E$16=16,23,IF($E$16=20,23,IF($E$16=40,16.75,0))))))))</f>
        <v>1259</v>
      </c>
      <c r="Z38" s="317">
        <f t="shared" si="24"/>
        <v>1286</v>
      </c>
      <c r="AA38" s="329">
        <f t="shared" si="25"/>
        <v>1309</v>
      </c>
      <c r="AQ38" s="310">
        <v>12</v>
      </c>
      <c r="AR38" s="1">
        <v>249</v>
      </c>
      <c r="AS38" s="1">
        <v>298</v>
      </c>
      <c r="AT38" s="3">
        <f>256-AR38</f>
        <v>7</v>
      </c>
      <c r="AU38" s="113"/>
      <c r="AW38" s="3"/>
      <c r="AX38" s="3"/>
      <c r="AY38" s="3"/>
      <c r="AZ38" s="3"/>
    </row>
    <row r="39" spans="1:52" x14ac:dyDescent="0.2">
      <c r="A39" s="495"/>
      <c r="B39" s="7">
        <v>2200</v>
      </c>
      <c r="C39" s="350">
        <f t="shared" ca="1" si="26"/>
        <v>379</v>
      </c>
      <c r="D39" s="317">
        <f t="shared" ca="1" si="32"/>
        <v>376</v>
      </c>
      <c r="E39" s="317">
        <f t="shared" ca="1" si="45"/>
        <v>390</v>
      </c>
      <c r="F39" s="317">
        <f t="shared" ca="1" si="33"/>
        <v>430</v>
      </c>
      <c r="G39" s="184">
        <f t="shared" ca="1" si="28"/>
        <v>442</v>
      </c>
      <c r="H39" s="184">
        <f t="shared" ca="1" si="29"/>
        <v>464</v>
      </c>
      <c r="I39" s="184">
        <f t="shared" ca="1" si="30"/>
        <v>476</v>
      </c>
      <c r="J39" s="183">
        <f t="shared" ca="1" si="31"/>
        <v>509</v>
      </c>
      <c r="K39" s="286">
        <f t="shared" si="34"/>
        <v>670.81000000000029</v>
      </c>
      <c r="L39" s="184">
        <f t="shared" si="35"/>
        <v>714.07000000000016</v>
      </c>
      <c r="M39" s="184">
        <f t="shared" si="36"/>
        <v>761.58</v>
      </c>
      <c r="N39" s="184">
        <f t="shared" si="37"/>
        <v>803.58</v>
      </c>
      <c r="O39" s="184">
        <f t="shared" si="38"/>
        <v>834.86719999999991</v>
      </c>
      <c r="P39" s="184">
        <f t="shared" si="39"/>
        <v>892.72000000000037</v>
      </c>
      <c r="Q39" s="184">
        <f t="shared" si="40"/>
        <v>936</v>
      </c>
      <c r="R39" s="184">
        <f t="shared" si="41"/>
        <v>979.5200000000001</v>
      </c>
      <c r="S39" s="183">
        <f t="shared" si="42"/>
        <v>1027.6000000000001</v>
      </c>
      <c r="T39" s="183">
        <f t="shared" si="43"/>
        <v>1068.45</v>
      </c>
      <c r="U39" s="183">
        <f t="shared" si="44"/>
        <v>1111.5200000000004</v>
      </c>
      <c r="V39" s="183">
        <f t="shared" si="46"/>
        <v>1157.8699999999999</v>
      </c>
      <c r="W39" s="183">
        <f t="shared" ref="W39:W50" si="47">W38+IF($E$16=6,28.33,IF($E$16=8,25.33,IF($E$16=10,26.17,IF($E$16=12,24.17,IF($E$16=14,22.67,IF($E$16=16,21.33,IF($E$16=20,21.33,IF($E$16=40,16,0))))))))</f>
        <v>1200.6599999999999</v>
      </c>
      <c r="X39" s="183">
        <f>X38+IF($E$16=6,29.4,IF($E$16=8,26.4,IF($E$16=10,27.2,IF($E$16=12,25.2,IF($E$16=14,23.6,IF($E$16=16,22.2,IF($E$16=20,22,IF($E$16=40,16.4,0))))))))</f>
        <v>1244.4000000000001</v>
      </c>
      <c r="Y39" s="183">
        <f>IF($E$16=6,1290,IF($E$16=8,1238,IF($E$16=10,1238,IF($E$16=12,1191,IF($E$16=14,1154,IF($E$16=16,1124,IF($E$16=20,1117,IF($E$16=40,983,0))))))))</f>
        <v>1290</v>
      </c>
      <c r="Z39" s="317">
        <f>Z40-IF($E$16=6,35,IF($E$16=8,28.67,IF($E$16=10,29.33,IF($E$16=12,27,IF($E$16=14,25.33,IF($E$16=16,23.67,IF($E$16=20,23.67,IF($E$16=40,17.33,0))))))))</f>
        <v>1321</v>
      </c>
      <c r="AA39" s="329">
        <f t="shared" si="25"/>
        <v>1342</v>
      </c>
      <c r="AQ39" s="310">
        <v>14</v>
      </c>
      <c r="AR39" s="1">
        <v>248</v>
      </c>
      <c r="AS39" s="1">
        <v>296</v>
      </c>
      <c r="AT39" s="3">
        <f>255-AR39</f>
        <v>7</v>
      </c>
      <c r="AU39" s="113"/>
      <c r="AW39" s="3"/>
      <c r="AX39" s="3"/>
      <c r="AY39" s="3"/>
      <c r="AZ39" s="3"/>
    </row>
    <row r="40" spans="1:52" x14ac:dyDescent="0.2">
      <c r="A40" s="495"/>
      <c r="B40" s="7">
        <v>2300</v>
      </c>
      <c r="C40" s="350">
        <f t="shared" ca="1" si="26"/>
        <v>387</v>
      </c>
      <c r="D40" s="317">
        <f t="shared" ca="1" si="32"/>
        <v>384</v>
      </c>
      <c r="E40" s="317">
        <f t="shared" ca="1" si="45"/>
        <v>398</v>
      </c>
      <c r="F40" s="317">
        <f t="shared" ca="1" si="33"/>
        <v>440</v>
      </c>
      <c r="G40" s="184">
        <f t="shared" ca="1" si="28"/>
        <v>452</v>
      </c>
      <c r="H40" s="184">
        <f t="shared" ca="1" si="29"/>
        <v>475</v>
      </c>
      <c r="I40" s="184">
        <f t="shared" ca="1" si="30"/>
        <v>487</v>
      </c>
      <c r="J40" s="183">
        <f t="shared" ca="1" si="31"/>
        <v>522</v>
      </c>
      <c r="K40" s="286">
        <f t="shared" si="34"/>
        <v>684.90000000000032</v>
      </c>
      <c r="L40" s="184">
        <f t="shared" si="35"/>
        <v>729.30000000000018</v>
      </c>
      <c r="M40" s="184">
        <f t="shared" si="36"/>
        <v>778.2</v>
      </c>
      <c r="N40" s="184">
        <f t="shared" si="37"/>
        <v>821.2</v>
      </c>
      <c r="O40" s="184">
        <f t="shared" si="38"/>
        <v>852.4079999999999</v>
      </c>
      <c r="P40" s="184">
        <f t="shared" si="39"/>
        <v>912.80000000000041</v>
      </c>
      <c r="Q40" s="184">
        <f t="shared" si="40"/>
        <v>957.25</v>
      </c>
      <c r="R40" s="184">
        <f t="shared" si="41"/>
        <v>1001.8800000000001</v>
      </c>
      <c r="S40" s="183">
        <f t="shared" si="42"/>
        <v>1050.7</v>
      </c>
      <c r="T40" s="183">
        <f t="shared" si="43"/>
        <v>1093.3400000000001</v>
      </c>
      <c r="U40" s="183">
        <f t="shared" si="44"/>
        <v>1137.4000000000005</v>
      </c>
      <c r="V40" s="183">
        <f t="shared" si="46"/>
        <v>1185.1599999999999</v>
      </c>
      <c r="W40" s="183">
        <f t="shared" si="47"/>
        <v>1228.9899999999998</v>
      </c>
      <c r="X40" s="183">
        <f>X39+IF($E$16=6,29.4,IF($E$16=8,26.4,IF($E$16=10,27.2,IF($E$16=12,25.2,IF($E$16=14,23.6,IF($E$16=16,22.2,IF($E$16=20,22,IF($E$16=40,16.4,0))))))))</f>
        <v>1273.8000000000002</v>
      </c>
      <c r="Y40" s="183">
        <f>Y39+IF($E$16=6,31,IF($E$16=8,27.5,IF($E$16=10,28.25,IF($E$16=12,26.25,IF($E$16=14,24.25,IF($E$16=16,23,IF($E$16=20,23,IF($E$16=40,16.75,0))))))))</f>
        <v>1321</v>
      </c>
      <c r="Z40" s="183">
        <f>IF($E$16=6,1356,IF($E$16=8,1307,IF($E$16=10,1306,IF($E$16=12,1258,IF($E$16=14,1218,IF($E$16=16,1183,IF($E$16=20,1175,IF($E$16=40,1029,0))))))))</f>
        <v>1356</v>
      </c>
      <c r="AA40" s="329">
        <f>AA41-IF($E$16=6,33,IF($E$16=8,29.5,IF($E$16=10,30.5,IF($E$16=12,28,IF($E$16=14,26,IF($E$16=16,24.5,IF($E$16=20,24.5,IF($E$16=40,17.5,0))))))))</f>
        <v>1375</v>
      </c>
      <c r="AQ40" s="310">
        <v>16</v>
      </c>
      <c r="AR40" s="1">
        <v>248</v>
      </c>
      <c r="AS40" s="1">
        <v>296</v>
      </c>
      <c r="AT40" s="3">
        <f>255-AR40</f>
        <v>7</v>
      </c>
      <c r="AU40" s="113"/>
      <c r="AW40" s="3"/>
      <c r="AX40" s="3"/>
      <c r="AY40" s="3"/>
      <c r="AZ40" s="3"/>
    </row>
    <row r="41" spans="1:52" x14ac:dyDescent="0.2">
      <c r="A41" s="495"/>
      <c r="B41" s="7">
        <v>2400</v>
      </c>
      <c r="C41" s="350">
        <f t="shared" ca="1" si="26"/>
        <v>395</v>
      </c>
      <c r="D41" s="317">
        <f t="shared" ca="1" si="32"/>
        <v>392</v>
      </c>
      <c r="E41" s="317">
        <f t="shared" ca="1" si="45"/>
        <v>406</v>
      </c>
      <c r="F41" s="317">
        <f t="shared" ca="1" si="33"/>
        <v>450</v>
      </c>
      <c r="G41" s="317">
        <f t="shared" ca="1" si="28"/>
        <v>462</v>
      </c>
      <c r="H41" s="184">
        <f t="shared" ca="1" si="29"/>
        <v>486</v>
      </c>
      <c r="I41" s="184">
        <f t="shared" ca="1" si="30"/>
        <v>498</v>
      </c>
      <c r="J41" s="183">
        <f t="shared" ca="1" si="31"/>
        <v>535</v>
      </c>
      <c r="K41" s="316">
        <f t="shared" si="34"/>
        <v>698.99000000000035</v>
      </c>
      <c r="L41" s="287">
        <f t="shared" si="35"/>
        <v>744.5300000000002</v>
      </c>
      <c r="M41" s="287">
        <f t="shared" si="36"/>
        <v>794.82</v>
      </c>
      <c r="N41" s="287">
        <f t="shared" si="37"/>
        <v>838.82</v>
      </c>
      <c r="O41" s="287">
        <f t="shared" si="38"/>
        <v>869.94879999999989</v>
      </c>
      <c r="P41" s="184">
        <f t="shared" si="39"/>
        <v>932.88000000000045</v>
      </c>
      <c r="Q41" s="184">
        <f t="shared" si="40"/>
        <v>978.5</v>
      </c>
      <c r="R41" s="184">
        <f t="shared" si="41"/>
        <v>1024.24</v>
      </c>
      <c r="S41" s="183">
        <f t="shared" si="42"/>
        <v>1073.8</v>
      </c>
      <c r="T41" s="183">
        <f t="shared" si="43"/>
        <v>1118.2300000000002</v>
      </c>
      <c r="U41" s="183">
        <f t="shared" si="44"/>
        <v>1163.2800000000007</v>
      </c>
      <c r="V41" s="183">
        <f t="shared" si="46"/>
        <v>1212.4499999999998</v>
      </c>
      <c r="W41" s="183">
        <f t="shared" si="47"/>
        <v>1257.3199999999997</v>
      </c>
      <c r="X41" s="183">
        <f>X40+IF($E$16=6,29.4,IF($E$16=8,26.4,IF($E$16=10,27.2,IF($E$16=12,25.2,IF($E$16=14,23.6,IF($E$16=16,22.2,IF($E$16=20,22,IF($E$16=40,16.4,0))))))))</f>
        <v>1303.2000000000003</v>
      </c>
      <c r="Y41" s="183">
        <f>Y40+IF($E$16=6,31,IF($E$16=8,27.5,IF($E$16=10,28.25,IF($E$16=12,26.25,IF($E$16=14,24.25,IF($E$16=16,23,IF($E$16=20,23,IF($E$16=40,16.75,0))))))))</f>
        <v>1352</v>
      </c>
      <c r="Z41" s="183">
        <f>Z40+IF($E$16=6,35,IF($E$16=8,28.67,IF($E$16=10,29.33,IF($E$16=12,27,IF($E$16=14,25.33,IF($E$16=16,23.67,IF($E$16=20,23.67,IF($E$16=40,17.33,0))))))))</f>
        <v>1391</v>
      </c>
      <c r="AA41" s="288">
        <f>IF($E$16=6,1408,IF($E$16=8,1379,IF($E$16=10,1381,IF($E$16=12,1326,IF($E$16=14,1280,IF($E$16=16,1243,IF($E$16=20,1233,IF($E$16=40,1070,0))))))))</f>
        <v>1408</v>
      </c>
      <c r="AQ41" s="310">
        <v>20</v>
      </c>
      <c r="AR41" s="1">
        <v>246</v>
      </c>
      <c r="AS41" s="1">
        <v>292</v>
      </c>
      <c r="AT41" s="3">
        <f>253-AR41</f>
        <v>7</v>
      </c>
      <c r="AU41" s="113"/>
      <c r="AW41" s="3"/>
      <c r="AX41" s="3"/>
      <c r="AY41" s="3"/>
      <c r="AZ41" s="3"/>
    </row>
    <row r="42" spans="1:52" x14ac:dyDescent="0.2">
      <c r="A42" s="495"/>
      <c r="B42" s="7">
        <v>2500</v>
      </c>
      <c r="C42" s="350">
        <f t="shared" ca="1" si="26"/>
        <v>403</v>
      </c>
      <c r="D42" s="317">
        <f t="shared" ca="1" si="32"/>
        <v>400</v>
      </c>
      <c r="E42" s="317">
        <f t="shared" ca="1" si="45"/>
        <v>414</v>
      </c>
      <c r="F42" s="317">
        <f t="shared" ca="1" si="33"/>
        <v>460</v>
      </c>
      <c r="G42" s="317">
        <f t="shared" ca="1" si="28"/>
        <v>472</v>
      </c>
      <c r="H42" s="184">
        <f t="shared" ca="1" si="29"/>
        <v>497</v>
      </c>
      <c r="I42" s="184">
        <f t="shared" ca="1" si="30"/>
        <v>509</v>
      </c>
      <c r="J42" s="183">
        <f t="shared" ca="1" si="31"/>
        <v>548</v>
      </c>
      <c r="K42" s="316">
        <f t="shared" si="34"/>
        <v>713.08000000000038</v>
      </c>
      <c r="L42" s="183">
        <f t="shared" si="35"/>
        <v>759.76000000000022</v>
      </c>
      <c r="M42" s="183">
        <f t="shared" si="36"/>
        <v>811.44</v>
      </c>
      <c r="N42" s="183">
        <f t="shared" si="37"/>
        <v>856.44</v>
      </c>
      <c r="O42" s="183">
        <f t="shared" si="38"/>
        <v>887.48959999999988</v>
      </c>
      <c r="P42" s="286">
        <f t="shared" si="39"/>
        <v>952.96000000000049</v>
      </c>
      <c r="Q42" s="184">
        <f t="shared" si="40"/>
        <v>999.75</v>
      </c>
      <c r="R42" s="184">
        <f t="shared" si="41"/>
        <v>1046.5999999999999</v>
      </c>
      <c r="S42" s="183">
        <f t="shared" si="42"/>
        <v>1096.8999999999999</v>
      </c>
      <c r="T42" s="183">
        <f t="shared" si="43"/>
        <v>1143.1200000000003</v>
      </c>
      <c r="U42" s="183">
        <f t="shared" si="44"/>
        <v>1189.1600000000008</v>
      </c>
      <c r="V42" s="183">
        <f t="shared" si="46"/>
        <v>1239.7399999999998</v>
      </c>
      <c r="W42" s="183">
        <f t="shared" si="47"/>
        <v>1285.6499999999996</v>
      </c>
      <c r="X42" s="183">
        <f>X41+IF($E$16=6,29.4,IF($E$16=8,26.4,IF($E$16=10,27.2,IF($E$16=12,25.2,IF($E$16=14,23.6,IF($E$16=16,22.2,IF($E$16=20,22,IF($E$16=40,16.4,0))))))))</f>
        <v>1332.6000000000004</v>
      </c>
      <c r="Y42" s="183">
        <f>Y41+IF($E$16=6,31,IF($E$16=8,27.5,IF($E$16=10,28.25,IF($E$16=12,26.25,IF($E$16=14,24.25,IF($E$16=16,23,IF($E$16=20,23,IF($E$16=40,16.75,0))))))))</f>
        <v>1383</v>
      </c>
      <c r="Z42" s="183">
        <f>Z41+IF($E$16=6,35,IF($E$16=8,28.67,IF($E$16=10,29.33,IF($E$16=12,27,IF($E$16=14,25.33,IF($E$16=16,23.67,IF($E$16=20,23.67,IF($E$16=40,17.33,0))))))))</f>
        <v>1426</v>
      </c>
      <c r="AA42" s="288">
        <f>AA41+IF($E$16=6,33,IF($E$16=8,29.5,IF($E$16=10,30.5,IF($E$16=12,28,IF($E$16=14,26,IF($E$16=16,24.5,IF($E$16=20,24.5,IF($E$16=40,17.5,0))))))))</f>
        <v>1441</v>
      </c>
      <c r="AQ42" s="311">
        <v>40</v>
      </c>
      <c r="AR42" s="111">
        <v>242</v>
      </c>
      <c r="AS42" s="111">
        <v>287</v>
      </c>
      <c r="AT42" s="111">
        <f>249-AR42</f>
        <v>7</v>
      </c>
      <c r="AU42" s="312"/>
      <c r="AW42" s="3"/>
      <c r="AX42" s="3"/>
      <c r="AY42" s="3"/>
      <c r="AZ42" s="3"/>
    </row>
    <row r="43" spans="1:52" x14ac:dyDescent="0.2">
      <c r="A43" s="495"/>
      <c r="B43" s="7">
        <v>2600</v>
      </c>
      <c r="C43" s="350">
        <f t="shared" ca="1" si="26"/>
        <v>411</v>
      </c>
      <c r="D43" s="317">
        <f t="shared" ca="1" si="32"/>
        <v>408</v>
      </c>
      <c r="E43" s="317">
        <f t="shared" ca="1" si="45"/>
        <v>422</v>
      </c>
      <c r="F43" s="317">
        <f t="shared" ca="1" si="33"/>
        <v>470</v>
      </c>
      <c r="G43" s="317">
        <f t="shared" ca="1" si="28"/>
        <v>482</v>
      </c>
      <c r="H43" s="317">
        <f t="shared" ca="1" si="29"/>
        <v>508</v>
      </c>
      <c r="I43" s="287">
        <f t="shared" ca="1" si="30"/>
        <v>520</v>
      </c>
      <c r="J43" s="332">
        <f t="shared" ca="1" si="31"/>
        <v>561</v>
      </c>
      <c r="K43" s="333">
        <f t="shared" si="34"/>
        <v>727.17000000000041</v>
      </c>
      <c r="L43" s="332">
        <f t="shared" si="35"/>
        <v>774.99000000000024</v>
      </c>
      <c r="M43" s="332">
        <f t="shared" si="36"/>
        <v>828.06000000000006</v>
      </c>
      <c r="N43" s="332">
        <f t="shared" si="37"/>
        <v>874.06000000000006</v>
      </c>
      <c r="O43" s="332">
        <f t="shared" si="38"/>
        <v>905.03039999999987</v>
      </c>
      <c r="P43" s="334">
        <f t="shared" si="39"/>
        <v>973.04000000000053</v>
      </c>
      <c r="Q43" s="287">
        <f t="shared" si="40"/>
        <v>1021</v>
      </c>
      <c r="R43" s="287">
        <f t="shared" si="41"/>
        <v>1068.9599999999998</v>
      </c>
      <c r="S43" s="332">
        <f t="shared" si="42"/>
        <v>1119.9999999999998</v>
      </c>
      <c r="T43" s="332">
        <f t="shared" si="43"/>
        <v>1168.0100000000004</v>
      </c>
      <c r="U43" s="332">
        <f t="shared" si="44"/>
        <v>1215.0400000000009</v>
      </c>
      <c r="V43" s="332">
        <f t="shared" si="46"/>
        <v>1267.0299999999997</v>
      </c>
      <c r="W43" s="332">
        <f t="shared" si="47"/>
        <v>1313.9799999999996</v>
      </c>
      <c r="X43" s="332">
        <f>X42+IF($E$16=6,29.4,IF($E$16=8,26.4,IF($E$16=10,27.2,IF($E$16=12,25.2,IF($E$16=14,23.6,IF($E$16=16,22.2,IF($E$16=20,22,IF($E$16=40,16.4,0))))))))</f>
        <v>1362.0000000000005</v>
      </c>
      <c r="Y43" s="332">
        <f>Y42+IF($E$16=6,31,IF($E$16=8,27.5,IF($E$16=10,28.25,IF($E$16=12,26.25,IF($E$16=14,24.25,IF($E$16=16,23,IF($E$16=20,23,IF($E$16=40,16.75,0))))))))</f>
        <v>1414</v>
      </c>
      <c r="Z43" s="332">
        <f>Z42+IF($E$16=6,35,IF($E$16=8,28.67,IF($E$16=10,29.33,IF($E$16=12,27,IF($E$16=14,25.33,IF($E$16=16,23.67,IF($E$16=20,23.67,IF($E$16=40,17.33,0))))))))</f>
        <v>1461</v>
      </c>
      <c r="AA43" s="335">
        <f>AA42+IF($E$16=6,33,IF($E$16=8,29.5,IF($E$16=10,30.5,IF($E$16=12,28,IF($E$16=14,26,IF($E$16=16,24.5,IF($E$16=20,24.5,IF($E$16=40,17.5,0))))))))</f>
        <v>1474</v>
      </c>
      <c r="AW43" s="3"/>
      <c r="AX43" s="3"/>
      <c r="AY43" s="3"/>
      <c r="AZ43" s="3"/>
    </row>
    <row r="44" spans="1:52" x14ac:dyDescent="0.2">
      <c r="A44" s="495"/>
      <c r="B44" s="7">
        <v>2700</v>
      </c>
      <c r="C44" s="349">
        <f t="shared" ca="1" si="26"/>
        <v>419</v>
      </c>
      <c r="D44" s="323">
        <f t="shared" ca="1" si="32"/>
        <v>416</v>
      </c>
      <c r="E44" s="323">
        <f t="shared" ca="1" si="45"/>
        <v>430</v>
      </c>
      <c r="F44" s="323">
        <f t="shared" ca="1" si="33"/>
        <v>480</v>
      </c>
      <c r="G44" s="323">
        <f t="shared" ca="1" si="28"/>
        <v>492</v>
      </c>
      <c r="H44" s="323">
        <f t="shared" ca="1" si="29"/>
        <v>519</v>
      </c>
      <c r="I44" s="289">
        <f t="shared" ca="1" si="30"/>
        <v>531</v>
      </c>
      <c r="J44" s="290">
        <f t="shared" ca="1" si="31"/>
        <v>574</v>
      </c>
      <c r="K44" s="318">
        <f t="shared" si="34"/>
        <v>741.26000000000045</v>
      </c>
      <c r="L44" s="290">
        <f t="shared" si="35"/>
        <v>790.22000000000025</v>
      </c>
      <c r="M44" s="290">
        <f t="shared" si="36"/>
        <v>844.68000000000006</v>
      </c>
      <c r="N44" s="290">
        <f t="shared" si="37"/>
        <v>891.68000000000006</v>
      </c>
      <c r="O44" s="290">
        <f t="shared" si="38"/>
        <v>922.57119999999986</v>
      </c>
      <c r="P44" s="291">
        <f t="shared" si="39"/>
        <v>993.12000000000057</v>
      </c>
      <c r="Q44" s="289">
        <f t="shared" si="40"/>
        <v>1042.25</v>
      </c>
      <c r="R44" s="289">
        <f t="shared" si="41"/>
        <v>1091.3199999999997</v>
      </c>
      <c r="S44" s="290">
        <f t="shared" si="42"/>
        <v>1143.0999999999997</v>
      </c>
      <c r="T44" s="290">
        <f t="shared" si="43"/>
        <v>1192.9000000000005</v>
      </c>
      <c r="U44" s="290">
        <f t="shared" si="44"/>
        <v>1240.920000000001</v>
      </c>
      <c r="V44" s="290">
        <f t="shared" si="46"/>
        <v>1294.3199999999997</v>
      </c>
      <c r="W44" s="290">
        <f t="shared" si="47"/>
        <v>1342.3099999999995</v>
      </c>
      <c r="X44" s="290">
        <f t="shared" ref="X44:X50" si="48">X43+IF($E$16=6,29.4,IF($E$16=8,26.4,IF($E$16=10,27.2,IF($E$16=12,25.2,IF($E$16=14,23.6,IF($E$16=16,22.2,IF($E$16=20,22,IF($E$16=40,16.4,0))))))))</f>
        <v>1391.4000000000005</v>
      </c>
      <c r="Y44" s="290">
        <f t="shared" ref="Y44:Y50" si="49">Y43+IF($E$16=6,31,IF($E$16=8,27.5,IF($E$16=10,28.25,IF($E$16=12,26.25,IF($E$16=14,24.25,IF($E$16=16,23,IF($E$16=20,23,IF($E$16=40,16.75,0))))))))</f>
        <v>1445</v>
      </c>
      <c r="Z44" s="290">
        <f t="shared" ref="Z44:Z50" si="50">Z43+IF($E$16=6,35,IF($E$16=8,28.67,IF($E$16=10,29.33,IF($E$16=12,27,IF($E$16=14,25.33,IF($E$16=16,23.67,IF($E$16=20,23.67,IF($E$16=40,17.33,0))))))))</f>
        <v>1496</v>
      </c>
      <c r="AA44" s="292">
        <f t="shared" ref="AA44:AA50" si="51">AA43+IF($E$16=6,33,IF($E$16=8,29.5,IF($E$16=10,30.5,IF($E$16=12,28,IF($E$16=14,26,IF($E$16=16,24.5,IF($E$16=20,24.5,IF($E$16=40,17.5,0))))))))</f>
        <v>1507</v>
      </c>
      <c r="AP44" s="186" t="s">
        <v>333</v>
      </c>
      <c r="AQ44" s="308">
        <v>500</v>
      </c>
      <c r="AR44" s="309"/>
      <c r="AS44" s="309"/>
      <c r="AT44" s="309"/>
      <c r="AU44" s="112"/>
      <c r="AW44" s="3"/>
      <c r="AX44" s="3"/>
      <c r="AY44" s="3"/>
      <c r="AZ44" s="3"/>
    </row>
    <row r="45" spans="1:52" x14ac:dyDescent="0.2">
      <c r="A45" s="495"/>
      <c r="B45" s="7">
        <v>2800</v>
      </c>
      <c r="C45" s="350">
        <f t="shared" ca="1" si="26"/>
        <v>427</v>
      </c>
      <c r="D45" s="317">
        <f t="shared" ca="1" si="32"/>
        <v>424</v>
      </c>
      <c r="E45" s="317">
        <f t="shared" ca="1" si="45"/>
        <v>438</v>
      </c>
      <c r="F45" s="317">
        <f t="shared" ca="1" si="33"/>
        <v>490</v>
      </c>
      <c r="G45" s="317">
        <f t="shared" ca="1" si="28"/>
        <v>502</v>
      </c>
      <c r="H45" s="317">
        <f t="shared" ca="1" si="29"/>
        <v>530</v>
      </c>
      <c r="I45" s="317">
        <f t="shared" ca="1" si="30"/>
        <v>542</v>
      </c>
      <c r="J45" s="290">
        <f t="shared" ca="1" si="31"/>
        <v>587</v>
      </c>
      <c r="K45" s="318">
        <f t="shared" si="34"/>
        <v>755.35000000000048</v>
      </c>
      <c r="L45" s="290">
        <f t="shared" si="35"/>
        <v>805.45000000000027</v>
      </c>
      <c r="M45" s="290">
        <f t="shared" si="36"/>
        <v>861.30000000000007</v>
      </c>
      <c r="N45" s="290">
        <f t="shared" si="37"/>
        <v>909.30000000000007</v>
      </c>
      <c r="O45" s="290">
        <f t="shared" si="38"/>
        <v>940.11199999999985</v>
      </c>
      <c r="P45" s="291">
        <f t="shared" si="39"/>
        <v>1013.2000000000006</v>
      </c>
      <c r="Q45" s="289">
        <f t="shared" si="40"/>
        <v>1063.5</v>
      </c>
      <c r="R45" s="289">
        <f t="shared" si="41"/>
        <v>1113.6799999999996</v>
      </c>
      <c r="S45" s="290">
        <f t="shared" si="42"/>
        <v>1166.1999999999996</v>
      </c>
      <c r="T45" s="290">
        <f t="shared" si="43"/>
        <v>1217.7900000000006</v>
      </c>
      <c r="U45" s="290">
        <f t="shared" si="44"/>
        <v>1266.8000000000011</v>
      </c>
      <c r="V45" s="290">
        <f t="shared" si="46"/>
        <v>1321.6099999999997</v>
      </c>
      <c r="W45" s="290">
        <f t="shared" si="47"/>
        <v>1370.6399999999994</v>
      </c>
      <c r="X45" s="290">
        <f t="shared" si="48"/>
        <v>1420.8000000000006</v>
      </c>
      <c r="Y45" s="290">
        <f t="shared" si="49"/>
        <v>1476</v>
      </c>
      <c r="Z45" s="290">
        <f t="shared" si="50"/>
        <v>1531</v>
      </c>
      <c r="AA45" s="292">
        <f t="shared" si="51"/>
        <v>1540</v>
      </c>
      <c r="AQ45" s="310"/>
      <c r="AR45" s="3"/>
      <c r="AS45" s="3"/>
      <c r="AT45" s="3" t="s">
        <v>328</v>
      </c>
      <c r="AU45" s="113" t="s">
        <v>327</v>
      </c>
      <c r="AW45" s="3"/>
      <c r="AX45" s="3"/>
      <c r="AY45" s="3"/>
      <c r="AZ45" s="3"/>
    </row>
    <row r="46" spans="1:52" x14ac:dyDescent="0.2">
      <c r="A46" s="495"/>
      <c r="B46" s="7">
        <v>2900</v>
      </c>
      <c r="C46" s="350">
        <f t="shared" ca="1" si="26"/>
        <v>435</v>
      </c>
      <c r="D46" s="317">
        <f t="shared" ca="1" si="32"/>
        <v>432</v>
      </c>
      <c r="E46" s="317">
        <f t="shared" ca="1" si="45"/>
        <v>446</v>
      </c>
      <c r="F46" s="317">
        <f t="shared" ca="1" si="33"/>
        <v>500</v>
      </c>
      <c r="G46" s="317">
        <f t="shared" ca="1" si="28"/>
        <v>512</v>
      </c>
      <c r="H46" s="317">
        <f t="shared" ca="1" si="29"/>
        <v>541</v>
      </c>
      <c r="I46" s="317">
        <f t="shared" ca="1" si="30"/>
        <v>553</v>
      </c>
      <c r="J46" s="290">
        <f t="shared" ca="1" si="31"/>
        <v>600</v>
      </c>
      <c r="K46" s="318">
        <f t="shared" si="34"/>
        <v>769.44000000000051</v>
      </c>
      <c r="L46" s="290">
        <f t="shared" si="35"/>
        <v>820.68000000000029</v>
      </c>
      <c r="M46" s="290">
        <f t="shared" si="36"/>
        <v>877.92000000000007</v>
      </c>
      <c r="N46" s="290">
        <f t="shared" si="37"/>
        <v>926.92000000000007</v>
      </c>
      <c r="O46" s="290">
        <f t="shared" si="38"/>
        <v>957.65279999999984</v>
      </c>
      <c r="P46" s="291">
        <f t="shared" si="39"/>
        <v>1033.2800000000007</v>
      </c>
      <c r="Q46" s="289">
        <f t="shared" si="40"/>
        <v>1084.75</v>
      </c>
      <c r="R46" s="289">
        <f t="shared" si="41"/>
        <v>1136.0399999999995</v>
      </c>
      <c r="S46" s="290">
        <f t="shared" si="42"/>
        <v>1189.2999999999995</v>
      </c>
      <c r="T46" s="290">
        <f t="shared" si="43"/>
        <v>1242.6800000000007</v>
      </c>
      <c r="U46" s="290">
        <f t="shared" si="44"/>
        <v>1292.6800000000012</v>
      </c>
      <c r="V46" s="290">
        <f t="shared" si="46"/>
        <v>1348.8999999999996</v>
      </c>
      <c r="W46" s="290">
        <f t="shared" si="47"/>
        <v>1398.9699999999993</v>
      </c>
      <c r="X46" s="290">
        <f t="shared" si="48"/>
        <v>1450.2000000000007</v>
      </c>
      <c r="Y46" s="290">
        <f t="shared" si="49"/>
        <v>1507</v>
      </c>
      <c r="Z46" s="290">
        <f t="shared" si="50"/>
        <v>1566</v>
      </c>
      <c r="AA46" s="292">
        <f t="shared" si="51"/>
        <v>1573</v>
      </c>
      <c r="AQ46" s="310">
        <v>6</v>
      </c>
      <c r="AR46" s="3">
        <v>263</v>
      </c>
      <c r="AS46" s="1">
        <v>318</v>
      </c>
      <c r="AT46" s="3">
        <f>271-AR46</f>
        <v>8</v>
      </c>
      <c r="AU46" s="113">
        <v>4</v>
      </c>
      <c r="AW46" s="3"/>
      <c r="AX46" s="3"/>
      <c r="AY46" s="3"/>
      <c r="AZ46" s="3"/>
    </row>
    <row r="47" spans="1:52" x14ac:dyDescent="0.2">
      <c r="A47" s="495"/>
      <c r="B47" s="7">
        <v>3000</v>
      </c>
      <c r="C47" s="350">
        <f t="shared" ca="1" si="26"/>
        <v>443</v>
      </c>
      <c r="D47" s="317">
        <f t="shared" ca="1" si="32"/>
        <v>440</v>
      </c>
      <c r="E47" s="317">
        <f t="shared" ca="1" si="45"/>
        <v>454</v>
      </c>
      <c r="F47" s="317">
        <f t="shared" ca="1" si="33"/>
        <v>510</v>
      </c>
      <c r="G47" s="317">
        <f t="shared" ca="1" si="28"/>
        <v>522</v>
      </c>
      <c r="H47" s="317">
        <f t="shared" ca="1" si="29"/>
        <v>552</v>
      </c>
      <c r="I47" s="317">
        <f t="shared" ca="1" si="30"/>
        <v>564</v>
      </c>
      <c r="J47" s="322">
        <f t="shared" ca="1" si="31"/>
        <v>613</v>
      </c>
      <c r="K47" s="318">
        <f t="shared" si="34"/>
        <v>783.53000000000054</v>
      </c>
      <c r="L47" s="290">
        <f t="shared" si="35"/>
        <v>835.91000000000031</v>
      </c>
      <c r="M47" s="290">
        <f t="shared" si="36"/>
        <v>894.54000000000008</v>
      </c>
      <c r="N47" s="290">
        <f t="shared" si="37"/>
        <v>944.54000000000008</v>
      </c>
      <c r="O47" s="290">
        <f t="shared" si="38"/>
        <v>975.19359999999983</v>
      </c>
      <c r="P47" s="291">
        <f t="shared" si="39"/>
        <v>1053.3600000000006</v>
      </c>
      <c r="Q47" s="289">
        <f t="shared" si="40"/>
        <v>1106</v>
      </c>
      <c r="R47" s="289">
        <f t="shared" si="41"/>
        <v>1158.3999999999994</v>
      </c>
      <c r="S47" s="290">
        <f t="shared" si="42"/>
        <v>1212.3999999999994</v>
      </c>
      <c r="T47" s="290">
        <f t="shared" si="43"/>
        <v>1267.5700000000008</v>
      </c>
      <c r="U47" s="290">
        <f t="shared" si="44"/>
        <v>1318.5600000000013</v>
      </c>
      <c r="V47" s="290">
        <f t="shared" si="46"/>
        <v>1376.1899999999996</v>
      </c>
      <c r="W47" s="290">
        <f t="shared" si="47"/>
        <v>1427.2999999999993</v>
      </c>
      <c r="X47" s="290">
        <f t="shared" si="48"/>
        <v>1479.6000000000008</v>
      </c>
      <c r="Y47" s="290">
        <f t="shared" si="49"/>
        <v>1538</v>
      </c>
      <c r="Z47" s="290">
        <f t="shared" si="50"/>
        <v>1601</v>
      </c>
      <c r="AA47" s="292">
        <f t="shared" si="51"/>
        <v>1606</v>
      </c>
      <c r="AQ47" s="310">
        <v>8</v>
      </c>
      <c r="AR47" s="3">
        <v>260</v>
      </c>
      <c r="AS47" s="3">
        <v>314</v>
      </c>
      <c r="AT47" s="3">
        <f>268-AR47</f>
        <v>8</v>
      </c>
      <c r="AU47" s="113"/>
      <c r="AW47" s="3"/>
      <c r="AX47" s="3"/>
      <c r="AY47" s="3"/>
      <c r="AZ47" s="3"/>
    </row>
    <row r="48" spans="1:52" x14ac:dyDescent="0.2">
      <c r="A48" s="495"/>
      <c r="B48" s="7">
        <v>3100</v>
      </c>
      <c r="C48" s="350">
        <f t="shared" ca="1" si="26"/>
        <v>451</v>
      </c>
      <c r="D48" s="317">
        <f t="shared" ca="1" si="32"/>
        <v>448</v>
      </c>
      <c r="E48" s="317">
        <f t="shared" ca="1" si="45"/>
        <v>462</v>
      </c>
      <c r="F48" s="317">
        <f t="shared" ca="1" si="33"/>
        <v>520</v>
      </c>
      <c r="G48" s="317">
        <f t="shared" ca="1" si="28"/>
        <v>532</v>
      </c>
      <c r="H48" s="317">
        <f t="shared" ca="1" si="29"/>
        <v>563</v>
      </c>
      <c r="I48" s="317">
        <f t="shared" ca="1" si="30"/>
        <v>575</v>
      </c>
      <c r="J48" s="322">
        <f t="shared" ca="1" si="31"/>
        <v>626</v>
      </c>
      <c r="K48" s="318">
        <f t="shared" si="34"/>
        <v>797.62000000000057</v>
      </c>
      <c r="L48" s="290">
        <f t="shared" si="35"/>
        <v>851.14000000000033</v>
      </c>
      <c r="M48" s="290">
        <f t="shared" si="36"/>
        <v>911.16000000000008</v>
      </c>
      <c r="N48" s="290">
        <f t="shared" si="37"/>
        <v>962.16000000000008</v>
      </c>
      <c r="O48" s="290">
        <f t="shared" si="38"/>
        <v>992.73439999999982</v>
      </c>
      <c r="P48" s="291">
        <f t="shared" si="39"/>
        <v>1073.4400000000005</v>
      </c>
      <c r="Q48" s="289">
        <f t="shared" si="40"/>
        <v>1127.25</v>
      </c>
      <c r="R48" s="289">
        <f t="shared" si="41"/>
        <v>1180.7599999999993</v>
      </c>
      <c r="S48" s="290">
        <f t="shared" si="42"/>
        <v>1235.4999999999993</v>
      </c>
      <c r="T48" s="290">
        <f t="shared" si="43"/>
        <v>1292.4600000000009</v>
      </c>
      <c r="U48" s="290">
        <f t="shared" si="44"/>
        <v>1344.4400000000014</v>
      </c>
      <c r="V48" s="290">
        <f t="shared" si="46"/>
        <v>1403.4799999999996</v>
      </c>
      <c r="W48" s="290">
        <f t="shared" si="47"/>
        <v>1455.6299999999992</v>
      </c>
      <c r="X48" s="290">
        <f t="shared" si="48"/>
        <v>1509.0000000000009</v>
      </c>
      <c r="Y48" s="290">
        <f t="shared" si="49"/>
        <v>1569</v>
      </c>
      <c r="Z48" s="290">
        <f t="shared" si="50"/>
        <v>1636</v>
      </c>
      <c r="AA48" s="292">
        <f t="shared" si="51"/>
        <v>1639</v>
      </c>
      <c r="AQ48" s="310">
        <v>10</v>
      </c>
      <c r="AR48" s="3">
        <v>259</v>
      </c>
      <c r="AS48" s="3">
        <v>312</v>
      </c>
      <c r="AT48" s="3">
        <f>268-AR48</f>
        <v>9</v>
      </c>
      <c r="AU48" s="113"/>
      <c r="AW48" s="3"/>
      <c r="AX48" s="3"/>
      <c r="AY48" s="3"/>
      <c r="AZ48" s="3"/>
    </row>
    <row r="49" spans="1:52" x14ac:dyDescent="0.2">
      <c r="A49" s="495"/>
      <c r="B49" s="7">
        <v>3200</v>
      </c>
      <c r="C49" s="350">
        <f t="shared" ca="1" si="26"/>
        <v>459</v>
      </c>
      <c r="D49" s="317">
        <f t="shared" ca="1" si="32"/>
        <v>456</v>
      </c>
      <c r="E49" s="317">
        <f t="shared" ca="1" si="45"/>
        <v>470</v>
      </c>
      <c r="F49" s="317">
        <f t="shared" ca="1" si="33"/>
        <v>530</v>
      </c>
      <c r="G49" s="317">
        <f t="shared" ca="1" si="28"/>
        <v>542</v>
      </c>
      <c r="H49" s="317">
        <f t="shared" ca="1" si="29"/>
        <v>574</v>
      </c>
      <c r="I49" s="317">
        <f t="shared" ca="1" si="30"/>
        <v>586</v>
      </c>
      <c r="J49" s="322">
        <f t="shared" ca="1" si="31"/>
        <v>639</v>
      </c>
      <c r="K49" s="317">
        <f t="shared" si="34"/>
        <v>811.7100000000006</v>
      </c>
      <c r="L49" s="290">
        <f t="shared" si="35"/>
        <v>866.37000000000035</v>
      </c>
      <c r="M49" s="290">
        <f t="shared" si="36"/>
        <v>927.78000000000009</v>
      </c>
      <c r="N49" s="290">
        <f t="shared" si="37"/>
        <v>979.78000000000009</v>
      </c>
      <c r="O49" s="290">
        <f t="shared" si="38"/>
        <v>1010.2751999999998</v>
      </c>
      <c r="P49" s="291">
        <f t="shared" si="39"/>
        <v>1093.5200000000004</v>
      </c>
      <c r="Q49" s="289">
        <f t="shared" si="40"/>
        <v>1148.5</v>
      </c>
      <c r="R49" s="289">
        <f t="shared" si="41"/>
        <v>1203.1199999999992</v>
      </c>
      <c r="S49" s="290">
        <f t="shared" si="42"/>
        <v>1258.5999999999992</v>
      </c>
      <c r="T49" s="290">
        <f t="shared" si="43"/>
        <v>1317.350000000001</v>
      </c>
      <c r="U49" s="290">
        <f t="shared" si="44"/>
        <v>1370.3200000000015</v>
      </c>
      <c r="V49" s="290">
        <f t="shared" si="46"/>
        <v>1430.7699999999995</v>
      </c>
      <c r="W49" s="290">
        <f t="shared" si="47"/>
        <v>1483.9599999999991</v>
      </c>
      <c r="X49" s="290">
        <f t="shared" si="48"/>
        <v>1538.400000000001</v>
      </c>
      <c r="Y49" s="290">
        <f t="shared" si="49"/>
        <v>1600</v>
      </c>
      <c r="Z49" s="290">
        <f t="shared" si="50"/>
        <v>1671</v>
      </c>
      <c r="AA49" s="292">
        <f t="shared" si="51"/>
        <v>1672</v>
      </c>
      <c r="AQ49" s="310">
        <v>12</v>
      </c>
      <c r="AR49" s="1">
        <v>258</v>
      </c>
      <c r="AS49" s="1">
        <v>311</v>
      </c>
      <c r="AT49" s="3">
        <f>266-AR49</f>
        <v>8</v>
      </c>
      <c r="AU49" s="113"/>
      <c r="AW49" s="3"/>
      <c r="AX49" s="3"/>
      <c r="AY49" s="3"/>
      <c r="AZ49" s="3"/>
    </row>
    <row r="50" spans="1:52" ht="13.5" thickBot="1" x14ac:dyDescent="0.25">
      <c r="A50" s="496"/>
      <c r="B50" s="187">
        <v>3300</v>
      </c>
      <c r="C50" s="351">
        <f t="shared" ca="1" si="26"/>
        <v>467</v>
      </c>
      <c r="D50" s="330">
        <f t="shared" ca="1" si="32"/>
        <v>464</v>
      </c>
      <c r="E50" s="330">
        <f t="shared" ca="1" si="45"/>
        <v>478</v>
      </c>
      <c r="F50" s="330">
        <f t="shared" ca="1" si="33"/>
        <v>540</v>
      </c>
      <c r="G50" s="330">
        <f t="shared" ca="1" si="28"/>
        <v>552</v>
      </c>
      <c r="H50" s="330">
        <f t="shared" ca="1" si="29"/>
        <v>585</v>
      </c>
      <c r="I50" s="330">
        <f t="shared" ca="1" si="30"/>
        <v>597</v>
      </c>
      <c r="J50" s="331">
        <f t="shared" ca="1" si="31"/>
        <v>652</v>
      </c>
      <c r="K50" s="330">
        <f t="shared" si="34"/>
        <v>825.80000000000064</v>
      </c>
      <c r="L50" s="293">
        <f t="shared" si="35"/>
        <v>881.60000000000036</v>
      </c>
      <c r="M50" s="293">
        <f t="shared" si="36"/>
        <v>944.40000000000009</v>
      </c>
      <c r="N50" s="293">
        <f t="shared" si="37"/>
        <v>997.40000000000009</v>
      </c>
      <c r="O50" s="293">
        <f t="shared" si="38"/>
        <v>1027.8159999999998</v>
      </c>
      <c r="P50" s="294">
        <f t="shared" si="39"/>
        <v>1113.6000000000004</v>
      </c>
      <c r="Q50" s="295">
        <f t="shared" si="40"/>
        <v>1169.75</v>
      </c>
      <c r="R50" s="295">
        <f t="shared" si="41"/>
        <v>1225.4799999999991</v>
      </c>
      <c r="S50" s="293">
        <f t="shared" si="42"/>
        <v>1281.6999999999991</v>
      </c>
      <c r="T50" s="293">
        <f t="shared" si="43"/>
        <v>1342.2400000000011</v>
      </c>
      <c r="U50" s="293">
        <f t="shared" si="44"/>
        <v>1396.2000000000016</v>
      </c>
      <c r="V50" s="293">
        <f t="shared" si="46"/>
        <v>1458.0599999999995</v>
      </c>
      <c r="W50" s="293">
        <f t="shared" si="47"/>
        <v>1512.2899999999991</v>
      </c>
      <c r="X50" s="293">
        <f t="shared" si="48"/>
        <v>1567.8000000000011</v>
      </c>
      <c r="Y50" s="293">
        <f t="shared" si="49"/>
        <v>1631</v>
      </c>
      <c r="Z50" s="293">
        <f t="shared" si="50"/>
        <v>1706</v>
      </c>
      <c r="AA50" s="296">
        <f t="shared" si="51"/>
        <v>1705</v>
      </c>
      <c r="AQ50" s="310">
        <v>14</v>
      </c>
      <c r="AR50" s="1">
        <v>257</v>
      </c>
      <c r="AS50" s="1">
        <v>309</v>
      </c>
      <c r="AT50" s="3">
        <f>265-AR50</f>
        <v>8</v>
      </c>
      <c r="AU50" s="113"/>
      <c r="AW50" s="3"/>
      <c r="AX50" s="3"/>
      <c r="AY50" s="3"/>
      <c r="AZ50" s="3"/>
    </row>
    <row r="51" spans="1:52" x14ac:dyDescent="0.2">
      <c r="AQ51" s="310">
        <v>16</v>
      </c>
      <c r="AR51" s="1">
        <v>256</v>
      </c>
      <c r="AS51" s="1">
        <v>307</v>
      </c>
      <c r="AT51" s="3">
        <f>264-AR51</f>
        <v>8</v>
      </c>
      <c r="AU51" s="113"/>
      <c r="AW51" s="3"/>
      <c r="AX51" s="3"/>
      <c r="AY51" s="3"/>
      <c r="AZ51" s="3"/>
    </row>
    <row r="52" spans="1:52" x14ac:dyDescent="0.2">
      <c r="A52" s="21" t="s">
        <v>330</v>
      </c>
      <c r="B52" s="39"/>
      <c r="C52" s="178">
        <v>3</v>
      </c>
      <c r="D52" s="179">
        <v>4</v>
      </c>
      <c r="E52" s="179">
        <v>4</v>
      </c>
      <c r="F52" s="179">
        <v>5</v>
      </c>
      <c r="G52" s="179">
        <v>5</v>
      </c>
      <c r="H52" s="179">
        <v>6</v>
      </c>
      <c r="I52" s="179">
        <v>6</v>
      </c>
      <c r="J52" s="180">
        <v>8</v>
      </c>
      <c r="K52" s="497" t="s">
        <v>332</v>
      </c>
      <c r="L52" s="498"/>
      <c r="M52" s="498"/>
      <c r="N52" s="498"/>
      <c r="O52" s="498"/>
      <c r="P52" s="498"/>
      <c r="Q52" s="498"/>
      <c r="R52" s="498"/>
      <c r="S52" s="498"/>
      <c r="T52" s="498"/>
      <c r="U52" s="498"/>
      <c r="V52" s="498"/>
      <c r="W52" s="498"/>
      <c r="X52" s="498"/>
      <c r="Y52" s="498"/>
      <c r="Z52" s="498"/>
      <c r="AA52" s="499"/>
      <c r="AQ52" s="310">
        <v>20</v>
      </c>
      <c r="AR52" s="1">
        <v>254</v>
      </c>
      <c r="AS52" s="1">
        <v>303</v>
      </c>
      <c r="AT52" s="3">
        <f>261-AR52</f>
        <v>7</v>
      </c>
      <c r="AU52" s="113"/>
      <c r="AW52" s="3"/>
      <c r="AX52" s="3"/>
      <c r="AY52" s="3"/>
      <c r="AZ52" s="3"/>
    </row>
    <row r="53" spans="1:52" x14ac:dyDescent="0.2">
      <c r="A53" s="21" t="s">
        <v>334</v>
      </c>
      <c r="B53" s="39"/>
      <c r="C53" s="178">
        <f>ФОТ!C29</f>
        <v>4</v>
      </c>
      <c r="D53" s="179">
        <f>$C$53</f>
        <v>4</v>
      </c>
      <c r="E53" s="179">
        <f t="shared" ref="E53:J53" si="52">$C$53</f>
        <v>4</v>
      </c>
      <c r="F53" s="179">
        <f t="shared" si="52"/>
        <v>4</v>
      </c>
      <c r="G53" s="179">
        <f t="shared" si="52"/>
        <v>4</v>
      </c>
      <c r="H53" s="179">
        <f t="shared" si="52"/>
        <v>4</v>
      </c>
      <c r="I53" s="179">
        <f t="shared" si="52"/>
        <v>4</v>
      </c>
      <c r="J53" s="180">
        <f t="shared" si="52"/>
        <v>4</v>
      </c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Q53" s="311">
        <v>40</v>
      </c>
      <c r="AR53" s="111">
        <v>250</v>
      </c>
      <c r="AS53" s="111">
        <v>295</v>
      </c>
      <c r="AT53" s="111">
        <f>257-AR53</f>
        <v>7</v>
      </c>
      <c r="AU53" s="312"/>
      <c r="AW53" s="3"/>
      <c r="AX53" s="3"/>
      <c r="AY53" s="3"/>
      <c r="AZ53" s="3"/>
    </row>
    <row r="54" spans="1:52" x14ac:dyDescent="0.2">
      <c r="A54" s="21" t="s">
        <v>335</v>
      </c>
      <c r="B54" s="39"/>
      <c r="C54" s="339">
        <f>C52*(C53-1)</f>
        <v>9</v>
      </c>
      <c r="D54" s="340">
        <f t="shared" ref="D54:J54" si="53">D52*(D53-1)</f>
        <v>12</v>
      </c>
      <c r="E54" s="340">
        <f t="shared" si="53"/>
        <v>12</v>
      </c>
      <c r="F54" s="340">
        <f t="shared" si="53"/>
        <v>15</v>
      </c>
      <c r="G54" s="340">
        <f t="shared" si="53"/>
        <v>15</v>
      </c>
      <c r="H54" s="340">
        <f t="shared" si="53"/>
        <v>18</v>
      </c>
      <c r="I54" s="340">
        <f t="shared" si="53"/>
        <v>18</v>
      </c>
      <c r="J54" s="341">
        <f t="shared" si="53"/>
        <v>24</v>
      </c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W54" s="3"/>
      <c r="AX54" s="3"/>
      <c r="AY54" s="3"/>
      <c r="AZ54" s="3"/>
    </row>
    <row r="55" spans="1:52" x14ac:dyDescent="0.2">
      <c r="AP55" s="186" t="s">
        <v>333</v>
      </c>
      <c r="AQ55" s="308">
        <v>550</v>
      </c>
      <c r="AR55" s="309"/>
      <c r="AS55" s="309"/>
      <c r="AT55" s="309"/>
      <c r="AU55" s="112"/>
      <c r="AW55" s="3"/>
      <c r="AX55" s="3"/>
      <c r="AY55" s="3"/>
      <c r="AZ55" s="3"/>
    </row>
    <row r="56" spans="1:52" x14ac:dyDescent="0.2">
      <c r="AQ56" s="310"/>
      <c r="AR56" s="3"/>
      <c r="AS56" s="3"/>
      <c r="AT56" s="3" t="s">
        <v>328</v>
      </c>
      <c r="AU56" s="113" t="s">
        <v>327</v>
      </c>
      <c r="AW56" s="3"/>
      <c r="AX56" s="3"/>
      <c r="AY56" s="3"/>
      <c r="AZ56" s="3"/>
    </row>
    <row r="57" spans="1:52" x14ac:dyDescent="0.2">
      <c r="AQ57" s="310">
        <v>6</v>
      </c>
      <c r="AR57" s="1">
        <v>281</v>
      </c>
      <c r="AS57" s="1">
        <v>340</v>
      </c>
      <c r="AT57" s="3">
        <f>291-AR57</f>
        <v>10</v>
      </c>
      <c r="AU57" s="113">
        <v>5</v>
      </c>
      <c r="AW57" s="3"/>
      <c r="AX57" s="3"/>
      <c r="AY57" s="3"/>
      <c r="AZ57" s="3"/>
    </row>
    <row r="58" spans="1:52" x14ac:dyDescent="0.2">
      <c r="AQ58" s="310">
        <v>8</v>
      </c>
      <c r="AR58" s="3">
        <v>278</v>
      </c>
      <c r="AS58" s="1">
        <v>333</v>
      </c>
      <c r="AT58" s="3">
        <v>9</v>
      </c>
      <c r="AU58" s="113"/>
      <c r="AW58" s="3"/>
      <c r="AX58" s="3"/>
      <c r="AY58" s="3"/>
      <c r="AZ58" s="3"/>
    </row>
    <row r="59" spans="1:52" x14ac:dyDescent="0.2">
      <c r="AQ59" s="310">
        <v>10</v>
      </c>
      <c r="AR59" s="3">
        <v>278</v>
      </c>
      <c r="AS59" s="3">
        <v>334</v>
      </c>
      <c r="AT59" s="3">
        <f>287-AR59</f>
        <v>9</v>
      </c>
      <c r="AU59" s="113"/>
      <c r="AW59" s="3"/>
      <c r="AX59" s="3"/>
      <c r="AY59" s="3"/>
      <c r="AZ59" s="3"/>
    </row>
    <row r="60" spans="1:52" x14ac:dyDescent="0.2">
      <c r="AQ60" s="310">
        <v>12</v>
      </c>
      <c r="AR60" s="1">
        <v>275</v>
      </c>
      <c r="AS60" s="1">
        <v>329</v>
      </c>
      <c r="AT60" s="3">
        <f>284-AR60</f>
        <v>9</v>
      </c>
      <c r="AU60" s="113"/>
      <c r="AW60" s="3"/>
      <c r="AX60" s="3"/>
      <c r="AY60" s="3"/>
      <c r="AZ60" s="3"/>
    </row>
    <row r="61" spans="1:52" x14ac:dyDescent="0.2">
      <c r="A61" t="s">
        <v>339</v>
      </c>
      <c r="AQ61" s="310">
        <v>14</v>
      </c>
      <c r="AR61" s="1">
        <v>274</v>
      </c>
      <c r="AS61" s="1">
        <v>327</v>
      </c>
      <c r="AT61" s="3">
        <f>282-AR61</f>
        <v>8</v>
      </c>
      <c r="AU61" s="113"/>
      <c r="AW61" s="3"/>
      <c r="AX61" s="3"/>
      <c r="AY61" s="3"/>
      <c r="AZ61" s="3"/>
    </row>
    <row r="62" spans="1:52" x14ac:dyDescent="0.2">
      <c r="A62" t="s">
        <v>340</v>
      </c>
      <c r="D62">
        <f ca="1">OFFSET(B20,MATCH(C16,B21:B50),MATCH(B16,C20:AA20),1,1)</f>
        <v>235</v>
      </c>
      <c r="E62" t="s">
        <v>170</v>
      </c>
      <c r="AQ62" s="310">
        <v>16</v>
      </c>
      <c r="AR62" s="1">
        <v>273</v>
      </c>
      <c r="AS62" s="1">
        <v>325</v>
      </c>
      <c r="AT62" s="3">
        <f>281-AR62</f>
        <v>8</v>
      </c>
      <c r="AU62" s="113"/>
      <c r="AW62" s="3"/>
      <c r="AX62" s="3"/>
      <c r="AY62" s="3"/>
      <c r="AZ62" s="3"/>
    </row>
    <row r="63" spans="1:52" x14ac:dyDescent="0.2">
      <c r="A63" t="s">
        <v>341</v>
      </c>
      <c r="D63">
        <f ca="1">IF(B16&lt;799,OFFSET(B53,1,MATCH(B16,C20:J20),1,1),0)</f>
        <v>9</v>
      </c>
      <c r="E63" t="s">
        <v>170</v>
      </c>
      <c r="AQ63" s="310">
        <v>20</v>
      </c>
      <c r="AR63" s="1">
        <v>270</v>
      </c>
      <c r="AS63" s="1">
        <v>321</v>
      </c>
      <c r="AT63" s="3">
        <f>278-AR63</f>
        <v>8</v>
      </c>
      <c r="AU63" s="113"/>
      <c r="AW63" s="3"/>
      <c r="AX63" s="3"/>
      <c r="AY63" s="3"/>
      <c r="AZ63" s="3"/>
    </row>
    <row r="64" spans="1:52" x14ac:dyDescent="0.2">
      <c r="A64" t="s">
        <v>342</v>
      </c>
      <c r="D64">
        <f>IF(D16=B4,F4,IF(D16=B5,F5,0))</f>
        <v>0</v>
      </c>
      <c r="E64" t="s">
        <v>170</v>
      </c>
      <c r="AQ64" s="311">
        <v>40</v>
      </c>
      <c r="AR64" s="111">
        <v>264</v>
      </c>
      <c r="AS64" s="111">
        <v>310</v>
      </c>
      <c r="AT64" s="111">
        <f>270-AR64</f>
        <v>6</v>
      </c>
      <c r="AU64" s="312"/>
      <c r="AW64" s="3"/>
      <c r="AX64" s="3"/>
      <c r="AY64" s="3"/>
      <c r="AZ64" s="3"/>
    </row>
    <row r="65" spans="1:52" x14ac:dyDescent="0.2">
      <c r="A65" t="s">
        <v>172</v>
      </c>
      <c r="D65">
        <f>D7</f>
        <v>9</v>
      </c>
      <c r="E65" t="s">
        <v>170</v>
      </c>
      <c r="AW65" s="3"/>
      <c r="AX65" s="3"/>
      <c r="AY65" s="3"/>
      <c r="AZ65" s="3"/>
    </row>
    <row r="66" spans="1:52" x14ac:dyDescent="0.2">
      <c r="A66" t="s">
        <v>347</v>
      </c>
      <c r="D66">
        <f>MROUND(РГО!B7*2.5,1)</f>
        <v>23</v>
      </c>
      <c r="E66" t="s">
        <v>170</v>
      </c>
      <c r="AW66" s="3"/>
      <c r="AX66" s="3"/>
      <c r="AY66" s="3"/>
      <c r="AZ66" s="3"/>
    </row>
    <row r="67" spans="1:52" x14ac:dyDescent="0.2">
      <c r="A67" t="s">
        <v>401</v>
      </c>
      <c r="D67">
        <f>1.2*2</f>
        <v>2.4</v>
      </c>
      <c r="E67" t="s">
        <v>170</v>
      </c>
      <c r="AW67" s="3"/>
      <c r="AX67" s="3"/>
      <c r="AY67" s="3"/>
      <c r="AZ67" s="3"/>
    </row>
    <row r="68" spans="1:52" x14ac:dyDescent="0.2">
      <c r="A68" t="s">
        <v>182</v>
      </c>
      <c r="D68">
        <f ca="1">MROUND(D62*0.02,1)</f>
        <v>5</v>
      </c>
      <c r="E68" t="s">
        <v>170</v>
      </c>
      <c r="AP68" s="186" t="s">
        <v>333</v>
      </c>
      <c r="AQ68" s="308">
        <v>600</v>
      </c>
      <c r="AR68" s="309"/>
      <c r="AS68" s="309"/>
      <c r="AT68" s="309" t="s">
        <v>329</v>
      </c>
      <c r="AU68" s="112"/>
      <c r="AW68" s="3"/>
      <c r="AX68" s="3"/>
      <c r="AY68" s="3"/>
      <c r="AZ68" s="3"/>
    </row>
    <row r="69" spans="1:52" x14ac:dyDescent="0.2">
      <c r="AQ69" s="310"/>
      <c r="AR69" s="3"/>
      <c r="AS69" s="3"/>
      <c r="AT69" s="3" t="s">
        <v>328</v>
      </c>
      <c r="AU69" s="113" t="s">
        <v>327</v>
      </c>
      <c r="AW69" s="3"/>
      <c r="AX69" s="3"/>
      <c r="AY69" s="3"/>
      <c r="AZ69" s="3"/>
    </row>
    <row r="70" spans="1:52" x14ac:dyDescent="0.2">
      <c r="A70" t="s">
        <v>343</v>
      </c>
      <c r="D70">
        <f ca="1">D62+D63+D64+D67</f>
        <v>246.4</v>
      </c>
      <c r="E70" t="s">
        <v>170</v>
      </c>
      <c r="AQ70" s="310">
        <v>6</v>
      </c>
      <c r="AR70" s="1">
        <v>291</v>
      </c>
      <c r="AS70" s="1">
        <v>352</v>
      </c>
      <c r="AT70" s="3">
        <f>301-AR70</f>
        <v>10</v>
      </c>
      <c r="AU70" s="113">
        <v>5</v>
      </c>
      <c r="AW70" s="3"/>
      <c r="AX70" s="3"/>
      <c r="AY70" s="3"/>
      <c r="AZ70" s="3"/>
    </row>
    <row r="71" spans="1:52" x14ac:dyDescent="0.2">
      <c r="AQ71" s="310">
        <v>8</v>
      </c>
      <c r="AR71" s="1">
        <v>288</v>
      </c>
      <c r="AS71" s="1">
        <v>346</v>
      </c>
      <c r="AT71" s="3">
        <f>297-AR71</f>
        <v>9</v>
      </c>
      <c r="AU71" s="113"/>
      <c r="AW71" s="3"/>
      <c r="AX71" s="3"/>
      <c r="AY71" s="3"/>
      <c r="AZ71" s="3"/>
    </row>
    <row r="72" spans="1:52" x14ac:dyDescent="0.2">
      <c r="A72" t="s">
        <v>344</v>
      </c>
      <c r="D72">
        <f>IF(AND(B16&lt;1801,C16&lt;2301),D11,D12)</f>
        <v>40</v>
      </c>
      <c r="E72" t="s">
        <v>170</v>
      </c>
      <c r="AQ72" s="310">
        <v>10</v>
      </c>
      <c r="AR72" s="1">
        <v>288</v>
      </c>
      <c r="AS72" s="1">
        <v>346</v>
      </c>
      <c r="AT72" s="3">
        <f>297-AR72</f>
        <v>9</v>
      </c>
      <c r="AU72" s="113"/>
      <c r="AW72" s="3"/>
      <c r="AX72" s="3"/>
      <c r="AY72" s="3"/>
      <c r="AZ72" s="3"/>
    </row>
    <row r="73" spans="1:52" x14ac:dyDescent="0.2">
      <c r="AQ73" s="310">
        <v>12</v>
      </c>
      <c r="AR73" s="1">
        <v>285</v>
      </c>
      <c r="AS73" s="1">
        <v>342</v>
      </c>
      <c r="AT73" s="3">
        <f>294-AR73</f>
        <v>9</v>
      </c>
      <c r="AU73" s="113"/>
      <c r="AW73" s="3"/>
      <c r="AX73" s="3"/>
      <c r="AY73" s="3"/>
      <c r="AZ73" s="3"/>
    </row>
    <row r="74" spans="1:52" x14ac:dyDescent="0.2">
      <c r="A74" t="s">
        <v>345</v>
      </c>
      <c r="D74">
        <f ca="1">ROUNDUP(D62+D63+D64+D72,-1)</f>
        <v>290</v>
      </c>
      <c r="E74" t="s">
        <v>170</v>
      </c>
      <c r="AQ74" s="310">
        <v>14</v>
      </c>
      <c r="AR74" s="1">
        <v>283</v>
      </c>
      <c r="AS74" s="1">
        <v>338</v>
      </c>
      <c r="AT74" s="3">
        <f>292-AR74</f>
        <v>9</v>
      </c>
      <c r="AU74" s="113"/>
      <c r="AW74" s="3"/>
      <c r="AX74" s="3"/>
      <c r="AY74" s="3"/>
      <c r="AZ74" s="3"/>
    </row>
    <row r="75" spans="1:52" x14ac:dyDescent="0.2">
      <c r="A75" t="s">
        <v>346</v>
      </c>
      <c r="D75">
        <f ca="1">MROUND(D62+D63+D64+D65-D66-D67+D68,1)</f>
        <v>233</v>
      </c>
      <c r="E75" t="s">
        <v>170</v>
      </c>
      <c r="AQ75" s="310">
        <v>16</v>
      </c>
      <c r="AR75" s="1">
        <v>281</v>
      </c>
      <c r="AS75" s="1">
        <v>336</v>
      </c>
      <c r="AT75" s="3">
        <f>290-AR75</f>
        <v>9</v>
      </c>
      <c r="AU75" s="113"/>
      <c r="AW75" s="3"/>
      <c r="AX75" s="3"/>
      <c r="AY75" s="3"/>
      <c r="AZ75" s="3"/>
    </row>
    <row r="76" spans="1:52" x14ac:dyDescent="0.2">
      <c r="AQ76" s="310">
        <v>20</v>
      </c>
      <c r="AR76" s="1">
        <v>279</v>
      </c>
      <c r="AS76" s="1">
        <v>331</v>
      </c>
      <c r="AT76" s="3">
        <f>287-AR76</f>
        <v>8</v>
      </c>
      <c r="AU76" s="113"/>
      <c r="AW76" s="3"/>
      <c r="AX76" s="3"/>
      <c r="AY76" s="3"/>
      <c r="AZ76" s="3"/>
    </row>
    <row r="77" spans="1:52" x14ac:dyDescent="0.2">
      <c r="AQ77" s="311">
        <v>40</v>
      </c>
      <c r="AR77" s="111">
        <v>271</v>
      </c>
      <c r="AS77" s="111">
        <v>318</v>
      </c>
      <c r="AT77" s="111">
        <f>278-AR77</f>
        <v>7</v>
      </c>
      <c r="AU77" s="312"/>
      <c r="AW77" s="3"/>
      <c r="AX77" s="3"/>
      <c r="AY77" s="3"/>
      <c r="AZ77" s="3"/>
    </row>
    <row r="78" spans="1:52" x14ac:dyDescent="0.2">
      <c r="AW78" s="3"/>
      <c r="AX78" s="3"/>
      <c r="AY78" s="3"/>
      <c r="AZ78" s="3"/>
    </row>
    <row r="79" spans="1:52" x14ac:dyDescent="0.2">
      <c r="AP79" s="186" t="s">
        <v>333</v>
      </c>
      <c r="AQ79" s="308">
        <v>650</v>
      </c>
      <c r="AR79" s="309"/>
      <c r="AS79" s="309"/>
      <c r="AT79" s="309" t="s">
        <v>329</v>
      </c>
      <c r="AU79" s="112"/>
      <c r="AW79" s="3"/>
      <c r="AX79" s="3"/>
      <c r="AY79" s="3"/>
      <c r="AZ79" s="3"/>
    </row>
    <row r="80" spans="1:52" x14ac:dyDescent="0.2">
      <c r="AQ80" s="310"/>
      <c r="AR80" s="3"/>
      <c r="AS80" s="3"/>
      <c r="AT80" s="3" t="s">
        <v>328</v>
      </c>
      <c r="AU80" s="113" t="s">
        <v>327</v>
      </c>
      <c r="AW80" s="3"/>
      <c r="AX80" s="3"/>
      <c r="AY80" s="3"/>
      <c r="AZ80" s="3"/>
    </row>
    <row r="81" spans="42:52" x14ac:dyDescent="0.2">
      <c r="AQ81" s="310">
        <v>6</v>
      </c>
      <c r="AR81" s="1">
        <v>312</v>
      </c>
      <c r="AS81" s="1">
        <v>365</v>
      </c>
      <c r="AT81" s="3">
        <f>323-AR81</f>
        <v>11</v>
      </c>
      <c r="AU81" s="113">
        <v>6</v>
      </c>
      <c r="AW81" s="3"/>
      <c r="AX81" s="3"/>
      <c r="AY81" s="3"/>
      <c r="AZ81" s="3"/>
    </row>
    <row r="82" spans="42:52" x14ac:dyDescent="0.2">
      <c r="AQ82" s="310">
        <v>8</v>
      </c>
      <c r="AR82" s="1">
        <v>307</v>
      </c>
      <c r="AS82" s="1">
        <v>357</v>
      </c>
      <c r="AT82" s="3">
        <v>10</v>
      </c>
      <c r="AU82" s="113"/>
      <c r="AW82" s="3"/>
      <c r="AX82" s="3"/>
      <c r="AY82" s="3"/>
      <c r="AZ82" s="3"/>
    </row>
    <row r="83" spans="42:52" x14ac:dyDescent="0.2">
      <c r="AQ83" s="310">
        <v>10</v>
      </c>
      <c r="AR83" s="1">
        <v>308</v>
      </c>
      <c r="AS83" s="1">
        <v>359</v>
      </c>
      <c r="AT83" s="3">
        <f>318-AR83</f>
        <v>10</v>
      </c>
      <c r="AU83" s="113"/>
      <c r="AW83" s="3"/>
      <c r="AX83" s="3"/>
      <c r="AY83" s="3"/>
      <c r="AZ83" s="3"/>
    </row>
    <row r="84" spans="42:52" x14ac:dyDescent="0.2">
      <c r="AQ84" s="310">
        <v>12</v>
      </c>
      <c r="AR84" s="1">
        <v>303</v>
      </c>
      <c r="AS84" s="1">
        <v>353</v>
      </c>
      <c r="AT84" s="3">
        <f>313-AR84</f>
        <v>10</v>
      </c>
      <c r="AU84" s="113"/>
      <c r="AW84" s="3"/>
      <c r="AX84" s="3"/>
      <c r="AY84" s="3"/>
      <c r="AZ84" s="3"/>
    </row>
    <row r="85" spans="42:52" x14ac:dyDescent="0.2">
      <c r="AQ85" s="310">
        <v>14</v>
      </c>
      <c r="AR85" s="1">
        <v>302</v>
      </c>
      <c r="AS85" s="1">
        <v>351</v>
      </c>
      <c r="AT85" s="3">
        <f>311-AR85</f>
        <v>9</v>
      </c>
      <c r="AU85" s="113"/>
      <c r="AW85" s="3"/>
      <c r="AX85" s="3"/>
      <c r="AY85" s="3"/>
      <c r="AZ85" s="3"/>
    </row>
    <row r="86" spans="42:52" x14ac:dyDescent="0.2">
      <c r="AQ86" s="310">
        <v>16</v>
      </c>
      <c r="AR86" s="1">
        <v>299</v>
      </c>
      <c r="AS86" s="1">
        <v>346</v>
      </c>
      <c r="AT86" s="3">
        <f>308-AR86</f>
        <v>9</v>
      </c>
      <c r="AU86" s="113"/>
      <c r="AW86" s="3"/>
      <c r="AX86" s="3"/>
      <c r="AY86" s="3"/>
      <c r="AZ86" s="3"/>
    </row>
    <row r="87" spans="42:52" x14ac:dyDescent="0.2">
      <c r="AQ87" s="310">
        <v>20</v>
      </c>
      <c r="AR87" s="1">
        <v>294</v>
      </c>
      <c r="AS87" s="1">
        <v>340</v>
      </c>
      <c r="AT87" s="3">
        <f>303-AR87</f>
        <v>9</v>
      </c>
      <c r="AU87" s="113"/>
      <c r="AW87" s="3"/>
      <c r="AX87" s="3"/>
      <c r="AY87" s="3"/>
      <c r="AZ87" s="3"/>
    </row>
    <row r="88" spans="42:52" x14ac:dyDescent="0.2">
      <c r="AQ88" s="311">
        <v>40</v>
      </c>
      <c r="AR88" s="111">
        <v>286</v>
      </c>
      <c r="AS88" s="111">
        <v>327</v>
      </c>
      <c r="AT88" s="111">
        <f>293-AR88</f>
        <v>7</v>
      </c>
      <c r="AU88" s="312"/>
      <c r="AW88" s="3"/>
      <c r="AX88" s="3"/>
      <c r="AY88" s="3"/>
      <c r="AZ88" s="3"/>
    </row>
    <row r="89" spans="42:52" x14ac:dyDescent="0.2">
      <c r="AW89" s="3"/>
      <c r="AX89" s="3"/>
      <c r="AY89" s="3"/>
      <c r="AZ89" s="3"/>
    </row>
    <row r="90" spans="42:52" x14ac:dyDescent="0.2">
      <c r="AP90" s="186" t="s">
        <v>333</v>
      </c>
      <c r="AQ90" s="308">
        <v>700</v>
      </c>
      <c r="AR90" s="309"/>
      <c r="AS90" s="309"/>
      <c r="AT90" s="309" t="s">
        <v>329</v>
      </c>
      <c r="AU90" s="112"/>
      <c r="AW90" s="3"/>
      <c r="AX90" s="3"/>
      <c r="AY90" s="3"/>
      <c r="AZ90" s="3"/>
    </row>
    <row r="91" spans="42:52" x14ac:dyDescent="0.2">
      <c r="AQ91" s="310"/>
      <c r="AR91" s="3"/>
      <c r="AS91" s="3"/>
      <c r="AT91" s="3" t="s">
        <v>328</v>
      </c>
      <c r="AU91" s="113" t="s">
        <v>327</v>
      </c>
      <c r="AW91" s="3"/>
      <c r="AX91" s="3"/>
      <c r="AY91" s="3"/>
      <c r="AZ91" s="3"/>
    </row>
    <row r="92" spans="42:52" x14ac:dyDescent="0.2">
      <c r="AQ92" s="310">
        <v>6</v>
      </c>
      <c r="AR92" s="1">
        <v>323</v>
      </c>
      <c r="AS92" s="1">
        <v>377</v>
      </c>
      <c r="AT92" s="3">
        <f>334-AR92</f>
        <v>11</v>
      </c>
      <c r="AU92" s="113">
        <v>6</v>
      </c>
      <c r="AW92" s="3"/>
      <c r="AX92" s="3"/>
      <c r="AY92" s="3"/>
      <c r="AZ92" s="3"/>
    </row>
    <row r="93" spans="42:52" x14ac:dyDescent="0.2">
      <c r="AQ93" s="310">
        <v>8</v>
      </c>
      <c r="AR93" s="1">
        <v>317</v>
      </c>
      <c r="AS93" s="1">
        <v>369</v>
      </c>
      <c r="AT93" s="3">
        <f>328-AR93</f>
        <v>11</v>
      </c>
      <c r="AU93" s="113"/>
      <c r="AW93" s="3"/>
      <c r="AX93" s="3"/>
      <c r="AY93" s="3"/>
      <c r="AZ93" s="3"/>
    </row>
    <row r="94" spans="42:52" x14ac:dyDescent="0.2">
      <c r="AQ94" s="310">
        <v>10</v>
      </c>
      <c r="AR94" s="1">
        <v>317</v>
      </c>
      <c r="AS94" s="1">
        <v>369</v>
      </c>
      <c r="AT94" s="3">
        <f>327-AR94</f>
        <v>10</v>
      </c>
      <c r="AU94" s="113"/>
      <c r="AW94" s="3"/>
      <c r="AX94" s="3"/>
      <c r="AY94" s="3"/>
      <c r="AZ94" s="3"/>
    </row>
    <row r="95" spans="42:52" x14ac:dyDescent="0.2">
      <c r="AQ95" s="310">
        <v>12</v>
      </c>
      <c r="AR95" s="1">
        <v>314</v>
      </c>
      <c r="AS95" s="1">
        <v>365</v>
      </c>
      <c r="AT95" s="3">
        <f>324-AR95</f>
        <v>10</v>
      </c>
      <c r="AU95" s="113"/>
      <c r="AW95" s="3"/>
      <c r="AX95" s="3"/>
      <c r="AY95" s="3"/>
      <c r="AZ95" s="3"/>
    </row>
    <row r="96" spans="42:52" x14ac:dyDescent="0.2">
      <c r="AQ96" s="310">
        <v>14</v>
      </c>
      <c r="AR96" s="1">
        <v>311</v>
      </c>
      <c r="AS96" s="1">
        <v>360</v>
      </c>
      <c r="AT96" s="3">
        <f>321-AR96</f>
        <v>10</v>
      </c>
      <c r="AU96" s="113"/>
      <c r="AW96" s="3"/>
      <c r="AX96" s="3"/>
      <c r="AY96" s="3"/>
      <c r="AZ96" s="3"/>
    </row>
    <row r="97" spans="42:52" x14ac:dyDescent="0.2">
      <c r="AQ97" s="310">
        <v>16</v>
      </c>
      <c r="AR97" s="1">
        <v>308</v>
      </c>
      <c r="AS97" s="1">
        <v>356</v>
      </c>
      <c r="AT97" s="3">
        <f>317-AR97</f>
        <v>9</v>
      </c>
      <c r="AU97" s="113"/>
      <c r="AW97" s="3"/>
      <c r="AX97" s="3"/>
      <c r="AY97" s="3"/>
      <c r="AZ97" s="3"/>
    </row>
    <row r="98" spans="42:52" x14ac:dyDescent="0.2">
      <c r="AQ98" s="310">
        <v>20</v>
      </c>
      <c r="AR98" s="1">
        <v>304</v>
      </c>
      <c r="AS98" s="1">
        <v>350</v>
      </c>
      <c r="AT98" s="3">
        <f>312-AR98</f>
        <v>8</v>
      </c>
      <c r="AU98" s="113"/>
      <c r="AW98" s="3"/>
      <c r="AX98" s="3"/>
      <c r="AY98" s="3"/>
      <c r="AZ98" s="3"/>
    </row>
    <row r="99" spans="42:52" x14ac:dyDescent="0.2">
      <c r="AQ99" s="311">
        <v>40</v>
      </c>
      <c r="AR99" s="111">
        <v>293</v>
      </c>
      <c r="AS99" s="111">
        <v>335</v>
      </c>
      <c r="AT99" s="111">
        <f>301-AR99</f>
        <v>8</v>
      </c>
      <c r="AU99" s="312"/>
      <c r="AW99" s="3"/>
      <c r="AX99" s="3"/>
      <c r="AY99" s="3"/>
      <c r="AZ99" s="3"/>
    </row>
    <row r="100" spans="42:52" x14ac:dyDescent="0.2">
      <c r="AW100" s="3"/>
      <c r="AX100" s="3"/>
      <c r="AY100" s="3"/>
      <c r="AZ100" s="3"/>
    </row>
    <row r="101" spans="42:52" x14ac:dyDescent="0.2">
      <c r="AP101" s="186" t="s">
        <v>333</v>
      </c>
      <c r="AQ101" s="308">
        <v>750</v>
      </c>
      <c r="AR101" s="309"/>
      <c r="AS101" s="309"/>
      <c r="AT101" s="309" t="s">
        <v>329</v>
      </c>
      <c r="AU101" s="112"/>
      <c r="AW101" s="3"/>
      <c r="AX101" s="3"/>
      <c r="AY101" s="3"/>
      <c r="AZ101" s="3"/>
    </row>
    <row r="102" spans="42:52" x14ac:dyDescent="0.2">
      <c r="AQ102" s="310"/>
      <c r="AR102" s="3"/>
      <c r="AS102" s="3"/>
      <c r="AT102" s="3" t="s">
        <v>328</v>
      </c>
      <c r="AU102" s="113" t="s">
        <v>327</v>
      </c>
      <c r="AW102" s="3"/>
      <c r="AX102" s="3"/>
      <c r="AY102" s="3"/>
      <c r="AZ102" s="3"/>
    </row>
    <row r="103" spans="42:52" x14ac:dyDescent="0.2">
      <c r="AQ103" s="310">
        <v>6</v>
      </c>
      <c r="AR103" s="1">
        <v>345</v>
      </c>
      <c r="AS103" s="1">
        <v>392</v>
      </c>
      <c r="AT103" s="3">
        <f>358-AR103</f>
        <v>13</v>
      </c>
      <c r="AU103" s="113">
        <v>8</v>
      </c>
      <c r="AW103" s="3"/>
      <c r="AX103" s="3"/>
      <c r="AY103" s="3"/>
      <c r="AZ103" s="3"/>
    </row>
    <row r="104" spans="42:52" x14ac:dyDescent="0.2">
      <c r="AQ104" s="310">
        <v>8</v>
      </c>
      <c r="AR104" s="1">
        <v>338</v>
      </c>
      <c r="AS104" s="1">
        <v>381</v>
      </c>
      <c r="AT104" s="3">
        <v>11</v>
      </c>
      <c r="AU104" s="113"/>
      <c r="AW104" s="3"/>
      <c r="AX104" s="3"/>
      <c r="AY104" s="3"/>
      <c r="AZ104" s="3"/>
    </row>
    <row r="105" spans="42:52" x14ac:dyDescent="0.2">
      <c r="AQ105" s="310">
        <v>10</v>
      </c>
      <c r="AR105" s="1">
        <v>338</v>
      </c>
      <c r="AS105" s="1">
        <v>383</v>
      </c>
      <c r="AT105" s="3">
        <f>349-AR105</f>
        <v>11</v>
      </c>
      <c r="AU105" s="113"/>
      <c r="AW105" s="3"/>
      <c r="AX105" s="3"/>
      <c r="AY105" s="3"/>
      <c r="AZ105" s="3"/>
    </row>
    <row r="106" spans="42:52" x14ac:dyDescent="0.2">
      <c r="AQ106" s="310">
        <v>12</v>
      </c>
      <c r="AR106" s="1">
        <v>333</v>
      </c>
      <c r="AS106" s="1">
        <v>376</v>
      </c>
      <c r="AT106" s="3">
        <f>344-AR106</f>
        <v>11</v>
      </c>
      <c r="AU106" s="113"/>
      <c r="AW106" s="3"/>
      <c r="AX106" s="3"/>
      <c r="AY106" s="3"/>
      <c r="AZ106" s="3"/>
    </row>
    <row r="107" spans="42:52" x14ac:dyDescent="0.2">
      <c r="AQ107" s="310">
        <v>14</v>
      </c>
      <c r="AR107" s="1">
        <v>330</v>
      </c>
      <c r="AS107" s="1">
        <v>372</v>
      </c>
      <c r="AT107" s="3">
        <f>340-AR107</f>
        <v>10</v>
      </c>
      <c r="AU107" s="113"/>
      <c r="AW107" s="3"/>
      <c r="AX107" s="3"/>
      <c r="AY107" s="3"/>
      <c r="AZ107" s="3"/>
    </row>
    <row r="108" spans="42:52" x14ac:dyDescent="0.2">
      <c r="AQ108" s="310">
        <v>16</v>
      </c>
      <c r="AR108" s="1">
        <v>327</v>
      </c>
      <c r="AS108" s="1">
        <v>368</v>
      </c>
      <c r="AT108" s="3">
        <f>336-AR108</f>
        <v>9</v>
      </c>
      <c r="AU108" s="113"/>
      <c r="AW108" s="3"/>
      <c r="AX108" s="3"/>
      <c r="AY108" s="3"/>
      <c r="AZ108" s="3"/>
    </row>
    <row r="109" spans="42:52" x14ac:dyDescent="0.2">
      <c r="AQ109" s="310">
        <v>20</v>
      </c>
      <c r="AR109" s="1">
        <v>322</v>
      </c>
      <c r="AS109" s="1">
        <v>361</v>
      </c>
      <c r="AT109" s="3">
        <f>331-AR109</f>
        <v>9</v>
      </c>
      <c r="AU109" s="113"/>
      <c r="AW109" s="3"/>
      <c r="AX109" s="3"/>
      <c r="AY109" s="3"/>
      <c r="AZ109" s="3"/>
    </row>
    <row r="110" spans="42:52" x14ac:dyDescent="0.2">
      <c r="AQ110" s="311">
        <v>40</v>
      </c>
      <c r="AR110" s="111">
        <v>308</v>
      </c>
      <c r="AS110" s="111">
        <v>344</v>
      </c>
      <c r="AT110" s="111">
        <f>316-AR110</f>
        <v>8</v>
      </c>
      <c r="AU110" s="312"/>
      <c r="AW110" s="3"/>
      <c r="AX110" s="3"/>
      <c r="AY110" s="3"/>
      <c r="AZ110" s="3"/>
    </row>
    <row r="111" spans="42:52" x14ac:dyDescent="0.2">
      <c r="AW111" s="3"/>
      <c r="AX111" s="3"/>
      <c r="AY111" s="3"/>
      <c r="AZ111" s="3"/>
    </row>
  </sheetData>
  <mergeCells count="3">
    <mergeCell ref="B19:AA19"/>
    <mergeCell ref="A20:A50"/>
    <mergeCell ref="K52:AA52"/>
  </mergeCells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BQ42"/>
  <sheetViews>
    <sheetView topLeftCell="F1" workbookViewId="0">
      <selection activeCell="AX6" sqref="AX6:AX7"/>
    </sheetView>
  </sheetViews>
  <sheetFormatPr defaultRowHeight="18.75" x14ac:dyDescent="0.3"/>
  <cols>
    <col min="1" max="5" width="0" style="115" hidden="1" customWidth="1"/>
    <col min="6" max="6" width="15.85546875" style="115" customWidth="1"/>
    <col min="7" max="7" width="6.28515625" style="115" customWidth="1"/>
    <col min="8" max="19" width="9.140625" style="115"/>
    <col min="20" max="21" width="8" style="115" customWidth="1"/>
    <col min="22" max="22" width="7.85546875" style="115" customWidth="1"/>
    <col min="23" max="23" width="14.85546875" style="115" customWidth="1"/>
    <col min="24" max="24" width="8.140625" style="115" customWidth="1"/>
    <col min="25" max="25" width="9.5703125" style="115" bestFit="1" customWidth="1"/>
    <col min="26" max="27" width="9.140625" style="115"/>
    <col min="28" max="28" width="8" style="115" customWidth="1"/>
    <col min="29" max="47" width="9.140625" style="115"/>
    <col min="48" max="48" width="12.7109375" style="115" customWidth="1"/>
    <col min="49" max="49" width="12.5703125" style="115" customWidth="1"/>
    <col min="50" max="57" width="9.140625" style="115"/>
    <col min="58" max="58" width="9.140625" style="115" customWidth="1"/>
    <col min="59" max="16384" width="9.140625" style="115"/>
  </cols>
  <sheetData>
    <row r="1" spans="6:69" ht="19.5" thickBot="1" x14ac:dyDescent="0.35">
      <c r="F1" s="114"/>
      <c r="G1" s="114"/>
      <c r="H1" s="114"/>
      <c r="I1" s="114"/>
      <c r="J1" s="114"/>
      <c r="K1" s="114"/>
      <c r="L1" s="114"/>
      <c r="M1" s="114"/>
      <c r="N1" s="114"/>
      <c r="O1" s="114"/>
      <c r="P1" s="114"/>
      <c r="Q1" s="114"/>
      <c r="R1" s="114"/>
      <c r="S1" s="114"/>
      <c r="T1" s="114"/>
      <c r="U1" s="114"/>
      <c r="V1" s="114"/>
      <c r="W1" s="114"/>
      <c r="X1" s="114"/>
      <c r="Y1" s="114"/>
      <c r="Z1" s="114"/>
      <c r="AA1" s="114"/>
      <c r="AP1" s="591" t="s">
        <v>106</v>
      </c>
      <c r="AQ1" s="592"/>
      <c r="AR1" s="592" t="s">
        <v>107</v>
      </c>
      <c r="AS1" s="595"/>
      <c r="AV1" s="574" t="s">
        <v>121</v>
      </c>
      <c r="AW1" s="575"/>
      <c r="AX1" s="580" t="s">
        <v>122</v>
      </c>
      <c r="AY1" s="581"/>
      <c r="AZ1" s="581"/>
      <c r="BA1" s="581"/>
      <c r="BB1" s="581"/>
      <c r="BC1" s="581"/>
      <c r="BD1" s="581"/>
      <c r="BE1" s="581"/>
      <c r="BF1" s="582"/>
    </row>
    <row r="2" spans="6:69" ht="22.5" customHeight="1" thickBot="1" x14ac:dyDescent="0.35">
      <c r="F2" s="116"/>
      <c r="G2" s="117"/>
      <c r="H2" s="590"/>
      <c r="I2" s="590"/>
      <c r="J2" s="118"/>
      <c r="K2" s="119"/>
      <c r="L2" s="118"/>
      <c r="M2" s="118"/>
      <c r="N2" s="118"/>
      <c r="O2" s="118"/>
      <c r="P2" s="118"/>
      <c r="Q2" s="118"/>
      <c r="R2" s="118"/>
      <c r="S2" s="118"/>
      <c r="T2" s="116"/>
      <c r="U2" s="116"/>
      <c r="V2" s="114"/>
      <c r="AA2" s="114"/>
      <c r="AP2" s="593"/>
      <c r="AQ2" s="594"/>
      <c r="AR2" s="594"/>
      <c r="AS2" s="596"/>
      <c r="AV2" s="576"/>
      <c r="AW2" s="577"/>
      <c r="AX2" s="584">
        <v>5</v>
      </c>
      <c r="AY2" s="565">
        <v>10</v>
      </c>
      <c r="AZ2" s="565">
        <v>20</v>
      </c>
      <c r="BA2" s="565">
        <v>50</v>
      </c>
      <c r="BB2" s="565">
        <v>100</v>
      </c>
      <c r="BC2" s="565">
        <v>300</v>
      </c>
      <c r="BD2" s="565">
        <v>500</v>
      </c>
      <c r="BE2" s="565">
        <v>1000</v>
      </c>
      <c r="BF2" s="567" t="s">
        <v>128</v>
      </c>
    </row>
    <row r="3" spans="6:69" ht="19.5" thickBot="1" x14ac:dyDescent="0.35">
      <c r="F3" s="116"/>
      <c r="G3" s="117" t="s">
        <v>108</v>
      </c>
      <c r="H3" s="597">
        <f>Цена!E16</f>
        <v>6</v>
      </c>
      <c r="I3" s="573"/>
      <c r="J3" s="118" t="s">
        <v>0</v>
      </c>
      <c r="K3" s="119" t="s">
        <v>109</v>
      </c>
      <c r="L3" s="118"/>
      <c r="M3" s="118"/>
      <c r="N3" s="118"/>
      <c r="O3" s="118"/>
      <c r="P3" s="118"/>
      <c r="Q3" s="118"/>
      <c r="R3" s="118"/>
      <c r="S3" s="118"/>
      <c r="T3" s="116"/>
      <c r="U3" s="116"/>
      <c r="V3" s="114"/>
      <c r="AA3" s="114"/>
      <c r="AP3" s="598">
        <v>75</v>
      </c>
      <c r="AQ3" s="599"/>
      <c r="AR3" s="599">
        <v>0.105</v>
      </c>
      <c r="AS3" s="600"/>
      <c r="AV3" s="578"/>
      <c r="AW3" s="579"/>
      <c r="AX3" s="585"/>
      <c r="AY3" s="566"/>
      <c r="AZ3" s="566"/>
      <c r="BA3" s="566"/>
      <c r="BB3" s="566"/>
      <c r="BC3" s="566"/>
      <c r="BD3" s="566"/>
      <c r="BE3" s="566"/>
      <c r="BF3" s="568"/>
    </row>
    <row r="4" spans="6:69" x14ac:dyDescent="0.3">
      <c r="F4" s="116"/>
      <c r="G4" s="117" t="s">
        <v>110</v>
      </c>
      <c r="H4" s="589">
        <f>S18</f>
        <v>1.3876500000000005E-2</v>
      </c>
      <c r="I4" s="589"/>
      <c r="J4" s="118" t="s">
        <v>111</v>
      </c>
      <c r="K4" s="119" t="s">
        <v>112</v>
      </c>
      <c r="L4" s="118"/>
      <c r="M4" s="118"/>
      <c r="N4" s="118"/>
      <c r="O4" s="118"/>
      <c r="P4" s="118"/>
      <c r="Q4" s="118"/>
      <c r="R4" s="120">
        <f>H4*3600</f>
        <v>49.955400000000019</v>
      </c>
      <c r="S4" s="121" t="s">
        <v>113</v>
      </c>
      <c r="T4" s="116"/>
      <c r="U4" s="116"/>
      <c r="V4" s="114"/>
      <c r="AA4" s="114"/>
      <c r="AP4" s="586">
        <v>70</v>
      </c>
      <c r="AQ4" s="587"/>
      <c r="AR4" s="587">
        <v>0.108</v>
      </c>
      <c r="AS4" s="588"/>
      <c r="AV4" s="555" t="s">
        <v>135</v>
      </c>
      <c r="AW4" s="556"/>
      <c r="AX4" s="559">
        <v>2.5</v>
      </c>
      <c r="AY4" s="553">
        <v>2.1</v>
      </c>
      <c r="AZ4" s="553">
        <v>1.9</v>
      </c>
      <c r="BA4" s="553">
        <v>1.7</v>
      </c>
      <c r="BB4" s="553">
        <v>1.6</v>
      </c>
      <c r="BC4" s="553">
        <v>1.55</v>
      </c>
      <c r="BD4" s="553">
        <v>1.5</v>
      </c>
      <c r="BE4" s="553">
        <v>1.47</v>
      </c>
      <c r="BF4" s="571">
        <v>1.44</v>
      </c>
    </row>
    <row r="5" spans="6:69" x14ac:dyDescent="0.3">
      <c r="F5" s="116"/>
      <c r="G5" s="117" t="s">
        <v>114</v>
      </c>
      <c r="H5" s="569">
        <f>Цена!B16/1000</f>
        <v>0.4</v>
      </c>
      <c r="I5" s="569"/>
      <c r="J5" s="118" t="s">
        <v>115</v>
      </c>
      <c r="K5" s="119" t="s">
        <v>165</v>
      </c>
      <c r="L5" s="118"/>
      <c r="M5" s="118"/>
      <c r="N5" s="118"/>
      <c r="O5" s="118"/>
      <c r="P5" s="118"/>
      <c r="Q5" s="118"/>
      <c r="R5" s="118"/>
      <c r="S5" s="118"/>
      <c r="T5" s="116"/>
      <c r="U5" s="116"/>
      <c r="V5" s="114"/>
      <c r="AA5" s="114"/>
      <c r="AP5" s="586">
        <v>65</v>
      </c>
      <c r="AQ5" s="587"/>
      <c r="AR5" s="587">
        <v>0.104</v>
      </c>
      <c r="AS5" s="588"/>
      <c r="AV5" s="557"/>
      <c r="AW5" s="558"/>
      <c r="AX5" s="560"/>
      <c r="AY5" s="554"/>
      <c r="AZ5" s="554"/>
      <c r="BA5" s="554"/>
      <c r="BB5" s="554"/>
      <c r="BC5" s="554"/>
      <c r="BD5" s="554"/>
      <c r="BE5" s="554"/>
      <c r="BF5" s="572"/>
    </row>
    <row r="6" spans="6:69" x14ac:dyDescent="0.3">
      <c r="F6" s="116"/>
      <c r="G6" s="117" t="s">
        <v>116</v>
      </c>
      <c r="H6" s="569">
        <f>Цена!C16/1000</f>
        <v>0.4</v>
      </c>
      <c r="I6" s="569"/>
      <c r="J6" s="118" t="s">
        <v>115</v>
      </c>
      <c r="K6" s="119" t="s">
        <v>166</v>
      </c>
      <c r="L6" s="118"/>
      <c r="M6" s="118"/>
      <c r="N6" s="118"/>
      <c r="O6" s="118"/>
      <c r="P6" s="118"/>
      <c r="Q6" s="118"/>
      <c r="R6" s="118"/>
      <c r="S6" s="118"/>
      <c r="T6" s="116"/>
      <c r="U6" s="116"/>
      <c r="V6" s="114"/>
      <c r="AA6" s="114"/>
      <c r="AP6" s="586">
        <v>60</v>
      </c>
      <c r="AQ6" s="587"/>
      <c r="AR6" s="587">
        <v>0.1</v>
      </c>
      <c r="AS6" s="588"/>
      <c r="AV6" s="545" t="s">
        <v>139</v>
      </c>
      <c r="AW6" s="546"/>
      <c r="AX6" s="549">
        <v>0.38</v>
      </c>
      <c r="AY6" s="551">
        <v>0.45</v>
      </c>
      <c r="AZ6" s="551">
        <v>0.5</v>
      </c>
      <c r="BA6" s="551">
        <v>0.55000000000000004</v>
      </c>
      <c r="BB6" s="551">
        <v>0.59</v>
      </c>
      <c r="BC6" s="551">
        <v>0.62</v>
      </c>
      <c r="BD6" s="551">
        <v>0.66</v>
      </c>
      <c r="BE6" s="551">
        <v>0.69</v>
      </c>
      <c r="BF6" s="534">
        <v>0.71</v>
      </c>
    </row>
    <row r="7" spans="6:69" ht="19.5" thickBot="1" x14ac:dyDescent="0.35">
      <c r="F7" s="116"/>
      <c r="G7" s="117" t="s">
        <v>117</v>
      </c>
      <c r="H7" s="569">
        <f>H6-H8</f>
        <v>0.25</v>
      </c>
      <c r="I7" s="569"/>
      <c r="J7" s="118" t="s">
        <v>115</v>
      </c>
      <c r="K7" s="119" t="s">
        <v>118</v>
      </c>
      <c r="L7" s="118"/>
      <c r="M7" s="118"/>
      <c r="N7" s="118"/>
      <c r="O7" s="118"/>
      <c r="P7" s="118"/>
      <c r="Q7" s="118"/>
      <c r="R7" s="118"/>
      <c r="S7" s="118"/>
      <c r="T7" s="116"/>
      <c r="U7" s="116"/>
      <c r="V7" s="114"/>
      <c r="AA7" s="114"/>
      <c r="AP7" s="586">
        <v>55</v>
      </c>
      <c r="AQ7" s="587"/>
      <c r="AR7" s="587">
        <v>9.4E-2</v>
      </c>
      <c r="AS7" s="588"/>
      <c r="AV7" s="547"/>
      <c r="AW7" s="548"/>
      <c r="AX7" s="550"/>
      <c r="AY7" s="552"/>
      <c r="AZ7" s="552"/>
      <c r="BA7" s="552"/>
      <c r="BB7" s="552"/>
      <c r="BC7" s="552"/>
      <c r="BD7" s="552"/>
      <c r="BE7" s="552"/>
      <c r="BF7" s="535"/>
    </row>
    <row r="8" spans="6:69" ht="19.5" customHeight="1" thickBot="1" x14ac:dyDescent="0.35">
      <c r="F8" s="116"/>
      <c r="G8" s="122" t="s">
        <v>119</v>
      </c>
      <c r="H8" s="564">
        <f>IF(AND(H6&lt;=1,H6&gt;0.5),0.3,IF(H6&lt;=0.5,0.15,0.5))</f>
        <v>0.15</v>
      </c>
      <c r="I8" s="564"/>
      <c r="J8" s="118" t="s">
        <v>115</v>
      </c>
      <c r="K8" s="119" t="s">
        <v>120</v>
      </c>
      <c r="L8" s="118"/>
      <c r="M8" s="118"/>
      <c r="N8" s="118"/>
      <c r="O8" s="118"/>
      <c r="P8" s="118"/>
      <c r="Q8" s="118"/>
      <c r="R8" s="118"/>
      <c r="S8" s="118"/>
      <c r="T8" s="116"/>
      <c r="U8" s="116"/>
      <c r="V8" s="114"/>
      <c r="W8" s="114"/>
      <c r="X8" s="114"/>
      <c r="Y8" s="114"/>
      <c r="Z8" s="114"/>
      <c r="AA8" s="114"/>
      <c r="AP8" s="586">
        <v>50</v>
      </c>
      <c r="AQ8" s="587"/>
      <c r="AR8" s="587">
        <v>8.7999999999999995E-2</v>
      </c>
      <c r="AS8" s="588"/>
      <c r="AV8" s="536" t="s">
        <v>140</v>
      </c>
      <c r="AW8" s="537"/>
      <c r="AX8" s="537"/>
      <c r="AY8" s="537"/>
      <c r="AZ8" s="537"/>
      <c r="BA8" s="537"/>
      <c r="BB8" s="537"/>
      <c r="BC8" s="537"/>
      <c r="BD8" s="537"/>
      <c r="BE8" s="537"/>
      <c r="BF8" s="538"/>
    </row>
    <row r="9" spans="6:69" ht="21" customHeight="1" thickBot="1" x14ac:dyDescent="0.35">
      <c r="F9" s="116"/>
      <c r="G9" s="117" t="s">
        <v>123</v>
      </c>
      <c r="H9" s="583">
        <v>1</v>
      </c>
      <c r="I9" s="583"/>
      <c r="J9" s="118" t="s">
        <v>124</v>
      </c>
      <c r="K9" s="119" t="s">
        <v>125</v>
      </c>
      <c r="L9" s="118"/>
      <c r="M9" s="118"/>
      <c r="N9" s="118"/>
      <c r="O9" s="118"/>
      <c r="P9" s="118"/>
      <c r="Q9" s="118"/>
      <c r="R9" s="118"/>
      <c r="S9" s="118"/>
      <c r="T9" s="116"/>
      <c r="U9" s="116"/>
      <c r="V9" s="114"/>
      <c r="W9" s="123" t="s">
        <v>126</v>
      </c>
      <c r="X9" s="124"/>
      <c r="Y9" s="125" t="s">
        <v>127</v>
      </c>
      <c r="Z9" s="124"/>
      <c r="AA9" s="114"/>
      <c r="AP9" s="586">
        <v>45</v>
      </c>
      <c r="AQ9" s="587"/>
      <c r="AR9" s="587">
        <v>8.1000000000000003E-2</v>
      </c>
      <c r="AS9" s="588"/>
      <c r="AV9" s="539"/>
      <c r="AW9" s="540"/>
      <c r="AX9" s="540"/>
      <c r="AY9" s="540"/>
      <c r="AZ9" s="540"/>
      <c r="BA9" s="540"/>
      <c r="BB9" s="540"/>
      <c r="BC9" s="540"/>
      <c r="BD9" s="540"/>
      <c r="BE9" s="540"/>
      <c r="BF9" s="541"/>
    </row>
    <row r="10" spans="6:69" ht="20.25" customHeight="1" x14ac:dyDescent="0.3">
      <c r="F10" s="116"/>
      <c r="G10" s="117" t="s">
        <v>129</v>
      </c>
      <c r="H10" s="573">
        <v>0.7</v>
      </c>
      <c r="I10" s="573"/>
      <c r="J10" s="118" t="s">
        <v>124</v>
      </c>
      <c r="K10" s="119" t="s">
        <v>130</v>
      </c>
      <c r="L10" s="116"/>
      <c r="M10" s="116"/>
      <c r="N10" s="116"/>
      <c r="O10" s="116"/>
      <c r="P10" s="116"/>
      <c r="Q10" s="118"/>
      <c r="R10" s="118"/>
      <c r="S10" s="118"/>
      <c r="T10" s="116"/>
      <c r="U10" s="116"/>
      <c r="V10" s="114"/>
      <c r="W10" s="126">
        <v>6</v>
      </c>
      <c r="X10" s="127"/>
      <c r="Y10" s="128" t="s">
        <v>131</v>
      </c>
      <c r="Z10" s="129"/>
      <c r="AA10" s="114"/>
      <c r="AP10" s="586">
        <v>40</v>
      </c>
      <c r="AQ10" s="587"/>
      <c r="AR10" s="587">
        <v>7.3999999999999996E-2</v>
      </c>
      <c r="AS10" s="588"/>
      <c r="AV10" s="539"/>
      <c r="AW10" s="540"/>
      <c r="AX10" s="540"/>
      <c r="AY10" s="540"/>
      <c r="AZ10" s="540"/>
      <c r="BA10" s="540"/>
      <c r="BB10" s="540"/>
      <c r="BC10" s="540"/>
      <c r="BD10" s="540"/>
      <c r="BE10" s="540"/>
      <c r="BF10" s="541"/>
    </row>
    <row r="11" spans="6:69" ht="18.75" customHeight="1" x14ac:dyDescent="0.3">
      <c r="F11" s="116"/>
      <c r="G11" s="117" t="s">
        <v>132</v>
      </c>
      <c r="H11" s="573">
        <f>IF(H3&lt;=8,6,IF(OR(8&lt;H3,H3&lt;=16),8,IF(H3&gt;16,10,0)))</f>
        <v>6</v>
      </c>
      <c r="I11" s="573"/>
      <c r="J11" s="118" t="s">
        <v>0</v>
      </c>
      <c r="K11" s="119" t="s">
        <v>133</v>
      </c>
      <c r="L11" s="116"/>
      <c r="M11" s="116"/>
      <c r="N11" s="116"/>
      <c r="O11" s="116"/>
      <c r="P11" s="116"/>
      <c r="Q11" s="118"/>
      <c r="R11" s="118"/>
      <c r="S11" s="118"/>
      <c r="T11" s="116"/>
      <c r="U11" s="116"/>
      <c r="V11" s="114"/>
      <c r="W11" s="130">
        <v>8</v>
      </c>
      <c r="X11" s="131"/>
      <c r="Y11" s="132" t="s">
        <v>134</v>
      </c>
      <c r="Z11" s="133"/>
      <c r="AA11" s="114"/>
      <c r="AP11" s="586">
        <v>35</v>
      </c>
      <c r="AQ11" s="587"/>
      <c r="AR11" s="587">
        <v>6.6000000000000003E-2</v>
      </c>
      <c r="AS11" s="588"/>
      <c r="AV11" s="539"/>
      <c r="AW11" s="540"/>
      <c r="AX11" s="540"/>
      <c r="AY11" s="540"/>
      <c r="AZ11" s="540"/>
      <c r="BA11" s="540"/>
      <c r="BB11" s="540"/>
      <c r="BC11" s="540"/>
      <c r="BD11" s="540"/>
      <c r="BE11" s="540"/>
      <c r="BF11" s="541"/>
    </row>
    <row r="12" spans="6:69" ht="21" customHeight="1" thickBot="1" x14ac:dyDescent="0.35">
      <c r="F12" s="116"/>
      <c r="G12" s="117" t="s">
        <v>136</v>
      </c>
      <c r="H12" s="561">
        <v>2.7</v>
      </c>
      <c r="I12" s="561"/>
      <c r="J12" s="134"/>
      <c r="K12" s="119" t="s">
        <v>137</v>
      </c>
      <c r="L12" s="116"/>
      <c r="M12" s="116"/>
      <c r="N12" s="116"/>
      <c r="O12" s="116"/>
      <c r="P12" s="116"/>
      <c r="Q12" s="118"/>
      <c r="R12" s="118"/>
      <c r="S12" s="118"/>
      <c r="T12" s="116"/>
      <c r="U12" s="116"/>
      <c r="V12" s="114"/>
      <c r="W12" s="135">
        <v>10</v>
      </c>
      <c r="X12" s="136"/>
      <c r="Y12" s="137" t="s">
        <v>138</v>
      </c>
      <c r="Z12" s="138"/>
      <c r="AA12" s="114"/>
      <c r="AP12" s="570">
        <v>30</v>
      </c>
      <c r="AQ12" s="562"/>
      <c r="AR12" s="562">
        <v>5.6000000000000001E-2</v>
      </c>
      <c r="AS12" s="563"/>
      <c r="AV12" s="539"/>
      <c r="AW12" s="540"/>
      <c r="AX12" s="540"/>
      <c r="AY12" s="540"/>
      <c r="AZ12" s="540"/>
      <c r="BA12" s="540"/>
      <c r="BB12" s="540"/>
      <c r="BC12" s="540"/>
      <c r="BD12" s="540"/>
      <c r="BE12" s="540"/>
      <c r="BF12" s="541"/>
    </row>
    <row r="13" spans="6:69" ht="16.5" customHeight="1" thickBot="1" x14ac:dyDescent="0.35">
      <c r="F13" s="139"/>
      <c r="G13" s="140"/>
      <c r="H13" s="141"/>
      <c r="I13" s="141"/>
      <c r="J13" s="142"/>
      <c r="K13" s="143"/>
      <c r="L13" s="139"/>
      <c r="M13" s="139"/>
      <c r="N13" s="139"/>
      <c r="O13" s="139"/>
      <c r="P13" s="139"/>
      <c r="Q13" s="144"/>
      <c r="R13" s="144"/>
      <c r="S13" s="144"/>
      <c r="T13" s="114"/>
      <c r="U13" s="114"/>
      <c r="V13" s="114"/>
      <c r="W13" s="114"/>
      <c r="X13" s="114"/>
      <c r="Y13" s="114"/>
      <c r="Z13" s="114"/>
      <c r="AA13" s="114"/>
      <c r="AC13" s="145"/>
      <c r="AD13" s="145"/>
      <c r="AE13" s="145"/>
      <c r="AF13" s="145"/>
      <c r="AG13" s="145"/>
      <c r="AH13" s="145"/>
      <c r="AI13" s="145"/>
      <c r="AJ13" s="145"/>
      <c r="AK13" s="145"/>
      <c r="AL13" s="145"/>
      <c r="AM13" s="145"/>
      <c r="AV13" s="542"/>
      <c r="AW13" s="543"/>
      <c r="AX13" s="543"/>
      <c r="AY13" s="543"/>
      <c r="AZ13" s="543"/>
      <c r="BA13" s="543"/>
      <c r="BB13" s="543"/>
      <c r="BC13" s="543"/>
      <c r="BD13" s="543"/>
      <c r="BE13" s="543"/>
      <c r="BF13" s="544"/>
    </row>
    <row r="14" spans="6:69" ht="22.5" customHeight="1" thickBot="1" x14ac:dyDescent="0.35">
      <c r="F14" s="114"/>
      <c r="G14" s="114"/>
      <c r="H14" s="507" t="s">
        <v>141</v>
      </c>
      <c r="I14" s="508"/>
      <c r="J14" s="508"/>
      <c r="K14" s="508"/>
      <c r="L14" s="508"/>
      <c r="M14" s="508"/>
      <c r="N14" s="509"/>
      <c r="O14" s="516" t="s">
        <v>142</v>
      </c>
      <c r="P14" s="517"/>
      <c r="Q14" s="517"/>
      <c r="R14" s="517"/>
      <c r="S14" s="517" t="s">
        <v>143</v>
      </c>
      <c r="T14" s="517"/>
      <c r="U14" s="517"/>
      <c r="V14" s="522"/>
      <c r="W14" s="525" t="s">
        <v>144</v>
      </c>
      <c r="X14" s="525"/>
      <c r="Y14" s="525"/>
      <c r="Z14" s="525"/>
      <c r="AA14" s="525"/>
      <c r="AB14" s="525"/>
      <c r="AC14" s="525"/>
      <c r="AD14" s="525"/>
      <c r="AE14" s="525"/>
      <c r="AF14" s="525"/>
      <c r="AG14" s="525"/>
      <c r="AH14" s="525"/>
      <c r="AI14" s="525"/>
      <c r="AJ14" s="525"/>
      <c r="AK14" s="525"/>
      <c r="AL14" s="525"/>
      <c r="AM14" s="525"/>
      <c r="AN14" s="525"/>
      <c r="AO14" s="525"/>
      <c r="AP14" s="525"/>
      <c r="AQ14" s="525"/>
      <c r="AR14" s="525"/>
      <c r="AS14" s="525"/>
      <c r="AT14" s="525"/>
      <c r="AU14" s="525"/>
      <c r="AV14" s="525"/>
      <c r="AW14" s="525"/>
      <c r="AX14" s="525"/>
      <c r="AY14" s="525"/>
      <c r="AZ14" s="525"/>
      <c r="BA14" s="525"/>
      <c r="BB14" s="525"/>
      <c r="BC14" s="525"/>
      <c r="BD14" s="525"/>
      <c r="BE14" s="525"/>
      <c r="BF14" s="525"/>
      <c r="BG14" s="525"/>
      <c r="BH14" s="525"/>
      <c r="BI14" s="525"/>
      <c r="BJ14" s="525"/>
      <c r="BK14" s="525"/>
      <c r="BL14" s="525"/>
      <c r="BM14" s="525"/>
      <c r="BN14" s="525"/>
      <c r="BO14" s="525"/>
      <c r="BP14" s="525"/>
      <c r="BQ14" s="526"/>
    </row>
    <row r="15" spans="6:69" ht="20.25" customHeight="1" x14ac:dyDescent="0.3">
      <c r="F15" s="114"/>
      <c r="G15" s="146"/>
      <c r="H15" s="510"/>
      <c r="I15" s="511"/>
      <c r="J15" s="511"/>
      <c r="K15" s="511"/>
      <c r="L15" s="511"/>
      <c r="M15" s="511"/>
      <c r="N15" s="512"/>
      <c r="O15" s="518"/>
      <c r="P15" s="519"/>
      <c r="Q15" s="519"/>
      <c r="R15" s="519"/>
      <c r="S15" s="519"/>
      <c r="T15" s="519"/>
      <c r="U15" s="519"/>
      <c r="V15" s="523"/>
      <c r="W15" s="527" t="s">
        <v>145</v>
      </c>
      <c r="X15" s="528"/>
      <c r="Y15" s="531">
        <v>70</v>
      </c>
      <c r="Z15" s="532"/>
      <c r="AA15" s="532"/>
      <c r="AB15" s="532"/>
      <c r="AC15" s="533"/>
      <c r="AD15" s="501">
        <v>65</v>
      </c>
      <c r="AE15" s="502"/>
      <c r="AF15" s="502"/>
      <c r="AG15" s="502"/>
      <c r="AH15" s="503"/>
      <c r="AI15" s="501">
        <v>60</v>
      </c>
      <c r="AJ15" s="502"/>
      <c r="AK15" s="502"/>
      <c r="AL15" s="502"/>
      <c r="AM15" s="503"/>
      <c r="AN15" s="501">
        <v>55</v>
      </c>
      <c r="AO15" s="502"/>
      <c r="AP15" s="502"/>
      <c r="AQ15" s="502"/>
      <c r="AR15" s="503"/>
      <c r="AS15" s="501">
        <v>50</v>
      </c>
      <c r="AT15" s="502"/>
      <c r="AU15" s="502"/>
      <c r="AV15" s="502"/>
      <c r="AW15" s="503"/>
      <c r="AX15" s="501">
        <v>45</v>
      </c>
      <c r="AY15" s="502"/>
      <c r="AZ15" s="502"/>
      <c r="BA15" s="502"/>
      <c r="BB15" s="503"/>
      <c r="BC15" s="501">
        <v>40</v>
      </c>
      <c r="BD15" s="502"/>
      <c r="BE15" s="502"/>
      <c r="BF15" s="502"/>
      <c r="BG15" s="503"/>
      <c r="BH15" s="501">
        <v>35</v>
      </c>
      <c r="BI15" s="502"/>
      <c r="BJ15" s="502"/>
      <c r="BK15" s="502"/>
      <c r="BL15" s="503"/>
      <c r="BM15" s="501">
        <v>30</v>
      </c>
      <c r="BN15" s="502"/>
      <c r="BO15" s="502"/>
      <c r="BP15" s="502"/>
      <c r="BQ15" s="503"/>
    </row>
    <row r="16" spans="6:69" ht="19.5" thickBot="1" x14ac:dyDescent="0.35">
      <c r="F16" s="114"/>
      <c r="G16" s="146"/>
      <c r="H16" s="513"/>
      <c r="I16" s="514"/>
      <c r="J16" s="514"/>
      <c r="K16" s="514"/>
      <c r="L16" s="514"/>
      <c r="M16" s="514"/>
      <c r="N16" s="515"/>
      <c r="O16" s="520"/>
      <c r="P16" s="521"/>
      <c r="Q16" s="521"/>
      <c r="R16" s="521"/>
      <c r="S16" s="521"/>
      <c r="T16" s="521"/>
      <c r="U16" s="521"/>
      <c r="V16" s="524"/>
      <c r="W16" s="529"/>
      <c r="X16" s="530"/>
      <c r="Y16" s="531"/>
      <c r="Z16" s="532"/>
      <c r="AA16" s="532"/>
      <c r="AB16" s="532"/>
      <c r="AC16" s="533"/>
      <c r="AD16" s="504"/>
      <c r="AE16" s="505"/>
      <c r="AF16" s="505"/>
      <c r="AG16" s="505"/>
      <c r="AH16" s="506"/>
      <c r="AI16" s="504"/>
      <c r="AJ16" s="505"/>
      <c r="AK16" s="505"/>
      <c r="AL16" s="505"/>
      <c r="AM16" s="506"/>
      <c r="AN16" s="504"/>
      <c r="AO16" s="505"/>
      <c r="AP16" s="505"/>
      <c r="AQ16" s="505"/>
      <c r="AR16" s="506"/>
      <c r="AS16" s="504"/>
      <c r="AT16" s="505"/>
      <c r="AU16" s="505"/>
      <c r="AV16" s="505"/>
      <c r="AW16" s="506"/>
      <c r="AX16" s="504"/>
      <c r="AY16" s="505"/>
      <c r="AZ16" s="505"/>
      <c r="BA16" s="505"/>
      <c r="BB16" s="506"/>
      <c r="BC16" s="504"/>
      <c r="BD16" s="505"/>
      <c r="BE16" s="505"/>
      <c r="BF16" s="505"/>
      <c r="BG16" s="506"/>
      <c r="BH16" s="504"/>
      <c r="BI16" s="505"/>
      <c r="BJ16" s="505"/>
      <c r="BK16" s="505"/>
      <c r="BL16" s="506"/>
      <c r="BM16" s="504"/>
      <c r="BN16" s="505"/>
      <c r="BO16" s="505"/>
      <c r="BP16" s="505"/>
      <c r="BQ16" s="506"/>
    </row>
    <row r="17" spans="1:69" ht="144.75" thickBot="1" x14ac:dyDescent="0.35">
      <c r="F17" s="114"/>
      <c r="G17" s="147" t="s">
        <v>146</v>
      </c>
      <c r="H17" s="148" t="s">
        <v>147</v>
      </c>
      <c r="I17" s="149" t="s">
        <v>148</v>
      </c>
      <c r="J17" s="149" t="s">
        <v>149</v>
      </c>
      <c r="K17" s="150" t="s">
        <v>150</v>
      </c>
      <c r="L17" s="149" t="s">
        <v>151</v>
      </c>
      <c r="M17" s="149" t="s">
        <v>152</v>
      </c>
      <c r="N17" s="151" t="s">
        <v>153</v>
      </c>
      <c r="O17" s="152" t="s">
        <v>154</v>
      </c>
      <c r="P17" s="152" t="s">
        <v>155</v>
      </c>
      <c r="Q17" s="153" t="s">
        <v>156</v>
      </c>
      <c r="R17" s="154" t="s">
        <v>157</v>
      </c>
      <c r="S17" s="154" t="s">
        <v>158</v>
      </c>
      <c r="T17" s="154" t="s">
        <v>159</v>
      </c>
      <c r="U17" s="154" t="s">
        <v>160</v>
      </c>
      <c r="V17" s="155" t="s">
        <v>161</v>
      </c>
      <c r="W17" s="156" t="s">
        <v>162</v>
      </c>
      <c r="X17" s="157" t="s">
        <v>163</v>
      </c>
      <c r="Y17" s="158" t="s">
        <v>157</v>
      </c>
      <c r="Z17" s="159" t="s">
        <v>158</v>
      </c>
      <c r="AA17" s="159" t="s">
        <v>159</v>
      </c>
      <c r="AB17" s="159" t="s">
        <v>160</v>
      </c>
      <c r="AC17" s="160" t="s">
        <v>161</v>
      </c>
      <c r="AD17" s="158" t="s">
        <v>157</v>
      </c>
      <c r="AE17" s="159" t="s">
        <v>158</v>
      </c>
      <c r="AF17" s="159" t="s">
        <v>159</v>
      </c>
      <c r="AG17" s="159" t="s">
        <v>164</v>
      </c>
      <c r="AH17" s="160" t="s">
        <v>161</v>
      </c>
      <c r="AI17" s="158" t="s">
        <v>157</v>
      </c>
      <c r="AJ17" s="159" t="s">
        <v>158</v>
      </c>
      <c r="AK17" s="159" t="s">
        <v>159</v>
      </c>
      <c r="AL17" s="159" t="s">
        <v>160</v>
      </c>
      <c r="AM17" s="160" t="s">
        <v>161</v>
      </c>
      <c r="AN17" s="158" t="s">
        <v>157</v>
      </c>
      <c r="AO17" s="159" t="s">
        <v>158</v>
      </c>
      <c r="AP17" s="159" t="s">
        <v>159</v>
      </c>
      <c r="AQ17" s="159" t="s">
        <v>160</v>
      </c>
      <c r="AR17" s="160" t="s">
        <v>161</v>
      </c>
      <c r="AS17" s="158" t="s">
        <v>157</v>
      </c>
      <c r="AT17" s="159" t="s">
        <v>158</v>
      </c>
      <c r="AU17" s="159" t="s">
        <v>159</v>
      </c>
      <c r="AV17" s="159" t="s">
        <v>160</v>
      </c>
      <c r="AW17" s="160" t="s">
        <v>161</v>
      </c>
      <c r="AX17" s="158" t="s">
        <v>157</v>
      </c>
      <c r="AY17" s="159" t="s">
        <v>158</v>
      </c>
      <c r="AZ17" s="159" t="s">
        <v>159</v>
      </c>
      <c r="BA17" s="159" t="s">
        <v>160</v>
      </c>
      <c r="BB17" s="160" t="s">
        <v>161</v>
      </c>
      <c r="BC17" s="158" t="s">
        <v>157</v>
      </c>
      <c r="BD17" s="159" t="s">
        <v>158</v>
      </c>
      <c r="BE17" s="159" t="s">
        <v>159</v>
      </c>
      <c r="BF17" s="159" t="s">
        <v>160</v>
      </c>
      <c r="BG17" s="160" t="s">
        <v>161</v>
      </c>
      <c r="BH17" s="158" t="s">
        <v>157</v>
      </c>
      <c r="BI17" s="159" t="s">
        <v>158</v>
      </c>
      <c r="BJ17" s="159" t="s">
        <v>159</v>
      </c>
      <c r="BK17" s="159" t="s">
        <v>160</v>
      </c>
      <c r="BL17" s="160" t="s">
        <v>161</v>
      </c>
      <c r="BM17" s="158" t="s">
        <v>157</v>
      </c>
      <c r="BN17" s="159" t="s">
        <v>158</v>
      </c>
      <c r="BO17" s="159" t="s">
        <v>159</v>
      </c>
      <c r="BP17" s="159" t="s">
        <v>160</v>
      </c>
      <c r="BQ17" s="160" t="s">
        <v>161</v>
      </c>
    </row>
    <row r="18" spans="1:69" x14ac:dyDescent="0.3">
      <c r="F18" s="114"/>
      <c r="G18" s="161">
        <f>H3</f>
        <v>6</v>
      </c>
      <c r="H18" s="162">
        <f>H5*1000</f>
        <v>400</v>
      </c>
      <c r="I18" s="163">
        <f>((((ROUNDUP((((H18/2)-30)-1.5-G18-80)/(H3+$H$11),0))*(H3+$H$11))+1.5)*2)+160</f>
        <v>331</v>
      </c>
      <c r="J18" s="163">
        <f>H18-I18</f>
        <v>69</v>
      </c>
      <c r="K18" s="163">
        <f>J18/2</f>
        <v>34.5</v>
      </c>
      <c r="L18" s="163">
        <f>((((((((ROUNDUP((((H18/2)-30)-1.5-H3-80)/(H3+$H$11),0)))))+1)*(H3+$H$11))+1.5)*2)+160</f>
        <v>355</v>
      </c>
      <c r="M18" s="163">
        <f>H18-L18</f>
        <v>45</v>
      </c>
      <c r="N18" s="164">
        <f>M18/2</f>
        <v>22.5</v>
      </c>
      <c r="O18" s="165">
        <f>IF(K18&gt;50,L18,I18)</f>
        <v>331</v>
      </c>
      <c r="P18" s="166">
        <f>(((((ROUNDUP((((H18/2)-30)-1.5-H3-80)/(H3+$H$11),0))))))*2</f>
        <v>14</v>
      </c>
      <c r="Q18" s="166">
        <f>P18-1</f>
        <v>13</v>
      </c>
      <c r="R18" s="167">
        <f>($H$6-$H$8-$AR$3)*((H3/1000)*(Q18+1)+0.003)</f>
        <v>1.2615000000000003E-2</v>
      </c>
      <c r="S18" s="168">
        <f>R18*T18</f>
        <v>1.3876500000000005E-2</v>
      </c>
      <c r="T18" s="169">
        <v>1.1000000000000001</v>
      </c>
      <c r="U18" s="166">
        <f>ROUND(3.36*T18-1.32,2)</f>
        <v>2.38</v>
      </c>
      <c r="V18" s="170">
        <f>($H$12*($H$11/G18)^(4/3)*SIN(RADIANS(75))*$H$10^2*U18)/(2*9.8)</f>
        <v>0.15517598399333879</v>
      </c>
      <c r="W18" s="171">
        <f>IF((0.15*$H$8*2*9.8/($H$12*($H$11/G18)^(4/3)*$H$10^2*U18))&gt;1,75,FLOOR(DEGREES(ASIN((0.15*$H$8*2*9.8/($H$12*($H$11/G18)^(4/3)*$H$10^2*U18)))),5))</f>
        <v>5</v>
      </c>
      <c r="X18" s="172">
        <v>0</v>
      </c>
      <c r="Y18" s="173">
        <f>IF(X18=0,0,($H$6-$H$8-$AR$4)*((G18/1000)*(Q18+1)+0.003))</f>
        <v>0</v>
      </c>
      <c r="Z18" s="174">
        <f>IF(X18=0,0,Y18*$H$9)</f>
        <v>0</v>
      </c>
      <c r="AA18" s="174">
        <f>IF(X18=0,0,ROUND(1.05*#REF!/Y18,2))</f>
        <v>0</v>
      </c>
      <c r="AB18" s="175">
        <f>IF(X18=0,0,ROUND(3.36*AA18-1.32,2))</f>
        <v>0</v>
      </c>
      <c r="AC18" s="176">
        <f>IF(X18=0,0,ROUND(($H$12*($H$11/G18)^(4/3)*SIN(RADIANS($Y$15))*$H$10^2*AB18)/(2*9.8),4))</f>
        <v>0</v>
      </c>
      <c r="AD18" s="173">
        <f>IF($X18=0,0,($H$6-$H$8-$AR$5)*((G18/1000)*(Q18+1)+0.003))</f>
        <v>0</v>
      </c>
      <c r="AE18" s="174">
        <f>IF($X18=0,0,AD18*$H$9)</f>
        <v>0</v>
      </c>
      <c r="AF18" s="174">
        <f>IF($X18=0,0,ROUND(1.05*#REF!/AD18,2))</f>
        <v>0</v>
      </c>
      <c r="AG18" s="175">
        <f>IF($X18=0,0,ROUND(3.36*AF18-1.32,2))</f>
        <v>0</v>
      </c>
      <c r="AH18" s="176">
        <f>IF($X18=0,0,ROUND(($H$12*($H$11/$G18)^(4/3)*SIN(RADIANS($AD$15))*$H$10^2*AG18)/(2*9.8),4))</f>
        <v>0</v>
      </c>
      <c r="AI18" s="173">
        <f>IF($X18=0,0,($H$6-$H$8-$AR$6)*(($G18/1000)*($Q18+1)+0.003))</f>
        <v>0</v>
      </c>
      <c r="AJ18" s="174">
        <f>IF($X18=0,0,AI18*$H$9)</f>
        <v>0</v>
      </c>
      <c r="AK18" s="174">
        <f>IF($X18=0,0,ROUND(1.05*#REF!/AI18,2))</f>
        <v>0</v>
      </c>
      <c r="AL18" s="175">
        <f>IF($X18=0,0,ROUND(3.36*AK18-1.32,2))</f>
        <v>0</v>
      </c>
      <c r="AM18" s="176">
        <f>IF($X18=0,0,ROUND(($H$12*($H$11/$G18)^(4/3)*SIN(RADIANS($AI$15))*$H$10^2*AL18)/(2*9.8),4))</f>
        <v>0</v>
      </c>
      <c r="AN18" s="173">
        <f>IF($X18=0,0,($H$6-$H$8-$AR$7)*(($G18/1000)*($Q18+1)+0.003))</f>
        <v>0</v>
      </c>
      <c r="AO18" s="174">
        <f>IF($X18=0,0,AN18*$H$9)</f>
        <v>0</v>
      </c>
      <c r="AP18" s="174">
        <f>IF($X18=0,0,ROUND(1.05*#REF!/AN18,2))</f>
        <v>0</v>
      </c>
      <c r="AQ18" s="175">
        <f>IF($X18=0,0,ROUND(3.36*AP18-1.32,2))</f>
        <v>0</v>
      </c>
      <c r="AR18" s="176">
        <f>IF($X18=0,0,ROUND(($H$12*($H$11/$G18)^(4/3)*SIN(RADIANS($AN$15))*$H$10^2*AQ18)/(2*9.8),4))</f>
        <v>0</v>
      </c>
      <c r="AS18" s="173">
        <f>IF($X18=0,0,($H$6-$H$8-$AR$8)*(($G18/1000)*($Q18+1)+0.003))</f>
        <v>0</v>
      </c>
      <c r="AT18" s="174">
        <f>IF($X18=0,0,AS18*$H$9)</f>
        <v>0</v>
      </c>
      <c r="AU18" s="174">
        <f>IF($X18=0,0,ROUND(1.05*#REF!/AS18,2))</f>
        <v>0</v>
      </c>
      <c r="AV18" s="175">
        <f>IF($X18=0,0,ROUND(3.36*AU18-1.32,2))</f>
        <v>0</v>
      </c>
      <c r="AW18" s="176">
        <f>IF($X18=0,0,ROUND(($H$12*($H$11/$G18)^(4/3)*SIN(RADIANS($AS$15))*$H$10^2*AV18)/(2*9.8),4))</f>
        <v>0</v>
      </c>
      <c r="AX18" s="173">
        <f>IF($X18=0,0,($H$6-$H$8-$AR$9)*(($G18/1000)*($Q18+1)+0.003))</f>
        <v>0</v>
      </c>
      <c r="AY18" s="174">
        <f>IF($X18=0,0,AX18*$H$9)</f>
        <v>0</v>
      </c>
      <c r="AZ18" s="174">
        <f>IF($X18=0,0,ROUND(1.05*#REF!/AX18,2))</f>
        <v>0</v>
      </c>
      <c r="BA18" s="175">
        <f>IF($X18=0,0,ROUND(3.36*AZ18-1.32,2))</f>
        <v>0</v>
      </c>
      <c r="BB18" s="176">
        <f>IF($X18=0,0,ROUND(($H$12*($H$11/$G18)^(4/3)*SIN(RADIANS($AX$15))*$H$10^2*BA18)/(2*9.8),4))</f>
        <v>0</v>
      </c>
      <c r="BC18" s="173">
        <f>IF($X18=0,0,($H$6-$H$8-$AR$10)*(($G18/1000)*($Q18+1)+0.003))</f>
        <v>0</v>
      </c>
      <c r="BD18" s="174">
        <f>IF($X18=0,0,BC18*$H$9)</f>
        <v>0</v>
      </c>
      <c r="BE18" s="174">
        <f>IF($X18=0,0,ROUND(1.05*#REF!/BC18,2))</f>
        <v>0</v>
      </c>
      <c r="BF18" s="175">
        <f>IF($X18=0,0,ROUND(3.36*BE18-1.32,2))</f>
        <v>0</v>
      </c>
      <c r="BG18" s="176">
        <f>IF($X18=0,0,ROUND(($H$12*($H$11/$G18)^(4/3)*SIN(RADIANS($BC$15))*$H$10^2*BF18)/(2*9.8),4))</f>
        <v>0</v>
      </c>
      <c r="BH18" s="173">
        <f>IF($X18=0,0,($H$6-$H$8-$AR$11)*(($G18/1000)*($Q18+1)+0.003))</f>
        <v>0</v>
      </c>
      <c r="BI18" s="174">
        <f>IF($X18=0,0,BH18*$H$9)</f>
        <v>0</v>
      </c>
      <c r="BJ18" s="174">
        <f>IF($X18=0,0,ROUND(1.05*#REF!/BH18,2))</f>
        <v>0</v>
      </c>
      <c r="BK18" s="175">
        <f>IF($X18=0,0,ROUND(3.36*BJ18-1.32,2))</f>
        <v>0</v>
      </c>
      <c r="BL18" s="176">
        <f>IF($X18=0,0,ROUND(($H$12*($H$11/$G18)^(4/3)*SIN(RADIANS($BH$15))*$H$10^2*BK18)/(2*9.8),4))</f>
        <v>0</v>
      </c>
      <c r="BM18" s="173">
        <f>IF($X18=0,0,($H$6-$H$8-$AR$12)*(($G18/1000)*($Q18+1)+0.003))</f>
        <v>0</v>
      </c>
      <c r="BN18" s="174">
        <f>IF($X18=0,0,BM18*$H$9)</f>
        <v>0</v>
      </c>
      <c r="BO18" s="174">
        <f>IF($X18=0,0,ROUND(1.05*#REF!/BM18,2))</f>
        <v>0</v>
      </c>
      <c r="BP18" s="175">
        <f>IF($X18=0,0,ROUND(3.36*BO18-1.32,2))</f>
        <v>0</v>
      </c>
      <c r="BQ18" s="176">
        <f>IF($X18=0,0,ROUND(($H$12*($H$11/$G18)^(4/3)*SIN(RADIANS($BM$15))*$H$10^2*BP18)/(2*9.8),4))</f>
        <v>0</v>
      </c>
    </row>
    <row r="19" spans="1:69" x14ac:dyDescent="0.3">
      <c r="F19" s="114"/>
      <c r="G19" s="114"/>
      <c r="H19" s="114"/>
      <c r="I19" s="114"/>
      <c r="J19" s="114"/>
      <c r="K19" s="114"/>
      <c r="L19" s="114"/>
      <c r="M19" s="114"/>
      <c r="N19" s="114"/>
      <c r="O19" s="114"/>
      <c r="P19" s="114"/>
      <c r="Q19" s="114"/>
      <c r="R19" s="114"/>
      <c r="S19" s="114"/>
      <c r="T19" s="114"/>
      <c r="U19" s="114"/>
      <c r="V19" s="114"/>
      <c r="W19" s="114"/>
      <c r="X19" s="114"/>
      <c r="Y19" s="114"/>
      <c r="Z19" s="114"/>
      <c r="AA19" s="114"/>
    </row>
    <row r="20" spans="1:69" x14ac:dyDescent="0.3">
      <c r="A20" s="500" t="e">
        <f>#REF!/#REF!</f>
        <v>#REF!</v>
      </c>
      <c r="B20" s="500"/>
      <c r="C20" s="500"/>
      <c r="D20" s="500"/>
      <c r="F20" s="114"/>
      <c r="G20" s="114"/>
      <c r="H20" s="114"/>
      <c r="I20" s="114"/>
      <c r="J20" s="114"/>
      <c r="K20" s="114"/>
      <c r="L20" s="114"/>
      <c r="M20" s="114"/>
      <c r="N20" s="114"/>
      <c r="O20" s="114"/>
      <c r="P20" s="114"/>
      <c r="Q20" s="114"/>
      <c r="R20" s="114"/>
      <c r="S20" s="114"/>
      <c r="T20" s="114"/>
      <c r="U20" s="114"/>
      <c r="V20" s="114"/>
      <c r="W20" s="114"/>
      <c r="X20" s="114"/>
      <c r="Y20" s="114"/>
      <c r="Z20" s="114"/>
      <c r="AA20" s="114"/>
    </row>
    <row r="21" spans="1:69" x14ac:dyDescent="0.3">
      <c r="F21" s="114"/>
      <c r="G21" s="114"/>
      <c r="H21" s="114"/>
      <c r="I21" s="114"/>
      <c r="J21" s="114"/>
      <c r="K21" s="114"/>
      <c r="L21" s="114"/>
      <c r="M21" s="114"/>
      <c r="N21" s="114"/>
      <c r="O21" s="114"/>
      <c r="P21" s="114"/>
      <c r="Q21" s="114"/>
      <c r="R21" s="114"/>
      <c r="S21" s="114"/>
      <c r="T21" s="247"/>
      <c r="U21" s="114"/>
      <c r="V21" s="114"/>
      <c r="W21" s="114"/>
      <c r="X21" s="114"/>
      <c r="Y21" s="114"/>
      <c r="Z21" s="114"/>
      <c r="AA21" s="114"/>
    </row>
    <row r="22" spans="1:69" x14ac:dyDescent="0.3">
      <c r="F22" s="114"/>
      <c r="G22" s="114"/>
      <c r="H22" s="114"/>
      <c r="I22" s="114"/>
      <c r="J22" s="114"/>
      <c r="K22" s="114"/>
      <c r="L22" s="114"/>
      <c r="M22" s="114"/>
      <c r="N22" s="114"/>
      <c r="O22" s="114"/>
      <c r="P22" s="114"/>
      <c r="Q22" s="114"/>
      <c r="R22" s="114"/>
      <c r="S22" s="114"/>
      <c r="T22" s="114"/>
      <c r="U22" s="114"/>
      <c r="V22" s="114"/>
      <c r="W22" s="114"/>
      <c r="X22" s="114"/>
      <c r="Y22" s="114"/>
      <c r="Z22" s="114"/>
      <c r="AA22" s="114"/>
    </row>
    <row r="23" spans="1:69" x14ac:dyDescent="0.3">
      <c r="F23" s="114"/>
      <c r="G23" s="114"/>
      <c r="H23" s="114"/>
      <c r="I23" s="114"/>
      <c r="J23" s="114"/>
      <c r="K23" s="114"/>
      <c r="L23" s="114"/>
      <c r="M23" s="114"/>
      <c r="N23" s="114"/>
      <c r="O23" s="114"/>
      <c r="P23" s="114"/>
      <c r="Q23" s="114"/>
      <c r="R23" s="114"/>
      <c r="S23" s="114"/>
      <c r="T23" s="114"/>
      <c r="U23" s="114"/>
      <c r="V23" s="114"/>
      <c r="W23" s="114"/>
      <c r="X23" s="114"/>
      <c r="Y23" s="114"/>
      <c r="Z23" s="114"/>
      <c r="AA23" s="114"/>
    </row>
    <row r="24" spans="1:69" x14ac:dyDescent="0.3">
      <c r="F24" s="114"/>
      <c r="G24" s="114"/>
      <c r="H24" s="114"/>
      <c r="I24" s="114"/>
      <c r="J24" s="114"/>
      <c r="K24" s="114"/>
      <c r="L24" s="114"/>
      <c r="M24" s="114"/>
      <c r="N24" s="114"/>
      <c r="O24" s="114"/>
      <c r="P24" s="114"/>
      <c r="Q24" s="114"/>
      <c r="R24" s="114"/>
      <c r="S24" s="114"/>
      <c r="T24" s="114"/>
      <c r="U24" s="114"/>
      <c r="V24" s="114"/>
      <c r="W24" s="114"/>
      <c r="X24" s="114"/>
      <c r="Y24" s="114"/>
      <c r="Z24" s="114"/>
      <c r="AA24" s="114"/>
    </row>
    <row r="25" spans="1:69" x14ac:dyDescent="0.3">
      <c r="F25" s="114"/>
      <c r="G25" s="114"/>
      <c r="H25" s="114"/>
      <c r="I25" s="114"/>
      <c r="J25" s="114"/>
      <c r="K25" s="114"/>
      <c r="L25" s="114"/>
      <c r="M25" s="114"/>
      <c r="N25" s="114"/>
      <c r="O25" s="114"/>
      <c r="P25" s="114"/>
      <c r="Q25" s="114"/>
      <c r="R25" s="114"/>
      <c r="S25" s="114"/>
      <c r="T25" s="114"/>
      <c r="U25" s="114"/>
      <c r="V25" s="114"/>
      <c r="W25" s="114"/>
      <c r="X25" s="114"/>
      <c r="Y25" s="114"/>
      <c r="Z25" s="114"/>
      <c r="AA25" s="114"/>
    </row>
    <row r="26" spans="1:69" x14ac:dyDescent="0.3">
      <c r="F26" s="114"/>
      <c r="G26" s="114"/>
      <c r="H26" s="114"/>
      <c r="I26" s="114"/>
      <c r="J26" s="114"/>
      <c r="K26" s="114"/>
      <c r="L26" s="114"/>
      <c r="M26" s="114"/>
      <c r="N26" s="114"/>
      <c r="O26" s="114"/>
      <c r="P26" s="114"/>
      <c r="Q26" s="114"/>
      <c r="R26" s="114"/>
      <c r="S26" s="114"/>
      <c r="T26" s="114"/>
      <c r="U26" s="114"/>
      <c r="V26" s="114"/>
      <c r="W26" s="114"/>
      <c r="X26" s="114"/>
      <c r="Y26" s="114"/>
      <c r="Z26" s="114"/>
      <c r="AA26" s="114"/>
    </row>
    <row r="27" spans="1:69" x14ac:dyDescent="0.3">
      <c r="F27" s="114"/>
      <c r="G27" s="114"/>
      <c r="H27" s="114"/>
      <c r="I27" s="114"/>
      <c r="J27" s="114"/>
      <c r="K27" s="114"/>
      <c r="L27" s="114"/>
      <c r="M27" s="114"/>
      <c r="N27" s="114"/>
      <c r="O27" s="114"/>
      <c r="P27" s="114"/>
      <c r="Q27" s="114"/>
      <c r="R27" s="114"/>
      <c r="S27" s="114"/>
      <c r="T27" s="114"/>
      <c r="U27" s="114"/>
      <c r="V27" s="114"/>
      <c r="W27" s="114"/>
      <c r="X27" s="114"/>
      <c r="Y27" s="114"/>
      <c r="Z27" s="114"/>
      <c r="AA27" s="114"/>
    </row>
    <row r="28" spans="1:69" x14ac:dyDescent="0.3">
      <c r="F28" s="114"/>
      <c r="G28" s="114"/>
      <c r="H28" s="114"/>
      <c r="I28" s="114"/>
      <c r="J28" s="114"/>
      <c r="K28" s="114"/>
      <c r="L28" s="114"/>
      <c r="M28" s="114"/>
      <c r="N28" s="114"/>
      <c r="O28" s="114"/>
      <c r="P28" s="114"/>
      <c r="Q28" s="114"/>
      <c r="R28" s="114"/>
      <c r="S28" s="114"/>
      <c r="T28" s="114"/>
      <c r="U28" s="114"/>
      <c r="V28" s="114"/>
      <c r="W28" s="114"/>
      <c r="X28" s="114"/>
      <c r="Y28" s="114"/>
      <c r="Z28" s="114"/>
      <c r="AA28" s="114"/>
    </row>
    <row r="29" spans="1:69" x14ac:dyDescent="0.3">
      <c r="F29" s="114"/>
      <c r="G29" s="114"/>
      <c r="H29" s="114"/>
      <c r="I29" s="114"/>
      <c r="J29" s="114"/>
      <c r="K29" s="114"/>
      <c r="L29" s="114"/>
      <c r="M29" s="114"/>
      <c r="N29" s="114"/>
      <c r="O29" s="114"/>
      <c r="P29" s="114"/>
      <c r="Q29" s="114"/>
      <c r="R29" s="114"/>
      <c r="S29" s="114"/>
      <c r="T29" s="114"/>
      <c r="U29" s="114"/>
      <c r="V29" s="114"/>
      <c r="W29" s="114"/>
      <c r="X29" s="114"/>
      <c r="Y29" s="114"/>
      <c r="Z29" s="114"/>
      <c r="AA29" s="114"/>
    </row>
    <row r="30" spans="1:69" x14ac:dyDescent="0.3">
      <c r="F30" s="114"/>
      <c r="G30" s="114"/>
      <c r="H30" s="114"/>
      <c r="I30" s="114"/>
      <c r="J30" s="114"/>
      <c r="K30" s="114"/>
      <c r="L30" s="114"/>
      <c r="M30" s="114"/>
      <c r="N30" s="114"/>
      <c r="O30" s="114"/>
      <c r="P30" s="114"/>
      <c r="Q30" s="114"/>
      <c r="R30" s="114"/>
      <c r="S30" s="114"/>
      <c r="T30" s="114"/>
      <c r="U30" s="114"/>
      <c r="V30" s="114"/>
      <c r="W30" s="114"/>
      <c r="X30" s="114"/>
      <c r="Y30" s="114"/>
      <c r="Z30" s="114"/>
      <c r="AA30" s="114"/>
    </row>
    <row r="31" spans="1:69" x14ac:dyDescent="0.3">
      <c r="F31" s="114"/>
      <c r="G31" s="114"/>
      <c r="H31" s="114"/>
      <c r="I31" s="114"/>
      <c r="J31" s="114"/>
      <c r="K31" s="114"/>
      <c r="L31" s="114"/>
      <c r="M31" s="114"/>
      <c r="N31" s="114"/>
      <c r="O31" s="114"/>
      <c r="P31" s="114"/>
      <c r="Q31" s="114"/>
      <c r="R31" s="114"/>
      <c r="S31" s="114"/>
      <c r="T31" s="114"/>
      <c r="U31" s="114"/>
      <c r="V31" s="114"/>
      <c r="W31" s="114"/>
      <c r="X31" s="114"/>
      <c r="Y31" s="114"/>
      <c r="Z31" s="114"/>
      <c r="AA31" s="114"/>
    </row>
    <row r="32" spans="1:69" x14ac:dyDescent="0.3">
      <c r="F32" s="114"/>
      <c r="G32" s="114"/>
      <c r="H32" s="114"/>
      <c r="I32" s="114"/>
      <c r="J32" s="114"/>
      <c r="K32" s="114"/>
      <c r="L32" s="114"/>
      <c r="M32" s="114"/>
      <c r="N32" s="114"/>
      <c r="O32" s="114"/>
      <c r="P32" s="114"/>
      <c r="Q32" s="114"/>
      <c r="R32" s="114"/>
      <c r="S32" s="114"/>
      <c r="T32" s="114"/>
      <c r="U32" s="114"/>
      <c r="V32" s="114"/>
      <c r="W32" s="114"/>
      <c r="X32" s="114"/>
      <c r="Y32" s="114"/>
      <c r="Z32" s="114"/>
      <c r="AA32" s="114"/>
    </row>
    <row r="33" spans="6:27" x14ac:dyDescent="0.3">
      <c r="F33" s="114"/>
      <c r="G33" s="114"/>
      <c r="H33" s="114"/>
      <c r="I33" s="114"/>
      <c r="J33" s="114"/>
      <c r="K33" s="114"/>
      <c r="L33" s="114"/>
      <c r="M33" s="114"/>
      <c r="N33" s="114"/>
      <c r="O33" s="114"/>
      <c r="P33" s="114"/>
      <c r="Q33" s="114"/>
      <c r="R33" s="114"/>
      <c r="S33" s="114"/>
      <c r="T33" s="114"/>
      <c r="U33" s="114"/>
      <c r="V33" s="114"/>
      <c r="W33" s="114"/>
      <c r="X33" s="114"/>
      <c r="Y33" s="114"/>
      <c r="Z33" s="114"/>
      <c r="AA33" s="114"/>
    </row>
    <row r="34" spans="6:27" x14ac:dyDescent="0.3">
      <c r="F34" s="114"/>
      <c r="G34" s="114"/>
      <c r="H34" s="114"/>
      <c r="I34" s="114"/>
      <c r="J34" s="114"/>
      <c r="K34" s="114"/>
      <c r="L34" s="114"/>
      <c r="M34" s="114"/>
      <c r="N34" s="114"/>
      <c r="O34" s="114"/>
      <c r="P34" s="114"/>
      <c r="Q34" s="114"/>
      <c r="R34" s="114"/>
      <c r="S34" s="114"/>
      <c r="T34" s="114"/>
      <c r="U34" s="114"/>
      <c r="V34" s="114"/>
      <c r="W34" s="114"/>
      <c r="X34" s="114"/>
      <c r="Y34" s="114"/>
      <c r="Z34" s="114"/>
      <c r="AA34" s="114"/>
    </row>
    <row r="35" spans="6:27" x14ac:dyDescent="0.3">
      <c r="F35" s="114"/>
      <c r="G35" s="114"/>
      <c r="H35" s="114"/>
      <c r="I35" s="114"/>
      <c r="J35" s="114"/>
      <c r="K35" s="114"/>
      <c r="L35" s="114"/>
      <c r="M35" s="114"/>
      <c r="N35" s="114"/>
      <c r="O35" s="114"/>
      <c r="P35" s="114"/>
      <c r="Q35" s="114"/>
      <c r="R35" s="114"/>
      <c r="S35" s="114"/>
      <c r="T35" s="114"/>
      <c r="U35" s="114"/>
      <c r="V35" s="114"/>
      <c r="W35" s="114"/>
      <c r="X35" s="114"/>
      <c r="Y35" s="114"/>
      <c r="Z35" s="114"/>
      <c r="AA35" s="114"/>
    </row>
    <row r="36" spans="6:27" x14ac:dyDescent="0.3">
      <c r="F36" s="114"/>
      <c r="G36" s="114"/>
      <c r="H36" s="114"/>
      <c r="I36" s="114"/>
      <c r="J36" s="114"/>
      <c r="K36" s="114"/>
      <c r="L36" s="114"/>
      <c r="M36" s="114"/>
      <c r="N36" s="114"/>
      <c r="O36" s="114"/>
      <c r="P36" s="114"/>
      <c r="Q36" s="114"/>
      <c r="R36" s="114"/>
      <c r="S36" s="114"/>
      <c r="T36" s="114"/>
      <c r="U36" s="114"/>
      <c r="V36" s="114"/>
      <c r="W36" s="114"/>
      <c r="X36" s="114"/>
      <c r="Y36" s="114"/>
      <c r="Z36" s="114"/>
      <c r="AA36" s="114"/>
    </row>
    <row r="37" spans="6:27" x14ac:dyDescent="0.3">
      <c r="F37" s="114"/>
      <c r="G37" s="114"/>
      <c r="H37" s="114"/>
      <c r="I37" s="114"/>
      <c r="J37" s="114"/>
      <c r="K37" s="114"/>
      <c r="L37" s="114"/>
      <c r="M37" s="114"/>
      <c r="N37" s="114"/>
      <c r="O37" s="114"/>
      <c r="P37" s="114"/>
      <c r="Q37" s="114"/>
      <c r="R37" s="114"/>
      <c r="S37" s="114"/>
      <c r="T37" s="114"/>
      <c r="U37" s="114"/>
      <c r="V37" s="114"/>
      <c r="W37" s="114"/>
      <c r="X37" s="114"/>
      <c r="Y37" s="114"/>
      <c r="Z37" s="114"/>
      <c r="AA37" s="114"/>
    </row>
    <row r="38" spans="6:27" x14ac:dyDescent="0.3">
      <c r="F38" s="114"/>
      <c r="G38" s="114"/>
      <c r="H38" s="114"/>
      <c r="I38" s="114"/>
      <c r="J38" s="114"/>
      <c r="K38" s="114"/>
      <c r="L38" s="114"/>
      <c r="M38" s="114"/>
      <c r="N38" s="114"/>
      <c r="O38" s="114"/>
      <c r="P38" s="114"/>
      <c r="Q38" s="114"/>
      <c r="R38" s="114"/>
      <c r="S38" s="114"/>
      <c r="T38" s="114"/>
      <c r="U38" s="114"/>
      <c r="V38" s="114"/>
      <c r="W38" s="114"/>
      <c r="X38" s="114"/>
      <c r="Y38" s="114"/>
      <c r="Z38" s="114"/>
      <c r="AA38" s="114"/>
    </row>
    <row r="39" spans="6:27" x14ac:dyDescent="0.3">
      <c r="F39" s="114"/>
      <c r="G39" s="114"/>
      <c r="H39" s="114"/>
      <c r="I39" s="114"/>
      <c r="J39" s="114"/>
      <c r="K39" s="114"/>
      <c r="L39" s="114"/>
      <c r="M39" s="114"/>
      <c r="N39" s="114"/>
      <c r="O39" s="114"/>
      <c r="P39" s="114"/>
      <c r="Q39" s="114"/>
      <c r="R39" s="114"/>
      <c r="S39" s="114"/>
      <c r="T39" s="114"/>
      <c r="U39" s="114"/>
      <c r="V39" s="114"/>
      <c r="W39" s="114"/>
      <c r="X39" s="114"/>
      <c r="Y39" s="114"/>
      <c r="Z39" s="114"/>
      <c r="AA39" s="114"/>
    </row>
    <row r="40" spans="6:27" x14ac:dyDescent="0.3">
      <c r="F40" s="114"/>
      <c r="G40" s="114"/>
      <c r="H40" s="114"/>
      <c r="I40" s="114"/>
      <c r="J40" s="114"/>
      <c r="K40" s="114"/>
      <c r="L40" s="114"/>
      <c r="M40" s="114"/>
      <c r="N40" s="114"/>
      <c r="O40" s="114"/>
      <c r="P40" s="114"/>
      <c r="Q40" s="114"/>
      <c r="R40" s="114"/>
      <c r="S40" s="114"/>
      <c r="T40" s="114"/>
      <c r="U40" s="114"/>
      <c r="V40" s="114"/>
      <c r="W40" s="114"/>
      <c r="X40" s="114"/>
      <c r="Y40" s="114"/>
      <c r="Z40" s="114"/>
      <c r="AA40" s="114"/>
    </row>
    <row r="41" spans="6:27" x14ac:dyDescent="0.3">
      <c r="F41" s="114"/>
      <c r="G41" s="114"/>
      <c r="H41" s="114"/>
      <c r="I41" s="114"/>
      <c r="J41" s="114"/>
      <c r="K41" s="114"/>
      <c r="L41" s="114"/>
      <c r="M41" s="114"/>
      <c r="N41" s="114"/>
      <c r="O41" s="114"/>
      <c r="P41" s="114"/>
      <c r="Q41" s="114"/>
      <c r="R41" s="114"/>
      <c r="S41" s="114"/>
      <c r="T41" s="114"/>
      <c r="U41" s="114"/>
      <c r="V41" s="114"/>
      <c r="W41" s="114"/>
      <c r="X41" s="114"/>
      <c r="Y41" s="114"/>
      <c r="Z41" s="114"/>
      <c r="AA41" s="114"/>
    </row>
    <row r="42" spans="6:27" x14ac:dyDescent="0.3">
      <c r="F42" s="114"/>
      <c r="G42" s="114"/>
      <c r="H42" s="114"/>
      <c r="I42" s="114"/>
      <c r="J42" s="114"/>
      <c r="K42" s="114"/>
      <c r="L42" s="114"/>
      <c r="M42" s="114"/>
      <c r="N42" s="114"/>
      <c r="O42" s="114"/>
      <c r="P42" s="114"/>
      <c r="Q42" s="114"/>
      <c r="R42" s="114"/>
      <c r="S42" s="114"/>
      <c r="T42" s="114"/>
      <c r="U42" s="114"/>
      <c r="V42" s="114"/>
      <c r="W42" s="114"/>
      <c r="X42" s="114"/>
      <c r="Y42" s="114"/>
      <c r="Z42" s="114"/>
      <c r="AA42" s="114"/>
    </row>
  </sheetData>
  <mergeCells count="80">
    <mergeCell ref="H2:I2"/>
    <mergeCell ref="AP1:AQ2"/>
    <mergeCell ref="AR1:AS2"/>
    <mergeCell ref="H3:I3"/>
    <mergeCell ref="AP3:AQ3"/>
    <mergeCell ref="AR3:AS3"/>
    <mergeCell ref="BD2:BD3"/>
    <mergeCell ref="BE2:BE3"/>
    <mergeCell ref="BF2:BF3"/>
    <mergeCell ref="H7:I7"/>
    <mergeCell ref="AP12:AQ12"/>
    <mergeCell ref="BB2:BB3"/>
    <mergeCell ref="BA2:BA3"/>
    <mergeCell ref="BF4:BF5"/>
    <mergeCell ref="H10:I10"/>
    <mergeCell ref="AV1:AW3"/>
    <mergeCell ref="AX1:BF1"/>
    <mergeCell ref="H9:I9"/>
    <mergeCell ref="AX2:AX3"/>
    <mergeCell ref="AY2:AY3"/>
    <mergeCell ref="AZ2:AZ3"/>
    <mergeCell ref="AP6:AQ6"/>
    <mergeCell ref="BA4:BA5"/>
    <mergeCell ref="BB4:BB5"/>
    <mergeCell ref="AR12:AS12"/>
    <mergeCell ref="H8:I8"/>
    <mergeCell ref="BC2:BC3"/>
    <mergeCell ref="AR6:AS6"/>
    <mergeCell ref="H4:I4"/>
    <mergeCell ref="AP7:AQ7"/>
    <mergeCell ref="AP10:AQ10"/>
    <mergeCell ref="AR10:AS10"/>
    <mergeCell ref="H6:I6"/>
    <mergeCell ref="AP11:AQ11"/>
    <mergeCell ref="AR11:AS11"/>
    <mergeCell ref="AP8:AQ8"/>
    <mergeCell ref="AR8:AS8"/>
    <mergeCell ref="AP9:AQ9"/>
    <mergeCell ref="AV4:AW5"/>
    <mergeCell ref="AX4:AX5"/>
    <mergeCell ref="AY4:AY5"/>
    <mergeCell ref="AZ4:AZ5"/>
    <mergeCell ref="H12:I12"/>
    <mergeCell ref="AR9:AS9"/>
    <mergeCell ref="H11:I11"/>
    <mergeCell ref="AR7:AS7"/>
    <mergeCell ref="AP4:AQ4"/>
    <mergeCell ref="AR4:AS4"/>
    <mergeCell ref="AP5:AQ5"/>
    <mergeCell ref="AR5:AS5"/>
    <mergeCell ref="H5:I5"/>
    <mergeCell ref="BC4:BC5"/>
    <mergeCell ref="BD4:BD5"/>
    <mergeCell ref="BE4:BE5"/>
    <mergeCell ref="BC6:BC7"/>
    <mergeCell ref="BD6:BD7"/>
    <mergeCell ref="BE6:BE7"/>
    <mergeCell ref="BF6:BF7"/>
    <mergeCell ref="AV8:BF13"/>
    <mergeCell ref="AV6:AW7"/>
    <mergeCell ref="AX6:AX7"/>
    <mergeCell ref="AY6:AY7"/>
    <mergeCell ref="AZ6:AZ7"/>
    <mergeCell ref="BA6:BA7"/>
    <mergeCell ref="BB6:BB7"/>
    <mergeCell ref="A20:D20"/>
    <mergeCell ref="AX15:BB16"/>
    <mergeCell ref="BC15:BG16"/>
    <mergeCell ref="BH15:BL16"/>
    <mergeCell ref="BM15:BQ16"/>
    <mergeCell ref="H14:N16"/>
    <mergeCell ref="O14:R16"/>
    <mergeCell ref="S14:V16"/>
    <mergeCell ref="W14:BQ14"/>
    <mergeCell ref="W15:X16"/>
    <mergeCell ref="Y15:AC16"/>
    <mergeCell ref="AD15:AH16"/>
    <mergeCell ref="AI15:AM16"/>
    <mergeCell ref="AN15:AR16"/>
    <mergeCell ref="AS15:AW16"/>
  </mergeCells>
  <conditionalFormatting sqref="S18">
    <cfRule type="cellIs" dxfId="21" priority="1" stopIfTrue="1" operator="greaterThanOrEqual">
      <formula>#REF!</formula>
    </cfRule>
    <cfRule type="cellIs" dxfId="20" priority="2" stopIfTrue="1" operator="lessThan">
      <formula>#REF!</formula>
    </cfRule>
  </conditionalFormatting>
  <conditionalFormatting sqref="V18">
    <cfRule type="cellIs" dxfId="19" priority="3" stopIfTrue="1" operator="greaterThan">
      <formula>$H$8*0.15</formula>
    </cfRule>
    <cfRule type="cellIs" dxfId="18" priority="4" stopIfTrue="1" operator="lessThanOrEqual">
      <formula>$H$8*0.15</formula>
    </cfRule>
  </conditionalFormatting>
  <conditionalFormatting sqref="W18">
    <cfRule type="cellIs" dxfId="17" priority="5" stopIfTrue="1" operator="equal">
      <formula>75</formula>
    </cfRule>
    <cfRule type="cellIs" dxfId="16" priority="6" stopIfTrue="1" operator="between">
      <formula>74</formula>
      <formula>29</formula>
    </cfRule>
    <cfRule type="cellIs" dxfId="15" priority="7" stopIfTrue="1" operator="notBetween">
      <formula>75</formula>
      <formula>30</formula>
    </cfRule>
  </conditionalFormatting>
  <conditionalFormatting sqref="Y18 AB18 AD18 AG18 AI18 AL18 AN18 AQ18 AS18 AV18 BK18 AX18 BH18 BA18 BC18 BF18 BP18 BM18">
    <cfRule type="cellIs" dxfId="14" priority="8" stopIfTrue="1" operator="equal">
      <formula>0</formula>
    </cfRule>
    <cfRule type="cellIs" dxfId="13" priority="9" stopIfTrue="1" operator="notEqual">
      <formula>0</formula>
    </cfRule>
  </conditionalFormatting>
  <conditionalFormatting sqref="Z18 AE18 AJ18 AO18 AT18 BI18 AY18 BD18 BN18">
    <cfRule type="cellIs" dxfId="12" priority="10" stopIfTrue="1" operator="equal">
      <formula>0</formula>
    </cfRule>
    <cfRule type="cellIs" dxfId="11" priority="11" stopIfTrue="1" operator="greaterThanOrEqual">
      <formula>#REF!</formula>
    </cfRule>
    <cfRule type="cellIs" dxfId="10" priority="12" stopIfTrue="1" operator="between">
      <formula>0</formula>
      <formula>#REF!</formula>
    </cfRule>
  </conditionalFormatting>
  <conditionalFormatting sqref="AC18 AH18 AM18 AR18 AW18 BL18 BB18 BG18 BQ18">
    <cfRule type="cellIs" dxfId="9" priority="13" stopIfTrue="1" operator="equal">
      <formula>0</formula>
    </cfRule>
    <cfRule type="cellIs" dxfId="8" priority="14" stopIfTrue="1" operator="between">
      <formula>0</formula>
      <formula>$H$8*0.15</formula>
    </cfRule>
    <cfRule type="cellIs" dxfId="7" priority="15" stopIfTrue="1" operator="greaterThan">
      <formula>$H$8*0.15</formula>
    </cfRule>
  </conditionalFormatting>
  <conditionalFormatting sqref="T18">
    <cfRule type="cellIs" dxfId="6" priority="16" stopIfTrue="1" operator="between">
      <formula>0.8</formula>
      <formula>1.02</formula>
    </cfRule>
    <cfRule type="cellIs" dxfId="5" priority="17" stopIfTrue="1" operator="notBetween">
      <formula>0.8</formula>
      <formula>1.02</formula>
    </cfRule>
  </conditionalFormatting>
  <conditionalFormatting sqref="AA18 AF18 AK18 AP18 AU18 AZ18 BE18 BJ18 BO18">
    <cfRule type="cellIs" dxfId="4" priority="18" stopIfTrue="1" operator="equal">
      <formula>0</formula>
    </cfRule>
    <cfRule type="cellIs" dxfId="3" priority="19" stopIfTrue="1" operator="between">
      <formula>0.8</formula>
      <formula>1.02</formula>
    </cfRule>
    <cfRule type="cellIs" dxfId="2" priority="20" stopIfTrue="1" operator="notBetween">
      <formula>0.8</formula>
      <formula>1.02</formula>
    </cfRule>
  </conditionalFormatting>
  <pageMargins left="0.75" right="0.75" top="1" bottom="1" header="0.5" footer="0.5"/>
  <pageSetup paperSize="9" orientation="portrait" horizontalDpi="200" verticalDpi="2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5"/>
  <dimension ref="A1:IT64"/>
  <sheetViews>
    <sheetView tabSelected="1" zoomScaleNormal="100" workbookViewId="0">
      <selection activeCell="I23" sqref="I23"/>
    </sheetView>
  </sheetViews>
  <sheetFormatPr defaultRowHeight="12.75" x14ac:dyDescent="0.2"/>
  <cols>
    <col min="1" max="1" width="31.140625" customWidth="1"/>
    <col min="2" max="2" width="11.85546875" customWidth="1"/>
    <col min="3" max="3" width="13.85546875" customWidth="1"/>
    <col min="4" max="4" width="14" customWidth="1"/>
    <col min="5" max="5" width="13.5703125" customWidth="1"/>
    <col min="6" max="6" width="2.5703125" customWidth="1"/>
    <col min="7" max="7" width="9.140625" customWidth="1"/>
    <col min="9" max="9" width="51.28515625" customWidth="1"/>
    <col min="10" max="10" width="15.85546875" customWidth="1"/>
    <col min="11" max="13" width="9.140625" customWidth="1"/>
    <col min="14" max="19" width="9.140625" hidden="1" customWidth="1"/>
    <col min="20" max="26" width="9.140625" customWidth="1"/>
  </cols>
  <sheetData>
    <row r="1" spans="1:254" s="204" customFormat="1" ht="16.5" customHeight="1" x14ac:dyDescent="0.35">
      <c r="A1" s="202" t="s">
        <v>185</v>
      </c>
      <c r="B1" s="202"/>
      <c r="C1" s="207"/>
      <c r="D1" s="207"/>
      <c r="E1" s="202"/>
      <c r="F1" s="202"/>
      <c r="G1" s="202"/>
      <c r="H1" s="202"/>
      <c r="I1" s="202"/>
      <c r="J1" s="601"/>
      <c r="K1" s="601"/>
      <c r="L1" s="601"/>
      <c r="M1" s="601"/>
      <c r="N1" s="601"/>
      <c r="O1" s="601"/>
      <c r="P1" s="601"/>
      <c r="Q1" s="601"/>
      <c r="R1" s="601"/>
      <c r="S1" s="601"/>
      <c r="T1" s="601"/>
      <c r="U1" s="601"/>
      <c r="V1" s="601"/>
      <c r="W1" s="601"/>
      <c r="X1" s="601"/>
      <c r="Y1" s="601"/>
      <c r="Z1" s="601"/>
      <c r="AA1" s="601"/>
      <c r="AB1" s="601"/>
      <c r="AC1" s="601"/>
      <c r="AD1" s="601"/>
      <c r="AE1" s="601"/>
      <c r="AF1" s="601"/>
      <c r="AG1" s="601"/>
      <c r="AH1" s="601"/>
      <c r="AI1" s="601"/>
      <c r="AJ1" s="601"/>
      <c r="AK1" s="601"/>
      <c r="AL1" s="601"/>
      <c r="AM1" s="601"/>
      <c r="AN1" s="601"/>
      <c r="AO1" s="601"/>
      <c r="AP1" s="601"/>
      <c r="AQ1" s="601"/>
      <c r="AR1" s="601"/>
      <c r="AS1" s="601"/>
      <c r="AT1" s="601"/>
      <c r="AU1" s="601"/>
      <c r="AV1" s="601"/>
      <c r="AW1" s="601"/>
      <c r="AX1" s="601"/>
      <c r="AY1" s="601"/>
      <c r="AZ1" s="601"/>
      <c r="BA1" s="601"/>
      <c r="BB1" s="601"/>
      <c r="BC1" s="601"/>
      <c r="BD1" s="601"/>
      <c r="BE1" s="601"/>
      <c r="BF1" s="601"/>
      <c r="BG1" s="601"/>
      <c r="BH1" s="601"/>
      <c r="BI1" s="601"/>
      <c r="BJ1" s="601"/>
      <c r="BK1" s="601"/>
      <c r="BL1" s="601"/>
      <c r="BM1" s="601"/>
      <c r="BN1" s="601"/>
      <c r="BO1" s="601"/>
      <c r="BP1" s="601"/>
      <c r="BQ1" s="601"/>
      <c r="BR1" s="601"/>
      <c r="BS1" s="601"/>
      <c r="BT1" s="601"/>
      <c r="BU1" s="601"/>
      <c r="BV1" s="601"/>
      <c r="BW1" s="601"/>
      <c r="BX1" s="601"/>
      <c r="BY1" s="601"/>
      <c r="BZ1" s="601"/>
      <c r="CA1" s="601"/>
      <c r="CB1" s="601"/>
      <c r="CC1" s="601"/>
      <c r="CD1" s="601"/>
      <c r="CE1" s="601"/>
      <c r="CF1" s="601"/>
      <c r="CG1" s="601"/>
      <c r="CH1" s="601"/>
      <c r="CI1" s="601"/>
      <c r="CJ1" s="601"/>
      <c r="CK1" s="601"/>
      <c r="CL1" s="601"/>
      <c r="CM1" s="601"/>
      <c r="CN1" s="601"/>
      <c r="CO1" s="601"/>
      <c r="CP1" s="601"/>
      <c r="CQ1" s="601"/>
      <c r="CR1" s="601"/>
      <c r="CS1" s="601"/>
      <c r="CT1" s="601"/>
      <c r="CU1" s="601"/>
      <c r="CV1" s="601"/>
      <c r="CW1" s="601"/>
      <c r="CX1" s="601"/>
      <c r="CY1" s="601"/>
      <c r="CZ1" s="601"/>
      <c r="DA1" s="601"/>
      <c r="DB1" s="601"/>
      <c r="DC1" s="601"/>
      <c r="DD1" s="601"/>
      <c r="DE1" s="601"/>
      <c r="DF1" s="601"/>
      <c r="DG1" s="601"/>
      <c r="DH1" s="601"/>
      <c r="DI1" s="601"/>
      <c r="DJ1" s="601"/>
      <c r="DK1" s="601"/>
      <c r="DL1" s="601"/>
      <c r="DM1" s="601"/>
      <c r="DN1" s="601"/>
      <c r="DO1" s="601"/>
      <c r="DP1" s="601"/>
      <c r="DQ1" s="601"/>
      <c r="DR1" s="601"/>
      <c r="DS1" s="601"/>
      <c r="DT1" s="601"/>
      <c r="DU1" s="601"/>
      <c r="DV1" s="601"/>
      <c r="DW1" s="601"/>
      <c r="DX1" s="601"/>
      <c r="DY1" s="601"/>
      <c r="DZ1" s="601"/>
      <c r="EA1" s="601"/>
      <c r="EB1" s="601"/>
      <c r="EC1" s="601"/>
      <c r="ED1" s="601"/>
      <c r="EE1" s="601"/>
      <c r="EF1" s="601"/>
      <c r="EG1" s="601"/>
      <c r="EH1" s="601"/>
      <c r="EI1" s="601"/>
      <c r="EJ1" s="601"/>
      <c r="EK1" s="601"/>
      <c r="EL1" s="601"/>
      <c r="EM1" s="601"/>
      <c r="EN1" s="601"/>
      <c r="EO1" s="601"/>
      <c r="EP1" s="601"/>
      <c r="EQ1" s="601"/>
      <c r="ER1" s="601"/>
      <c r="ES1" s="601"/>
      <c r="ET1" s="601"/>
      <c r="EU1" s="601"/>
      <c r="EV1" s="601"/>
      <c r="EW1" s="601"/>
      <c r="EX1" s="601"/>
      <c r="EY1" s="601"/>
      <c r="EZ1" s="601"/>
      <c r="FA1" s="601"/>
      <c r="FB1" s="601"/>
      <c r="FC1" s="601"/>
      <c r="FD1" s="601"/>
      <c r="FE1" s="601"/>
      <c r="FF1" s="601"/>
      <c r="FG1" s="601"/>
      <c r="FH1" s="601"/>
      <c r="FI1" s="601"/>
      <c r="FJ1" s="601"/>
      <c r="FK1" s="601"/>
      <c r="FL1" s="601"/>
      <c r="FM1" s="601"/>
      <c r="FN1" s="601"/>
      <c r="FO1" s="601"/>
      <c r="FP1" s="601"/>
      <c r="FQ1" s="601"/>
      <c r="FR1" s="601"/>
      <c r="FS1" s="601"/>
      <c r="FT1" s="601"/>
      <c r="FU1" s="601"/>
      <c r="FV1" s="601"/>
      <c r="FW1" s="601"/>
      <c r="FX1" s="601"/>
      <c r="FY1" s="601"/>
      <c r="FZ1" s="601"/>
      <c r="GA1" s="601"/>
      <c r="GB1" s="601"/>
      <c r="GC1" s="601"/>
      <c r="GD1" s="601"/>
      <c r="GE1" s="601"/>
      <c r="GF1" s="601"/>
      <c r="GG1" s="601"/>
      <c r="GH1" s="601"/>
      <c r="GI1" s="601"/>
      <c r="GJ1" s="601"/>
      <c r="GK1" s="601"/>
      <c r="GL1" s="601"/>
      <c r="GM1" s="601"/>
      <c r="GN1" s="601"/>
      <c r="GO1" s="601"/>
      <c r="GP1" s="601"/>
      <c r="GQ1" s="601"/>
      <c r="GR1" s="601"/>
      <c r="GS1" s="601"/>
      <c r="GT1" s="601"/>
      <c r="GU1" s="601"/>
      <c r="GV1" s="601"/>
      <c r="GW1" s="601"/>
      <c r="GX1" s="601"/>
      <c r="GY1" s="601"/>
      <c r="GZ1" s="601"/>
      <c r="HA1" s="601"/>
      <c r="HB1" s="601"/>
      <c r="HC1" s="601"/>
      <c r="HD1" s="601"/>
      <c r="HE1" s="601"/>
      <c r="HF1" s="601"/>
      <c r="HG1" s="601"/>
      <c r="HH1" s="601"/>
      <c r="HI1" s="601"/>
      <c r="HJ1" s="601"/>
      <c r="HK1" s="601"/>
      <c r="HL1" s="601"/>
      <c r="HM1" s="601"/>
      <c r="HN1" s="601"/>
      <c r="HO1" s="601"/>
      <c r="HP1" s="601"/>
      <c r="HQ1" s="601"/>
      <c r="HR1" s="601"/>
      <c r="HS1" s="601"/>
      <c r="HT1" s="601"/>
      <c r="HU1" s="601"/>
      <c r="HV1" s="601"/>
      <c r="HW1" s="601"/>
      <c r="HX1" s="601"/>
      <c r="HY1" s="601"/>
      <c r="HZ1" s="601"/>
      <c r="IA1" s="601"/>
      <c r="IB1" s="601"/>
      <c r="IC1" s="601"/>
      <c r="ID1" s="601"/>
      <c r="IE1" s="601"/>
      <c r="IF1" s="601"/>
      <c r="IG1" s="601"/>
      <c r="IH1" s="601"/>
      <c r="II1" s="601"/>
      <c r="IJ1" s="601"/>
      <c r="IK1" s="601"/>
      <c r="IL1" s="601"/>
      <c r="IM1" s="601"/>
      <c r="IN1" s="601"/>
      <c r="IO1" s="601"/>
      <c r="IP1" s="601"/>
      <c r="IQ1" s="601"/>
      <c r="IR1" s="601"/>
      <c r="IS1" s="601"/>
      <c r="IT1" s="601"/>
    </row>
    <row r="2" spans="1:254" ht="13.5" thickBot="1" x14ac:dyDescent="0.25">
      <c r="A2" s="182" t="s">
        <v>85</v>
      </c>
      <c r="B2" s="242" t="s">
        <v>497</v>
      </c>
      <c r="C2" s="243"/>
      <c r="D2" s="244"/>
      <c r="E2" s="181"/>
      <c r="F2" s="181"/>
      <c r="G2" s="181"/>
      <c r="H2" s="181"/>
      <c r="I2" s="181" t="str">
        <f>CONCATENATE(IF(B6="-","",B6),IF(OR(B7="-",AND(B6="-",B7="-")),""," "),IF(B7="-","",B7),IF(AND(B6="-",B7="-"),"("," ("),B9,") ",TEXT(B2,"ДД.ММ.ГГ"))</f>
        <v>0 0 (8550) 04.01.22</v>
      </c>
      <c r="J2" t="s">
        <v>268</v>
      </c>
    </row>
    <row r="3" spans="1:254" ht="12.75" customHeight="1" x14ac:dyDescent="0.2">
      <c r="A3" s="182" t="s">
        <v>184</v>
      </c>
      <c r="B3" s="245">
        <f>Параметры!B6</f>
        <v>95</v>
      </c>
      <c r="C3" s="243"/>
      <c r="D3" s="244"/>
      <c r="E3" s="181"/>
      <c r="F3" s="181"/>
      <c r="G3" s="181"/>
      <c r="H3" s="181"/>
      <c r="I3" s="181" t="str">
        <f>CONCATENATE(B9," ",IF(B6="-","",B6),IF(B6="-",""," "),IF(B7="-","",B7),IF(B7="-",""," "),TEXT(B2,"ДД.ММ.ГГ"))</f>
        <v>8550 0 0 04.01.22</v>
      </c>
      <c r="J3" s="616"/>
      <c r="K3" s="617"/>
      <c r="L3" s="618"/>
    </row>
    <row r="4" spans="1:254" x14ac:dyDescent="0.2">
      <c r="A4" s="182" t="s">
        <v>98</v>
      </c>
      <c r="B4" s="475" t="s">
        <v>498</v>
      </c>
      <c r="C4" s="243"/>
      <c r="D4" s="244"/>
      <c r="E4" s="181"/>
      <c r="F4" s="181"/>
      <c r="G4" s="181"/>
      <c r="H4" s="181"/>
      <c r="I4" s="181" t="str">
        <f>CONCATENATE(A16," ",B16,".",C16,".",D16,".",E16)</f>
        <v>РТО 400.400.850.6</v>
      </c>
      <c r="J4" s="619"/>
      <c r="K4" s="620"/>
      <c r="L4" s="621"/>
    </row>
    <row r="5" spans="1:254" x14ac:dyDescent="0.2">
      <c r="A5" s="182" t="s">
        <v>169</v>
      </c>
      <c r="B5" s="475" t="s">
        <v>499</v>
      </c>
      <c r="C5" s="243"/>
      <c r="D5" s="244"/>
      <c r="E5" s="181"/>
      <c r="F5" s="181"/>
      <c r="G5" s="181"/>
      <c r="H5" s="181"/>
      <c r="I5" s="181" t="str">
        <f ca="1">CONCATENATE(I4," (",D24,"; ",Спецификация!C12," кВт.; ","IP",D25,"; ",IF(D26="Да","с ШУ и ВПУ","без ШУ"),")")</f>
        <v>РТО 400.400.850.6 (AISI 201; 0,37 кВт.; IP55; с ШУ и ВПУ)</v>
      </c>
      <c r="J5" s="619"/>
      <c r="K5" s="620"/>
      <c r="L5" s="621"/>
    </row>
    <row r="6" spans="1:254" x14ac:dyDescent="0.2">
      <c r="A6" s="182" t="s">
        <v>99</v>
      </c>
      <c r="B6" s="475">
        <v>0</v>
      </c>
      <c r="C6" s="243"/>
      <c r="D6" s="244"/>
      <c r="E6" s="181"/>
      <c r="F6" s="181"/>
      <c r="G6" s="181"/>
      <c r="H6" s="181"/>
      <c r="I6" s="181"/>
      <c r="J6" s="619"/>
      <c r="K6" s="620"/>
      <c r="L6" s="621"/>
      <c r="O6" t="s">
        <v>466</v>
      </c>
      <c r="P6" t="s">
        <v>179</v>
      </c>
      <c r="Q6" t="s">
        <v>180</v>
      </c>
    </row>
    <row r="7" spans="1:254" ht="12.75" customHeight="1" x14ac:dyDescent="0.2">
      <c r="A7" s="182" t="s">
        <v>100</v>
      </c>
      <c r="B7" s="475">
        <v>0</v>
      </c>
      <c r="C7" s="243"/>
      <c r="D7" s="244"/>
      <c r="E7" s="181"/>
      <c r="F7" s="181"/>
      <c r="G7" s="181"/>
      <c r="H7" s="181"/>
      <c r="I7" s="181"/>
      <c r="J7" s="619"/>
      <c r="K7" s="620"/>
      <c r="L7" s="621"/>
      <c r="O7" t="s">
        <v>102</v>
      </c>
      <c r="P7" t="s">
        <v>402</v>
      </c>
      <c r="Q7" t="s">
        <v>86</v>
      </c>
    </row>
    <row r="8" spans="1:254" ht="12.75" customHeight="1" thickBot="1" x14ac:dyDescent="0.25">
      <c r="A8" s="182" t="s">
        <v>266</v>
      </c>
      <c r="B8" s="475">
        <v>0</v>
      </c>
      <c r="C8" s="243"/>
      <c r="D8" s="244"/>
      <c r="E8" s="181"/>
      <c r="F8" s="181"/>
      <c r="G8" s="181"/>
      <c r="H8" s="181"/>
      <c r="I8" s="181"/>
      <c r="J8" s="622"/>
      <c r="K8" s="623"/>
      <c r="L8" s="624"/>
      <c r="O8" t="s">
        <v>464</v>
      </c>
      <c r="P8" t="s">
        <v>102</v>
      </c>
      <c r="Q8" t="s">
        <v>87</v>
      </c>
    </row>
    <row r="9" spans="1:254" x14ac:dyDescent="0.2">
      <c r="A9" s="181" t="s">
        <v>171</v>
      </c>
      <c r="B9" s="246">
        <v>8550</v>
      </c>
      <c r="C9" s="243"/>
      <c r="D9" s="244"/>
      <c r="E9" s="181"/>
      <c r="F9" s="181"/>
      <c r="G9" s="181"/>
      <c r="H9" s="181"/>
      <c r="I9" s="181"/>
      <c r="O9" t="s">
        <v>465</v>
      </c>
      <c r="Q9" t="s">
        <v>181</v>
      </c>
    </row>
    <row r="10" spans="1:254" x14ac:dyDescent="0.2">
      <c r="A10" s="182" t="s">
        <v>183</v>
      </c>
      <c r="B10" s="475" t="s">
        <v>492</v>
      </c>
      <c r="C10" s="243"/>
      <c r="D10" s="244"/>
      <c r="E10" s="181"/>
      <c r="F10" s="181"/>
      <c r="G10" s="181"/>
      <c r="H10" s="181"/>
      <c r="I10" s="181"/>
    </row>
    <row r="11" spans="1:254" x14ac:dyDescent="0.2">
      <c r="A11" s="182" t="s">
        <v>101</v>
      </c>
      <c r="B11" s="475">
        <v>0</v>
      </c>
      <c r="C11" s="243"/>
      <c r="D11" s="244"/>
      <c r="E11" s="181"/>
      <c r="F11" s="181"/>
      <c r="G11" s="181"/>
      <c r="H11" s="181"/>
      <c r="I11" s="181"/>
    </row>
    <row r="12" spans="1:254" x14ac:dyDescent="0.2">
      <c r="A12" s="181"/>
      <c r="B12" s="181"/>
      <c r="C12" s="181"/>
      <c r="D12" s="181"/>
      <c r="E12" s="181"/>
      <c r="F12" s="181"/>
      <c r="G12" s="181"/>
      <c r="H12" s="181"/>
      <c r="I12" s="181"/>
    </row>
    <row r="13" spans="1:254" s="204" customFormat="1" ht="16.5" customHeight="1" x14ac:dyDescent="0.35">
      <c r="A13" s="202" t="s">
        <v>209</v>
      </c>
      <c r="B13" s="202"/>
      <c r="C13" s="203"/>
      <c r="D13" s="203"/>
      <c r="E13" s="202"/>
      <c r="F13" s="202"/>
      <c r="G13" s="202"/>
      <c r="H13" s="202"/>
      <c r="I13" s="202"/>
      <c r="J13" s="601"/>
      <c r="K13" s="601"/>
      <c r="L13" s="601"/>
      <c r="M13" s="601"/>
      <c r="N13" s="601"/>
      <c r="O13" s="601"/>
      <c r="P13" s="601"/>
      <c r="Q13" s="601"/>
      <c r="R13" s="601"/>
      <c r="S13" s="601"/>
      <c r="T13" s="601"/>
      <c r="U13" s="601"/>
      <c r="V13" s="601"/>
      <c r="W13" s="601"/>
      <c r="X13" s="601"/>
      <c r="Y13" s="601"/>
      <c r="Z13" s="601"/>
      <c r="AA13" s="601"/>
      <c r="AB13" s="601"/>
      <c r="AC13" s="601"/>
      <c r="AD13" s="601"/>
      <c r="AE13" s="601"/>
      <c r="AF13" s="601"/>
      <c r="AG13" s="601"/>
      <c r="AH13" s="601"/>
      <c r="AI13" s="601"/>
      <c r="AJ13" s="601"/>
      <c r="AK13" s="601"/>
      <c r="AL13" s="601"/>
      <c r="AM13" s="601"/>
      <c r="AN13" s="601"/>
      <c r="AO13" s="601"/>
      <c r="AP13" s="601"/>
      <c r="AQ13" s="601"/>
      <c r="AR13" s="601"/>
      <c r="AS13" s="601"/>
      <c r="AT13" s="601"/>
      <c r="AU13" s="601"/>
      <c r="AV13" s="601"/>
      <c r="AW13" s="601"/>
      <c r="AX13" s="601"/>
      <c r="AY13" s="601"/>
      <c r="AZ13" s="601"/>
      <c r="BA13" s="601"/>
      <c r="BB13" s="601"/>
      <c r="BC13" s="601"/>
      <c r="BD13" s="601"/>
      <c r="BE13" s="601"/>
      <c r="BF13" s="601"/>
      <c r="BG13" s="601"/>
      <c r="BH13" s="601"/>
      <c r="BI13" s="601"/>
      <c r="BJ13" s="601"/>
      <c r="BK13" s="601"/>
      <c r="BL13" s="601"/>
      <c r="BM13" s="601"/>
      <c r="BN13" s="601"/>
      <c r="BO13" s="601"/>
      <c r="BP13" s="601"/>
      <c r="BQ13" s="601"/>
      <c r="BR13" s="601"/>
      <c r="BS13" s="601"/>
      <c r="BT13" s="601"/>
      <c r="BU13" s="601"/>
      <c r="BV13" s="601"/>
      <c r="BW13" s="601"/>
      <c r="BX13" s="601"/>
      <c r="BY13" s="601"/>
      <c r="BZ13" s="601"/>
      <c r="CA13" s="601"/>
      <c r="CB13" s="601"/>
      <c r="CC13" s="601"/>
      <c r="CD13" s="601"/>
      <c r="CE13" s="601"/>
      <c r="CF13" s="601"/>
      <c r="CG13" s="601"/>
      <c r="CH13" s="601"/>
      <c r="CI13" s="601"/>
      <c r="CJ13" s="601"/>
      <c r="CK13" s="601"/>
      <c r="CL13" s="601"/>
      <c r="CM13" s="601"/>
      <c r="CN13" s="601"/>
      <c r="CO13" s="601"/>
      <c r="CP13" s="601"/>
      <c r="CQ13" s="601"/>
      <c r="CR13" s="601"/>
      <c r="CS13" s="601"/>
      <c r="CT13" s="601"/>
      <c r="CU13" s="601"/>
      <c r="CV13" s="601"/>
      <c r="CW13" s="601"/>
      <c r="CX13" s="601"/>
      <c r="CY13" s="601"/>
      <c r="CZ13" s="601"/>
      <c r="DA13" s="601"/>
      <c r="DB13" s="601"/>
      <c r="DC13" s="601"/>
      <c r="DD13" s="601"/>
      <c r="DE13" s="601"/>
      <c r="DF13" s="601"/>
      <c r="DG13" s="601"/>
      <c r="DH13" s="601"/>
      <c r="DI13" s="601"/>
      <c r="DJ13" s="601"/>
      <c r="DK13" s="601"/>
      <c r="DL13" s="601"/>
      <c r="DM13" s="601"/>
      <c r="DN13" s="601"/>
      <c r="DO13" s="601"/>
      <c r="DP13" s="601"/>
      <c r="DQ13" s="601"/>
      <c r="DR13" s="601"/>
      <c r="DS13" s="601"/>
      <c r="DT13" s="601"/>
      <c r="DU13" s="601"/>
      <c r="DV13" s="601"/>
      <c r="DW13" s="601"/>
      <c r="DX13" s="601"/>
      <c r="DY13" s="601"/>
      <c r="DZ13" s="601"/>
      <c r="EA13" s="601"/>
      <c r="EB13" s="601"/>
      <c r="EC13" s="601"/>
      <c r="ED13" s="601"/>
      <c r="EE13" s="601"/>
      <c r="EF13" s="601"/>
      <c r="EG13" s="601"/>
      <c r="EH13" s="601"/>
      <c r="EI13" s="601"/>
      <c r="EJ13" s="601"/>
      <c r="EK13" s="601"/>
      <c r="EL13" s="601"/>
      <c r="EM13" s="601"/>
      <c r="EN13" s="601"/>
      <c r="EO13" s="601"/>
      <c r="EP13" s="601"/>
      <c r="EQ13" s="601"/>
      <c r="ER13" s="601"/>
      <c r="ES13" s="601"/>
      <c r="ET13" s="601"/>
      <c r="EU13" s="601"/>
      <c r="EV13" s="601"/>
      <c r="EW13" s="601"/>
      <c r="EX13" s="601"/>
      <c r="EY13" s="601"/>
      <c r="EZ13" s="601"/>
      <c r="FA13" s="601"/>
      <c r="FB13" s="601"/>
      <c r="FC13" s="601"/>
      <c r="FD13" s="601"/>
      <c r="FE13" s="601"/>
      <c r="FF13" s="601"/>
      <c r="FG13" s="601"/>
      <c r="FH13" s="601"/>
      <c r="FI13" s="601"/>
      <c r="FJ13" s="601"/>
      <c r="FK13" s="601"/>
      <c r="FL13" s="601"/>
      <c r="FM13" s="601"/>
      <c r="FN13" s="601"/>
      <c r="FO13" s="601"/>
      <c r="FP13" s="601"/>
      <c r="FQ13" s="601"/>
      <c r="FR13" s="601"/>
      <c r="FS13" s="601"/>
      <c r="FT13" s="601"/>
      <c r="FU13" s="601"/>
      <c r="FV13" s="601"/>
      <c r="FW13" s="601"/>
      <c r="FX13" s="601"/>
      <c r="FY13" s="601"/>
      <c r="FZ13" s="601"/>
      <c r="GA13" s="601"/>
      <c r="GB13" s="601"/>
      <c r="GC13" s="601"/>
      <c r="GD13" s="601"/>
      <c r="GE13" s="601"/>
      <c r="GF13" s="601"/>
      <c r="GG13" s="601"/>
      <c r="GH13" s="601"/>
      <c r="GI13" s="601"/>
      <c r="GJ13" s="601"/>
      <c r="GK13" s="601"/>
      <c r="GL13" s="601"/>
      <c r="GM13" s="601"/>
      <c r="GN13" s="601"/>
      <c r="GO13" s="601"/>
      <c r="GP13" s="601"/>
      <c r="GQ13" s="601"/>
      <c r="GR13" s="601"/>
      <c r="GS13" s="601"/>
      <c r="GT13" s="601"/>
      <c r="GU13" s="601"/>
      <c r="GV13" s="601"/>
      <c r="GW13" s="601"/>
      <c r="GX13" s="601"/>
      <c r="GY13" s="601"/>
      <c r="GZ13" s="601"/>
      <c r="HA13" s="601"/>
      <c r="HB13" s="601"/>
      <c r="HC13" s="601"/>
      <c r="HD13" s="601"/>
      <c r="HE13" s="601"/>
      <c r="HF13" s="601"/>
      <c r="HG13" s="601"/>
      <c r="HH13" s="601"/>
      <c r="HI13" s="601"/>
      <c r="HJ13" s="601"/>
      <c r="HK13" s="601"/>
      <c r="HL13" s="601"/>
      <c r="HM13" s="601"/>
      <c r="HN13" s="601"/>
      <c r="HO13" s="601"/>
      <c r="HP13" s="601"/>
      <c r="HQ13" s="601"/>
      <c r="HR13" s="601"/>
      <c r="HS13" s="601"/>
      <c r="HT13" s="601"/>
      <c r="HU13" s="601"/>
      <c r="HV13" s="601"/>
      <c r="HW13" s="601"/>
      <c r="HX13" s="601"/>
      <c r="HY13" s="601"/>
      <c r="HZ13" s="601"/>
      <c r="IA13" s="601"/>
      <c r="IB13" s="601"/>
      <c r="IC13" s="601"/>
      <c r="ID13" s="601"/>
      <c r="IE13" s="601"/>
      <c r="IF13" s="601"/>
      <c r="IG13" s="601"/>
      <c r="IH13" s="601"/>
      <c r="II13" s="601"/>
      <c r="IJ13" s="601"/>
      <c r="IK13" s="601"/>
      <c r="IL13" s="601"/>
      <c r="IM13" s="601"/>
      <c r="IN13" s="601"/>
      <c r="IO13" s="601"/>
      <c r="IP13" s="601"/>
      <c r="IQ13" s="601"/>
      <c r="IR13" s="601"/>
      <c r="IS13" s="601"/>
      <c r="IT13" s="601"/>
    </row>
    <row r="15" spans="1:254" s="71" customFormat="1" ht="32.25" customHeight="1" thickBot="1" x14ac:dyDescent="0.25">
      <c r="A15" s="189" t="s">
        <v>59</v>
      </c>
      <c r="B15" s="189" t="s">
        <v>17</v>
      </c>
      <c r="C15" s="189" t="s">
        <v>18</v>
      </c>
      <c r="D15" s="206" t="s">
        <v>19</v>
      </c>
      <c r="E15" s="208" t="s">
        <v>91</v>
      </c>
      <c r="F15" s="69"/>
      <c r="G15" s="212"/>
      <c r="H15" s="69"/>
      <c r="I15" s="69"/>
      <c r="J15" s="69"/>
      <c r="K15" s="69"/>
      <c r="L15" s="69"/>
      <c r="M15" s="69"/>
      <c r="N15" s="69"/>
      <c r="O15" s="69"/>
      <c r="P15" s="69"/>
    </row>
    <row r="16" spans="1:254" ht="13.5" customHeight="1" thickBot="1" x14ac:dyDescent="0.25">
      <c r="A16" s="73" t="str">
        <f>IF(E16&lt;15,"РТО","РГО")</f>
        <v>РТО</v>
      </c>
      <c r="B16" s="190">
        <v>400</v>
      </c>
      <c r="C16" s="190">
        <v>400</v>
      </c>
      <c r="D16" s="191">
        <v>850</v>
      </c>
      <c r="E16" s="190">
        <v>6</v>
      </c>
      <c r="F16" s="1"/>
      <c r="H16" s="1"/>
      <c r="I16" s="1"/>
      <c r="J16" s="1"/>
      <c r="K16" s="1"/>
      <c r="L16" s="1"/>
      <c r="M16" s="1"/>
      <c r="N16" s="1"/>
      <c r="O16" s="1"/>
      <c r="P16" s="1"/>
    </row>
    <row r="17" spans="1:254" ht="13.5" customHeight="1" thickBot="1" x14ac:dyDescent="0.25">
      <c r="A17" s="69"/>
      <c r="B17" s="69"/>
      <c r="C17" s="69"/>
      <c r="D17" s="69"/>
      <c r="E17" s="1"/>
      <c r="F17" s="1"/>
      <c r="G17" s="64"/>
      <c r="H17" s="1"/>
      <c r="I17" s="1"/>
      <c r="J17" s="1"/>
      <c r="K17" s="1"/>
      <c r="L17" s="1"/>
      <c r="M17" s="1"/>
      <c r="N17" s="1"/>
      <c r="O17" s="1"/>
      <c r="P17" s="1"/>
    </row>
    <row r="18" spans="1:254" ht="12" customHeight="1" x14ac:dyDescent="0.2">
      <c r="A18" s="604" t="s">
        <v>97</v>
      </c>
      <c r="B18" s="608" t="s">
        <v>477</v>
      </c>
      <c r="C18" s="609"/>
      <c r="D18" s="460">
        <f ca="1">ROUNDUP(ТХ!D70,1)</f>
        <v>246.4</v>
      </c>
      <c r="E18" s="192"/>
      <c r="F18" s="63"/>
      <c r="G18" s="62"/>
      <c r="H18" s="62"/>
      <c r="I18" s="62"/>
      <c r="J18" s="62"/>
      <c r="K18" s="62"/>
      <c r="L18" s="62"/>
      <c r="M18" s="62"/>
      <c r="N18" s="62"/>
      <c r="O18" s="62"/>
      <c r="P18" s="62"/>
    </row>
    <row r="19" spans="1:254" ht="12" customHeight="1" thickBot="1" x14ac:dyDescent="0.25">
      <c r="A19" s="606"/>
      <c r="B19" s="614" t="s">
        <v>375</v>
      </c>
      <c r="C19" s="615"/>
      <c r="D19" s="211">
        <f ca="1">ТХ!D74</f>
        <v>290</v>
      </c>
      <c r="E19" s="192"/>
      <c r="F19" s="63"/>
      <c r="G19" s="1"/>
      <c r="H19" s="1"/>
      <c r="I19" s="1"/>
      <c r="J19" s="1"/>
      <c r="K19" s="1"/>
      <c r="L19" s="1"/>
      <c r="M19" s="1"/>
      <c r="N19" s="1"/>
      <c r="O19" s="1"/>
      <c r="P19" s="1"/>
    </row>
    <row r="20" spans="1:254" ht="12" customHeight="1" x14ac:dyDescent="0.2">
      <c r="A20" s="604" t="s">
        <v>461</v>
      </c>
      <c r="B20" s="608" t="s">
        <v>397</v>
      </c>
      <c r="C20" s="609"/>
      <c r="D20" s="213">
        <f>CEILING((C16+D16+900)/SIN(75*PI()/180)/10,5)*10</f>
        <v>2250</v>
      </c>
      <c r="E20" s="192"/>
      <c r="F20" s="63"/>
      <c r="G20" s="62"/>
      <c r="H20" s="62"/>
      <c r="I20" s="62"/>
      <c r="J20" s="62"/>
      <c r="K20" s="62"/>
      <c r="L20" s="62"/>
      <c r="M20" s="62"/>
      <c r="N20" s="62"/>
      <c r="O20" s="62"/>
      <c r="P20" s="62"/>
    </row>
    <row r="21" spans="1:254" ht="12" customHeight="1" x14ac:dyDescent="0.2">
      <c r="A21" s="605"/>
      <c r="B21" s="610" t="s">
        <v>395</v>
      </c>
      <c r="C21" s="611"/>
      <c r="D21" s="210">
        <f>D20-650</f>
        <v>1600</v>
      </c>
      <c r="E21" s="192"/>
      <c r="F21" s="63"/>
      <c r="G21" s="62"/>
      <c r="H21" s="62"/>
      <c r="I21" s="62"/>
      <c r="J21" s="62"/>
      <c r="K21" s="62"/>
      <c r="L21" s="62"/>
      <c r="M21" s="62"/>
      <c r="N21" s="62"/>
      <c r="O21" s="62"/>
      <c r="P21" s="62"/>
    </row>
    <row r="22" spans="1:254" ht="12" customHeight="1" x14ac:dyDescent="0.2">
      <c r="A22" s="606"/>
      <c r="B22" s="614" t="s">
        <v>396</v>
      </c>
      <c r="C22" s="615"/>
      <c r="D22" s="217">
        <f>C16-IF(C16&lt;=1200,0,250)</f>
        <v>400</v>
      </c>
      <c r="E22" s="192"/>
      <c r="F22" s="63"/>
      <c r="G22" s="62"/>
      <c r="H22" s="62"/>
      <c r="I22" s="62"/>
      <c r="J22" s="62"/>
      <c r="K22" s="62"/>
      <c r="L22" s="62"/>
      <c r="M22" s="62"/>
      <c r="N22" s="62"/>
      <c r="O22" s="62"/>
      <c r="P22" s="62"/>
    </row>
    <row r="23" spans="1:254" ht="12" customHeight="1" thickBot="1" x14ac:dyDescent="0.25">
      <c r="A23" s="607"/>
      <c r="B23" s="610" t="s">
        <v>275</v>
      </c>
      <c r="C23" s="611"/>
      <c r="D23" s="446">
        <f ca="1">OFFSET(РГО!N9,MATCH(1,РГО!Q10:Q15,0),1,1,1)</f>
        <v>0.37</v>
      </c>
      <c r="E23" s="192"/>
      <c r="F23" s="63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254" ht="12" customHeight="1" x14ac:dyDescent="0.2">
      <c r="A24" s="604" t="s">
        <v>197</v>
      </c>
      <c r="B24" s="608" t="s">
        <v>198</v>
      </c>
      <c r="C24" s="609"/>
      <c r="D24" s="471" t="s">
        <v>180</v>
      </c>
      <c r="E24" s="192"/>
      <c r="F24" s="63"/>
      <c r="G24" s="62"/>
      <c r="H24" s="62"/>
      <c r="I24" s="62"/>
      <c r="J24" s="62"/>
      <c r="K24" s="62"/>
      <c r="L24" s="62"/>
      <c r="M24" s="62"/>
      <c r="N24" s="62"/>
      <c r="O24" s="62"/>
      <c r="P24" s="62"/>
    </row>
    <row r="25" spans="1:254" ht="12" customHeight="1" x14ac:dyDescent="0.2">
      <c r="A25" s="605"/>
      <c r="B25" s="610" t="s">
        <v>199</v>
      </c>
      <c r="C25" s="611"/>
      <c r="D25" s="472">
        <v>55</v>
      </c>
      <c r="E25" s="192"/>
      <c r="F25" s="63"/>
      <c r="G25" s="62"/>
      <c r="H25" s="62"/>
      <c r="I25" s="62"/>
      <c r="J25" s="62"/>
      <c r="K25" s="62"/>
      <c r="L25" s="62"/>
      <c r="M25" s="62"/>
      <c r="N25" s="62"/>
      <c r="O25" s="62"/>
      <c r="P25" s="62"/>
    </row>
    <row r="26" spans="1:254" ht="12" customHeight="1" x14ac:dyDescent="0.2">
      <c r="A26" s="606"/>
      <c r="B26" s="610" t="s">
        <v>179</v>
      </c>
      <c r="C26" s="611"/>
      <c r="D26" s="472" t="s">
        <v>402</v>
      </c>
      <c r="E26" s="192"/>
      <c r="F26" s="63"/>
      <c r="G26" s="62"/>
      <c r="H26" s="62"/>
      <c r="I26" s="62"/>
      <c r="J26" s="62"/>
      <c r="K26" s="62"/>
      <c r="L26" s="62"/>
      <c r="M26" s="62"/>
      <c r="N26" s="62"/>
      <c r="O26" s="62"/>
      <c r="P26" s="62"/>
    </row>
    <row r="27" spans="1:254" ht="12" customHeight="1" thickBot="1" x14ac:dyDescent="0.25">
      <c r="A27" s="607"/>
      <c r="B27" s="612" t="s">
        <v>463</v>
      </c>
      <c r="C27" s="613"/>
      <c r="D27" s="473" t="s">
        <v>500</v>
      </c>
      <c r="E27" s="192"/>
      <c r="F27" s="63"/>
      <c r="G27" s="1"/>
      <c r="H27" s="1"/>
      <c r="I27" s="1"/>
      <c r="J27" s="1"/>
      <c r="K27" s="1"/>
      <c r="L27" s="1"/>
      <c r="M27" s="1"/>
      <c r="N27" s="1"/>
      <c r="O27" s="1"/>
      <c r="P27" s="1"/>
    </row>
    <row r="29" spans="1:254" x14ac:dyDescent="0.2">
      <c r="A29" s="181"/>
      <c r="B29" s="181"/>
      <c r="C29" s="216" t="s">
        <v>205</v>
      </c>
      <c r="D29" s="216" t="s">
        <v>206</v>
      </c>
      <c r="E29" s="181"/>
      <c r="F29" s="181"/>
      <c r="G29" s="181"/>
      <c r="H29" s="181"/>
      <c r="I29" s="181"/>
    </row>
    <row r="30" spans="1:254" s="196" customFormat="1" ht="16.5" customHeight="1" x14ac:dyDescent="0.35">
      <c r="A30" s="195" t="s">
        <v>191</v>
      </c>
      <c r="B30" s="195"/>
      <c r="E30" s="195"/>
      <c r="F30" s="195"/>
      <c r="G30" s="195"/>
      <c r="H30" s="195"/>
      <c r="I30" s="195"/>
      <c r="J30" s="603"/>
      <c r="K30" s="603"/>
      <c r="L30" s="603"/>
      <c r="M30" s="603"/>
      <c r="N30" s="603"/>
      <c r="O30" s="603"/>
      <c r="P30" s="603"/>
      <c r="Q30" s="603"/>
      <c r="R30" s="603"/>
      <c r="S30" s="603"/>
      <c r="T30" s="603"/>
      <c r="U30" s="603"/>
      <c r="V30" s="603"/>
      <c r="W30" s="603"/>
      <c r="X30" s="603"/>
      <c r="Y30" s="603"/>
      <c r="Z30" s="603"/>
      <c r="AA30" s="603"/>
      <c r="AB30" s="603"/>
      <c r="AC30" s="603"/>
      <c r="AD30" s="603"/>
      <c r="AE30" s="603"/>
      <c r="AF30" s="603"/>
      <c r="AG30" s="603"/>
      <c r="AH30" s="603"/>
      <c r="AI30" s="603"/>
      <c r="AJ30" s="603"/>
      <c r="AK30" s="603"/>
      <c r="AL30" s="603"/>
      <c r="AM30" s="603"/>
      <c r="AN30" s="603"/>
      <c r="AO30" s="603"/>
      <c r="AP30" s="603"/>
      <c r="AQ30" s="603"/>
      <c r="AR30" s="603"/>
      <c r="AS30" s="603"/>
      <c r="AT30" s="603"/>
      <c r="AU30" s="603"/>
      <c r="AV30" s="603"/>
      <c r="AW30" s="603"/>
      <c r="AX30" s="603"/>
      <c r="AY30" s="603"/>
      <c r="AZ30" s="603"/>
      <c r="BA30" s="603"/>
      <c r="BB30" s="603"/>
      <c r="BC30" s="603"/>
      <c r="BD30" s="603"/>
      <c r="BE30" s="603"/>
      <c r="BF30" s="603"/>
      <c r="BG30" s="603"/>
      <c r="BH30" s="603"/>
      <c r="BI30" s="603"/>
      <c r="BJ30" s="603"/>
      <c r="BK30" s="603"/>
      <c r="BL30" s="603"/>
      <c r="BM30" s="603"/>
      <c r="BN30" s="603"/>
      <c r="BO30" s="603"/>
      <c r="BP30" s="603"/>
      <c r="BQ30" s="603"/>
      <c r="BR30" s="603"/>
      <c r="BS30" s="603"/>
      <c r="BT30" s="603"/>
      <c r="BU30" s="603"/>
      <c r="BV30" s="603"/>
      <c r="BW30" s="603"/>
      <c r="BX30" s="603"/>
      <c r="BY30" s="603"/>
      <c r="BZ30" s="603"/>
      <c r="CA30" s="603"/>
      <c r="CB30" s="603"/>
      <c r="CC30" s="603"/>
      <c r="CD30" s="603"/>
      <c r="CE30" s="603"/>
      <c r="CF30" s="603"/>
      <c r="CG30" s="603"/>
      <c r="CH30" s="603"/>
      <c r="CI30" s="603"/>
      <c r="CJ30" s="603"/>
      <c r="CK30" s="603"/>
      <c r="CL30" s="603"/>
      <c r="CM30" s="603"/>
      <c r="CN30" s="603"/>
      <c r="CO30" s="603"/>
      <c r="CP30" s="603"/>
      <c r="CQ30" s="603"/>
      <c r="CR30" s="603"/>
      <c r="CS30" s="603"/>
      <c r="CT30" s="603"/>
      <c r="CU30" s="603"/>
      <c r="CV30" s="603"/>
      <c r="CW30" s="603"/>
      <c r="CX30" s="603"/>
      <c r="CY30" s="603"/>
      <c r="CZ30" s="603"/>
      <c r="DA30" s="603"/>
      <c r="DB30" s="603"/>
      <c r="DC30" s="603"/>
      <c r="DD30" s="603"/>
      <c r="DE30" s="603"/>
      <c r="DF30" s="603"/>
      <c r="DG30" s="603"/>
      <c r="DH30" s="603"/>
      <c r="DI30" s="603"/>
      <c r="DJ30" s="603"/>
      <c r="DK30" s="603"/>
      <c r="DL30" s="603"/>
      <c r="DM30" s="603"/>
      <c r="DN30" s="603"/>
      <c r="DO30" s="603"/>
      <c r="DP30" s="603"/>
      <c r="DQ30" s="603"/>
      <c r="DR30" s="603"/>
      <c r="DS30" s="603"/>
      <c r="DT30" s="603"/>
      <c r="DU30" s="603"/>
      <c r="DV30" s="603"/>
      <c r="DW30" s="603"/>
      <c r="DX30" s="603"/>
      <c r="DY30" s="603"/>
      <c r="DZ30" s="603"/>
      <c r="EA30" s="603"/>
      <c r="EB30" s="603"/>
      <c r="EC30" s="603"/>
      <c r="ED30" s="603"/>
      <c r="EE30" s="603"/>
      <c r="EF30" s="603"/>
      <c r="EG30" s="603"/>
      <c r="EH30" s="603"/>
      <c r="EI30" s="603"/>
      <c r="EJ30" s="603"/>
      <c r="EK30" s="603"/>
      <c r="EL30" s="603"/>
      <c r="EM30" s="603"/>
      <c r="EN30" s="603"/>
      <c r="EO30" s="603"/>
      <c r="EP30" s="603"/>
      <c r="EQ30" s="603"/>
      <c r="ER30" s="603"/>
      <c r="ES30" s="603"/>
      <c r="ET30" s="603"/>
      <c r="EU30" s="603"/>
      <c r="EV30" s="603"/>
      <c r="EW30" s="603"/>
      <c r="EX30" s="603"/>
      <c r="EY30" s="603"/>
      <c r="EZ30" s="603"/>
      <c r="FA30" s="603"/>
      <c r="FB30" s="603"/>
      <c r="FC30" s="603"/>
      <c r="FD30" s="603"/>
      <c r="FE30" s="603"/>
      <c r="FF30" s="603"/>
      <c r="FG30" s="603"/>
      <c r="FH30" s="603"/>
      <c r="FI30" s="603"/>
      <c r="FJ30" s="603"/>
      <c r="FK30" s="603"/>
      <c r="FL30" s="603"/>
      <c r="FM30" s="603"/>
      <c r="FN30" s="603"/>
      <c r="FO30" s="603"/>
      <c r="FP30" s="603"/>
      <c r="FQ30" s="603"/>
      <c r="FR30" s="603"/>
      <c r="FS30" s="603"/>
      <c r="FT30" s="603"/>
      <c r="FU30" s="603"/>
      <c r="FV30" s="603"/>
      <c r="FW30" s="603"/>
      <c r="FX30" s="603"/>
      <c r="FY30" s="603"/>
      <c r="FZ30" s="603"/>
      <c r="GA30" s="603"/>
      <c r="GB30" s="603"/>
      <c r="GC30" s="603"/>
      <c r="GD30" s="603"/>
      <c r="GE30" s="603"/>
      <c r="GF30" s="603"/>
      <c r="GG30" s="603"/>
      <c r="GH30" s="603"/>
      <c r="GI30" s="603"/>
      <c r="GJ30" s="603"/>
      <c r="GK30" s="603"/>
      <c r="GL30" s="603"/>
      <c r="GM30" s="603"/>
      <c r="GN30" s="603"/>
      <c r="GO30" s="603"/>
      <c r="GP30" s="603"/>
      <c r="GQ30" s="603"/>
      <c r="GR30" s="603"/>
      <c r="GS30" s="603"/>
      <c r="GT30" s="603"/>
      <c r="GU30" s="603"/>
      <c r="GV30" s="603"/>
      <c r="GW30" s="603"/>
      <c r="GX30" s="603"/>
      <c r="GY30" s="603"/>
      <c r="GZ30" s="603"/>
      <c r="HA30" s="603"/>
      <c r="HB30" s="603"/>
      <c r="HC30" s="603"/>
      <c r="HD30" s="603"/>
      <c r="HE30" s="603"/>
      <c r="HF30" s="603"/>
      <c r="HG30" s="603"/>
      <c r="HH30" s="603"/>
      <c r="HI30" s="603"/>
      <c r="HJ30" s="603"/>
      <c r="HK30" s="603"/>
      <c r="HL30" s="603"/>
      <c r="HM30" s="603"/>
      <c r="HN30" s="603"/>
      <c r="HO30" s="603"/>
      <c r="HP30" s="603"/>
      <c r="HQ30" s="603"/>
      <c r="HR30" s="603"/>
      <c r="HS30" s="603"/>
      <c r="HT30" s="603"/>
      <c r="HU30" s="603"/>
      <c r="HV30" s="603"/>
      <c r="HW30" s="603"/>
      <c r="HX30" s="603"/>
      <c r="HY30" s="603"/>
      <c r="HZ30" s="603"/>
      <c r="IA30" s="603"/>
      <c r="IB30" s="603"/>
      <c r="IC30" s="603"/>
      <c r="ID30" s="603"/>
      <c r="IE30" s="603"/>
      <c r="IF30" s="603"/>
      <c r="IG30" s="603"/>
      <c r="IH30" s="603"/>
      <c r="II30" s="603"/>
      <c r="IJ30" s="603"/>
      <c r="IK30" s="603"/>
      <c r="IL30" s="603"/>
      <c r="IM30" s="603"/>
      <c r="IN30" s="603"/>
      <c r="IO30" s="603"/>
      <c r="IP30" s="603"/>
      <c r="IQ30" s="603"/>
      <c r="IR30" s="603"/>
      <c r="IS30" s="603"/>
      <c r="IT30" s="603"/>
    </row>
    <row r="31" spans="1:254" s="199" customFormat="1" ht="16.5" customHeight="1" thickBot="1" x14ac:dyDescent="0.4">
      <c r="A31" s="197"/>
      <c r="B31" s="197"/>
      <c r="C31" s="215">
        <f ca="1">SUM(C33:C36)</f>
        <v>218005.74</v>
      </c>
      <c r="D31" s="197"/>
      <c r="E31" s="197"/>
      <c r="F31" s="197"/>
      <c r="G31" s="197"/>
      <c r="H31" s="197"/>
      <c r="I31" s="197"/>
      <c r="J31" s="198"/>
      <c r="K31" s="198"/>
      <c r="L31" s="198"/>
      <c r="M31" s="198"/>
      <c r="N31" s="198"/>
      <c r="O31" s="198"/>
      <c r="P31" s="198"/>
      <c r="Q31" s="198"/>
      <c r="R31" s="198"/>
      <c r="S31" s="198"/>
      <c r="T31" s="198"/>
      <c r="U31" s="198"/>
      <c r="V31" s="198"/>
      <c r="W31" s="198"/>
      <c r="X31" s="198"/>
      <c r="Y31" s="198"/>
      <c r="Z31" s="198"/>
      <c r="AA31" s="198"/>
      <c r="AB31" s="198"/>
      <c r="AC31" s="198"/>
      <c r="AD31" s="198"/>
      <c r="AE31" s="198"/>
      <c r="AF31" s="198"/>
      <c r="AG31" s="198"/>
      <c r="AH31" s="198"/>
      <c r="AI31" s="198"/>
      <c r="AJ31" s="198"/>
      <c r="AK31" s="198"/>
      <c r="AL31" s="198"/>
      <c r="AM31" s="198"/>
      <c r="AN31" s="198"/>
      <c r="AO31" s="198"/>
      <c r="AP31" s="198"/>
      <c r="AQ31" s="198"/>
      <c r="AR31" s="198"/>
      <c r="AS31" s="198"/>
      <c r="AT31" s="198"/>
      <c r="AU31" s="198"/>
      <c r="AV31" s="198"/>
      <c r="AW31" s="198"/>
      <c r="AX31" s="198"/>
      <c r="AY31" s="198"/>
      <c r="AZ31" s="198"/>
      <c r="BA31" s="198"/>
      <c r="BB31" s="198"/>
      <c r="BC31" s="198"/>
      <c r="BD31" s="198"/>
      <c r="BE31" s="198"/>
      <c r="BF31" s="198"/>
      <c r="BG31" s="198"/>
      <c r="BH31" s="198"/>
      <c r="BI31" s="198"/>
      <c r="BJ31" s="198"/>
      <c r="BK31" s="198"/>
      <c r="BL31" s="198"/>
      <c r="BM31" s="198"/>
      <c r="BN31" s="198"/>
      <c r="BO31" s="198"/>
      <c r="BP31" s="198"/>
      <c r="BQ31" s="198"/>
      <c r="BR31" s="198"/>
      <c r="BS31" s="198"/>
      <c r="BT31" s="198"/>
      <c r="BU31" s="198"/>
      <c r="BV31" s="198"/>
      <c r="BW31" s="198"/>
      <c r="BX31" s="198"/>
      <c r="BY31" s="198"/>
      <c r="BZ31" s="198"/>
      <c r="CA31" s="198"/>
      <c r="CB31" s="198"/>
      <c r="CC31" s="198"/>
      <c r="CD31" s="198"/>
      <c r="CE31" s="198"/>
      <c r="CF31" s="198"/>
      <c r="CG31" s="198"/>
      <c r="CH31" s="198"/>
      <c r="CI31" s="198"/>
      <c r="CJ31" s="198"/>
      <c r="CK31" s="198"/>
      <c r="CL31" s="198"/>
      <c r="CM31" s="198"/>
      <c r="CN31" s="198"/>
      <c r="CO31" s="198"/>
      <c r="CP31" s="198"/>
      <c r="CQ31" s="198"/>
      <c r="CR31" s="198"/>
      <c r="CS31" s="198"/>
      <c r="CT31" s="198"/>
      <c r="CU31" s="198"/>
      <c r="CV31" s="198"/>
      <c r="CW31" s="198"/>
      <c r="CX31" s="198"/>
      <c r="CY31" s="198"/>
      <c r="CZ31" s="198"/>
      <c r="DA31" s="198"/>
      <c r="DB31" s="198"/>
      <c r="DC31" s="198"/>
      <c r="DD31" s="198"/>
      <c r="DE31" s="198"/>
      <c r="DF31" s="198"/>
      <c r="DG31" s="198"/>
      <c r="DH31" s="198"/>
      <c r="DI31" s="198"/>
      <c r="DJ31" s="198"/>
      <c r="DK31" s="198"/>
      <c r="DL31" s="198"/>
      <c r="DM31" s="198"/>
      <c r="DN31" s="198"/>
      <c r="DO31" s="198"/>
      <c r="DP31" s="198"/>
      <c r="DQ31" s="198"/>
      <c r="DR31" s="198"/>
      <c r="DS31" s="198"/>
      <c r="DT31" s="198"/>
      <c r="DU31" s="198"/>
      <c r="DV31" s="198"/>
      <c r="DW31" s="198"/>
      <c r="DX31" s="198"/>
      <c r="DY31" s="198"/>
      <c r="DZ31" s="198"/>
      <c r="EA31" s="198"/>
      <c r="EB31" s="198"/>
      <c r="EC31" s="198"/>
      <c r="ED31" s="198"/>
      <c r="EE31" s="198"/>
      <c r="EF31" s="198"/>
      <c r="EG31" s="198"/>
      <c r="EH31" s="198"/>
      <c r="EI31" s="198"/>
      <c r="EJ31" s="198"/>
      <c r="EK31" s="198"/>
      <c r="EL31" s="198"/>
      <c r="EM31" s="198"/>
      <c r="EN31" s="198"/>
      <c r="EO31" s="198"/>
      <c r="EP31" s="198"/>
      <c r="EQ31" s="198"/>
      <c r="ER31" s="198"/>
      <c r="ES31" s="198"/>
      <c r="ET31" s="198"/>
      <c r="EU31" s="198"/>
      <c r="EV31" s="198"/>
      <c r="EW31" s="198"/>
      <c r="EX31" s="198"/>
      <c r="EY31" s="198"/>
      <c r="EZ31" s="198"/>
      <c r="FA31" s="198"/>
      <c r="FB31" s="198"/>
      <c r="FC31" s="198"/>
      <c r="FD31" s="198"/>
      <c r="FE31" s="198"/>
      <c r="FF31" s="198"/>
      <c r="FG31" s="198"/>
      <c r="FH31" s="198"/>
      <c r="FI31" s="198"/>
      <c r="FJ31" s="198"/>
      <c r="FK31" s="198"/>
      <c r="FL31" s="198"/>
      <c r="FM31" s="198"/>
      <c r="FN31" s="198"/>
      <c r="FO31" s="198"/>
      <c r="FP31" s="198"/>
      <c r="FQ31" s="198"/>
      <c r="FR31" s="198"/>
      <c r="FS31" s="198"/>
      <c r="FT31" s="198"/>
      <c r="FU31" s="198"/>
      <c r="FV31" s="198"/>
      <c r="FW31" s="198"/>
      <c r="FX31" s="198"/>
      <c r="FY31" s="198"/>
      <c r="FZ31" s="198"/>
      <c r="GA31" s="198"/>
      <c r="GB31" s="198"/>
      <c r="GC31" s="198"/>
      <c r="GD31" s="198"/>
      <c r="GE31" s="198"/>
      <c r="GF31" s="198"/>
      <c r="GG31" s="198"/>
      <c r="GH31" s="198"/>
      <c r="GI31" s="198"/>
      <c r="GJ31" s="198"/>
      <c r="GK31" s="198"/>
      <c r="GL31" s="198"/>
      <c r="GM31" s="198"/>
      <c r="GN31" s="198"/>
      <c r="GO31" s="198"/>
      <c r="GP31" s="198"/>
      <c r="GQ31" s="198"/>
      <c r="GR31" s="198"/>
      <c r="GS31" s="198"/>
      <c r="GT31" s="198"/>
      <c r="GU31" s="198"/>
      <c r="GV31" s="198"/>
      <c r="GW31" s="198"/>
      <c r="GX31" s="198"/>
      <c r="GY31" s="198"/>
      <c r="GZ31" s="198"/>
      <c r="HA31" s="198"/>
      <c r="HB31" s="198"/>
      <c r="HC31" s="198"/>
      <c r="HD31" s="198"/>
      <c r="HE31" s="198"/>
      <c r="HF31" s="198"/>
      <c r="HG31" s="198"/>
      <c r="HH31" s="198"/>
      <c r="HI31" s="198"/>
      <c r="HJ31" s="198"/>
      <c r="HK31" s="198"/>
      <c r="HL31" s="198"/>
      <c r="HM31" s="198"/>
      <c r="HN31" s="198"/>
      <c r="HO31" s="198"/>
      <c r="HP31" s="198"/>
      <c r="HQ31" s="198"/>
      <c r="HR31" s="198"/>
      <c r="HS31" s="198"/>
      <c r="HT31" s="198"/>
      <c r="HU31" s="198"/>
      <c r="HV31" s="198"/>
      <c r="HW31" s="198"/>
      <c r="HX31" s="198"/>
      <c r="HY31" s="198"/>
      <c r="HZ31" s="198"/>
      <c r="IA31" s="198"/>
      <c r="IB31" s="198"/>
      <c r="IC31" s="198"/>
      <c r="ID31" s="198"/>
      <c r="IE31" s="198"/>
      <c r="IF31" s="198"/>
      <c r="IG31" s="198"/>
      <c r="IH31" s="198"/>
      <c r="II31" s="198"/>
      <c r="IJ31" s="198"/>
      <c r="IK31" s="198"/>
      <c r="IL31" s="198"/>
      <c r="IM31" s="198"/>
      <c r="IN31" s="198"/>
      <c r="IO31" s="198"/>
      <c r="IP31" s="198"/>
      <c r="IQ31" s="198"/>
      <c r="IR31" s="198"/>
      <c r="IS31" s="198"/>
      <c r="IT31" s="198"/>
    </row>
    <row r="32" spans="1:254" ht="13.5" thickTop="1" x14ac:dyDescent="0.2"/>
    <row r="33" spans="1:254" x14ac:dyDescent="0.2">
      <c r="A33" s="71" t="str">
        <f>IF(D26="Да","ФОТ основных рабочих вкл. ШУ","ФОТ основных рабочих")</f>
        <v>ФОТ основных рабочих вкл. ШУ</v>
      </c>
      <c r="B33" s="110" t="str">
        <f>CONCATENATE(ROUNDUP(C33/Параметры!B3,0)," н.ч.")</f>
        <v>203 н.ч.</v>
      </c>
      <c r="C33" s="209">
        <f>ФОТ!C37</f>
        <v>62475</v>
      </c>
    </row>
    <row r="34" spans="1:254" x14ac:dyDescent="0.2">
      <c r="A34" s="71" t="s">
        <v>178</v>
      </c>
      <c r="B34" s="110" t="str">
        <f ca="1">CONCATENATE(ROUNDUP(C34/Параметры!B3,0)," н.ч.")</f>
        <v>8 н.ч.</v>
      </c>
      <c r="C34" s="209">
        <f ca="1">ФОТ!C54</f>
        <v>2472</v>
      </c>
    </row>
    <row r="35" spans="1:254" x14ac:dyDescent="0.2">
      <c r="A35" s="71" t="s">
        <v>92</v>
      </c>
      <c r="B35" s="110" t="str">
        <f>CONCATENATE(ROUNDUP(C35/Параметры!B3,0)," н.ч.")</f>
        <v>40 н.ч.</v>
      </c>
      <c r="C35" s="209">
        <f>ФОТ!C45</f>
        <v>12360</v>
      </c>
    </row>
    <row r="36" spans="1:254" ht="25.5" x14ac:dyDescent="0.2">
      <c r="A36" s="71" t="s">
        <v>194</v>
      </c>
      <c r="B36" s="307">
        <f>Параметры!B4</f>
        <v>1.82</v>
      </c>
      <c r="C36" s="209">
        <f ca="1">SUM(C33:C35)*B36</f>
        <v>140698.74</v>
      </c>
    </row>
    <row r="37" spans="1:254" x14ac:dyDescent="0.2">
      <c r="A37" s="71"/>
      <c r="B37" s="108"/>
      <c r="C37" s="3"/>
      <c r="D37" s="3"/>
    </row>
    <row r="38" spans="1:254" s="201" customFormat="1" ht="16.5" customHeight="1" x14ac:dyDescent="0.35">
      <c r="A38" s="200" t="s">
        <v>192</v>
      </c>
      <c r="B38" s="200"/>
      <c r="E38" s="200"/>
      <c r="F38" s="200"/>
      <c r="G38" s="200"/>
      <c r="H38" s="200"/>
      <c r="I38" s="200"/>
      <c r="J38" s="602"/>
      <c r="K38" s="602"/>
      <c r="L38" s="602"/>
      <c r="M38" s="602"/>
      <c r="N38" s="602"/>
      <c r="O38" s="602"/>
      <c r="P38" s="602"/>
      <c r="Q38" s="602"/>
      <c r="R38" s="602"/>
      <c r="S38" s="602"/>
      <c r="T38" s="602"/>
      <c r="U38" s="602"/>
      <c r="V38" s="602"/>
      <c r="W38" s="602"/>
      <c r="X38" s="602"/>
      <c r="Y38" s="602"/>
      <c r="Z38" s="602"/>
      <c r="AA38" s="602"/>
      <c r="AB38" s="602"/>
      <c r="AC38" s="602"/>
      <c r="AD38" s="602"/>
      <c r="AE38" s="602"/>
      <c r="AF38" s="602"/>
      <c r="AG38" s="602"/>
      <c r="AH38" s="602"/>
      <c r="AI38" s="602"/>
      <c r="AJ38" s="602"/>
      <c r="AK38" s="602"/>
      <c r="AL38" s="602"/>
      <c r="AM38" s="602"/>
      <c r="AN38" s="602"/>
      <c r="AO38" s="602"/>
      <c r="AP38" s="602"/>
      <c r="AQ38" s="602"/>
      <c r="AR38" s="602"/>
      <c r="AS38" s="602"/>
      <c r="AT38" s="602"/>
      <c r="AU38" s="602"/>
      <c r="AV38" s="602"/>
      <c r="AW38" s="602"/>
      <c r="AX38" s="602"/>
      <c r="AY38" s="602"/>
      <c r="AZ38" s="602"/>
      <c r="BA38" s="602"/>
      <c r="BB38" s="602"/>
      <c r="BC38" s="602"/>
      <c r="BD38" s="602"/>
      <c r="BE38" s="602"/>
      <c r="BF38" s="602"/>
      <c r="BG38" s="602"/>
      <c r="BH38" s="602"/>
      <c r="BI38" s="602"/>
      <c r="BJ38" s="602"/>
      <c r="BK38" s="602"/>
      <c r="BL38" s="602"/>
      <c r="BM38" s="602"/>
      <c r="BN38" s="602"/>
      <c r="BO38" s="602"/>
      <c r="BP38" s="602"/>
      <c r="BQ38" s="602"/>
      <c r="BR38" s="602"/>
      <c r="BS38" s="602"/>
      <c r="BT38" s="602"/>
      <c r="BU38" s="602"/>
      <c r="BV38" s="602"/>
      <c r="BW38" s="602"/>
      <c r="BX38" s="602"/>
      <c r="BY38" s="602"/>
      <c r="BZ38" s="602"/>
      <c r="CA38" s="602"/>
      <c r="CB38" s="602"/>
      <c r="CC38" s="602"/>
      <c r="CD38" s="602"/>
      <c r="CE38" s="602"/>
      <c r="CF38" s="602"/>
      <c r="CG38" s="602"/>
      <c r="CH38" s="602"/>
      <c r="CI38" s="602"/>
      <c r="CJ38" s="602"/>
      <c r="CK38" s="602"/>
      <c r="CL38" s="602"/>
      <c r="CM38" s="602"/>
      <c r="CN38" s="602"/>
      <c r="CO38" s="602"/>
      <c r="CP38" s="602"/>
      <c r="CQ38" s="602"/>
      <c r="CR38" s="602"/>
      <c r="CS38" s="602"/>
      <c r="CT38" s="602"/>
      <c r="CU38" s="602"/>
      <c r="CV38" s="602"/>
      <c r="CW38" s="602"/>
      <c r="CX38" s="602"/>
      <c r="CY38" s="602"/>
      <c r="CZ38" s="602"/>
      <c r="DA38" s="602"/>
      <c r="DB38" s="602"/>
      <c r="DC38" s="602"/>
      <c r="DD38" s="602"/>
      <c r="DE38" s="602"/>
      <c r="DF38" s="602"/>
      <c r="DG38" s="602"/>
      <c r="DH38" s="602"/>
      <c r="DI38" s="602"/>
      <c r="DJ38" s="602"/>
      <c r="DK38" s="602"/>
      <c r="DL38" s="602"/>
      <c r="DM38" s="602"/>
      <c r="DN38" s="602"/>
      <c r="DO38" s="602"/>
      <c r="DP38" s="602"/>
      <c r="DQ38" s="602"/>
      <c r="DR38" s="602"/>
      <c r="DS38" s="602"/>
      <c r="DT38" s="602"/>
      <c r="DU38" s="602"/>
      <c r="DV38" s="602"/>
      <c r="DW38" s="602"/>
      <c r="DX38" s="602"/>
      <c r="DY38" s="602"/>
      <c r="DZ38" s="602"/>
      <c r="EA38" s="602"/>
      <c r="EB38" s="602"/>
      <c r="EC38" s="602"/>
      <c r="ED38" s="602"/>
      <c r="EE38" s="602"/>
      <c r="EF38" s="602"/>
      <c r="EG38" s="602"/>
      <c r="EH38" s="602"/>
      <c r="EI38" s="602"/>
      <c r="EJ38" s="602"/>
      <c r="EK38" s="602"/>
      <c r="EL38" s="602"/>
      <c r="EM38" s="602"/>
      <c r="EN38" s="602"/>
      <c r="EO38" s="602"/>
      <c r="EP38" s="602"/>
      <c r="EQ38" s="602"/>
      <c r="ER38" s="602"/>
      <c r="ES38" s="602"/>
      <c r="ET38" s="602"/>
      <c r="EU38" s="602"/>
      <c r="EV38" s="602"/>
      <c r="EW38" s="602"/>
      <c r="EX38" s="602"/>
      <c r="EY38" s="602"/>
      <c r="EZ38" s="602"/>
      <c r="FA38" s="602"/>
      <c r="FB38" s="602"/>
      <c r="FC38" s="602"/>
      <c r="FD38" s="602"/>
      <c r="FE38" s="602"/>
      <c r="FF38" s="602"/>
      <c r="FG38" s="602"/>
      <c r="FH38" s="602"/>
      <c r="FI38" s="602"/>
      <c r="FJ38" s="602"/>
      <c r="FK38" s="602"/>
      <c r="FL38" s="602"/>
      <c r="FM38" s="602"/>
      <c r="FN38" s="602"/>
      <c r="FO38" s="602"/>
      <c r="FP38" s="602"/>
      <c r="FQ38" s="602"/>
      <c r="FR38" s="602"/>
      <c r="FS38" s="602"/>
      <c r="FT38" s="602"/>
      <c r="FU38" s="602"/>
      <c r="FV38" s="602"/>
      <c r="FW38" s="602"/>
      <c r="FX38" s="602"/>
      <c r="FY38" s="602"/>
      <c r="FZ38" s="602"/>
      <c r="GA38" s="602"/>
      <c r="GB38" s="602"/>
      <c r="GC38" s="602"/>
      <c r="GD38" s="602"/>
      <c r="GE38" s="602"/>
      <c r="GF38" s="602"/>
      <c r="GG38" s="602"/>
      <c r="GH38" s="602"/>
      <c r="GI38" s="602"/>
      <c r="GJ38" s="602"/>
      <c r="GK38" s="602"/>
      <c r="GL38" s="602"/>
      <c r="GM38" s="602"/>
      <c r="GN38" s="602"/>
      <c r="GO38" s="602"/>
      <c r="GP38" s="602"/>
      <c r="GQ38" s="602"/>
      <c r="GR38" s="602"/>
      <c r="GS38" s="602"/>
      <c r="GT38" s="602"/>
      <c r="GU38" s="602"/>
      <c r="GV38" s="602"/>
      <c r="GW38" s="602"/>
      <c r="GX38" s="602"/>
      <c r="GY38" s="602"/>
      <c r="GZ38" s="602"/>
      <c r="HA38" s="602"/>
      <c r="HB38" s="602"/>
      <c r="HC38" s="602"/>
      <c r="HD38" s="602"/>
      <c r="HE38" s="602"/>
      <c r="HF38" s="602"/>
      <c r="HG38" s="602"/>
      <c r="HH38" s="602"/>
      <c r="HI38" s="602"/>
      <c r="HJ38" s="602"/>
      <c r="HK38" s="602"/>
      <c r="HL38" s="602"/>
      <c r="HM38" s="602"/>
      <c r="HN38" s="602"/>
      <c r="HO38" s="602"/>
      <c r="HP38" s="602"/>
      <c r="HQ38" s="602"/>
      <c r="HR38" s="602"/>
      <c r="HS38" s="602"/>
      <c r="HT38" s="602"/>
      <c r="HU38" s="602"/>
      <c r="HV38" s="602"/>
      <c r="HW38" s="602"/>
      <c r="HX38" s="602"/>
      <c r="HY38" s="602"/>
      <c r="HZ38" s="602"/>
      <c r="IA38" s="602"/>
      <c r="IB38" s="602"/>
      <c r="IC38" s="602"/>
      <c r="ID38" s="602"/>
      <c r="IE38" s="602"/>
      <c r="IF38" s="602"/>
      <c r="IG38" s="602"/>
      <c r="IH38" s="602"/>
      <c r="II38" s="602"/>
      <c r="IJ38" s="602"/>
      <c r="IK38" s="602"/>
      <c r="IL38" s="602"/>
      <c r="IM38" s="602"/>
      <c r="IN38" s="602"/>
      <c r="IO38" s="602"/>
      <c r="IP38" s="602"/>
      <c r="IQ38" s="602"/>
      <c r="IR38" s="602"/>
      <c r="IS38" s="602"/>
      <c r="IT38" s="602"/>
    </row>
    <row r="39" spans="1:254" s="199" customFormat="1" ht="16.5" customHeight="1" thickBot="1" x14ac:dyDescent="0.4">
      <c r="A39" s="197"/>
      <c r="B39" s="197"/>
      <c r="C39" s="215">
        <f ca="1">SUM(C41:C47)</f>
        <v>310240.16666666663</v>
      </c>
      <c r="D39" s="215">
        <f ca="1">SUM(D41:D47)</f>
        <v>372288.2</v>
      </c>
      <c r="E39" s="197"/>
      <c r="F39" s="197"/>
      <c r="G39" s="197"/>
      <c r="I39" s="197"/>
      <c r="J39" s="198"/>
      <c r="K39" s="198"/>
      <c r="L39" s="198"/>
      <c r="M39" s="198"/>
      <c r="N39" s="198"/>
      <c r="O39" s="198"/>
      <c r="P39" s="198"/>
      <c r="Q39" s="198"/>
      <c r="R39" s="198"/>
      <c r="S39" s="198"/>
      <c r="T39" s="198"/>
      <c r="U39" s="198"/>
      <c r="V39" s="198"/>
      <c r="W39" s="198"/>
      <c r="X39" s="198"/>
      <c r="Y39" s="198"/>
      <c r="Z39" s="198"/>
      <c r="AA39" s="198"/>
      <c r="AB39" s="198"/>
      <c r="AC39" s="198"/>
      <c r="AD39" s="198"/>
      <c r="AE39" s="198"/>
      <c r="AF39" s="198"/>
      <c r="AG39" s="198"/>
      <c r="AH39" s="198"/>
      <c r="AI39" s="198"/>
      <c r="AJ39" s="198"/>
      <c r="AK39" s="198"/>
      <c r="AL39" s="198"/>
      <c r="AM39" s="198"/>
      <c r="AN39" s="198"/>
      <c r="AO39" s="198"/>
      <c r="AP39" s="198"/>
      <c r="AQ39" s="198"/>
      <c r="AR39" s="198"/>
      <c r="AS39" s="198"/>
      <c r="AT39" s="198"/>
      <c r="AU39" s="198"/>
      <c r="AV39" s="198"/>
      <c r="AW39" s="198"/>
      <c r="AX39" s="198"/>
      <c r="AY39" s="198"/>
      <c r="AZ39" s="198"/>
      <c r="BA39" s="198"/>
      <c r="BB39" s="198"/>
      <c r="BC39" s="198"/>
      <c r="BD39" s="198"/>
      <c r="BE39" s="198"/>
      <c r="BF39" s="198"/>
      <c r="BG39" s="198"/>
      <c r="BH39" s="198"/>
      <c r="BI39" s="198"/>
      <c r="BJ39" s="198"/>
      <c r="BK39" s="198"/>
      <c r="BL39" s="198"/>
      <c r="BM39" s="198"/>
      <c r="BN39" s="198"/>
      <c r="BO39" s="198"/>
      <c r="BP39" s="198"/>
      <c r="BQ39" s="198"/>
      <c r="BR39" s="198"/>
      <c r="BS39" s="198"/>
      <c r="BT39" s="198"/>
      <c r="BU39" s="198"/>
      <c r="BV39" s="198"/>
      <c r="BW39" s="198"/>
      <c r="BX39" s="198"/>
      <c r="BY39" s="198"/>
      <c r="BZ39" s="198"/>
      <c r="CA39" s="198"/>
      <c r="CB39" s="198"/>
      <c r="CC39" s="198"/>
      <c r="CD39" s="198"/>
      <c r="CE39" s="198"/>
      <c r="CF39" s="198"/>
      <c r="CG39" s="198"/>
      <c r="CH39" s="198"/>
      <c r="CI39" s="198"/>
      <c r="CJ39" s="198"/>
      <c r="CK39" s="198"/>
      <c r="CL39" s="198"/>
      <c r="CM39" s="198"/>
      <c r="CN39" s="198"/>
      <c r="CO39" s="198"/>
      <c r="CP39" s="198"/>
      <c r="CQ39" s="198"/>
      <c r="CR39" s="198"/>
      <c r="CS39" s="198"/>
      <c r="CT39" s="198"/>
      <c r="CU39" s="198"/>
      <c r="CV39" s="198"/>
      <c r="CW39" s="198"/>
      <c r="CX39" s="198"/>
      <c r="CY39" s="198"/>
      <c r="CZ39" s="198"/>
      <c r="DA39" s="198"/>
      <c r="DB39" s="198"/>
      <c r="DC39" s="198"/>
      <c r="DD39" s="198"/>
      <c r="DE39" s="198"/>
      <c r="DF39" s="198"/>
      <c r="DG39" s="198"/>
      <c r="DH39" s="198"/>
      <c r="DI39" s="198"/>
      <c r="DJ39" s="198"/>
      <c r="DK39" s="198"/>
      <c r="DL39" s="198"/>
      <c r="DM39" s="198"/>
      <c r="DN39" s="198"/>
      <c r="DO39" s="198"/>
      <c r="DP39" s="198"/>
      <c r="DQ39" s="198"/>
      <c r="DR39" s="198"/>
      <c r="DS39" s="198"/>
      <c r="DT39" s="198"/>
      <c r="DU39" s="198"/>
      <c r="DV39" s="198"/>
      <c r="DW39" s="198"/>
      <c r="DX39" s="198"/>
      <c r="DY39" s="198"/>
      <c r="DZ39" s="198"/>
      <c r="EA39" s="198"/>
      <c r="EB39" s="198"/>
      <c r="EC39" s="198"/>
      <c r="ED39" s="198"/>
      <c r="EE39" s="198"/>
      <c r="EF39" s="198"/>
      <c r="EG39" s="198"/>
      <c r="EH39" s="198"/>
      <c r="EI39" s="198"/>
      <c r="EJ39" s="198"/>
      <c r="EK39" s="198"/>
      <c r="EL39" s="198"/>
      <c r="EM39" s="198"/>
      <c r="EN39" s="198"/>
      <c r="EO39" s="198"/>
      <c r="EP39" s="198"/>
      <c r="EQ39" s="198"/>
      <c r="ER39" s="198"/>
      <c r="ES39" s="198"/>
      <c r="ET39" s="198"/>
      <c r="EU39" s="198"/>
      <c r="EV39" s="198"/>
      <c r="EW39" s="198"/>
      <c r="EX39" s="198"/>
      <c r="EY39" s="198"/>
      <c r="EZ39" s="198"/>
      <c r="FA39" s="198"/>
      <c r="FB39" s="198"/>
      <c r="FC39" s="198"/>
      <c r="FD39" s="198"/>
      <c r="FE39" s="198"/>
      <c r="FF39" s="198"/>
      <c r="FG39" s="198"/>
      <c r="FH39" s="198"/>
      <c r="FI39" s="198"/>
      <c r="FJ39" s="198"/>
      <c r="FK39" s="198"/>
      <c r="FL39" s="198"/>
      <c r="FM39" s="198"/>
      <c r="FN39" s="198"/>
      <c r="FO39" s="198"/>
      <c r="FP39" s="198"/>
      <c r="FQ39" s="198"/>
      <c r="FR39" s="198"/>
      <c r="FS39" s="198"/>
      <c r="FT39" s="198"/>
      <c r="FU39" s="198"/>
      <c r="FV39" s="198"/>
      <c r="FW39" s="198"/>
      <c r="FX39" s="198"/>
      <c r="FY39" s="198"/>
      <c r="FZ39" s="198"/>
      <c r="GA39" s="198"/>
      <c r="GB39" s="198"/>
      <c r="GC39" s="198"/>
      <c r="GD39" s="198"/>
      <c r="GE39" s="198"/>
      <c r="GF39" s="198"/>
      <c r="GG39" s="198"/>
      <c r="GH39" s="198"/>
      <c r="GI39" s="198"/>
      <c r="GJ39" s="198"/>
      <c r="GK39" s="198"/>
      <c r="GL39" s="198"/>
      <c r="GM39" s="198"/>
      <c r="GN39" s="198"/>
      <c r="GO39" s="198"/>
      <c r="GP39" s="198"/>
      <c r="GQ39" s="198"/>
      <c r="GR39" s="198"/>
      <c r="GS39" s="198"/>
      <c r="GT39" s="198"/>
      <c r="GU39" s="198"/>
      <c r="GV39" s="198"/>
      <c r="GW39" s="198"/>
      <c r="GX39" s="198"/>
      <c r="GY39" s="198"/>
      <c r="GZ39" s="198"/>
      <c r="HA39" s="198"/>
      <c r="HB39" s="198"/>
      <c r="HC39" s="198"/>
      <c r="HD39" s="198"/>
      <c r="HE39" s="198"/>
      <c r="HF39" s="198"/>
      <c r="HG39" s="198"/>
      <c r="HH39" s="198"/>
      <c r="HI39" s="198"/>
      <c r="HJ39" s="198"/>
      <c r="HK39" s="198"/>
      <c r="HL39" s="198"/>
      <c r="HM39" s="198"/>
      <c r="HN39" s="198"/>
      <c r="HO39" s="198"/>
      <c r="HP39" s="198"/>
      <c r="HQ39" s="198"/>
      <c r="HR39" s="198"/>
      <c r="HS39" s="198"/>
      <c r="HT39" s="198"/>
      <c r="HU39" s="198"/>
      <c r="HV39" s="198"/>
      <c r="HW39" s="198"/>
      <c r="HX39" s="198"/>
      <c r="HY39" s="198"/>
      <c r="HZ39" s="198"/>
      <c r="IA39" s="198"/>
      <c r="IB39" s="198"/>
      <c r="IC39" s="198"/>
      <c r="ID39" s="198"/>
      <c r="IE39" s="198"/>
      <c r="IF39" s="198"/>
      <c r="IG39" s="198"/>
      <c r="IH39" s="198"/>
      <c r="II39" s="198"/>
      <c r="IJ39" s="198"/>
      <c r="IK39" s="198"/>
      <c r="IL39" s="198"/>
      <c r="IM39" s="198"/>
      <c r="IN39" s="198"/>
      <c r="IO39" s="198"/>
      <c r="IP39" s="198"/>
      <c r="IQ39" s="198"/>
      <c r="IR39" s="198"/>
      <c r="IS39" s="198"/>
      <c r="IT39" s="198"/>
    </row>
    <row r="40" spans="1:254" ht="12.75" customHeight="1" thickTop="1" x14ac:dyDescent="0.2"/>
    <row r="41" spans="1:254" x14ac:dyDescent="0.2">
      <c r="A41" s="71" t="s">
        <v>377</v>
      </c>
      <c r="B41" s="110"/>
      <c r="C41" s="209">
        <f ca="1">РГО!B5</f>
        <v>61500</v>
      </c>
      <c r="D41" s="209">
        <f t="shared" ref="D41:D47" ca="1" si="0">C41*1.2</f>
        <v>73800</v>
      </c>
    </row>
    <row r="42" spans="1:254" x14ac:dyDescent="0.2">
      <c r="A42" t="str">
        <f>CONCATENATE("Цепи (",РГО!B7," м.п.)")</f>
        <v>Цепи (9 м.п.)</v>
      </c>
      <c r="B42" s="4"/>
      <c r="C42" s="209">
        <f>РГО!B8</f>
        <v>48600</v>
      </c>
      <c r="D42" s="209">
        <f t="shared" si="0"/>
        <v>58320</v>
      </c>
    </row>
    <row r="43" spans="1:254" x14ac:dyDescent="0.2">
      <c r="A43" t="s">
        <v>175</v>
      </c>
      <c r="B43" s="4"/>
      <c r="C43" s="209">
        <f ca="1">РГО!B10</f>
        <v>70020</v>
      </c>
      <c r="D43" s="209">
        <f t="shared" ca="1" si="0"/>
        <v>84024</v>
      </c>
    </row>
    <row r="44" spans="1:254" x14ac:dyDescent="0.2">
      <c r="A44" t="s">
        <v>460</v>
      </c>
      <c r="B44" s="4"/>
      <c r="C44" s="209">
        <f>РГО!B11</f>
        <v>8000</v>
      </c>
      <c r="D44" s="209">
        <f t="shared" si="0"/>
        <v>9600</v>
      </c>
    </row>
    <row r="45" spans="1:254" x14ac:dyDescent="0.2">
      <c r="A45" t="s">
        <v>389</v>
      </c>
      <c r="B45" s="4"/>
      <c r="C45" s="209">
        <f>РГО!B12</f>
        <v>15233.166666666668</v>
      </c>
      <c r="D45" s="209">
        <f t="shared" si="0"/>
        <v>18279.8</v>
      </c>
    </row>
    <row r="46" spans="1:254" x14ac:dyDescent="0.2">
      <c r="A46" t="s">
        <v>190</v>
      </c>
      <c r="B46" s="4"/>
      <c r="C46" s="209">
        <f ca="1">IF(D26="Да",РГО!B86,0)</f>
        <v>97850</v>
      </c>
      <c r="D46" s="209">
        <f t="shared" ca="1" si="0"/>
        <v>117420</v>
      </c>
    </row>
    <row r="47" spans="1:254" x14ac:dyDescent="0.2">
      <c r="A47" t="s">
        <v>90</v>
      </c>
      <c r="B47" s="194">
        <f>Параметры!B5</f>
        <v>0.03</v>
      </c>
      <c r="C47" s="209">
        <f ca="1">ROUNDUP(SUM(C41:C46)*B47,0)</f>
        <v>9037</v>
      </c>
      <c r="D47" s="209">
        <f t="shared" ca="1" si="0"/>
        <v>10844.4</v>
      </c>
    </row>
    <row r="48" spans="1:254" x14ac:dyDescent="0.2">
      <c r="B48" s="194"/>
      <c r="C48" s="218"/>
      <c r="D48" s="218"/>
    </row>
    <row r="49" spans="1:254" s="204" customFormat="1" ht="16.5" customHeight="1" x14ac:dyDescent="0.35">
      <c r="A49" s="202" t="s">
        <v>193</v>
      </c>
      <c r="B49" s="202"/>
      <c r="C49" s="214">
        <f ca="1">MROUND(C31+C39,1)</f>
        <v>528246</v>
      </c>
      <c r="D49" s="214">
        <f ca="1">C49*1.2</f>
        <v>633895.19999999995</v>
      </c>
      <c r="E49" s="202"/>
      <c r="F49" s="202"/>
      <c r="G49" s="202"/>
      <c r="H49" s="202"/>
      <c r="I49" s="202"/>
      <c r="J49" s="601"/>
      <c r="K49" s="601"/>
      <c r="L49" s="601"/>
      <c r="M49" s="601"/>
      <c r="N49" s="601"/>
      <c r="O49" s="601"/>
      <c r="P49" s="601"/>
      <c r="Q49" s="601"/>
      <c r="R49" s="601"/>
      <c r="S49" s="601"/>
      <c r="T49" s="601"/>
      <c r="U49" s="601"/>
      <c r="V49" s="601"/>
      <c r="W49" s="601"/>
      <c r="X49" s="601"/>
      <c r="Y49" s="601"/>
      <c r="Z49" s="601"/>
      <c r="AA49" s="601"/>
      <c r="AB49" s="601"/>
      <c r="AC49" s="601"/>
      <c r="AD49" s="601"/>
      <c r="AE49" s="601"/>
      <c r="AF49" s="601"/>
      <c r="AG49" s="601"/>
      <c r="AH49" s="601"/>
      <c r="AI49" s="601"/>
      <c r="AJ49" s="601"/>
      <c r="AK49" s="601"/>
      <c r="AL49" s="601"/>
      <c r="AM49" s="601"/>
      <c r="AN49" s="601"/>
      <c r="AO49" s="601"/>
      <c r="AP49" s="601"/>
      <c r="AQ49" s="601"/>
      <c r="AR49" s="601"/>
      <c r="AS49" s="601"/>
      <c r="AT49" s="601"/>
      <c r="AU49" s="601"/>
      <c r="AV49" s="601"/>
      <c r="AW49" s="601"/>
      <c r="AX49" s="601"/>
      <c r="AY49" s="601"/>
      <c r="AZ49" s="601"/>
      <c r="BA49" s="601"/>
      <c r="BB49" s="601"/>
      <c r="BC49" s="601"/>
      <c r="BD49" s="601"/>
      <c r="BE49" s="601"/>
      <c r="BF49" s="601"/>
      <c r="BG49" s="601"/>
      <c r="BH49" s="601"/>
      <c r="BI49" s="601"/>
      <c r="BJ49" s="601"/>
      <c r="BK49" s="601"/>
      <c r="BL49" s="601"/>
      <c r="BM49" s="601"/>
      <c r="BN49" s="601"/>
      <c r="BO49" s="601"/>
      <c r="BP49" s="601"/>
      <c r="BQ49" s="601"/>
      <c r="BR49" s="601"/>
      <c r="BS49" s="601"/>
      <c r="BT49" s="601"/>
      <c r="BU49" s="601"/>
      <c r="BV49" s="601"/>
      <c r="BW49" s="601"/>
      <c r="BX49" s="601"/>
      <c r="BY49" s="601"/>
      <c r="BZ49" s="601"/>
      <c r="CA49" s="601"/>
      <c r="CB49" s="601"/>
      <c r="CC49" s="601"/>
      <c r="CD49" s="601"/>
      <c r="CE49" s="601"/>
      <c r="CF49" s="601"/>
      <c r="CG49" s="601"/>
      <c r="CH49" s="601"/>
      <c r="CI49" s="601"/>
      <c r="CJ49" s="601"/>
      <c r="CK49" s="601"/>
      <c r="CL49" s="601"/>
      <c r="CM49" s="601"/>
      <c r="CN49" s="601"/>
      <c r="CO49" s="601"/>
      <c r="CP49" s="601"/>
      <c r="CQ49" s="601"/>
      <c r="CR49" s="601"/>
      <c r="CS49" s="601"/>
      <c r="CT49" s="601"/>
      <c r="CU49" s="601"/>
      <c r="CV49" s="601"/>
      <c r="CW49" s="601"/>
      <c r="CX49" s="601"/>
      <c r="CY49" s="601"/>
      <c r="CZ49" s="601"/>
      <c r="DA49" s="601"/>
      <c r="DB49" s="601"/>
      <c r="DC49" s="601"/>
      <c r="DD49" s="601"/>
      <c r="DE49" s="601"/>
      <c r="DF49" s="601"/>
      <c r="DG49" s="601"/>
      <c r="DH49" s="601"/>
      <c r="DI49" s="601"/>
      <c r="DJ49" s="601"/>
      <c r="DK49" s="601"/>
      <c r="DL49" s="601"/>
      <c r="DM49" s="601"/>
      <c r="DN49" s="601"/>
      <c r="DO49" s="601"/>
      <c r="DP49" s="601"/>
      <c r="DQ49" s="601"/>
      <c r="DR49" s="601"/>
      <c r="DS49" s="601"/>
      <c r="DT49" s="601"/>
      <c r="DU49" s="601"/>
      <c r="DV49" s="601"/>
      <c r="DW49" s="601"/>
      <c r="DX49" s="601"/>
      <c r="DY49" s="601"/>
      <c r="DZ49" s="601"/>
      <c r="EA49" s="601"/>
      <c r="EB49" s="601"/>
      <c r="EC49" s="601"/>
      <c r="ED49" s="601"/>
      <c r="EE49" s="601"/>
      <c r="EF49" s="601"/>
      <c r="EG49" s="601"/>
      <c r="EH49" s="601"/>
      <c r="EI49" s="601"/>
      <c r="EJ49" s="601"/>
      <c r="EK49" s="601"/>
      <c r="EL49" s="601"/>
      <c r="EM49" s="601"/>
      <c r="EN49" s="601"/>
      <c r="EO49" s="601"/>
      <c r="EP49" s="601"/>
      <c r="EQ49" s="601"/>
      <c r="ER49" s="601"/>
      <c r="ES49" s="601"/>
      <c r="ET49" s="601"/>
      <c r="EU49" s="601"/>
      <c r="EV49" s="601"/>
      <c r="EW49" s="601"/>
      <c r="EX49" s="601"/>
      <c r="EY49" s="601"/>
      <c r="EZ49" s="601"/>
      <c r="FA49" s="601"/>
      <c r="FB49" s="601"/>
      <c r="FC49" s="601"/>
      <c r="FD49" s="601"/>
      <c r="FE49" s="601"/>
      <c r="FF49" s="601"/>
      <c r="FG49" s="601"/>
      <c r="FH49" s="601"/>
      <c r="FI49" s="601"/>
      <c r="FJ49" s="601"/>
      <c r="FK49" s="601"/>
      <c r="FL49" s="601"/>
      <c r="FM49" s="601"/>
      <c r="FN49" s="601"/>
      <c r="FO49" s="601"/>
      <c r="FP49" s="601"/>
      <c r="FQ49" s="601"/>
      <c r="FR49" s="601"/>
      <c r="FS49" s="601"/>
      <c r="FT49" s="601"/>
      <c r="FU49" s="601"/>
      <c r="FV49" s="601"/>
      <c r="FW49" s="601"/>
      <c r="FX49" s="601"/>
      <c r="FY49" s="601"/>
      <c r="FZ49" s="601"/>
      <c r="GA49" s="601"/>
      <c r="GB49" s="601"/>
      <c r="GC49" s="601"/>
      <c r="GD49" s="601"/>
      <c r="GE49" s="601"/>
      <c r="GF49" s="601"/>
      <c r="GG49" s="601"/>
      <c r="GH49" s="601"/>
      <c r="GI49" s="601"/>
      <c r="GJ49" s="601"/>
      <c r="GK49" s="601"/>
      <c r="GL49" s="601"/>
      <c r="GM49" s="601"/>
      <c r="GN49" s="601"/>
      <c r="GO49" s="601"/>
      <c r="GP49" s="601"/>
      <c r="GQ49" s="601"/>
      <c r="GR49" s="601"/>
      <c r="GS49" s="601"/>
      <c r="GT49" s="601"/>
      <c r="GU49" s="601"/>
      <c r="GV49" s="601"/>
      <c r="GW49" s="601"/>
      <c r="GX49" s="601"/>
      <c r="GY49" s="601"/>
      <c r="GZ49" s="601"/>
      <c r="HA49" s="601"/>
      <c r="HB49" s="601"/>
      <c r="HC49" s="601"/>
      <c r="HD49" s="601"/>
      <c r="HE49" s="601"/>
      <c r="HF49" s="601"/>
      <c r="HG49" s="601"/>
      <c r="HH49" s="601"/>
      <c r="HI49" s="601"/>
      <c r="HJ49" s="601"/>
      <c r="HK49" s="601"/>
      <c r="HL49" s="601"/>
      <c r="HM49" s="601"/>
      <c r="HN49" s="601"/>
      <c r="HO49" s="601"/>
      <c r="HP49" s="601"/>
      <c r="HQ49" s="601"/>
      <c r="HR49" s="601"/>
      <c r="HS49" s="601"/>
      <c r="HT49" s="601"/>
      <c r="HU49" s="601"/>
      <c r="HV49" s="601"/>
      <c r="HW49" s="601"/>
      <c r="HX49" s="601"/>
      <c r="HY49" s="601"/>
      <c r="HZ49" s="601"/>
      <c r="IA49" s="601"/>
      <c r="IB49" s="601"/>
      <c r="IC49" s="601"/>
      <c r="ID49" s="601"/>
      <c r="IE49" s="601"/>
      <c r="IF49" s="601"/>
      <c r="IG49" s="601"/>
      <c r="IH49" s="601"/>
      <c r="II49" s="601"/>
      <c r="IJ49" s="601"/>
      <c r="IK49" s="601"/>
      <c r="IL49" s="601"/>
      <c r="IM49" s="601"/>
      <c r="IN49" s="601"/>
      <c r="IO49" s="601"/>
      <c r="IP49" s="601"/>
      <c r="IQ49" s="601"/>
      <c r="IR49" s="601"/>
      <c r="IS49" s="601"/>
      <c r="IT49" s="601"/>
    </row>
    <row r="50" spans="1:254" x14ac:dyDescent="0.2">
      <c r="C50" s="186"/>
      <c r="D50" s="186"/>
    </row>
    <row r="51" spans="1:254" s="201" customFormat="1" ht="16.5" customHeight="1" x14ac:dyDescent="0.35">
      <c r="A51" s="200" t="s">
        <v>207</v>
      </c>
      <c r="B51" s="200"/>
      <c r="E51" s="200"/>
      <c r="F51" s="200"/>
      <c r="G51" s="200"/>
      <c r="H51" s="200"/>
      <c r="I51" s="200"/>
      <c r="J51" s="602"/>
      <c r="K51" s="602"/>
      <c r="L51" s="602"/>
      <c r="M51" s="602"/>
      <c r="N51" s="602"/>
      <c r="O51" s="602"/>
      <c r="P51" s="602"/>
      <c r="Q51" s="602"/>
      <c r="R51" s="602"/>
      <c r="S51" s="602"/>
      <c r="T51" s="602"/>
      <c r="U51" s="602"/>
      <c r="V51" s="602"/>
      <c r="W51" s="602"/>
      <c r="X51" s="602"/>
      <c r="Y51" s="602"/>
      <c r="Z51" s="602"/>
      <c r="AA51" s="602"/>
      <c r="AB51" s="602"/>
      <c r="AC51" s="602"/>
      <c r="AD51" s="602"/>
      <c r="AE51" s="602"/>
      <c r="AF51" s="602"/>
      <c r="AG51" s="602"/>
      <c r="AH51" s="602"/>
      <c r="AI51" s="602"/>
      <c r="AJ51" s="602"/>
      <c r="AK51" s="602"/>
      <c r="AL51" s="602"/>
      <c r="AM51" s="602"/>
      <c r="AN51" s="602"/>
      <c r="AO51" s="602"/>
      <c r="AP51" s="602"/>
      <c r="AQ51" s="602"/>
      <c r="AR51" s="602"/>
      <c r="AS51" s="602"/>
      <c r="AT51" s="602"/>
      <c r="AU51" s="602"/>
      <c r="AV51" s="602"/>
      <c r="AW51" s="602"/>
      <c r="AX51" s="602"/>
      <c r="AY51" s="602"/>
      <c r="AZ51" s="602"/>
      <c r="BA51" s="602"/>
      <c r="BB51" s="602"/>
      <c r="BC51" s="602"/>
      <c r="BD51" s="602"/>
      <c r="BE51" s="602"/>
      <c r="BF51" s="602"/>
      <c r="BG51" s="602"/>
      <c r="BH51" s="602"/>
      <c r="BI51" s="602"/>
      <c r="BJ51" s="602"/>
      <c r="BK51" s="602"/>
      <c r="BL51" s="602"/>
      <c r="BM51" s="602"/>
      <c r="BN51" s="602"/>
      <c r="BO51" s="602"/>
      <c r="BP51" s="602"/>
      <c r="BQ51" s="602"/>
      <c r="BR51" s="602"/>
      <c r="BS51" s="602"/>
      <c r="BT51" s="602"/>
      <c r="BU51" s="602"/>
      <c r="BV51" s="602"/>
      <c r="BW51" s="602"/>
      <c r="BX51" s="602"/>
      <c r="BY51" s="602"/>
      <c r="BZ51" s="602"/>
      <c r="CA51" s="602"/>
      <c r="CB51" s="602"/>
      <c r="CC51" s="602"/>
      <c r="CD51" s="602"/>
      <c r="CE51" s="602"/>
      <c r="CF51" s="602"/>
      <c r="CG51" s="602"/>
      <c r="CH51" s="602"/>
      <c r="CI51" s="602"/>
      <c r="CJ51" s="602"/>
      <c r="CK51" s="602"/>
      <c r="CL51" s="602"/>
      <c r="CM51" s="602"/>
      <c r="CN51" s="602"/>
      <c r="CO51" s="602"/>
      <c r="CP51" s="602"/>
      <c r="CQ51" s="602"/>
      <c r="CR51" s="602"/>
      <c r="CS51" s="602"/>
      <c r="CT51" s="602"/>
      <c r="CU51" s="602"/>
      <c r="CV51" s="602"/>
      <c r="CW51" s="602"/>
      <c r="CX51" s="602"/>
      <c r="CY51" s="602"/>
      <c r="CZ51" s="602"/>
      <c r="DA51" s="602"/>
      <c r="DB51" s="602"/>
      <c r="DC51" s="602"/>
      <c r="DD51" s="602"/>
      <c r="DE51" s="602"/>
      <c r="DF51" s="602"/>
      <c r="DG51" s="602"/>
      <c r="DH51" s="602"/>
      <c r="DI51" s="602"/>
      <c r="DJ51" s="602"/>
      <c r="DK51" s="602"/>
      <c r="DL51" s="602"/>
      <c r="DM51" s="602"/>
      <c r="DN51" s="602"/>
      <c r="DO51" s="602"/>
      <c r="DP51" s="602"/>
      <c r="DQ51" s="602"/>
      <c r="DR51" s="602"/>
      <c r="DS51" s="602"/>
      <c r="DT51" s="602"/>
      <c r="DU51" s="602"/>
      <c r="DV51" s="602"/>
      <c r="DW51" s="602"/>
      <c r="DX51" s="602"/>
      <c r="DY51" s="602"/>
      <c r="DZ51" s="602"/>
      <c r="EA51" s="602"/>
      <c r="EB51" s="602"/>
      <c r="EC51" s="602"/>
      <c r="ED51" s="602"/>
      <c r="EE51" s="602"/>
      <c r="EF51" s="602"/>
      <c r="EG51" s="602"/>
      <c r="EH51" s="602"/>
      <c r="EI51" s="602"/>
      <c r="EJ51" s="602"/>
      <c r="EK51" s="602"/>
      <c r="EL51" s="602"/>
      <c r="EM51" s="602"/>
      <c r="EN51" s="602"/>
      <c r="EO51" s="602"/>
      <c r="EP51" s="602"/>
      <c r="EQ51" s="602"/>
      <c r="ER51" s="602"/>
      <c r="ES51" s="602"/>
      <c r="ET51" s="602"/>
      <c r="EU51" s="602"/>
      <c r="EV51" s="602"/>
      <c r="EW51" s="602"/>
      <c r="EX51" s="602"/>
      <c r="EY51" s="602"/>
      <c r="EZ51" s="602"/>
      <c r="FA51" s="602"/>
      <c r="FB51" s="602"/>
      <c r="FC51" s="602"/>
      <c r="FD51" s="602"/>
      <c r="FE51" s="602"/>
      <c r="FF51" s="602"/>
      <c r="FG51" s="602"/>
      <c r="FH51" s="602"/>
      <c r="FI51" s="602"/>
      <c r="FJ51" s="602"/>
      <c r="FK51" s="602"/>
      <c r="FL51" s="602"/>
      <c r="FM51" s="602"/>
      <c r="FN51" s="602"/>
      <c r="FO51" s="602"/>
      <c r="FP51" s="602"/>
      <c r="FQ51" s="602"/>
      <c r="FR51" s="602"/>
      <c r="FS51" s="602"/>
      <c r="FT51" s="602"/>
      <c r="FU51" s="602"/>
      <c r="FV51" s="602"/>
      <c r="FW51" s="602"/>
      <c r="FX51" s="602"/>
      <c r="FY51" s="602"/>
      <c r="FZ51" s="602"/>
      <c r="GA51" s="602"/>
      <c r="GB51" s="602"/>
      <c r="GC51" s="602"/>
      <c r="GD51" s="602"/>
      <c r="GE51" s="602"/>
      <c r="GF51" s="602"/>
      <c r="GG51" s="602"/>
      <c r="GH51" s="602"/>
      <c r="GI51" s="602"/>
      <c r="GJ51" s="602"/>
      <c r="GK51" s="602"/>
      <c r="GL51" s="602"/>
      <c r="GM51" s="602"/>
      <c r="GN51" s="602"/>
      <c r="GO51" s="602"/>
      <c r="GP51" s="602"/>
      <c r="GQ51" s="602"/>
      <c r="GR51" s="602"/>
      <c r="GS51" s="602"/>
      <c r="GT51" s="602"/>
      <c r="GU51" s="602"/>
      <c r="GV51" s="602"/>
      <c r="GW51" s="602"/>
      <c r="GX51" s="602"/>
      <c r="GY51" s="602"/>
      <c r="GZ51" s="602"/>
      <c r="HA51" s="602"/>
      <c r="HB51" s="602"/>
      <c r="HC51" s="602"/>
      <c r="HD51" s="602"/>
      <c r="HE51" s="602"/>
      <c r="HF51" s="602"/>
      <c r="HG51" s="602"/>
      <c r="HH51" s="602"/>
      <c r="HI51" s="602"/>
      <c r="HJ51" s="602"/>
      <c r="HK51" s="602"/>
      <c r="HL51" s="602"/>
      <c r="HM51" s="602"/>
      <c r="HN51" s="602"/>
      <c r="HO51" s="602"/>
      <c r="HP51" s="602"/>
      <c r="HQ51" s="602"/>
      <c r="HR51" s="602"/>
      <c r="HS51" s="602"/>
      <c r="HT51" s="602"/>
      <c r="HU51" s="602"/>
      <c r="HV51" s="602"/>
      <c r="HW51" s="602"/>
      <c r="HX51" s="602"/>
      <c r="HY51" s="602"/>
      <c r="HZ51" s="602"/>
      <c r="IA51" s="602"/>
      <c r="IB51" s="602"/>
      <c r="IC51" s="602"/>
      <c r="ID51" s="602"/>
      <c r="IE51" s="602"/>
      <c r="IF51" s="602"/>
      <c r="IG51" s="602"/>
      <c r="IH51" s="602"/>
      <c r="II51" s="602"/>
      <c r="IJ51" s="602"/>
      <c r="IK51" s="602"/>
      <c r="IL51" s="602"/>
      <c r="IM51" s="602"/>
      <c r="IN51" s="602"/>
      <c r="IO51" s="602"/>
      <c r="IP51" s="602"/>
      <c r="IQ51" s="602"/>
      <c r="IR51" s="602"/>
      <c r="IS51" s="602"/>
      <c r="IT51" s="602"/>
    </row>
    <row r="52" spans="1:254" ht="12.75" customHeight="1" thickBot="1" x14ac:dyDescent="0.25"/>
    <row r="53" spans="1:254" x14ac:dyDescent="0.2">
      <c r="A53" s="219" t="s">
        <v>208</v>
      </c>
      <c r="B53" s="220">
        <v>1.9</v>
      </c>
      <c r="C53" s="221">
        <f ca="1">ROUNDUP($C$49*B53,0)</f>
        <v>1003668</v>
      </c>
      <c r="D53" s="222">
        <f ca="1">ROUNDUP(D49*B53,0)</f>
        <v>1204401</v>
      </c>
      <c r="E53" t="s">
        <v>200</v>
      </c>
      <c r="K53" s="223"/>
    </row>
    <row r="54" spans="1:254" x14ac:dyDescent="0.2">
      <c r="A54" s="7"/>
      <c r="B54" s="224" t="s">
        <v>267</v>
      </c>
      <c r="C54" s="3"/>
      <c r="D54" s="225"/>
      <c r="E54" s="226"/>
    </row>
    <row r="55" spans="1:254" x14ac:dyDescent="0.2">
      <c r="A55" s="227" t="s">
        <v>201</v>
      </c>
      <c r="B55" s="177"/>
      <c r="C55" s="218">
        <f>D55/120*100</f>
        <v>0</v>
      </c>
      <c r="D55" s="228">
        <v>0</v>
      </c>
    </row>
    <row r="56" spans="1:254" x14ac:dyDescent="0.2">
      <c r="A56" s="7"/>
      <c r="B56" s="224"/>
      <c r="C56" s="3"/>
      <c r="D56" s="225"/>
      <c r="E56" s="226"/>
    </row>
    <row r="57" spans="1:254" ht="25.5" x14ac:dyDescent="0.2">
      <c r="A57" s="229" t="s">
        <v>202</v>
      </c>
      <c r="B57" s="224"/>
      <c r="C57" s="230">
        <f ca="1">C53+C55</f>
        <v>1003668</v>
      </c>
      <c r="D57" s="225">
        <f ca="1">D53+D55</f>
        <v>1204401</v>
      </c>
      <c r="E57" s="226"/>
    </row>
    <row r="58" spans="1:254" ht="13.5" thickBot="1" x14ac:dyDescent="0.25">
      <c r="A58" s="187" t="s">
        <v>203</v>
      </c>
      <c r="B58" s="231"/>
      <c r="C58" s="232">
        <f ca="1">C57-C55-C49</f>
        <v>475422</v>
      </c>
      <c r="D58" s="233">
        <f ca="1">D57-D55-D49</f>
        <v>570505.80000000005</v>
      </c>
      <c r="E58" s="226"/>
    </row>
    <row r="59" spans="1:254" ht="13.5" thickBot="1" x14ac:dyDescent="0.25">
      <c r="E59" s="223"/>
    </row>
    <row r="60" spans="1:254" ht="38.25" x14ac:dyDescent="0.2">
      <c r="A60" s="219" t="s">
        <v>204</v>
      </c>
      <c r="B60" s="234">
        <v>0</v>
      </c>
      <c r="C60" s="235">
        <f ca="1">C62*B60</f>
        <v>0</v>
      </c>
      <c r="D60" s="236">
        <f ca="1">D62*B60</f>
        <v>0</v>
      </c>
    </row>
    <row r="61" spans="1:254" ht="25.5" hidden="1" x14ac:dyDescent="0.2">
      <c r="A61" s="229" t="s">
        <v>196</v>
      </c>
      <c r="B61" s="237">
        <v>0.25</v>
      </c>
      <c r="C61" s="238">
        <f ca="1">C60*B61</f>
        <v>0</v>
      </c>
      <c r="D61" s="239">
        <f ca="1">D60*B61</f>
        <v>0</v>
      </c>
      <c r="E61" s="223"/>
    </row>
    <row r="62" spans="1:254" ht="26.25" thickBot="1" x14ac:dyDescent="0.25">
      <c r="A62" s="240" t="str">
        <f>CONCATENATE("Цена решетки для договора ",IF(D55&gt;0,"с доставкой","без доставки"),IF(B60&gt;0,", с обременением",", без обременения"))</f>
        <v>Цена решетки для договора без доставки, без обременения</v>
      </c>
      <c r="B62" s="188"/>
      <c r="C62" s="232">
        <f ca="1">C57/(1-B60*(1+B61))</f>
        <v>1003668</v>
      </c>
      <c r="D62" s="241">
        <f ca="1">D57/(1-B60*(1+B61))</f>
        <v>1204401</v>
      </c>
      <c r="E62" s="223"/>
      <c r="H62" s="223"/>
    </row>
    <row r="63" spans="1:254" x14ac:dyDescent="0.2">
      <c r="C63" s="223"/>
      <c r="D63" s="223"/>
    </row>
    <row r="64" spans="1:254" s="204" customFormat="1" ht="16.5" customHeight="1" x14ac:dyDescent="0.35">
      <c r="A64" s="202" t="s">
        <v>195</v>
      </c>
      <c r="B64" s="202"/>
      <c r="C64" s="205">
        <f ca="1">C62</f>
        <v>1003668</v>
      </c>
      <c r="D64" s="205">
        <f ca="1">D62</f>
        <v>1204401</v>
      </c>
      <c r="F64" s="202"/>
      <c r="G64" s="202"/>
      <c r="H64" s="202"/>
      <c r="I64" s="202"/>
      <c r="J64" s="601"/>
      <c r="K64" s="601"/>
      <c r="L64" s="601"/>
      <c r="M64" s="601"/>
      <c r="N64" s="601"/>
      <c r="O64" s="601"/>
      <c r="P64" s="601"/>
      <c r="Q64" s="601"/>
      <c r="R64" s="601"/>
      <c r="S64" s="601"/>
      <c r="T64" s="601"/>
      <c r="U64" s="601"/>
      <c r="V64" s="601"/>
      <c r="W64" s="601"/>
      <c r="X64" s="601"/>
      <c r="Y64" s="601"/>
      <c r="Z64" s="601"/>
      <c r="AA64" s="601"/>
      <c r="AB64" s="601"/>
      <c r="AC64" s="601"/>
      <c r="AD64" s="601"/>
      <c r="AE64" s="601"/>
      <c r="AF64" s="601"/>
      <c r="AG64" s="601"/>
      <c r="AH64" s="601"/>
      <c r="AI64" s="601"/>
      <c r="AJ64" s="601"/>
      <c r="AK64" s="601"/>
      <c r="AL64" s="601"/>
      <c r="AM64" s="601"/>
      <c r="AN64" s="601"/>
      <c r="AO64" s="601"/>
      <c r="AP64" s="601"/>
      <c r="AQ64" s="601"/>
      <c r="AR64" s="601"/>
      <c r="AS64" s="601"/>
      <c r="AT64" s="601"/>
      <c r="AU64" s="601"/>
      <c r="AV64" s="601"/>
      <c r="AW64" s="601"/>
      <c r="AX64" s="601"/>
      <c r="AY64" s="601"/>
      <c r="AZ64" s="601"/>
      <c r="BA64" s="601"/>
      <c r="BB64" s="601"/>
      <c r="BC64" s="601"/>
      <c r="BD64" s="601"/>
      <c r="BE64" s="601"/>
      <c r="BF64" s="601"/>
      <c r="BG64" s="601"/>
      <c r="BH64" s="601"/>
      <c r="BI64" s="601"/>
      <c r="BJ64" s="601"/>
      <c r="BK64" s="601"/>
      <c r="BL64" s="601"/>
      <c r="BM64" s="601"/>
      <c r="BN64" s="601"/>
      <c r="BO64" s="601"/>
      <c r="BP64" s="601"/>
      <c r="BQ64" s="601"/>
      <c r="BR64" s="601"/>
      <c r="BS64" s="601"/>
      <c r="BT64" s="601"/>
      <c r="BU64" s="601"/>
      <c r="BV64" s="601"/>
      <c r="BW64" s="601"/>
      <c r="BX64" s="601"/>
      <c r="BY64" s="601"/>
      <c r="BZ64" s="601"/>
      <c r="CA64" s="601"/>
      <c r="CB64" s="601"/>
      <c r="CC64" s="601"/>
      <c r="CD64" s="601"/>
      <c r="CE64" s="601"/>
      <c r="CF64" s="601"/>
      <c r="CG64" s="601"/>
      <c r="CH64" s="601"/>
      <c r="CI64" s="601"/>
      <c r="CJ64" s="601"/>
      <c r="CK64" s="601"/>
      <c r="CL64" s="601"/>
      <c r="CM64" s="601"/>
      <c r="CN64" s="601"/>
      <c r="CO64" s="601"/>
      <c r="CP64" s="601"/>
      <c r="CQ64" s="601"/>
      <c r="CR64" s="601"/>
      <c r="CS64" s="601"/>
      <c r="CT64" s="601"/>
      <c r="CU64" s="601"/>
      <c r="CV64" s="601"/>
      <c r="CW64" s="601"/>
      <c r="CX64" s="601"/>
      <c r="CY64" s="601"/>
      <c r="CZ64" s="601"/>
      <c r="DA64" s="601"/>
      <c r="DB64" s="601"/>
      <c r="DC64" s="601"/>
      <c r="DD64" s="601"/>
      <c r="DE64" s="601"/>
      <c r="DF64" s="601"/>
      <c r="DG64" s="601"/>
      <c r="DH64" s="601"/>
      <c r="DI64" s="601"/>
      <c r="DJ64" s="601"/>
      <c r="DK64" s="601"/>
      <c r="DL64" s="601"/>
      <c r="DM64" s="601"/>
      <c r="DN64" s="601"/>
      <c r="DO64" s="601"/>
      <c r="DP64" s="601"/>
      <c r="DQ64" s="601"/>
      <c r="DR64" s="601"/>
      <c r="DS64" s="601"/>
      <c r="DT64" s="601"/>
      <c r="DU64" s="601"/>
      <c r="DV64" s="601"/>
      <c r="DW64" s="601"/>
      <c r="DX64" s="601"/>
      <c r="DY64" s="601"/>
      <c r="DZ64" s="601"/>
      <c r="EA64" s="601"/>
      <c r="EB64" s="601"/>
      <c r="EC64" s="601"/>
      <c r="ED64" s="601"/>
      <c r="EE64" s="601"/>
      <c r="EF64" s="601"/>
      <c r="EG64" s="601"/>
      <c r="EH64" s="601"/>
      <c r="EI64" s="601"/>
      <c r="EJ64" s="601"/>
      <c r="EK64" s="601"/>
      <c r="EL64" s="601"/>
      <c r="EM64" s="601"/>
      <c r="EN64" s="601"/>
      <c r="EO64" s="601"/>
      <c r="EP64" s="601"/>
      <c r="EQ64" s="601"/>
      <c r="ER64" s="601"/>
      <c r="ES64" s="601"/>
      <c r="ET64" s="601"/>
      <c r="EU64" s="601"/>
      <c r="EV64" s="601"/>
      <c r="EW64" s="601"/>
      <c r="EX64" s="601"/>
      <c r="EY64" s="601"/>
      <c r="EZ64" s="601"/>
      <c r="FA64" s="601"/>
      <c r="FB64" s="601"/>
      <c r="FC64" s="601"/>
      <c r="FD64" s="601"/>
      <c r="FE64" s="601"/>
      <c r="FF64" s="601"/>
      <c r="FG64" s="601"/>
      <c r="FH64" s="601"/>
      <c r="FI64" s="601"/>
      <c r="FJ64" s="601"/>
      <c r="FK64" s="601"/>
      <c r="FL64" s="601"/>
      <c r="FM64" s="601"/>
      <c r="FN64" s="601"/>
      <c r="FO64" s="601"/>
      <c r="FP64" s="601"/>
      <c r="FQ64" s="601"/>
      <c r="FR64" s="601"/>
      <c r="FS64" s="601"/>
      <c r="FT64" s="601"/>
      <c r="FU64" s="601"/>
      <c r="FV64" s="601"/>
      <c r="FW64" s="601"/>
      <c r="FX64" s="601"/>
      <c r="FY64" s="601"/>
      <c r="FZ64" s="601"/>
      <c r="GA64" s="601"/>
      <c r="GB64" s="601"/>
      <c r="GC64" s="601"/>
      <c r="GD64" s="601"/>
      <c r="GE64" s="601"/>
      <c r="GF64" s="601"/>
      <c r="GG64" s="601"/>
      <c r="GH64" s="601"/>
      <c r="GI64" s="601"/>
      <c r="GJ64" s="601"/>
      <c r="GK64" s="601"/>
      <c r="GL64" s="601"/>
      <c r="GM64" s="601"/>
      <c r="GN64" s="601"/>
      <c r="GO64" s="601"/>
      <c r="GP64" s="601"/>
      <c r="GQ64" s="601"/>
      <c r="GR64" s="601"/>
      <c r="GS64" s="601"/>
      <c r="GT64" s="601"/>
      <c r="GU64" s="601"/>
      <c r="GV64" s="601"/>
      <c r="GW64" s="601"/>
      <c r="GX64" s="601"/>
      <c r="GY64" s="601"/>
      <c r="GZ64" s="601"/>
      <c r="HA64" s="601"/>
      <c r="HB64" s="601"/>
      <c r="HC64" s="601"/>
      <c r="HD64" s="601"/>
      <c r="HE64" s="601"/>
      <c r="HF64" s="601"/>
      <c r="HG64" s="601"/>
      <c r="HH64" s="601"/>
      <c r="HI64" s="601"/>
      <c r="HJ64" s="601"/>
      <c r="HK64" s="601"/>
      <c r="HL64" s="601"/>
      <c r="HM64" s="601"/>
      <c r="HN64" s="601"/>
      <c r="HO64" s="601"/>
      <c r="HP64" s="601"/>
      <c r="HQ64" s="601"/>
      <c r="HR64" s="601"/>
      <c r="HS64" s="601"/>
      <c r="HT64" s="601"/>
      <c r="HU64" s="601"/>
      <c r="HV64" s="601"/>
      <c r="HW64" s="601"/>
      <c r="HX64" s="601"/>
      <c r="HY64" s="601"/>
      <c r="HZ64" s="601"/>
      <c r="IA64" s="601"/>
      <c r="IB64" s="601"/>
      <c r="IC64" s="601"/>
      <c r="ID64" s="601"/>
      <c r="IE64" s="601"/>
      <c r="IF64" s="601"/>
      <c r="IG64" s="601"/>
      <c r="IH64" s="601"/>
      <c r="II64" s="601"/>
      <c r="IJ64" s="601"/>
      <c r="IK64" s="601"/>
      <c r="IL64" s="601"/>
      <c r="IM64" s="601"/>
      <c r="IN64" s="601"/>
      <c r="IO64" s="601"/>
      <c r="IP64" s="601"/>
      <c r="IQ64" s="601"/>
      <c r="IR64" s="601"/>
      <c r="IS64" s="601"/>
      <c r="IT64" s="601"/>
    </row>
  </sheetData>
  <dataConsolidate/>
  <mergeCells count="175">
    <mergeCell ref="B23:C23"/>
    <mergeCell ref="DP1:DZ1"/>
    <mergeCell ref="EA1:EK1"/>
    <mergeCell ref="J1:T1"/>
    <mergeCell ref="U1:AE1"/>
    <mergeCell ref="AF1:AP1"/>
    <mergeCell ref="AQ1:BA1"/>
    <mergeCell ref="BB1:BL1"/>
    <mergeCell ref="BM1:BW1"/>
    <mergeCell ref="J3:L8"/>
    <mergeCell ref="HV1:IF1"/>
    <mergeCell ref="IG1:IQ1"/>
    <mergeCell ref="IR1:IT1"/>
    <mergeCell ref="EL1:EV1"/>
    <mergeCell ref="EW1:FG1"/>
    <mergeCell ref="FH1:FR1"/>
    <mergeCell ref="FS1:GC1"/>
    <mergeCell ref="GD1:GN1"/>
    <mergeCell ref="GO1:GY1"/>
    <mergeCell ref="CT13:DD13"/>
    <mergeCell ref="DE13:DO13"/>
    <mergeCell ref="J13:T13"/>
    <mergeCell ref="U13:AE13"/>
    <mergeCell ref="AF13:AP13"/>
    <mergeCell ref="AQ13:BA13"/>
    <mergeCell ref="GZ1:HJ1"/>
    <mergeCell ref="HK1:HU1"/>
    <mergeCell ref="BX1:CH1"/>
    <mergeCell ref="CI1:CS1"/>
    <mergeCell ref="CT1:DD1"/>
    <mergeCell ref="DE1:DO1"/>
    <mergeCell ref="IR13:IT13"/>
    <mergeCell ref="A18:A19"/>
    <mergeCell ref="B18:C18"/>
    <mergeCell ref="B19:C19"/>
    <mergeCell ref="A20:A23"/>
    <mergeCell ref="B20:C20"/>
    <mergeCell ref="B21:C21"/>
    <mergeCell ref="B22:C22"/>
    <mergeCell ref="GD13:GN13"/>
    <mergeCell ref="GO13:GY13"/>
    <mergeCell ref="GZ13:HJ13"/>
    <mergeCell ref="HK13:HU13"/>
    <mergeCell ref="HV13:IF13"/>
    <mergeCell ref="IG13:IQ13"/>
    <mergeCell ref="DP13:DZ13"/>
    <mergeCell ref="EA13:EK13"/>
    <mergeCell ref="EL13:EV13"/>
    <mergeCell ref="EW13:FG13"/>
    <mergeCell ref="FH13:FR13"/>
    <mergeCell ref="FS13:GC13"/>
    <mergeCell ref="BB13:BL13"/>
    <mergeCell ref="BM13:BW13"/>
    <mergeCell ref="BX13:CH13"/>
    <mergeCell ref="CI13:CS13"/>
    <mergeCell ref="BB30:BL30"/>
    <mergeCell ref="BM30:BW30"/>
    <mergeCell ref="BX30:CH30"/>
    <mergeCell ref="CI30:CS30"/>
    <mergeCell ref="A24:A27"/>
    <mergeCell ref="B24:C24"/>
    <mergeCell ref="B25:C25"/>
    <mergeCell ref="B27:C27"/>
    <mergeCell ref="J30:T30"/>
    <mergeCell ref="U30:AE30"/>
    <mergeCell ref="B26:C26"/>
    <mergeCell ref="HV30:IF30"/>
    <mergeCell ref="IG30:IQ30"/>
    <mergeCell ref="IR30:IT30"/>
    <mergeCell ref="J38:T38"/>
    <mergeCell ref="U38:AE38"/>
    <mergeCell ref="AF38:AP38"/>
    <mergeCell ref="AQ38:BA38"/>
    <mergeCell ref="BB38:BL38"/>
    <mergeCell ref="BM38:BW38"/>
    <mergeCell ref="BX38:CH38"/>
    <mergeCell ref="FH30:FR30"/>
    <mergeCell ref="FS30:GC30"/>
    <mergeCell ref="GD30:GN30"/>
    <mergeCell ref="GO30:GY30"/>
    <mergeCell ref="GZ30:HJ30"/>
    <mergeCell ref="HK30:HU30"/>
    <mergeCell ref="CT30:DD30"/>
    <mergeCell ref="DE30:DO30"/>
    <mergeCell ref="DP30:DZ30"/>
    <mergeCell ref="EA30:EK30"/>
    <mergeCell ref="EL30:EV30"/>
    <mergeCell ref="EW30:FG30"/>
    <mergeCell ref="AF30:AP30"/>
    <mergeCell ref="AQ30:BA30"/>
    <mergeCell ref="HK38:HU38"/>
    <mergeCell ref="HV38:IF38"/>
    <mergeCell ref="IG38:IQ38"/>
    <mergeCell ref="IR38:IT38"/>
    <mergeCell ref="J49:T49"/>
    <mergeCell ref="U49:AE49"/>
    <mergeCell ref="AF49:AP49"/>
    <mergeCell ref="AQ49:BA49"/>
    <mergeCell ref="BB49:BL49"/>
    <mergeCell ref="BM49:BW49"/>
    <mergeCell ref="EW38:FG38"/>
    <mergeCell ref="FH38:FR38"/>
    <mergeCell ref="FS38:GC38"/>
    <mergeCell ref="GD38:GN38"/>
    <mergeCell ref="GO38:GY38"/>
    <mergeCell ref="GZ38:HJ38"/>
    <mergeCell ref="CI38:CS38"/>
    <mergeCell ref="CT38:DD38"/>
    <mergeCell ref="DE38:DO38"/>
    <mergeCell ref="DP38:DZ38"/>
    <mergeCell ref="EA38:EK38"/>
    <mergeCell ref="EL38:EV38"/>
    <mergeCell ref="IG49:IQ49"/>
    <mergeCell ref="IR49:IT49"/>
    <mergeCell ref="J51:T51"/>
    <mergeCell ref="U51:AE51"/>
    <mergeCell ref="AF51:AP51"/>
    <mergeCell ref="AQ51:BA51"/>
    <mergeCell ref="BB51:BL51"/>
    <mergeCell ref="EL49:EV49"/>
    <mergeCell ref="EW49:FG49"/>
    <mergeCell ref="FH49:FR49"/>
    <mergeCell ref="FS49:GC49"/>
    <mergeCell ref="GD49:GN49"/>
    <mergeCell ref="GO49:GY49"/>
    <mergeCell ref="BX49:CH49"/>
    <mergeCell ref="CI49:CS49"/>
    <mergeCell ref="CT49:DD49"/>
    <mergeCell ref="DE49:DO49"/>
    <mergeCell ref="DP49:DZ49"/>
    <mergeCell ref="EA49:EK49"/>
    <mergeCell ref="BM51:BW51"/>
    <mergeCell ref="BX51:CH51"/>
    <mergeCell ref="CI51:CS51"/>
    <mergeCell ref="CT51:DD51"/>
    <mergeCell ref="DE51:DO51"/>
    <mergeCell ref="DP51:DZ51"/>
    <mergeCell ref="GZ49:HJ49"/>
    <mergeCell ref="HK49:HU49"/>
    <mergeCell ref="HV49:IF49"/>
    <mergeCell ref="GO51:GY51"/>
    <mergeCell ref="GZ51:HJ51"/>
    <mergeCell ref="HK51:HU51"/>
    <mergeCell ref="HV51:IF51"/>
    <mergeCell ref="IG51:IQ51"/>
    <mergeCell ref="IR51:IT51"/>
    <mergeCell ref="EA51:EK51"/>
    <mergeCell ref="EL51:EV51"/>
    <mergeCell ref="EW51:FG51"/>
    <mergeCell ref="FH51:FR51"/>
    <mergeCell ref="FS51:GC51"/>
    <mergeCell ref="GD51:GN51"/>
    <mergeCell ref="BX64:CH64"/>
    <mergeCell ref="CI64:CS64"/>
    <mergeCell ref="CT64:DD64"/>
    <mergeCell ref="DE64:DO64"/>
    <mergeCell ref="DP64:DZ64"/>
    <mergeCell ref="EA64:EK64"/>
    <mergeCell ref="J64:T64"/>
    <mergeCell ref="U64:AE64"/>
    <mergeCell ref="AF64:AP64"/>
    <mergeCell ref="AQ64:BA64"/>
    <mergeCell ref="BB64:BL64"/>
    <mergeCell ref="BM64:BW64"/>
    <mergeCell ref="GZ64:HJ64"/>
    <mergeCell ref="HK64:HU64"/>
    <mergeCell ref="HV64:IF64"/>
    <mergeCell ref="IG64:IQ64"/>
    <mergeCell ref="IR64:IT64"/>
    <mergeCell ref="EL64:EV64"/>
    <mergeCell ref="EW64:FG64"/>
    <mergeCell ref="FH64:FR64"/>
    <mergeCell ref="FS64:GC64"/>
    <mergeCell ref="GD64:GN64"/>
    <mergeCell ref="GO64:GY64"/>
  </mergeCells>
  <dataValidations count="3">
    <dataValidation type="list" allowBlank="1" showInputMessage="1" showErrorMessage="1" sqref="D27">
      <formula1>$O$7:$O$9</formula1>
    </dataValidation>
    <dataValidation type="list" allowBlank="1" showInputMessage="1" showErrorMessage="1" sqref="D24">
      <formula1>$Q$6:$Q$9</formula1>
    </dataValidation>
    <dataValidation type="list" allowBlank="1" showInputMessage="1" showErrorMessage="1" sqref="D26">
      <formula1>$P$7:$P$8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8"/>
  <dimension ref="A1:IH77"/>
  <sheetViews>
    <sheetView topLeftCell="A46" zoomScaleNormal="100" workbookViewId="0">
      <selection activeCell="F30" sqref="F30"/>
    </sheetView>
  </sheetViews>
  <sheetFormatPr defaultRowHeight="12.75" x14ac:dyDescent="0.2"/>
  <cols>
    <col min="1" max="1" width="13" customWidth="1"/>
    <col min="2" max="2" width="31.42578125" customWidth="1"/>
    <col min="3" max="3" width="17.7109375" customWidth="1"/>
    <col min="4" max="4" width="15.42578125" customWidth="1"/>
    <col min="5" max="5" width="16.85546875" customWidth="1"/>
    <col min="6" max="6" width="19.42578125" customWidth="1"/>
    <col min="7" max="7" width="18.140625" customWidth="1"/>
    <col min="8" max="8" width="20.42578125" customWidth="1"/>
    <col min="9" max="9" width="19" customWidth="1"/>
    <col min="10" max="10" width="17.42578125" customWidth="1"/>
    <col min="11" max="11" width="12.42578125" customWidth="1"/>
    <col min="12" max="12" width="8.42578125" customWidth="1"/>
    <col min="13" max="13" width="8.7109375" customWidth="1"/>
    <col min="14" max="14" width="10.42578125" customWidth="1"/>
    <col min="15" max="15" width="31.28515625" customWidth="1"/>
    <col min="16" max="16" width="15.28515625" customWidth="1"/>
    <col min="20" max="20" width="43" customWidth="1"/>
    <col min="21" max="21" width="20.5703125" customWidth="1"/>
    <col min="28" max="28" width="51.42578125" customWidth="1"/>
  </cols>
  <sheetData>
    <row r="1" spans="1:119" s="105" customFormat="1" ht="12.75" customHeight="1" thickBot="1" x14ac:dyDescent="0.35">
      <c r="A1" s="640" t="s">
        <v>88</v>
      </c>
      <c r="B1" s="641"/>
      <c r="C1" s="641"/>
      <c r="D1" s="641"/>
      <c r="E1" s="641"/>
      <c r="F1" s="641"/>
      <c r="G1" s="641"/>
      <c r="H1" s="641"/>
      <c r="I1" s="641"/>
      <c r="J1" s="641"/>
      <c r="K1" s="641"/>
      <c r="L1" s="641"/>
      <c r="M1" s="641"/>
      <c r="N1" s="641"/>
      <c r="O1" s="642"/>
      <c r="P1" s="104"/>
    </row>
    <row r="2" spans="1:119" s="103" customFormat="1" ht="15" x14ac:dyDescent="0.2">
      <c r="A2" s="638" t="s">
        <v>188</v>
      </c>
      <c r="B2" s="639"/>
      <c r="C2" s="639"/>
      <c r="D2" s="639"/>
      <c r="E2" s="639"/>
      <c r="F2" s="639"/>
      <c r="G2" s="639"/>
      <c r="H2" s="639"/>
      <c r="I2" s="639"/>
      <c r="J2" s="639"/>
      <c r="K2" s="639"/>
      <c r="L2" s="639"/>
      <c r="M2" s="639"/>
      <c r="N2" s="639"/>
      <c r="O2" s="639"/>
    </row>
    <row r="3" spans="1:119" x14ac:dyDescent="0.2">
      <c r="A3" s="7"/>
      <c r="B3" s="3"/>
      <c r="C3" s="3"/>
      <c r="D3" s="3"/>
      <c r="E3" s="8"/>
      <c r="F3" s="3"/>
      <c r="G3" s="3"/>
      <c r="H3" s="3"/>
      <c r="I3" s="3"/>
      <c r="J3" s="3"/>
      <c r="K3" s="100" t="s">
        <v>2</v>
      </c>
      <c r="L3" s="100" t="s">
        <v>3</v>
      </c>
      <c r="M3" s="100" t="s">
        <v>4</v>
      </c>
      <c r="N3" s="100"/>
      <c r="O3" s="101" t="s">
        <v>5</v>
      </c>
    </row>
    <row r="4" spans="1:119" ht="15" x14ac:dyDescent="0.2">
      <c r="A4" s="7"/>
      <c r="B4" s="3"/>
      <c r="C4" s="9"/>
      <c r="D4" s="3" t="s">
        <v>6</v>
      </c>
      <c r="E4" s="248"/>
      <c r="F4" s="3"/>
      <c r="G4" s="3"/>
      <c r="H4" s="3"/>
      <c r="I4" s="74" t="s">
        <v>7</v>
      </c>
      <c r="J4" s="74"/>
      <c r="K4" s="74"/>
      <c r="L4" s="74"/>
      <c r="M4" s="74"/>
      <c r="N4" s="3"/>
      <c r="O4" s="10"/>
    </row>
    <row r="5" spans="1:119" ht="15" x14ac:dyDescent="0.2">
      <c r="A5" s="7"/>
      <c r="B5" s="3"/>
      <c r="C5" s="11"/>
      <c r="D5" s="3" t="s">
        <v>210</v>
      </c>
      <c r="E5" s="248"/>
      <c r="F5" s="3"/>
      <c r="G5" s="3"/>
      <c r="H5" s="3"/>
      <c r="I5" s="74" t="s">
        <v>8</v>
      </c>
      <c r="J5" s="74"/>
      <c r="K5" s="74">
        <v>142</v>
      </c>
      <c r="L5" s="74"/>
      <c r="M5" s="74">
        <v>280</v>
      </c>
      <c r="N5" s="3"/>
      <c r="O5" s="10"/>
    </row>
    <row r="6" spans="1:119" ht="15.75" thickBot="1" x14ac:dyDescent="0.3">
      <c r="A6" s="7"/>
      <c r="B6" s="3"/>
      <c r="C6" s="12"/>
      <c r="D6" s="3" t="s">
        <v>9</v>
      </c>
      <c r="E6" s="248"/>
      <c r="F6" s="3"/>
      <c r="G6" s="3"/>
      <c r="H6" s="3"/>
      <c r="I6" s="74" t="s">
        <v>10</v>
      </c>
      <c r="J6" s="74"/>
      <c r="K6" s="74">
        <v>126.5</v>
      </c>
      <c r="L6" s="74"/>
      <c r="M6" s="74"/>
      <c r="N6" s="3"/>
      <c r="O6" s="10"/>
      <c r="S6" s="3"/>
    </row>
    <row r="7" spans="1:119" ht="14.25" thickTop="1" thickBot="1" x14ac:dyDescent="0.25">
      <c r="A7" s="7"/>
      <c r="B7" s="3"/>
      <c r="C7" s="3"/>
      <c r="D7" s="3"/>
      <c r="E7" s="3"/>
      <c r="F7" s="3"/>
      <c r="G7" s="3"/>
      <c r="H7" s="3"/>
      <c r="I7" s="74" t="s">
        <v>11</v>
      </c>
      <c r="J7" s="74"/>
      <c r="K7" s="74"/>
      <c r="L7" s="74"/>
      <c r="M7" s="74">
        <v>280</v>
      </c>
      <c r="N7" s="3"/>
      <c r="O7" s="10"/>
      <c r="S7" s="686" t="s">
        <v>83</v>
      </c>
      <c r="T7" s="687"/>
      <c r="U7" s="687"/>
      <c r="V7" s="687"/>
      <c r="W7" s="687"/>
      <c r="X7" s="687"/>
      <c r="Y7" s="687"/>
      <c r="Z7" s="688"/>
      <c r="AA7" s="3"/>
      <c r="AB7" s="249"/>
      <c r="AC7" s="249"/>
      <c r="AD7" s="249"/>
      <c r="AE7" s="249"/>
      <c r="AF7" s="249"/>
      <c r="AG7" s="249"/>
      <c r="AH7" s="249"/>
      <c r="AI7" s="249"/>
      <c r="AJ7" s="249"/>
      <c r="AK7" s="249"/>
      <c r="AL7" s="249"/>
      <c r="AM7" s="249"/>
      <c r="AN7" s="249"/>
      <c r="AO7" s="249"/>
      <c r="AP7" s="249"/>
      <c r="AQ7" s="249"/>
      <c r="AR7" s="249"/>
      <c r="AS7" s="249"/>
      <c r="AT7" s="249"/>
      <c r="AU7" s="249"/>
      <c r="AV7" s="249"/>
      <c r="AW7" s="249"/>
      <c r="AX7" s="249"/>
      <c r="AY7" s="249"/>
      <c r="AZ7" s="249"/>
      <c r="BA7" s="249"/>
      <c r="BB7" s="249"/>
      <c r="BC7" s="249"/>
      <c r="BD7" s="249"/>
      <c r="BE7" s="249"/>
      <c r="BF7" s="249"/>
      <c r="BG7" s="249"/>
      <c r="BH7" s="249"/>
      <c r="BI7" s="249"/>
      <c r="BJ7" s="249"/>
      <c r="BK7" s="249"/>
      <c r="BL7" s="249"/>
      <c r="BM7" s="249"/>
      <c r="BN7" s="249"/>
      <c r="BO7" s="249"/>
      <c r="BP7" s="249"/>
      <c r="BQ7" s="249"/>
      <c r="BR7" s="249"/>
      <c r="BS7" s="249"/>
      <c r="BT7" s="249"/>
      <c r="BU7" s="249"/>
      <c r="BV7" s="249"/>
      <c r="BW7" s="249"/>
      <c r="BX7" s="249"/>
      <c r="BY7" s="249"/>
      <c r="BZ7" s="249"/>
      <c r="CA7" s="249"/>
      <c r="CB7" s="249"/>
      <c r="CC7" s="249"/>
      <c r="CD7" s="249"/>
      <c r="CE7" s="249"/>
      <c r="CF7" s="249"/>
      <c r="CG7" s="249"/>
      <c r="CH7" s="249"/>
      <c r="CI7" s="249"/>
      <c r="CJ7" s="249"/>
      <c r="CK7" s="249"/>
      <c r="CL7" s="249"/>
      <c r="CM7" s="249"/>
      <c r="CN7" s="249"/>
      <c r="CO7" s="249"/>
      <c r="CP7" s="249"/>
      <c r="CQ7" s="249"/>
      <c r="CR7" s="249"/>
      <c r="CS7" s="249"/>
      <c r="CT7" s="249"/>
      <c r="CU7" s="249"/>
      <c r="CV7" s="249"/>
      <c r="CW7" s="249"/>
      <c r="CX7" s="249"/>
      <c r="CY7" s="249"/>
      <c r="CZ7" s="249"/>
      <c r="DA7" s="249"/>
      <c r="DB7" s="249"/>
      <c r="DC7" s="249"/>
      <c r="DD7" s="249"/>
      <c r="DE7" s="249"/>
      <c r="DF7" s="249"/>
      <c r="DG7" s="249"/>
      <c r="DH7" s="249"/>
      <c r="DI7" s="249"/>
      <c r="DJ7" s="249"/>
      <c r="DK7" s="249"/>
      <c r="DL7" s="249"/>
      <c r="DM7" s="249"/>
      <c r="DN7" s="249"/>
      <c r="DO7" s="249"/>
    </row>
    <row r="8" spans="1:119" ht="31.5" thickTop="1" thickBot="1" x14ac:dyDescent="0.3">
      <c r="A8" s="13" t="s">
        <v>12</v>
      </c>
      <c r="B8" s="14" t="s">
        <v>13</v>
      </c>
      <c r="C8" s="15" t="s">
        <v>14</v>
      </c>
      <c r="D8" s="16" t="s">
        <v>15</v>
      </c>
      <c r="E8" s="17"/>
      <c r="F8" s="18"/>
      <c r="G8" s="19"/>
      <c r="H8" s="18"/>
      <c r="I8" s="18"/>
      <c r="J8" s="19" t="s">
        <v>16</v>
      </c>
      <c r="K8" s="18"/>
      <c r="L8" s="18"/>
      <c r="M8" s="18"/>
      <c r="N8" s="18"/>
      <c r="O8" s="20"/>
      <c r="P8" s="3"/>
      <c r="S8" s="2"/>
      <c r="T8" s="2"/>
      <c r="U8" s="2"/>
      <c r="V8" s="2"/>
      <c r="W8" s="3"/>
      <c r="X8" s="3"/>
      <c r="Y8" s="3"/>
      <c r="Z8" s="3"/>
      <c r="AA8" s="3"/>
      <c r="AB8" s="249"/>
      <c r="AC8" s="249"/>
      <c r="AD8" s="249"/>
      <c r="AE8" s="249"/>
      <c r="AF8" s="249"/>
      <c r="AG8" s="249"/>
      <c r="AH8" s="249"/>
      <c r="AI8" s="249"/>
      <c r="AJ8" s="249"/>
      <c r="AK8" s="249"/>
      <c r="AL8" s="249"/>
      <c r="AM8" s="249"/>
      <c r="AN8" s="249"/>
      <c r="AO8" s="249"/>
      <c r="AP8" s="249"/>
      <c r="AQ8" s="249"/>
      <c r="AR8" s="249"/>
      <c r="AS8" s="249"/>
      <c r="AT8" s="249"/>
      <c r="AU8" s="249"/>
      <c r="AV8" s="249"/>
      <c r="AW8" s="249"/>
      <c r="AX8" s="249"/>
      <c r="AY8" s="249"/>
      <c r="AZ8" s="249"/>
      <c r="BA8" s="249"/>
      <c r="BB8" s="249"/>
      <c r="BC8" s="249"/>
      <c r="BD8" s="249"/>
      <c r="BE8" s="249"/>
      <c r="BF8" s="249"/>
      <c r="BG8" s="249"/>
      <c r="BH8" s="249"/>
      <c r="BI8" s="249"/>
      <c r="BJ8" s="249"/>
      <c r="BK8" s="249"/>
      <c r="BL8" s="249"/>
      <c r="BM8" s="249"/>
      <c r="BN8" s="249"/>
      <c r="BO8" s="249"/>
      <c r="BP8" s="249"/>
      <c r="BQ8" s="249"/>
      <c r="BR8" s="249"/>
      <c r="BS8" s="249"/>
      <c r="BT8" s="249"/>
      <c r="BU8" s="249"/>
      <c r="BV8" s="249"/>
      <c r="BW8" s="249"/>
      <c r="BX8" s="249"/>
      <c r="BY8" s="249"/>
      <c r="BZ8" s="249"/>
      <c r="CA8" s="249"/>
      <c r="CB8" s="249"/>
      <c r="CC8" s="249"/>
      <c r="CD8" s="249"/>
      <c r="CE8" s="249"/>
      <c r="CF8" s="249"/>
      <c r="CG8" s="249"/>
      <c r="CH8" s="249"/>
      <c r="CI8" s="249"/>
      <c r="CJ8" s="249"/>
      <c r="CK8" s="249"/>
      <c r="CL8" s="249"/>
      <c r="CM8" s="249"/>
      <c r="CN8" s="249"/>
      <c r="CO8" s="249"/>
      <c r="CP8" s="249"/>
      <c r="CQ8" s="249"/>
      <c r="CR8" s="249"/>
      <c r="CS8" s="249"/>
      <c r="CT8" s="249"/>
      <c r="CU8" s="249"/>
      <c r="CV8" s="249"/>
      <c r="CW8" s="249"/>
      <c r="CX8" s="249"/>
      <c r="CY8" s="249"/>
      <c r="CZ8" s="249"/>
      <c r="DA8" s="249"/>
      <c r="DB8" s="249"/>
      <c r="DC8" s="249"/>
      <c r="DD8" s="249"/>
      <c r="DE8" s="249"/>
      <c r="DF8" s="249"/>
      <c r="DG8" s="249"/>
      <c r="DH8" s="249"/>
      <c r="DI8" s="249"/>
      <c r="DJ8" s="249"/>
      <c r="DK8" s="249"/>
      <c r="DL8" s="249"/>
      <c r="DM8" s="249"/>
      <c r="DN8" s="249"/>
      <c r="DO8" s="249"/>
    </row>
    <row r="9" spans="1:119" ht="37.5" thickTop="1" thickBot="1" x14ac:dyDescent="0.25">
      <c r="A9" s="78">
        <v>1</v>
      </c>
      <c r="B9" s="94" t="s">
        <v>17</v>
      </c>
      <c r="C9" s="79">
        <f>Цена!B16</f>
        <v>400</v>
      </c>
      <c r="D9" s="82">
        <f>IF(C9&lt;=750,ROUND(C9/50,0)*50,ROUND(C9/100,0)*100)</f>
        <v>400</v>
      </c>
      <c r="E9" s="628" t="s">
        <v>264</v>
      </c>
      <c r="F9" s="629"/>
      <c r="G9" s="629"/>
      <c r="H9" s="629"/>
      <c r="I9" s="629"/>
      <c r="J9" s="629"/>
      <c r="K9" s="629"/>
      <c r="L9" s="629"/>
      <c r="M9" s="629"/>
      <c r="N9" s="629"/>
      <c r="O9" s="630"/>
      <c r="P9" s="3"/>
      <c r="S9" s="282" t="s">
        <v>58</v>
      </c>
      <c r="T9" s="281" t="s">
        <v>59</v>
      </c>
      <c r="U9" s="280" t="s">
        <v>263</v>
      </c>
      <c r="V9" s="679" t="s">
        <v>16</v>
      </c>
      <c r="W9" s="679"/>
      <c r="X9" s="679"/>
      <c r="Y9" s="679"/>
      <c r="Z9" s="680"/>
      <c r="AA9" s="3"/>
      <c r="AB9" s="249"/>
      <c r="AC9" s="249"/>
      <c r="AD9" s="249"/>
      <c r="AE9" s="249"/>
      <c r="AF9" s="249"/>
      <c r="AG9" s="249"/>
      <c r="AH9" s="249"/>
      <c r="AI9" s="249"/>
      <c r="AJ9" s="249"/>
      <c r="AK9" s="249"/>
      <c r="AL9" s="249"/>
      <c r="AM9" s="249"/>
      <c r="AN9" s="249"/>
      <c r="AO9" s="249"/>
      <c r="AP9" s="249"/>
      <c r="AQ9" s="249"/>
      <c r="AR9" s="249"/>
      <c r="AS9" s="249"/>
      <c r="AT9" s="249"/>
      <c r="AU9" s="249"/>
      <c r="AV9" s="249"/>
      <c r="AW9" s="249"/>
      <c r="AX9" s="249"/>
      <c r="AY9" s="249"/>
      <c r="AZ9" s="249"/>
      <c r="BA9" s="249"/>
      <c r="BB9" s="249"/>
      <c r="BC9" s="249"/>
      <c r="BD9" s="249"/>
      <c r="BE9" s="249"/>
      <c r="BF9" s="249"/>
      <c r="BG9" s="249"/>
      <c r="BH9" s="249"/>
      <c r="BI9" s="249"/>
      <c r="BJ9" s="249"/>
      <c r="BK9" s="249"/>
      <c r="BL9" s="249"/>
      <c r="BM9" s="249"/>
      <c r="BN9" s="249"/>
      <c r="BO9" s="249"/>
      <c r="BP9" s="249"/>
      <c r="BQ9" s="249"/>
      <c r="BR9" s="249"/>
      <c r="BS9" s="249"/>
      <c r="BT9" s="249"/>
      <c r="BU9" s="249"/>
      <c r="BV9" s="249"/>
      <c r="BW9" s="249"/>
      <c r="BX9" s="249"/>
      <c r="BY9" s="249"/>
      <c r="BZ9" s="249"/>
      <c r="CA9" s="249"/>
      <c r="CB9" s="249"/>
      <c r="CC9" s="249"/>
      <c r="CD9" s="249"/>
      <c r="CE9" s="249"/>
      <c r="CF9" s="249"/>
      <c r="CG9" s="249"/>
      <c r="CH9" s="249"/>
      <c r="CI9" s="249"/>
      <c r="CJ9" s="249"/>
      <c r="CK9" s="249"/>
      <c r="CL9" s="249"/>
      <c r="CM9" s="249"/>
      <c r="CN9" s="249"/>
      <c r="CO9" s="249"/>
      <c r="CP9" s="249"/>
      <c r="CQ9" s="249"/>
      <c r="CR9" s="249"/>
      <c r="CS9" s="249"/>
      <c r="CT9" s="249"/>
      <c r="CU9" s="249"/>
      <c r="CV9" s="249"/>
      <c r="CW9" s="249"/>
      <c r="CX9" s="249"/>
      <c r="CY9" s="249"/>
      <c r="CZ9" s="249"/>
      <c r="DA9" s="249"/>
      <c r="DB9" s="249"/>
      <c r="DC9" s="249"/>
      <c r="DD9" s="249"/>
      <c r="DE9" s="249"/>
      <c r="DF9" s="249"/>
      <c r="DG9" s="249"/>
      <c r="DH9" s="249"/>
      <c r="DI9" s="249"/>
      <c r="DJ9" s="249"/>
      <c r="DK9" s="249"/>
      <c r="DL9" s="249"/>
      <c r="DM9" s="249"/>
      <c r="DN9" s="249"/>
      <c r="DO9" s="249"/>
    </row>
    <row r="10" spans="1:119" ht="13.5" thickTop="1" x14ac:dyDescent="0.2">
      <c r="A10" s="80">
        <v>2</v>
      </c>
      <c r="B10" s="95" t="s">
        <v>18</v>
      </c>
      <c r="C10" s="79">
        <f>Цена!C16</f>
        <v>400</v>
      </c>
      <c r="D10" s="82">
        <f>CEILING(C10,100)</f>
        <v>400</v>
      </c>
      <c r="E10" s="628" t="s">
        <v>211</v>
      </c>
      <c r="F10" s="629"/>
      <c r="G10" s="629"/>
      <c r="H10" s="629"/>
      <c r="I10" s="629"/>
      <c r="J10" s="629"/>
      <c r="K10" s="629"/>
      <c r="L10" s="629"/>
      <c r="M10" s="629"/>
      <c r="N10" s="629"/>
      <c r="O10" s="630"/>
      <c r="P10" s="3"/>
      <c r="S10" s="279"/>
      <c r="T10" s="278" t="s">
        <v>60</v>
      </c>
      <c r="U10" s="277"/>
      <c r="V10" s="683"/>
      <c r="W10" s="684"/>
      <c r="X10" s="684"/>
      <c r="Y10" s="684"/>
      <c r="Z10" s="685"/>
      <c r="AA10" s="3"/>
      <c r="AB10" s="249"/>
      <c r="AC10" s="249"/>
      <c r="AD10" s="249"/>
      <c r="AE10" s="249"/>
      <c r="AF10" s="249"/>
      <c r="AG10" s="249"/>
      <c r="AH10" s="249"/>
      <c r="AI10" s="249"/>
      <c r="AJ10" s="249"/>
      <c r="AK10" s="249"/>
      <c r="AL10" s="249"/>
      <c r="AM10" s="249"/>
      <c r="AN10" s="249"/>
      <c r="AO10" s="249"/>
      <c r="AP10" s="249"/>
      <c r="AQ10" s="249"/>
      <c r="AR10" s="249"/>
      <c r="AS10" s="249"/>
      <c r="AT10" s="249"/>
      <c r="AU10" s="249"/>
      <c r="AV10" s="249"/>
      <c r="AW10" s="249"/>
      <c r="AX10" s="249"/>
      <c r="AY10" s="249"/>
      <c r="AZ10" s="249"/>
      <c r="BA10" s="249"/>
      <c r="BB10" s="249"/>
      <c r="BC10" s="249"/>
      <c r="BD10" s="249"/>
      <c r="BE10" s="249"/>
      <c r="BF10" s="249"/>
      <c r="BG10" s="249"/>
      <c r="BH10" s="249"/>
      <c r="BI10" s="249"/>
      <c r="BJ10" s="249"/>
      <c r="BK10" s="249"/>
      <c r="BL10" s="249"/>
      <c r="BM10" s="249"/>
      <c r="BN10" s="249"/>
      <c r="BO10" s="249"/>
      <c r="BP10" s="249"/>
      <c r="BQ10" s="249"/>
      <c r="BR10" s="249"/>
      <c r="BS10" s="249"/>
      <c r="BT10" s="249"/>
      <c r="BU10" s="249"/>
      <c r="BV10" s="249"/>
      <c r="BW10" s="249"/>
      <c r="BX10" s="249"/>
      <c r="BY10" s="249"/>
      <c r="BZ10" s="249"/>
      <c r="CA10" s="249"/>
      <c r="CB10" s="249"/>
      <c r="CC10" s="249"/>
      <c r="CD10" s="249"/>
      <c r="CE10" s="249"/>
      <c r="CF10" s="249"/>
      <c r="CG10" s="249"/>
      <c r="CH10" s="249"/>
      <c r="CI10" s="249"/>
      <c r="CJ10" s="249"/>
      <c r="CK10" s="249"/>
      <c r="CL10" s="249"/>
      <c r="CM10" s="249"/>
      <c r="CN10" s="249"/>
      <c r="CO10" s="249"/>
      <c r="CP10" s="249"/>
      <c r="CQ10" s="249"/>
      <c r="CR10" s="249"/>
      <c r="CS10" s="249"/>
      <c r="CT10" s="249"/>
      <c r="CU10" s="249"/>
      <c r="CV10" s="249"/>
      <c r="CW10" s="249"/>
      <c r="CX10" s="249"/>
      <c r="CY10" s="249"/>
      <c r="CZ10" s="249"/>
      <c r="DA10" s="249"/>
      <c r="DB10" s="249"/>
      <c r="DC10" s="249"/>
      <c r="DD10" s="249"/>
      <c r="DE10" s="249"/>
      <c r="DF10" s="249"/>
      <c r="DG10" s="249"/>
      <c r="DH10" s="249"/>
      <c r="DI10" s="249"/>
      <c r="DJ10" s="249"/>
      <c r="DK10" s="249"/>
      <c r="DL10" s="249"/>
      <c r="DM10" s="249"/>
      <c r="DN10" s="249"/>
      <c r="DO10" s="249"/>
    </row>
    <row r="11" spans="1:119" ht="13.5" x14ac:dyDescent="0.25">
      <c r="A11" s="80">
        <v>3</v>
      </c>
      <c r="B11" s="95" t="s">
        <v>19</v>
      </c>
      <c r="C11" s="81">
        <f>Цена!D16</f>
        <v>850</v>
      </c>
      <c r="D11" s="83">
        <f>IF(AND(C11&gt;0,C11&lt;=850),850,IF(AND(C11&gt;850,C11&lt;=1200),1200,IF(AND(C11&gt;1200,C11=1500),1500,"Ннестандарт")))</f>
        <v>850</v>
      </c>
      <c r="E11" s="628" t="s">
        <v>262</v>
      </c>
      <c r="F11" s="629"/>
      <c r="G11" s="629"/>
      <c r="H11" s="629"/>
      <c r="I11" s="629"/>
      <c r="J11" s="629"/>
      <c r="K11" s="629"/>
      <c r="L11" s="629"/>
      <c r="M11" s="629"/>
      <c r="N11" s="629"/>
      <c r="O11" s="630"/>
      <c r="P11" s="3"/>
      <c r="S11" s="276">
        <v>1</v>
      </c>
      <c r="T11" s="275" t="s">
        <v>61</v>
      </c>
      <c r="U11" s="274">
        <f>C30*C29+5</f>
        <v>73</v>
      </c>
      <c r="V11" s="681"/>
      <c r="W11" s="681"/>
      <c r="X11" s="681"/>
      <c r="Y11" s="681"/>
      <c r="Z11" s="682"/>
      <c r="AA11" s="3"/>
      <c r="AB11" s="249"/>
      <c r="AC11" s="249"/>
      <c r="AD11" s="249"/>
      <c r="AE11" s="249"/>
      <c r="AF11" s="249"/>
      <c r="AG11" s="249"/>
      <c r="AH11" s="249"/>
      <c r="AI11" s="249"/>
      <c r="AJ11" s="249"/>
      <c r="AK11" s="249"/>
      <c r="AL11" s="249"/>
      <c r="AM11" s="249"/>
      <c r="AN11" s="249"/>
      <c r="AO11" s="249"/>
      <c r="AP11" s="249"/>
      <c r="AQ11" s="249"/>
      <c r="AR11" s="249"/>
      <c r="AS11" s="249"/>
      <c r="AT11" s="249"/>
      <c r="AU11" s="249"/>
      <c r="AV11" s="249"/>
      <c r="AW11" s="249"/>
      <c r="AX11" s="249"/>
      <c r="AY11" s="249"/>
      <c r="AZ11" s="249"/>
      <c r="BA11" s="249"/>
      <c r="BB11" s="249"/>
      <c r="BC11" s="249"/>
      <c r="BD11" s="249"/>
      <c r="BE11" s="249"/>
      <c r="BF11" s="249"/>
      <c r="BG11" s="249"/>
      <c r="BH11" s="249"/>
      <c r="BI11" s="249"/>
      <c r="BJ11" s="249"/>
      <c r="BK11" s="249"/>
      <c r="BL11" s="249"/>
      <c r="BM11" s="249"/>
      <c r="BN11" s="249"/>
      <c r="BO11" s="249"/>
      <c r="BP11" s="249"/>
      <c r="BQ11" s="249"/>
      <c r="BR11" s="249"/>
      <c r="BS11" s="249"/>
      <c r="BT11" s="249"/>
      <c r="BU11" s="249"/>
      <c r="BV11" s="249"/>
      <c r="BW11" s="249"/>
      <c r="BX11" s="249"/>
      <c r="BY11" s="249"/>
      <c r="BZ11" s="249"/>
      <c r="CA11" s="249"/>
      <c r="CB11" s="249"/>
      <c r="CC11" s="249"/>
      <c r="CD11" s="249"/>
      <c r="CE11" s="249"/>
      <c r="CF11" s="249"/>
      <c r="CG11" s="249"/>
      <c r="CH11" s="249"/>
      <c r="CI11" s="249"/>
      <c r="CJ11" s="249"/>
      <c r="CK11" s="249"/>
      <c r="CL11" s="249"/>
      <c r="CM11" s="249"/>
      <c r="CN11" s="249"/>
      <c r="CO11" s="249"/>
      <c r="CP11" s="249"/>
      <c r="CQ11" s="249"/>
      <c r="CR11" s="249"/>
      <c r="CS11" s="249"/>
      <c r="CT11" s="249"/>
      <c r="CU11" s="249"/>
      <c r="CV11" s="249"/>
      <c r="CW11" s="249"/>
      <c r="CX11" s="249"/>
      <c r="CY11" s="249"/>
      <c r="CZ11" s="249"/>
      <c r="DA11" s="249"/>
      <c r="DB11" s="249"/>
      <c r="DC11" s="249"/>
      <c r="DD11" s="249"/>
      <c r="DE11" s="249"/>
      <c r="DF11" s="249"/>
      <c r="DG11" s="249"/>
      <c r="DH11" s="249"/>
      <c r="DI11" s="249"/>
      <c r="DJ11" s="249"/>
      <c r="DK11" s="249"/>
      <c r="DL11" s="249"/>
      <c r="DM11" s="249"/>
      <c r="DN11" s="249"/>
      <c r="DO11" s="249"/>
    </row>
    <row r="12" spans="1:119" ht="13.5" x14ac:dyDescent="0.25">
      <c r="A12" s="80">
        <v>4</v>
      </c>
      <c r="B12" s="95" t="s">
        <v>20</v>
      </c>
      <c r="C12" s="81">
        <f>Цена!E16</f>
        <v>6</v>
      </c>
      <c r="D12" s="84">
        <f>C12</f>
        <v>6</v>
      </c>
      <c r="E12" s="646" t="s">
        <v>21</v>
      </c>
      <c r="F12" s="647"/>
      <c r="G12" s="647"/>
      <c r="H12" s="647"/>
      <c r="I12" s="647"/>
      <c r="J12" s="647"/>
      <c r="K12" s="647"/>
      <c r="L12" s="647"/>
      <c r="M12" s="647"/>
      <c r="N12" s="647"/>
      <c r="O12" s="648"/>
      <c r="P12" s="1"/>
      <c r="S12" s="252">
        <v>2</v>
      </c>
      <c r="T12" s="255" t="s">
        <v>62</v>
      </c>
      <c r="U12" s="254">
        <v>1</v>
      </c>
      <c r="V12" s="677" t="s">
        <v>63</v>
      </c>
      <c r="W12" s="677"/>
      <c r="X12" s="677"/>
      <c r="Y12" s="677"/>
      <c r="Z12" s="678"/>
      <c r="AA12" s="3"/>
      <c r="AB12" s="249"/>
      <c r="AC12" s="249"/>
      <c r="AD12" s="249"/>
      <c r="AE12" s="249"/>
      <c r="AF12" s="249"/>
      <c r="AG12" s="249"/>
      <c r="AH12" s="249"/>
      <c r="AI12" s="249"/>
      <c r="AJ12" s="249"/>
      <c r="AK12" s="249"/>
      <c r="AL12" s="249"/>
      <c r="AM12" s="249"/>
      <c r="AN12" s="249"/>
      <c r="AO12" s="249"/>
      <c r="AP12" s="249"/>
      <c r="AQ12" s="249"/>
      <c r="AR12" s="249"/>
      <c r="AS12" s="249"/>
      <c r="AT12" s="249"/>
      <c r="AU12" s="249"/>
      <c r="AV12" s="249"/>
      <c r="AW12" s="249"/>
      <c r="AX12" s="249"/>
      <c r="AY12" s="249"/>
      <c r="AZ12" s="249"/>
      <c r="BA12" s="249"/>
      <c r="BB12" s="249"/>
      <c r="BC12" s="249"/>
      <c r="BD12" s="249"/>
      <c r="BE12" s="249"/>
      <c r="BF12" s="249"/>
      <c r="BG12" s="249"/>
      <c r="BH12" s="249"/>
      <c r="BI12" s="249"/>
      <c r="BJ12" s="249"/>
      <c r="BK12" s="249"/>
      <c r="BL12" s="249"/>
      <c r="BM12" s="249"/>
      <c r="BN12" s="249"/>
      <c r="BO12" s="249"/>
      <c r="BP12" s="249"/>
      <c r="BQ12" s="249"/>
      <c r="BR12" s="249"/>
      <c r="BS12" s="249"/>
      <c r="BT12" s="249"/>
      <c r="BU12" s="249"/>
      <c r="BV12" s="249"/>
      <c r="BW12" s="249"/>
      <c r="BX12" s="249"/>
      <c r="BY12" s="249"/>
      <c r="BZ12" s="249"/>
      <c r="CA12" s="249"/>
      <c r="CB12" s="249"/>
      <c r="CC12" s="249"/>
      <c r="CD12" s="249"/>
      <c r="CE12" s="249"/>
      <c r="CF12" s="249"/>
      <c r="CG12" s="249"/>
      <c r="CH12" s="249"/>
      <c r="CI12" s="249"/>
      <c r="CJ12" s="249"/>
      <c r="CK12" s="249"/>
      <c r="CL12" s="249"/>
      <c r="CM12" s="249"/>
      <c r="CN12" s="249"/>
      <c r="CO12" s="249"/>
      <c r="CP12" s="249"/>
      <c r="CQ12" s="249"/>
      <c r="CR12" s="249"/>
      <c r="CS12" s="249"/>
      <c r="CT12" s="249"/>
      <c r="CU12" s="249"/>
      <c r="CV12" s="249"/>
      <c r="CW12" s="249"/>
      <c r="CX12" s="249"/>
      <c r="CY12" s="249"/>
      <c r="CZ12" s="249"/>
      <c r="DA12" s="249"/>
      <c r="DB12" s="249"/>
      <c r="DC12" s="249"/>
      <c r="DD12" s="249"/>
      <c r="DE12" s="249"/>
      <c r="DF12" s="249"/>
      <c r="DG12" s="249"/>
      <c r="DH12" s="249"/>
      <c r="DI12" s="249"/>
      <c r="DJ12" s="249"/>
      <c r="DK12" s="249"/>
      <c r="DL12" s="249"/>
      <c r="DM12" s="249"/>
      <c r="DN12" s="249"/>
      <c r="DO12" s="249"/>
    </row>
    <row r="13" spans="1:119" ht="15" x14ac:dyDescent="0.2">
      <c r="A13" s="85">
        <v>5</v>
      </c>
      <c r="B13" s="23" t="s">
        <v>22</v>
      </c>
      <c r="C13" s="86">
        <f>C10-300</f>
        <v>100</v>
      </c>
      <c r="D13" s="87">
        <f>IF(C10&lt;=1200,C10,C10-250)</f>
        <v>400</v>
      </c>
      <c r="E13" s="643" t="s">
        <v>23</v>
      </c>
      <c r="F13" s="644"/>
      <c r="G13" s="644"/>
      <c r="H13" s="644"/>
      <c r="I13" s="644"/>
      <c r="J13" s="644"/>
      <c r="K13" s="644"/>
      <c r="L13" s="644"/>
      <c r="M13" s="644"/>
      <c r="N13" s="644"/>
      <c r="O13" s="645"/>
      <c r="P13" s="3"/>
      <c r="S13" s="252">
        <v>3</v>
      </c>
      <c r="T13" s="255" t="s">
        <v>261</v>
      </c>
      <c r="U13" s="254">
        <v>1</v>
      </c>
      <c r="V13" s="677" t="s">
        <v>64</v>
      </c>
      <c r="W13" s="677"/>
      <c r="X13" s="677"/>
      <c r="Y13" s="677"/>
      <c r="Z13" s="678"/>
      <c r="AA13" s="3"/>
      <c r="AB13" s="249"/>
      <c r="AC13" s="249"/>
      <c r="AD13" s="249"/>
      <c r="AE13" s="249"/>
      <c r="AF13" s="249"/>
      <c r="AG13" s="249"/>
      <c r="AH13" s="249"/>
      <c r="AI13" s="249"/>
      <c r="AJ13" s="249"/>
      <c r="AK13" s="249"/>
      <c r="AL13" s="249"/>
      <c r="AM13" s="249"/>
      <c r="AN13" s="249"/>
      <c r="AO13" s="249"/>
      <c r="AP13" s="249"/>
      <c r="AQ13" s="249"/>
      <c r="AR13" s="249"/>
      <c r="AS13" s="249"/>
      <c r="AT13" s="249"/>
      <c r="AU13" s="249"/>
      <c r="AV13" s="249"/>
      <c r="AW13" s="249"/>
      <c r="AX13" s="249"/>
      <c r="AY13" s="249"/>
      <c r="AZ13" s="249"/>
      <c r="BA13" s="249"/>
      <c r="BB13" s="249"/>
      <c r="BC13" s="249"/>
      <c r="BD13" s="249"/>
      <c r="BE13" s="249"/>
      <c r="BF13" s="249"/>
      <c r="BG13" s="249"/>
      <c r="BH13" s="249"/>
      <c r="BI13" s="249"/>
      <c r="BJ13" s="249"/>
      <c r="BK13" s="249"/>
      <c r="BL13" s="249"/>
      <c r="BM13" s="249"/>
      <c r="BN13" s="249"/>
      <c r="BO13" s="249"/>
      <c r="BP13" s="249"/>
      <c r="BQ13" s="249"/>
      <c r="BR13" s="249"/>
      <c r="BS13" s="249"/>
      <c r="BT13" s="249"/>
      <c r="BU13" s="249"/>
      <c r="BV13" s="249"/>
      <c r="BW13" s="249"/>
      <c r="BX13" s="249"/>
      <c r="BY13" s="249"/>
      <c r="BZ13" s="249"/>
      <c r="CA13" s="249"/>
      <c r="CB13" s="249"/>
      <c r="CC13" s="249"/>
      <c r="CD13" s="249"/>
      <c r="CE13" s="249"/>
      <c r="CF13" s="249"/>
      <c r="CG13" s="249"/>
      <c r="CH13" s="249"/>
      <c r="CI13" s="249"/>
      <c r="CJ13" s="249"/>
      <c r="CK13" s="249"/>
      <c r="CL13" s="249"/>
      <c r="CM13" s="249"/>
      <c r="CN13" s="249"/>
      <c r="CO13" s="249"/>
      <c r="CP13" s="249"/>
      <c r="CQ13" s="249"/>
      <c r="CR13" s="249"/>
      <c r="CS13" s="249"/>
      <c r="CT13" s="249"/>
      <c r="CU13" s="249"/>
      <c r="CV13" s="249"/>
      <c r="CW13" s="249"/>
      <c r="CX13" s="249"/>
      <c r="CY13" s="249"/>
      <c r="CZ13" s="249"/>
      <c r="DA13" s="249"/>
      <c r="DB13" s="249"/>
      <c r="DC13" s="249"/>
      <c r="DD13" s="249"/>
      <c r="DE13" s="249"/>
      <c r="DF13" s="249"/>
      <c r="DG13" s="249"/>
      <c r="DH13" s="249"/>
      <c r="DI13" s="249"/>
      <c r="DJ13" s="249"/>
      <c r="DK13" s="249"/>
      <c r="DL13" s="249"/>
      <c r="DM13" s="249"/>
      <c r="DN13" s="249"/>
      <c r="DO13" s="249"/>
    </row>
    <row r="14" spans="1:119" x14ac:dyDescent="0.2">
      <c r="A14" s="88"/>
      <c r="B14" s="24" t="s">
        <v>24</v>
      </c>
      <c r="C14" s="89" t="s">
        <v>25</v>
      </c>
      <c r="D14" s="90">
        <f>C13+100</f>
        <v>200</v>
      </c>
      <c r="E14" s="668" t="s">
        <v>26</v>
      </c>
      <c r="F14" s="540"/>
      <c r="G14" s="540"/>
      <c r="H14" s="540"/>
      <c r="I14" s="540"/>
      <c r="J14" s="540"/>
      <c r="K14" s="540"/>
      <c r="L14" s="540"/>
      <c r="M14" s="540"/>
      <c r="N14" s="540"/>
      <c r="O14" s="541"/>
      <c r="P14" s="3"/>
      <c r="S14" s="252">
        <v>4</v>
      </c>
      <c r="T14" s="255" t="s">
        <v>260</v>
      </c>
      <c r="U14" s="254">
        <v>1</v>
      </c>
      <c r="V14" s="273" t="s">
        <v>65</v>
      </c>
      <c r="W14" s="272"/>
      <c r="X14" s="272"/>
      <c r="Y14" s="271"/>
      <c r="Z14" s="270"/>
      <c r="AA14" s="3"/>
      <c r="AB14" s="249"/>
      <c r="AC14" s="249"/>
      <c r="AD14" s="249"/>
      <c r="AE14" s="249"/>
      <c r="AF14" s="249"/>
      <c r="AG14" s="249"/>
      <c r="AH14" s="249"/>
      <c r="AI14" s="249"/>
      <c r="AJ14" s="249"/>
      <c r="AK14" s="249"/>
      <c r="AL14" s="249"/>
      <c r="AM14" s="249"/>
      <c r="AN14" s="249"/>
      <c r="AO14" s="249"/>
      <c r="AP14" s="249"/>
      <c r="AQ14" s="249"/>
      <c r="AR14" s="249"/>
      <c r="AS14" s="249"/>
      <c r="AT14" s="249"/>
      <c r="AU14" s="249"/>
      <c r="AV14" s="249"/>
      <c r="AW14" s="249"/>
      <c r="AX14" s="249"/>
      <c r="AY14" s="249"/>
      <c r="AZ14" s="249"/>
      <c r="BA14" s="249"/>
      <c r="BB14" s="249"/>
      <c r="BC14" s="249"/>
      <c r="BD14" s="249"/>
      <c r="BE14" s="249"/>
      <c r="BF14" s="249"/>
      <c r="BG14" s="249"/>
      <c r="BH14" s="249"/>
      <c r="BI14" s="249"/>
      <c r="BJ14" s="249"/>
      <c r="BK14" s="249"/>
      <c r="BL14" s="249"/>
      <c r="BM14" s="249"/>
      <c r="BN14" s="249"/>
      <c r="BO14" s="249"/>
      <c r="BP14" s="249"/>
      <c r="BQ14" s="249"/>
      <c r="BR14" s="249"/>
      <c r="BS14" s="249"/>
      <c r="BT14" s="249"/>
      <c r="BU14" s="249"/>
      <c r="BV14" s="249"/>
      <c r="BW14" s="249"/>
      <c r="BX14" s="249"/>
      <c r="BY14" s="249"/>
      <c r="BZ14" s="249"/>
      <c r="CA14" s="249"/>
      <c r="CB14" s="249"/>
      <c r="CC14" s="249"/>
      <c r="CD14" s="249"/>
      <c r="CE14" s="249"/>
      <c r="CF14" s="249"/>
      <c r="CG14" s="249"/>
      <c r="CH14" s="249"/>
      <c r="CI14" s="249"/>
      <c r="CJ14" s="249"/>
      <c r="CK14" s="249"/>
      <c r="CL14" s="249"/>
      <c r="CM14" s="249"/>
      <c r="CN14" s="249"/>
      <c r="CO14" s="249"/>
      <c r="CP14" s="249"/>
      <c r="CQ14" s="249"/>
      <c r="CR14" s="249"/>
      <c r="CS14" s="249"/>
      <c r="CT14" s="249"/>
      <c r="CU14" s="249"/>
      <c r="CV14" s="249"/>
      <c r="CW14" s="249"/>
      <c r="CX14" s="249"/>
      <c r="CY14" s="249"/>
      <c r="CZ14" s="249"/>
      <c r="DA14" s="249"/>
      <c r="DB14" s="249"/>
      <c r="DC14" s="249"/>
      <c r="DD14" s="249"/>
      <c r="DE14" s="249"/>
      <c r="DF14" s="249"/>
      <c r="DG14" s="249"/>
      <c r="DH14" s="249"/>
      <c r="DI14" s="249"/>
      <c r="DJ14" s="249"/>
      <c r="DK14" s="249"/>
      <c r="DL14" s="249"/>
      <c r="DM14" s="249"/>
      <c r="DN14" s="249"/>
      <c r="DO14" s="249"/>
    </row>
    <row r="15" spans="1:119" x14ac:dyDescent="0.2">
      <c r="A15" s="78"/>
      <c r="B15" s="25" t="s">
        <v>27</v>
      </c>
      <c r="C15" s="91" t="s">
        <v>25</v>
      </c>
      <c r="D15" s="92">
        <f>MAX(D13,D14)</f>
        <v>400</v>
      </c>
      <c r="E15" s="669"/>
      <c r="F15" s="670"/>
      <c r="G15" s="670"/>
      <c r="H15" s="670"/>
      <c r="I15" s="670"/>
      <c r="J15" s="670"/>
      <c r="K15" s="670"/>
      <c r="L15" s="670"/>
      <c r="M15" s="670"/>
      <c r="N15" s="670"/>
      <c r="O15" s="671"/>
      <c r="P15" s="3"/>
      <c r="S15" s="252">
        <v>5</v>
      </c>
      <c r="T15" s="255" t="s">
        <v>259</v>
      </c>
      <c r="U15" s="254">
        <v>1</v>
      </c>
      <c r="V15" s="631" t="s">
        <v>66</v>
      </c>
      <c r="W15" s="632"/>
      <c r="X15" s="632"/>
      <c r="Y15" s="632"/>
      <c r="Z15" s="633"/>
      <c r="AA15" s="3"/>
      <c r="AB15" s="249"/>
      <c r="AC15" s="249"/>
      <c r="AD15" s="249"/>
      <c r="AE15" s="249"/>
      <c r="AF15" s="249"/>
      <c r="AG15" s="249"/>
      <c r="AH15" s="249"/>
      <c r="AI15" s="249"/>
      <c r="AJ15" s="249"/>
      <c r="AK15" s="249"/>
      <c r="AL15" s="249"/>
      <c r="AM15" s="249"/>
      <c r="AN15" s="249"/>
      <c r="AO15" s="249"/>
      <c r="AP15" s="249"/>
      <c r="AQ15" s="249"/>
      <c r="AR15" s="249"/>
      <c r="AS15" s="249"/>
      <c r="AT15" s="249"/>
      <c r="AU15" s="249"/>
      <c r="AV15" s="249"/>
      <c r="AW15" s="249"/>
      <c r="AX15" s="249"/>
      <c r="AY15" s="249"/>
      <c r="AZ15" s="249"/>
      <c r="BA15" s="249"/>
      <c r="BB15" s="249"/>
      <c r="BC15" s="249"/>
      <c r="BD15" s="249"/>
      <c r="BE15" s="249"/>
      <c r="BF15" s="249"/>
      <c r="BG15" s="249"/>
      <c r="BH15" s="249"/>
      <c r="BI15" s="249"/>
      <c r="BJ15" s="249"/>
      <c r="BK15" s="249"/>
      <c r="BL15" s="249"/>
      <c r="BM15" s="249"/>
      <c r="BN15" s="249"/>
      <c r="BO15" s="249"/>
      <c r="BP15" s="249"/>
      <c r="BQ15" s="249"/>
      <c r="BR15" s="249"/>
      <c r="BS15" s="249"/>
      <c r="BT15" s="249"/>
      <c r="BU15" s="249"/>
      <c r="BV15" s="249"/>
      <c r="BW15" s="249"/>
      <c r="BX15" s="249"/>
      <c r="BY15" s="249"/>
      <c r="BZ15" s="249"/>
      <c r="CA15" s="249"/>
      <c r="CB15" s="249"/>
      <c r="CC15" s="249"/>
      <c r="CD15" s="249"/>
      <c r="CE15" s="249"/>
      <c r="CF15" s="249"/>
      <c r="CG15" s="249"/>
      <c r="CH15" s="249"/>
      <c r="CI15" s="249"/>
      <c r="CJ15" s="249"/>
      <c r="CK15" s="249"/>
      <c r="CL15" s="249"/>
      <c r="CM15" s="249"/>
      <c r="CN15" s="249"/>
      <c r="CO15" s="249"/>
      <c r="CP15" s="249"/>
      <c r="CQ15" s="249"/>
      <c r="CR15" s="249"/>
      <c r="CS15" s="249"/>
      <c r="CT15" s="249"/>
      <c r="CU15" s="249"/>
      <c r="CV15" s="249"/>
      <c r="CW15" s="249"/>
      <c r="CX15" s="249"/>
      <c r="CY15" s="249"/>
      <c r="CZ15" s="249"/>
      <c r="DA15" s="249"/>
      <c r="DB15" s="249"/>
      <c r="DC15" s="249"/>
      <c r="DD15" s="249"/>
      <c r="DE15" s="249"/>
      <c r="DF15" s="249"/>
      <c r="DG15" s="249"/>
      <c r="DH15" s="249"/>
      <c r="DI15" s="249"/>
      <c r="DJ15" s="249"/>
      <c r="DK15" s="249"/>
      <c r="DL15" s="249"/>
      <c r="DM15" s="249"/>
      <c r="DN15" s="249"/>
      <c r="DO15" s="249"/>
    </row>
    <row r="16" spans="1:119" ht="24.75" customHeight="1" x14ac:dyDescent="0.2">
      <c r="A16" s="80">
        <v>6</v>
      </c>
      <c r="B16" s="95" t="s">
        <v>28</v>
      </c>
      <c r="C16" s="93" t="s">
        <v>25</v>
      </c>
      <c r="D16" s="83">
        <f>IF(OR(D12=6,D12=8),6,IF(OR(D12=10,D12=12,D12=14,D12=16,AND(D12=20,D15&lt;=2000)),8,10))</f>
        <v>6</v>
      </c>
      <c r="E16" s="625" t="s">
        <v>258</v>
      </c>
      <c r="F16" s="626"/>
      <c r="G16" s="626"/>
      <c r="H16" s="626"/>
      <c r="I16" s="626"/>
      <c r="J16" s="626"/>
      <c r="K16" s="626"/>
      <c r="L16" s="626"/>
      <c r="M16" s="626"/>
      <c r="N16" s="626"/>
      <c r="O16" s="627"/>
      <c r="P16" s="1"/>
      <c r="S16" s="252">
        <v>6</v>
      </c>
      <c r="T16" s="255" t="s">
        <v>257</v>
      </c>
      <c r="U16" s="254">
        <v>1</v>
      </c>
      <c r="V16" s="631" t="s">
        <v>67</v>
      </c>
      <c r="W16" s="632"/>
      <c r="X16" s="632"/>
      <c r="Y16" s="632"/>
      <c r="Z16" s="633"/>
      <c r="AA16" s="3"/>
      <c r="AB16" s="249"/>
      <c r="AC16" s="249"/>
      <c r="AD16" s="249"/>
      <c r="AE16" s="249"/>
      <c r="AF16" s="249"/>
      <c r="AG16" s="249"/>
      <c r="AH16" s="249"/>
      <c r="AI16" s="249"/>
      <c r="AJ16" s="249"/>
      <c r="AK16" s="249"/>
      <c r="AL16" s="249"/>
      <c r="AM16" s="249"/>
      <c r="AN16" s="249"/>
      <c r="AO16" s="249"/>
      <c r="AP16" s="249"/>
      <c r="AQ16" s="249"/>
      <c r="AR16" s="249"/>
      <c r="AS16" s="249"/>
      <c r="AT16" s="249"/>
      <c r="AU16" s="249"/>
      <c r="AV16" s="249"/>
      <c r="AW16" s="249"/>
      <c r="AX16" s="249"/>
      <c r="AY16" s="249"/>
      <c r="AZ16" s="249"/>
      <c r="BA16" s="249"/>
      <c r="BB16" s="249"/>
      <c r="BC16" s="249"/>
      <c r="BD16" s="249"/>
      <c r="BE16" s="249"/>
      <c r="BF16" s="249"/>
      <c r="BG16" s="249"/>
      <c r="BH16" s="249"/>
      <c r="BI16" s="249"/>
      <c r="BJ16" s="249"/>
      <c r="BK16" s="249"/>
      <c r="BL16" s="249"/>
      <c r="BM16" s="249"/>
      <c r="BN16" s="249"/>
      <c r="BO16" s="249"/>
      <c r="BP16" s="249"/>
      <c r="BQ16" s="249"/>
      <c r="BR16" s="249"/>
      <c r="BS16" s="249"/>
      <c r="BT16" s="249"/>
      <c r="BU16" s="249"/>
      <c r="BV16" s="249"/>
      <c r="BW16" s="249"/>
      <c r="BX16" s="249"/>
      <c r="BY16" s="249"/>
      <c r="BZ16" s="249"/>
      <c r="CA16" s="249"/>
      <c r="CB16" s="249"/>
      <c r="CC16" s="249"/>
      <c r="CD16" s="249"/>
      <c r="CE16" s="249"/>
      <c r="CF16" s="249"/>
      <c r="CG16" s="249"/>
      <c r="CH16" s="249"/>
      <c r="CI16" s="249"/>
      <c r="CJ16" s="249"/>
      <c r="CK16" s="249"/>
      <c r="CL16" s="249"/>
      <c r="CM16" s="249"/>
      <c r="CN16" s="249"/>
      <c r="CO16" s="249"/>
      <c r="CP16" s="249"/>
      <c r="CQ16" s="249"/>
      <c r="CR16" s="249"/>
      <c r="CS16" s="249"/>
      <c r="CT16" s="249"/>
      <c r="CU16" s="249"/>
      <c r="CV16" s="249"/>
      <c r="CW16" s="249"/>
      <c r="CX16" s="249"/>
      <c r="CY16" s="249"/>
      <c r="CZ16" s="249"/>
      <c r="DA16" s="249"/>
      <c r="DB16" s="249"/>
      <c r="DC16" s="249"/>
      <c r="DD16" s="249"/>
      <c r="DE16" s="249"/>
      <c r="DF16" s="249"/>
      <c r="DG16" s="249"/>
      <c r="DH16" s="249"/>
      <c r="DI16" s="249"/>
      <c r="DJ16" s="249"/>
      <c r="DK16" s="249"/>
      <c r="DL16" s="249"/>
      <c r="DM16" s="249"/>
      <c r="DN16" s="249"/>
      <c r="DO16" s="249"/>
    </row>
    <row r="17" spans="1:242" x14ac:dyDescent="0.2">
      <c r="A17" s="80">
        <v>7</v>
      </c>
      <c r="B17" s="96" t="s">
        <v>29</v>
      </c>
      <c r="C17" s="93" t="s">
        <v>25</v>
      </c>
      <c r="D17" s="82">
        <f>ROUNDDOWN(IF(D9&lt;=750,(D9-180)/(D12+D16),(D9-260)/(D12+D16)),0)</f>
        <v>18</v>
      </c>
      <c r="E17" s="628" t="s">
        <v>30</v>
      </c>
      <c r="F17" s="629"/>
      <c r="G17" s="629"/>
      <c r="H17" s="629"/>
      <c r="I17" s="629"/>
      <c r="J17" s="629"/>
      <c r="K17" s="629"/>
      <c r="L17" s="629"/>
      <c r="M17" s="629"/>
      <c r="N17" s="629"/>
      <c r="O17" s="630"/>
      <c r="P17" s="3"/>
      <c r="S17" s="252">
        <v>7</v>
      </c>
      <c r="T17" s="255" t="s">
        <v>68</v>
      </c>
      <c r="U17" s="254">
        <v>2</v>
      </c>
      <c r="V17" s="631" t="s">
        <v>69</v>
      </c>
      <c r="W17" s="632"/>
      <c r="X17" s="632"/>
      <c r="Y17" s="632"/>
      <c r="Z17" s="633"/>
      <c r="AA17" s="3"/>
      <c r="AB17" s="249"/>
      <c r="AC17" s="249"/>
      <c r="AD17" s="249"/>
      <c r="AE17" s="249"/>
      <c r="AF17" s="249"/>
      <c r="AG17" s="249"/>
      <c r="AH17" s="249"/>
      <c r="AI17" s="249"/>
      <c r="AJ17" s="249"/>
      <c r="AK17" s="249"/>
      <c r="AL17" s="249"/>
      <c r="AM17" s="249"/>
      <c r="AN17" s="249"/>
      <c r="AO17" s="249"/>
      <c r="AP17" s="249"/>
      <c r="AQ17" s="249"/>
      <c r="AR17" s="249"/>
      <c r="AS17" s="249"/>
      <c r="AT17" s="249"/>
      <c r="AU17" s="249"/>
      <c r="AV17" s="249"/>
      <c r="AW17" s="249"/>
      <c r="AX17" s="249"/>
      <c r="AY17" s="249"/>
      <c r="AZ17" s="249"/>
      <c r="BA17" s="249"/>
      <c r="BB17" s="249"/>
      <c r="BC17" s="249"/>
      <c r="BD17" s="249"/>
      <c r="BE17" s="249"/>
      <c r="BF17" s="249"/>
      <c r="BG17" s="249"/>
      <c r="BH17" s="249"/>
      <c r="BI17" s="249"/>
      <c r="BJ17" s="249"/>
      <c r="BK17" s="249"/>
      <c r="BL17" s="249"/>
      <c r="BM17" s="249"/>
      <c r="BN17" s="249"/>
      <c r="BO17" s="249"/>
      <c r="BP17" s="249"/>
      <c r="BQ17" s="249"/>
      <c r="BR17" s="249"/>
      <c r="BS17" s="249"/>
      <c r="BT17" s="249"/>
      <c r="BU17" s="249"/>
      <c r="BV17" s="249"/>
      <c r="BW17" s="249"/>
      <c r="BX17" s="249"/>
      <c r="BY17" s="249"/>
      <c r="BZ17" s="249"/>
      <c r="CA17" s="249"/>
      <c r="CB17" s="249"/>
      <c r="CC17" s="249"/>
      <c r="CD17" s="249"/>
      <c r="CE17" s="249"/>
      <c r="CF17" s="249"/>
      <c r="CG17" s="249"/>
      <c r="CH17" s="249"/>
      <c r="CI17" s="249"/>
      <c r="CJ17" s="249"/>
      <c r="CK17" s="249"/>
      <c r="CL17" s="249"/>
      <c r="CM17" s="249"/>
      <c r="CN17" s="249"/>
      <c r="CO17" s="249"/>
      <c r="CP17" s="249"/>
      <c r="CQ17" s="249"/>
      <c r="CR17" s="249"/>
      <c r="CS17" s="249"/>
      <c r="CT17" s="249"/>
      <c r="CU17" s="249"/>
      <c r="CV17" s="249"/>
      <c r="CW17" s="249"/>
      <c r="CX17" s="249"/>
      <c r="CY17" s="249"/>
      <c r="CZ17" s="249"/>
      <c r="DA17" s="249"/>
      <c r="DB17" s="249"/>
      <c r="DC17" s="249"/>
      <c r="DD17" s="249"/>
      <c r="DE17" s="249"/>
      <c r="DF17" s="249"/>
      <c r="DG17" s="249"/>
      <c r="DH17" s="249"/>
      <c r="DI17" s="249"/>
      <c r="DJ17" s="249"/>
      <c r="DK17" s="249"/>
      <c r="DL17" s="249"/>
      <c r="DM17" s="249"/>
      <c r="DN17" s="249"/>
      <c r="DO17" s="249"/>
    </row>
    <row r="18" spans="1:242" ht="13.5" thickBot="1" x14ac:dyDescent="0.25">
      <c r="A18" s="26"/>
      <c r="B18" s="1"/>
      <c r="C18" s="27"/>
      <c r="D18" s="28"/>
      <c r="E18" s="2"/>
      <c r="F18" s="2"/>
      <c r="G18" s="2"/>
      <c r="H18" s="2"/>
      <c r="I18" s="2"/>
      <c r="J18" s="2"/>
      <c r="K18" s="2"/>
      <c r="L18" s="2"/>
      <c r="M18" s="2"/>
      <c r="N18" s="2"/>
      <c r="O18" s="77"/>
      <c r="P18" s="3"/>
      <c r="S18" s="252">
        <v>8</v>
      </c>
      <c r="T18" s="255" t="s">
        <v>70</v>
      </c>
      <c r="U18" s="254">
        <v>2</v>
      </c>
      <c r="V18" s="631" t="s">
        <v>71</v>
      </c>
      <c r="W18" s="632"/>
      <c r="X18" s="632"/>
      <c r="Y18" s="632"/>
      <c r="Z18" s="633"/>
      <c r="AA18" s="3"/>
      <c r="AB18" s="249"/>
      <c r="AC18" s="249"/>
      <c r="AD18" s="249"/>
      <c r="AE18" s="249"/>
      <c r="AF18" s="249"/>
      <c r="AG18" s="249"/>
      <c r="AH18" s="249"/>
      <c r="AI18" s="249"/>
      <c r="AJ18" s="249"/>
      <c r="AK18" s="249"/>
      <c r="AL18" s="249"/>
      <c r="AM18" s="249"/>
      <c r="AN18" s="249"/>
      <c r="AO18" s="249"/>
      <c r="AP18" s="249"/>
      <c r="AQ18" s="249"/>
      <c r="AR18" s="249"/>
      <c r="AS18" s="249"/>
      <c r="AT18" s="249"/>
      <c r="AU18" s="249"/>
      <c r="AV18" s="249"/>
      <c r="AW18" s="249"/>
      <c r="AX18" s="249"/>
      <c r="AY18" s="249"/>
      <c r="AZ18" s="249"/>
      <c r="BA18" s="249"/>
      <c r="BB18" s="249"/>
      <c r="BC18" s="249"/>
      <c r="BD18" s="249"/>
      <c r="BE18" s="249"/>
      <c r="BF18" s="249"/>
      <c r="BG18" s="249"/>
      <c r="BH18" s="249"/>
      <c r="BI18" s="249"/>
      <c r="BJ18" s="249"/>
      <c r="BK18" s="249"/>
      <c r="BL18" s="249"/>
      <c r="BM18" s="249"/>
      <c r="BN18" s="249"/>
      <c r="BO18" s="249"/>
      <c r="BP18" s="249"/>
      <c r="BQ18" s="249"/>
      <c r="BR18" s="249"/>
      <c r="BS18" s="249"/>
      <c r="BT18" s="249"/>
      <c r="BU18" s="249"/>
      <c r="BV18" s="249"/>
      <c r="BW18" s="249"/>
      <c r="BX18" s="249"/>
      <c r="BY18" s="249"/>
      <c r="BZ18" s="249"/>
      <c r="CA18" s="249"/>
      <c r="CB18" s="249"/>
      <c r="CC18" s="249"/>
      <c r="CD18" s="249"/>
      <c r="CE18" s="249"/>
      <c r="CF18" s="249"/>
      <c r="CG18" s="249"/>
      <c r="CH18" s="249"/>
      <c r="CI18" s="249"/>
      <c r="CJ18" s="249"/>
      <c r="CK18" s="249"/>
      <c r="CL18" s="249"/>
      <c r="CM18" s="249"/>
      <c r="CN18" s="249"/>
      <c r="CO18" s="249"/>
      <c r="CP18" s="249"/>
      <c r="CQ18" s="249"/>
      <c r="CR18" s="249"/>
      <c r="CS18" s="249"/>
      <c r="CT18" s="249"/>
      <c r="CU18" s="249"/>
      <c r="CV18" s="249"/>
      <c r="CW18" s="249"/>
      <c r="CX18" s="249"/>
      <c r="CY18" s="249"/>
      <c r="CZ18" s="249"/>
      <c r="DA18" s="249"/>
      <c r="DB18" s="249"/>
      <c r="DC18" s="249"/>
      <c r="DD18" s="249"/>
      <c r="DE18" s="249"/>
      <c r="DF18" s="249"/>
      <c r="DG18" s="249"/>
      <c r="DH18" s="249"/>
      <c r="DI18" s="249"/>
      <c r="DJ18" s="249"/>
      <c r="DK18" s="249"/>
      <c r="DL18" s="249"/>
      <c r="DM18" s="249"/>
      <c r="DN18" s="249"/>
      <c r="DO18" s="249"/>
    </row>
    <row r="19" spans="1:242" ht="15" x14ac:dyDescent="0.2">
      <c r="A19" s="7"/>
      <c r="B19" s="3"/>
      <c r="C19" s="3"/>
      <c r="D19" s="3"/>
      <c r="E19" s="2"/>
      <c r="F19" s="662" t="s">
        <v>31</v>
      </c>
      <c r="G19" s="663"/>
      <c r="H19" s="663"/>
      <c r="I19" s="663"/>
      <c r="J19" s="663"/>
      <c r="K19" s="663"/>
      <c r="L19" s="663"/>
      <c r="M19" s="663"/>
      <c r="N19" s="663"/>
      <c r="O19" s="664"/>
      <c r="P19" s="248"/>
      <c r="S19" s="252">
        <v>9</v>
      </c>
      <c r="T19" s="255" t="s">
        <v>72</v>
      </c>
      <c r="U19" s="259">
        <f>C29</f>
        <v>4</v>
      </c>
      <c r="V19" s="631" t="s">
        <v>73</v>
      </c>
      <c r="W19" s="632"/>
      <c r="X19" s="632"/>
      <c r="Y19" s="632"/>
      <c r="Z19" s="633"/>
      <c r="AA19" s="3"/>
      <c r="AB19" s="249"/>
      <c r="AC19" s="249"/>
      <c r="AD19" s="249"/>
      <c r="AE19" s="249"/>
      <c r="AF19" s="249"/>
      <c r="AG19" s="249"/>
      <c r="AH19" s="249"/>
      <c r="AI19" s="249"/>
      <c r="AJ19" s="249"/>
      <c r="AK19" s="249"/>
      <c r="AL19" s="249"/>
      <c r="AM19" s="249"/>
      <c r="AN19" s="249"/>
      <c r="AO19" s="249"/>
      <c r="AP19" s="249"/>
      <c r="AQ19" s="249"/>
      <c r="AR19" s="249"/>
      <c r="AS19" s="249"/>
      <c r="AT19" s="249"/>
      <c r="AU19" s="249"/>
      <c r="AV19" s="249"/>
      <c r="AW19" s="249"/>
      <c r="AX19" s="249"/>
      <c r="AY19" s="249"/>
      <c r="AZ19" s="249"/>
      <c r="BA19" s="249"/>
      <c r="BB19" s="249"/>
      <c r="BC19" s="249"/>
      <c r="BD19" s="249"/>
      <c r="BE19" s="249"/>
      <c r="BF19" s="249"/>
      <c r="BG19" s="249"/>
      <c r="BH19" s="249"/>
      <c r="BI19" s="249"/>
      <c r="BJ19" s="249"/>
      <c r="BK19" s="249"/>
      <c r="BL19" s="249"/>
      <c r="BM19" s="249"/>
      <c r="BN19" s="249"/>
      <c r="BO19" s="249"/>
      <c r="BP19" s="249"/>
      <c r="BQ19" s="249"/>
      <c r="BR19" s="249"/>
      <c r="BS19" s="249"/>
      <c r="BT19" s="249"/>
      <c r="BU19" s="249"/>
      <c r="BV19" s="249"/>
      <c r="BW19" s="249"/>
      <c r="BX19" s="249"/>
      <c r="BY19" s="249"/>
      <c r="BZ19" s="249"/>
      <c r="CA19" s="249"/>
      <c r="CB19" s="249"/>
      <c r="CC19" s="249"/>
      <c r="CD19" s="249"/>
      <c r="CE19" s="249"/>
      <c r="CF19" s="249"/>
      <c r="CG19" s="249"/>
      <c r="CH19" s="249"/>
      <c r="CI19" s="249"/>
      <c r="CJ19" s="249"/>
      <c r="CK19" s="249"/>
      <c r="CL19" s="249"/>
      <c r="CM19" s="249"/>
      <c r="CN19" s="249"/>
      <c r="CO19" s="249"/>
      <c r="CP19" s="249"/>
      <c r="CQ19" s="249"/>
      <c r="CR19" s="249"/>
      <c r="CS19" s="249"/>
      <c r="CT19" s="249"/>
      <c r="CU19" s="249"/>
      <c r="CV19" s="249"/>
      <c r="CW19" s="249"/>
      <c r="CX19" s="249"/>
      <c r="CY19" s="249"/>
      <c r="CZ19" s="249"/>
      <c r="DA19" s="249"/>
      <c r="DB19" s="249"/>
      <c r="DC19" s="249"/>
      <c r="DD19" s="249"/>
      <c r="DE19" s="249"/>
      <c r="DF19" s="249"/>
      <c r="DG19" s="249"/>
      <c r="DH19" s="249"/>
      <c r="DI19" s="249"/>
      <c r="DJ19" s="249"/>
      <c r="DK19" s="249"/>
      <c r="DL19" s="249"/>
      <c r="DM19" s="249"/>
      <c r="DN19" s="249"/>
      <c r="DO19" s="249"/>
    </row>
    <row r="20" spans="1:242" ht="15.75" thickBot="1" x14ac:dyDescent="0.25">
      <c r="A20" s="7"/>
      <c r="B20" s="3"/>
      <c r="C20" s="3"/>
      <c r="D20" s="3"/>
      <c r="E20" s="3"/>
      <c r="F20" s="665" t="s">
        <v>32</v>
      </c>
      <c r="G20" s="666"/>
      <c r="H20" s="666"/>
      <c r="I20" s="666"/>
      <c r="J20" s="666"/>
      <c r="K20" s="666"/>
      <c r="L20" s="666"/>
      <c r="M20" s="666"/>
      <c r="N20" s="666"/>
      <c r="O20" s="667"/>
      <c r="P20" s="29"/>
      <c r="S20" s="252">
        <v>10</v>
      </c>
      <c r="T20" s="255" t="s">
        <v>74</v>
      </c>
      <c r="U20" s="259">
        <f>C29</f>
        <v>4</v>
      </c>
      <c r="V20" s="631" t="s">
        <v>75</v>
      </c>
      <c r="W20" s="632"/>
      <c r="X20" s="632"/>
      <c r="Y20" s="632"/>
      <c r="Z20" s="633"/>
      <c r="AA20" s="3"/>
      <c r="AB20" s="249"/>
      <c r="AC20" s="249"/>
      <c r="AD20" s="249"/>
      <c r="AE20" s="249"/>
      <c r="AF20" s="249"/>
      <c r="AG20" s="249"/>
      <c r="AH20" s="249"/>
      <c r="AI20" s="249"/>
      <c r="AJ20" s="249"/>
      <c r="AK20" s="249"/>
      <c r="AL20" s="249"/>
      <c r="AM20" s="249"/>
      <c r="AN20" s="249"/>
      <c r="AO20" s="249"/>
      <c r="AP20" s="249"/>
      <c r="AQ20" s="249"/>
      <c r="AR20" s="249"/>
      <c r="AS20" s="249"/>
      <c r="AT20" s="249"/>
      <c r="AU20" s="249"/>
      <c r="AV20" s="249"/>
      <c r="AW20" s="249"/>
      <c r="AX20" s="249"/>
      <c r="AY20" s="249"/>
      <c r="AZ20" s="249"/>
      <c r="BA20" s="249"/>
      <c r="BB20" s="249"/>
      <c r="BC20" s="249"/>
      <c r="BD20" s="249"/>
      <c r="BE20" s="249"/>
      <c r="BF20" s="249"/>
      <c r="BG20" s="249"/>
      <c r="BH20" s="249"/>
      <c r="BI20" s="249"/>
      <c r="BJ20" s="249"/>
      <c r="BK20" s="249"/>
      <c r="BL20" s="249"/>
      <c r="BM20" s="249"/>
      <c r="BN20" s="249"/>
      <c r="BO20" s="249"/>
      <c r="BP20" s="249"/>
      <c r="BQ20" s="249"/>
      <c r="BR20" s="249"/>
      <c r="BS20" s="249"/>
      <c r="BT20" s="249"/>
      <c r="BU20" s="249"/>
      <c r="BV20" s="249"/>
      <c r="BW20" s="249"/>
      <c r="BX20" s="249"/>
      <c r="BY20" s="249"/>
      <c r="BZ20" s="249"/>
      <c r="CA20" s="249"/>
      <c r="CB20" s="249"/>
      <c r="CC20" s="249"/>
      <c r="CD20" s="249"/>
      <c r="CE20" s="249"/>
      <c r="CF20" s="249"/>
      <c r="CG20" s="249"/>
      <c r="CH20" s="249"/>
      <c r="CI20" s="249"/>
      <c r="CJ20" s="249"/>
      <c r="CK20" s="249"/>
      <c r="CL20" s="249"/>
      <c r="CM20" s="249"/>
      <c r="CN20" s="249"/>
      <c r="CO20" s="249"/>
      <c r="CP20" s="249"/>
      <c r="CQ20" s="249"/>
      <c r="CR20" s="249"/>
      <c r="CS20" s="249"/>
      <c r="CT20" s="249"/>
      <c r="CU20" s="249"/>
      <c r="CV20" s="249"/>
      <c r="CW20" s="249"/>
      <c r="CX20" s="249"/>
      <c r="CY20" s="249"/>
      <c r="CZ20" s="249"/>
      <c r="DA20" s="249"/>
      <c r="DB20" s="249"/>
      <c r="DC20" s="249"/>
      <c r="DD20" s="249"/>
      <c r="DE20" s="249"/>
      <c r="DF20" s="249"/>
      <c r="DG20" s="249"/>
      <c r="DH20" s="249"/>
      <c r="DI20" s="249"/>
      <c r="DJ20" s="249"/>
      <c r="DK20" s="249"/>
      <c r="DL20" s="249"/>
      <c r="DM20" s="249"/>
      <c r="DN20" s="249"/>
      <c r="DO20" s="249"/>
    </row>
    <row r="21" spans="1:242" ht="13.5" thickBot="1" x14ac:dyDescent="0.25">
      <c r="A21" s="7"/>
      <c r="B21" s="97" t="s">
        <v>33</v>
      </c>
      <c r="C21" s="30"/>
      <c r="D21" s="31"/>
      <c r="E21" s="3"/>
      <c r="F21" s="659" t="s">
        <v>256</v>
      </c>
      <c r="G21" s="660"/>
      <c r="H21" s="660"/>
      <c r="I21" s="660"/>
      <c r="J21" s="660"/>
      <c r="K21" s="660"/>
      <c r="L21" s="660"/>
      <c r="M21" s="660"/>
      <c r="N21" s="660"/>
      <c r="O21" s="661"/>
      <c r="P21" s="32"/>
      <c r="S21" s="252">
        <v>11</v>
      </c>
      <c r="T21" s="253" t="s">
        <v>255</v>
      </c>
      <c r="U21" s="254">
        <v>1</v>
      </c>
      <c r="V21" s="631"/>
      <c r="W21" s="632"/>
      <c r="X21" s="632"/>
      <c r="Y21" s="632"/>
      <c r="Z21" s="633"/>
      <c r="AA21" s="3"/>
      <c r="AB21" s="249"/>
      <c r="AC21" s="249"/>
      <c r="AD21" s="249"/>
      <c r="AE21" s="249"/>
      <c r="AF21" s="249"/>
      <c r="AG21" s="249"/>
      <c r="AH21" s="249"/>
      <c r="AI21" s="249"/>
      <c r="AJ21" s="249"/>
      <c r="AK21" s="249"/>
      <c r="AL21" s="249"/>
      <c r="AM21" s="249"/>
      <c r="AN21" s="249"/>
      <c r="AO21" s="249"/>
      <c r="AP21" s="249"/>
      <c r="AQ21" s="249"/>
      <c r="AR21" s="249"/>
      <c r="AS21" s="249"/>
      <c r="AT21" s="249"/>
      <c r="AU21" s="249"/>
      <c r="AV21" s="249"/>
      <c r="AW21" s="249"/>
      <c r="AX21" s="249"/>
      <c r="AY21" s="249"/>
      <c r="AZ21" s="249"/>
      <c r="BA21" s="249"/>
      <c r="BB21" s="249"/>
      <c r="BC21" s="249"/>
      <c r="BD21" s="249"/>
      <c r="BE21" s="249"/>
      <c r="BF21" s="249"/>
      <c r="BG21" s="249"/>
      <c r="BH21" s="249"/>
      <c r="BI21" s="249"/>
      <c r="BJ21" s="249"/>
      <c r="BK21" s="249"/>
      <c r="BL21" s="249"/>
      <c r="BM21" s="249"/>
      <c r="BN21" s="249"/>
      <c r="BO21" s="249"/>
      <c r="BP21" s="249"/>
      <c r="BQ21" s="249"/>
      <c r="BR21" s="249"/>
      <c r="BS21" s="249"/>
      <c r="BT21" s="249"/>
      <c r="BU21" s="249"/>
      <c r="BV21" s="249"/>
      <c r="BW21" s="249"/>
      <c r="BX21" s="249"/>
      <c r="BY21" s="249"/>
      <c r="BZ21" s="249"/>
      <c r="CA21" s="249"/>
      <c r="CB21" s="249"/>
      <c r="CC21" s="249"/>
      <c r="CD21" s="249"/>
      <c r="CE21" s="249"/>
      <c r="CF21" s="249"/>
      <c r="CG21" s="249"/>
      <c r="CH21" s="249"/>
      <c r="CI21" s="249"/>
      <c r="CJ21" s="249"/>
      <c r="CK21" s="249"/>
      <c r="CL21" s="249"/>
      <c r="CM21" s="249"/>
      <c r="CN21" s="249"/>
      <c r="CO21" s="249"/>
      <c r="CP21" s="249"/>
      <c r="CQ21" s="249"/>
      <c r="CR21" s="249"/>
      <c r="CS21" s="249"/>
      <c r="CT21" s="249"/>
      <c r="CU21" s="249"/>
      <c r="CV21" s="249"/>
      <c r="CW21" s="249"/>
      <c r="CX21" s="249"/>
      <c r="CY21" s="249"/>
      <c r="CZ21" s="249"/>
      <c r="DA21" s="249"/>
      <c r="DB21" s="249"/>
      <c r="DC21" s="249"/>
      <c r="DD21" s="249"/>
      <c r="DE21" s="249"/>
      <c r="DF21" s="249"/>
      <c r="DG21" s="249"/>
      <c r="DH21" s="249"/>
      <c r="DI21" s="249"/>
      <c r="DJ21" s="249"/>
      <c r="DK21" s="249"/>
      <c r="DL21" s="249"/>
      <c r="DM21" s="249"/>
      <c r="DN21" s="249"/>
      <c r="DO21" s="249"/>
    </row>
    <row r="22" spans="1:242" x14ac:dyDescent="0.2">
      <c r="A22" s="7"/>
      <c r="B22" s="33" t="s">
        <v>34</v>
      </c>
      <c r="C22" s="34">
        <f>D17</f>
        <v>18</v>
      </c>
      <c r="D22" s="35" t="s">
        <v>35</v>
      </c>
      <c r="E22" s="3"/>
      <c r="F22" s="674" t="s">
        <v>36</v>
      </c>
      <c r="G22" s="634" t="s">
        <v>254</v>
      </c>
      <c r="H22" s="672" t="s">
        <v>37</v>
      </c>
      <c r="I22" s="634" t="s">
        <v>38</v>
      </c>
      <c r="J22" s="672" t="s">
        <v>39</v>
      </c>
      <c r="K22" s="649" t="s">
        <v>40</v>
      </c>
      <c r="L22" s="650"/>
      <c r="M22" s="653" t="s">
        <v>84</v>
      </c>
      <c r="N22" s="655" t="s">
        <v>41</v>
      </c>
      <c r="O22" s="656"/>
      <c r="S22" s="252">
        <v>12</v>
      </c>
      <c r="T22" s="253" t="s">
        <v>253</v>
      </c>
      <c r="U22" s="254">
        <v>1</v>
      </c>
      <c r="V22" s="631"/>
      <c r="W22" s="632"/>
      <c r="X22" s="632"/>
      <c r="Y22" s="632"/>
      <c r="Z22" s="633"/>
      <c r="AA22" s="3"/>
      <c r="AB22" s="249"/>
      <c r="AC22" s="249"/>
      <c r="AD22" s="249"/>
      <c r="AE22" s="249"/>
      <c r="AF22" s="249"/>
      <c r="AG22" s="249"/>
      <c r="AH22" s="249"/>
      <c r="AI22" s="249"/>
      <c r="AJ22" s="249"/>
      <c r="AK22" s="249"/>
      <c r="AL22" s="249"/>
      <c r="AM22" s="249"/>
      <c r="AN22" s="249"/>
      <c r="AO22" s="249"/>
      <c r="AP22" s="249"/>
      <c r="AQ22" s="249"/>
      <c r="AR22" s="249"/>
      <c r="AS22" s="249"/>
      <c r="AT22" s="249"/>
      <c r="AU22" s="249"/>
      <c r="AV22" s="249"/>
      <c r="AW22" s="249"/>
      <c r="AX22" s="249"/>
      <c r="AY22" s="249"/>
      <c r="AZ22" s="249"/>
      <c r="BA22" s="249"/>
      <c r="BB22" s="249"/>
      <c r="BC22" s="249"/>
      <c r="BD22" s="249"/>
      <c r="BE22" s="249"/>
      <c r="BF22" s="249"/>
      <c r="BG22" s="249"/>
      <c r="BH22" s="249"/>
      <c r="BI22" s="249"/>
      <c r="BJ22" s="249"/>
      <c r="BK22" s="249"/>
      <c r="BL22" s="249"/>
      <c r="BM22" s="249"/>
      <c r="BN22" s="249"/>
      <c r="BO22" s="249"/>
      <c r="BP22" s="249"/>
      <c r="BQ22" s="249"/>
      <c r="BR22" s="249"/>
      <c r="BS22" s="249"/>
      <c r="BT22" s="249"/>
      <c r="BU22" s="249"/>
      <c r="BV22" s="249"/>
      <c r="BW22" s="249"/>
      <c r="BX22" s="249"/>
      <c r="BY22" s="249"/>
      <c r="BZ22" s="249"/>
      <c r="CA22" s="249"/>
      <c r="CB22" s="249"/>
      <c r="CC22" s="249"/>
      <c r="CD22" s="249"/>
      <c r="CE22" s="249"/>
      <c r="CF22" s="249"/>
      <c r="CG22" s="249"/>
      <c r="CH22" s="249"/>
      <c r="CI22" s="249"/>
      <c r="CJ22" s="249"/>
      <c r="CK22" s="249"/>
      <c r="CL22" s="249"/>
      <c r="CM22" s="249"/>
      <c r="CN22" s="249"/>
      <c r="CO22" s="249"/>
      <c r="CP22" s="249"/>
      <c r="CQ22" s="249"/>
      <c r="CR22" s="249"/>
      <c r="CS22" s="249"/>
      <c r="CT22" s="249"/>
      <c r="CU22" s="249"/>
      <c r="CV22" s="249"/>
      <c r="CW22" s="249"/>
      <c r="CX22" s="249"/>
      <c r="CY22" s="249"/>
      <c r="CZ22" s="249"/>
      <c r="DA22" s="249"/>
      <c r="DB22" s="249"/>
      <c r="DC22" s="249"/>
      <c r="DD22" s="249"/>
      <c r="DE22" s="249"/>
      <c r="DF22" s="249"/>
      <c r="DG22" s="249"/>
      <c r="DH22" s="249"/>
      <c r="DI22" s="249"/>
      <c r="DJ22" s="249"/>
      <c r="DK22" s="249"/>
      <c r="DL22" s="249"/>
      <c r="DM22" s="249"/>
      <c r="DN22" s="249"/>
      <c r="DO22" s="249"/>
    </row>
    <row r="23" spans="1:242" ht="15" x14ac:dyDescent="0.25">
      <c r="A23" s="7"/>
      <c r="B23" s="36" t="s">
        <v>42</v>
      </c>
      <c r="C23" s="37">
        <v>8.1999999999999993</v>
      </c>
      <c r="D23" s="22" t="s">
        <v>43</v>
      </c>
      <c r="E23" s="3"/>
      <c r="F23" s="675"/>
      <c r="G23" s="635"/>
      <c r="H23" s="676"/>
      <c r="I23" s="635"/>
      <c r="J23" s="673"/>
      <c r="K23" s="651"/>
      <c r="L23" s="652"/>
      <c r="M23" s="654"/>
      <c r="N23" s="657"/>
      <c r="O23" s="658"/>
      <c r="S23" s="252">
        <v>13</v>
      </c>
      <c r="T23" s="253" t="s">
        <v>252</v>
      </c>
      <c r="U23" s="254">
        <v>3</v>
      </c>
      <c r="V23" s="631" t="s">
        <v>76</v>
      </c>
      <c r="W23" s="632"/>
      <c r="X23" s="632"/>
      <c r="Y23" s="632"/>
      <c r="Z23" s="633"/>
      <c r="AA23" s="3"/>
      <c r="AB23" s="249"/>
      <c r="AC23" s="249"/>
      <c r="AD23" s="249"/>
      <c r="AE23" s="249"/>
      <c r="AF23" s="249"/>
      <c r="AG23" s="249"/>
      <c r="AH23" s="249"/>
      <c r="AI23" s="249"/>
      <c r="AJ23" s="249"/>
      <c r="AK23" s="249"/>
      <c r="AL23" s="249"/>
      <c r="AM23" s="249"/>
      <c r="AN23" s="249"/>
      <c r="AO23" s="249"/>
      <c r="AP23" s="249"/>
      <c r="AQ23" s="249"/>
      <c r="AR23" s="249"/>
      <c r="AS23" s="249"/>
      <c r="AT23" s="249"/>
      <c r="AU23" s="249"/>
      <c r="AV23" s="249"/>
      <c r="AW23" s="249"/>
      <c r="AX23" s="249"/>
      <c r="AY23" s="249"/>
      <c r="AZ23" s="249"/>
      <c r="BA23" s="249"/>
      <c r="BB23" s="249"/>
      <c r="BC23" s="249"/>
      <c r="BD23" s="249"/>
      <c r="BE23" s="249"/>
      <c r="BF23" s="249"/>
      <c r="BG23" s="249"/>
      <c r="BH23" s="249"/>
      <c r="BI23" s="249"/>
      <c r="BJ23" s="249"/>
      <c r="BK23" s="249"/>
      <c r="BL23" s="249"/>
      <c r="BM23" s="249"/>
      <c r="BN23" s="249"/>
      <c r="BO23" s="249"/>
      <c r="BP23" s="249"/>
      <c r="BQ23" s="249"/>
      <c r="BR23" s="249"/>
      <c r="BS23" s="249"/>
      <c r="BT23" s="249"/>
      <c r="BU23" s="249"/>
      <c r="BV23" s="249"/>
      <c r="BW23" s="249"/>
      <c r="BX23" s="249"/>
      <c r="BY23" s="249"/>
      <c r="BZ23" s="249"/>
      <c r="CA23" s="249"/>
      <c r="CB23" s="249"/>
      <c r="CC23" s="249"/>
      <c r="CD23" s="249"/>
      <c r="CE23" s="249"/>
      <c r="CF23" s="249"/>
      <c r="CG23" s="249"/>
      <c r="CH23" s="249"/>
      <c r="CI23" s="249"/>
      <c r="CJ23" s="249"/>
      <c r="CK23" s="249"/>
      <c r="CL23" s="249"/>
      <c r="CM23" s="249"/>
      <c r="CN23" s="249"/>
      <c r="CO23" s="249"/>
      <c r="CP23" s="249"/>
      <c r="CQ23" s="249"/>
      <c r="CR23" s="249"/>
      <c r="CS23" s="249"/>
      <c r="CT23" s="249"/>
      <c r="CU23" s="249"/>
      <c r="CV23" s="249"/>
      <c r="CW23" s="249"/>
      <c r="CX23" s="249"/>
      <c r="CY23" s="249"/>
      <c r="CZ23" s="249"/>
      <c r="DA23" s="249"/>
      <c r="DB23" s="249"/>
      <c r="DC23" s="249"/>
      <c r="DD23" s="249"/>
      <c r="DE23" s="249"/>
      <c r="DF23" s="249"/>
      <c r="DG23" s="249"/>
      <c r="DH23" s="249"/>
      <c r="DI23" s="249"/>
      <c r="DJ23" s="249"/>
      <c r="DK23" s="249"/>
      <c r="DL23" s="249"/>
      <c r="DM23" s="249"/>
      <c r="DN23" s="249"/>
      <c r="DO23" s="249"/>
    </row>
    <row r="24" spans="1:242" ht="15" x14ac:dyDescent="0.25">
      <c r="A24" s="7"/>
      <c r="B24" s="36" t="s">
        <v>44</v>
      </c>
      <c r="C24" s="37">
        <v>7.8</v>
      </c>
      <c r="D24" s="22" t="s">
        <v>43</v>
      </c>
      <c r="E24" s="3"/>
      <c r="F24" s="38" t="s">
        <v>45</v>
      </c>
      <c r="G24" s="5">
        <v>210.45689999999999</v>
      </c>
      <c r="H24" s="5">
        <v>215.22309999999999</v>
      </c>
      <c r="I24" s="5">
        <v>220.05549999999999</v>
      </c>
      <c r="J24" s="5">
        <v>0.09</v>
      </c>
      <c r="K24" s="21">
        <f>IF(AND($D$9&lt;=750,$D$11=850),G24+ROUNDUP(($D$10-400)/50,1)*J24,IF(AND($D$9&lt;=750,$D$11=1200),H24+CEILING(($D$10-400)/50,1)*J24,IF(AND($D$9&lt;=750,$D$11=1500),I24+CEILING(($D$10-400)/50,1)*J24,0)))</f>
        <v>210.45689999999999</v>
      </c>
      <c r="L24" s="39" t="s">
        <v>46</v>
      </c>
      <c r="M24" s="60">
        <v>0.87</v>
      </c>
      <c r="N24" s="58"/>
      <c r="O24" s="59"/>
      <c r="S24" s="252">
        <v>14</v>
      </c>
      <c r="T24" s="253" t="s">
        <v>251</v>
      </c>
      <c r="U24" s="254">
        <v>1</v>
      </c>
      <c r="V24" s="631"/>
      <c r="W24" s="632"/>
      <c r="X24" s="632"/>
      <c r="Y24" s="632"/>
      <c r="Z24" s="633"/>
      <c r="AA24" s="3"/>
      <c r="AB24" s="249"/>
      <c r="AC24" s="249"/>
      <c r="AD24" s="249"/>
      <c r="AE24" s="249"/>
      <c r="AF24" s="249"/>
      <c r="AG24" s="249"/>
      <c r="AH24" s="249"/>
      <c r="AI24" s="249"/>
      <c r="AJ24" s="249"/>
      <c r="AK24" s="249"/>
      <c r="AL24" s="249"/>
      <c r="AM24" s="249"/>
      <c r="AN24" s="249"/>
      <c r="AO24" s="249"/>
      <c r="AP24" s="249"/>
      <c r="AQ24" s="249"/>
      <c r="AR24" s="249"/>
      <c r="AS24" s="249"/>
      <c r="AT24" s="249"/>
      <c r="AU24" s="249"/>
      <c r="AV24" s="249"/>
      <c r="AW24" s="249"/>
      <c r="AX24" s="249"/>
      <c r="AY24" s="249"/>
      <c r="AZ24" s="249"/>
      <c r="BA24" s="249"/>
      <c r="BB24" s="249"/>
      <c r="BC24" s="249"/>
      <c r="BD24" s="249"/>
      <c r="BE24" s="249"/>
      <c r="BF24" s="249"/>
      <c r="BG24" s="249"/>
      <c r="BH24" s="249"/>
      <c r="BI24" s="249"/>
      <c r="BJ24" s="249"/>
      <c r="BK24" s="249"/>
      <c r="BL24" s="249"/>
      <c r="BM24" s="249"/>
      <c r="BN24" s="249"/>
      <c r="BO24" s="249"/>
      <c r="BP24" s="249"/>
      <c r="BQ24" s="249"/>
      <c r="BR24" s="249"/>
      <c r="BS24" s="249"/>
      <c r="BT24" s="249"/>
      <c r="BU24" s="249"/>
      <c r="BV24" s="249"/>
      <c r="BW24" s="249"/>
      <c r="BX24" s="249"/>
      <c r="BY24" s="249"/>
      <c r="BZ24" s="249"/>
      <c r="CA24" s="249"/>
      <c r="CB24" s="249"/>
      <c r="CC24" s="249"/>
      <c r="CD24" s="249"/>
      <c r="CE24" s="249"/>
      <c r="CF24" s="249"/>
      <c r="CG24" s="249"/>
      <c r="CH24" s="249"/>
      <c r="CI24" s="249"/>
      <c r="CJ24" s="249"/>
      <c r="CK24" s="249"/>
      <c r="CL24" s="249"/>
      <c r="CM24" s="249"/>
      <c r="CN24" s="249"/>
      <c r="CO24" s="249"/>
      <c r="CP24" s="249"/>
      <c r="CQ24" s="249"/>
      <c r="CR24" s="249"/>
      <c r="CS24" s="249"/>
      <c r="CT24" s="249"/>
      <c r="CU24" s="249"/>
      <c r="CV24" s="249"/>
      <c r="CW24" s="249"/>
      <c r="CX24" s="249"/>
      <c r="CY24" s="249"/>
      <c r="CZ24" s="249"/>
      <c r="DA24" s="249"/>
      <c r="DB24" s="249"/>
      <c r="DC24" s="249"/>
      <c r="DD24" s="249"/>
      <c r="DE24" s="249"/>
      <c r="DF24" s="249"/>
      <c r="DG24" s="249"/>
      <c r="DH24" s="249"/>
      <c r="DI24" s="249"/>
      <c r="DJ24" s="249"/>
      <c r="DK24" s="249"/>
      <c r="DL24" s="249"/>
      <c r="DM24" s="249"/>
      <c r="DN24" s="249"/>
      <c r="DO24" s="249"/>
    </row>
    <row r="25" spans="1:242" ht="15" x14ac:dyDescent="0.25">
      <c r="A25" s="7"/>
      <c r="B25" s="36" t="s">
        <v>47</v>
      </c>
      <c r="C25" s="37">
        <v>6.2</v>
      </c>
      <c r="D25" s="22" t="s">
        <v>43</v>
      </c>
      <c r="E25" s="3"/>
      <c r="F25" s="40" t="s">
        <v>48</v>
      </c>
      <c r="G25" s="5">
        <v>224.64449999999999</v>
      </c>
      <c r="H25" s="5">
        <v>229.73240000000001</v>
      </c>
      <c r="I25" s="5">
        <v>234.89070000000001</v>
      </c>
      <c r="J25" s="5">
        <v>0.2</v>
      </c>
      <c r="K25" s="21">
        <f>IF(AND($D$9&gt;=800,$D$9&lt;=1900,$D$11=850),G25+ROUNDUP(($D$10-800)/100,1)*J25,IF(AND($D$9&gt;=800,$D$9&lt;=1900,$D$11=1200),H25+CEILING(($D$10-800)/100,1)*J25,IF(AND($D$9&gt;=800,$D$9&lt;=1900,$D$11=1500),I25+CEILING(($D$10-800)/100,1)*J25,0)))</f>
        <v>0</v>
      </c>
      <c r="L25" s="39" t="s">
        <v>46</v>
      </c>
      <c r="M25" s="60">
        <v>1</v>
      </c>
      <c r="N25" s="58"/>
      <c r="O25" s="59"/>
      <c r="S25" s="252">
        <v>15</v>
      </c>
      <c r="T25" s="253" t="s">
        <v>250</v>
      </c>
      <c r="U25" s="254">
        <v>1</v>
      </c>
      <c r="V25" s="631"/>
      <c r="W25" s="632"/>
      <c r="X25" s="632"/>
      <c r="Y25" s="632"/>
      <c r="Z25" s="633"/>
      <c r="AA25" s="3"/>
      <c r="AB25" s="249"/>
      <c r="AC25" s="249"/>
      <c r="AD25" s="249"/>
      <c r="AE25" s="249"/>
      <c r="AF25" s="249"/>
      <c r="AG25" s="249"/>
      <c r="AH25" s="249"/>
      <c r="AI25" s="249"/>
      <c r="AJ25" s="249"/>
      <c r="AK25" s="249"/>
      <c r="AL25" s="249"/>
      <c r="AM25" s="249"/>
      <c r="AN25" s="249"/>
      <c r="AO25" s="249"/>
      <c r="AP25" s="249"/>
      <c r="AQ25" s="249"/>
      <c r="AR25" s="249"/>
      <c r="AS25" s="249"/>
      <c r="AT25" s="249"/>
      <c r="AU25" s="249"/>
      <c r="AV25" s="249"/>
      <c r="AW25" s="249"/>
      <c r="AX25" s="249"/>
      <c r="AY25" s="249"/>
      <c r="AZ25" s="249"/>
      <c r="BA25" s="249"/>
      <c r="BB25" s="249"/>
      <c r="BC25" s="249"/>
      <c r="BD25" s="249"/>
      <c r="BE25" s="249"/>
      <c r="BF25" s="249"/>
      <c r="BG25" s="249"/>
      <c r="BH25" s="249"/>
      <c r="BI25" s="249"/>
      <c r="BJ25" s="249"/>
      <c r="BK25" s="249"/>
      <c r="BL25" s="249"/>
      <c r="BM25" s="249"/>
      <c r="BN25" s="249"/>
      <c r="BO25" s="249"/>
      <c r="BP25" s="249"/>
      <c r="BQ25" s="249"/>
      <c r="BR25" s="249"/>
      <c r="BS25" s="249"/>
      <c r="BT25" s="249"/>
      <c r="BU25" s="249"/>
      <c r="BV25" s="249"/>
      <c r="BW25" s="249"/>
      <c r="BX25" s="249"/>
      <c r="BY25" s="249"/>
      <c r="BZ25" s="249"/>
      <c r="CA25" s="249"/>
      <c r="CB25" s="249"/>
      <c r="CC25" s="249"/>
      <c r="CD25" s="249"/>
      <c r="CE25" s="249"/>
      <c r="CF25" s="249"/>
      <c r="CG25" s="249"/>
      <c r="CH25" s="249"/>
      <c r="CI25" s="249"/>
      <c r="CJ25" s="249"/>
      <c r="CK25" s="249"/>
      <c r="CL25" s="249"/>
      <c r="CM25" s="249"/>
      <c r="CN25" s="249"/>
      <c r="CO25" s="249"/>
      <c r="CP25" s="249"/>
      <c r="CQ25" s="249"/>
      <c r="CR25" s="249"/>
      <c r="CS25" s="249"/>
      <c r="CT25" s="249"/>
      <c r="CU25" s="249"/>
      <c r="CV25" s="249"/>
      <c r="CW25" s="249"/>
      <c r="CX25" s="249"/>
      <c r="CY25" s="249"/>
      <c r="CZ25" s="249"/>
      <c r="DA25" s="249"/>
      <c r="DB25" s="249"/>
      <c r="DC25" s="249"/>
      <c r="DD25" s="249"/>
      <c r="DE25" s="249"/>
      <c r="DF25" s="249"/>
      <c r="DG25" s="249"/>
      <c r="DH25" s="249"/>
      <c r="DI25" s="249"/>
      <c r="DJ25" s="249"/>
      <c r="DK25" s="249"/>
      <c r="DL25" s="249"/>
      <c r="DM25" s="249"/>
      <c r="DN25" s="249"/>
      <c r="DO25" s="249"/>
    </row>
    <row r="26" spans="1:242" ht="15.75" thickBot="1" x14ac:dyDescent="0.3">
      <c r="A26" s="7"/>
      <c r="B26" s="99" t="s">
        <v>49</v>
      </c>
      <c r="C26" s="41">
        <f>(C22*IF(D16=6,C23,IF(D16=8,C24,C25))+34)/60</f>
        <v>3.0266666666666664</v>
      </c>
      <c r="D26" s="6" t="s">
        <v>46</v>
      </c>
      <c r="E26" s="3"/>
      <c r="F26" s="42" t="s">
        <v>50</v>
      </c>
      <c r="G26" s="43">
        <v>236.4684</v>
      </c>
      <c r="H26" s="43">
        <v>241.8236</v>
      </c>
      <c r="I26" s="43">
        <v>247.2534</v>
      </c>
      <c r="J26" s="43">
        <v>0.32</v>
      </c>
      <c r="K26" s="44">
        <f>IF(AND($D$9&gt;=2000,$D$9&lt;=2400,$D$11=850),G26+ROUNDUP(($D$10-1000)/100,1)*J26,IF(AND($D$9&gt;=2000,$D$9&lt;=2400,$D$11=1200),H26+CEILING(($D$10-1000)/100,1)*J26,IF(AND($D$9&gt;=2000,$D$9&lt;=2400,$D$11=1500),I26+CEILING(($D$10-1000)/100,1)*J26,0)))+4</f>
        <v>4</v>
      </c>
      <c r="L26" s="45" t="s">
        <v>46</v>
      </c>
      <c r="M26" s="61">
        <v>1.1100000000000001</v>
      </c>
      <c r="N26" s="636" t="s">
        <v>51</v>
      </c>
      <c r="O26" s="637"/>
      <c r="S26" s="252">
        <v>16</v>
      </c>
      <c r="T26" s="255" t="s">
        <v>249</v>
      </c>
      <c r="U26" s="254">
        <v>1</v>
      </c>
      <c r="V26" s="631" t="s">
        <v>77</v>
      </c>
      <c r="W26" s="632"/>
      <c r="X26" s="632"/>
      <c r="Y26" s="632"/>
      <c r="Z26" s="633"/>
      <c r="AA26" s="3"/>
      <c r="AB26" s="249"/>
      <c r="AC26" s="249"/>
      <c r="AD26" s="249"/>
      <c r="AE26" s="249"/>
      <c r="AF26" s="249"/>
      <c r="AG26" s="249"/>
      <c r="AH26" s="249"/>
      <c r="AI26" s="249"/>
      <c r="AJ26" s="249"/>
      <c r="AK26" s="249"/>
      <c r="AL26" s="249"/>
      <c r="AM26" s="249"/>
      <c r="AN26" s="249"/>
      <c r="AO26" s="249"/>
      <c r="AP26" s="249"/>
      <c r="AQ26" s="249"/>
      <c r="AR26" s="249"/>
      <c r="AS26" s="249"/>
      <c r="AT26" s="249"/>
      <c r="AU26" s="249"/>
      <c r="AV26" s="249"/>
      <c r="AW26" s="249"/>
      <c r="AX26" s="249"/>
      <c r="AY26" s="249"/>
      <c r="AZ26" s="249"/>
      <c r="BA26" s="249"/>
      <c r="BB26" s="249"/>
      <c r="BC26" s="249"/>
      <c r="BD26" s="249"/>
      <c r="BE26" s="249"/>
      <c r="BF26" s="249"/>
      <c r="BG26" s="249"/>
      <c r="BH26" s="249"/>
      <c r="BI26" s="249"/>
      <c r="BJ26" s="249"/>
      <c r="BK26" s="249"/>
      <c r="BL26" s="249"/>
      <c r="BM26" s="249"/>
      <c r="BN26" s="249"/>
      <c r="BO26" s="249"/>
      <c r="BP26" s="249"/>
      <c r="BQ26" s="249"/>
      <c r="BR26" s="249"/>
      <c r="BS26" s="249"/>
      <c r="BT26" s="249"/>
      <c r="BU26" s="249"/>
      <c r="BV26" s="249"/>
      <c r="BW26" s="249"/>
      <c r="BX26" s="249"/>
      <c r="BY26" s="249"/>
      <c r="BZ26" s="249"/>
      <c r="CA26" s="249"/>
      <c r="CB26" s="249"/>
      <c r="CC26" s="249"/>
      <c r="CD26" s="249"/>
      <c r="CE26" s="249"/>
      <c r="CF26" s="249"/>
      <c r="CG26" s="249"/>
      <c r="CH26" s="249"/>
      <c r="CI26" s="249"/>
      <c r="CJ26" s="249"/>
      <c r="CK26" s="249"/>
      <c r="CL26" s="249"/>
      <c r="CM26" s="249"/>
      <c r="CN26" s="249"/>
      <c r="CO26" s="249"/>
      <c r="CP26" s="249"/>
      <c r="CQ26" s="249"/>
      <c r="CR26" s="249"/>
      <c r="CS26" s="249"/>
      <c r="CT26" s="249"/>
      <c r="CU26" s="249"/>
      <c r="CV26" s="249"/>
      <c r="CW26" s="249"/>
      <c r="CX26" s="249"/>
      <c r="CY26" s="249"/>
      <c r="CZ26" s="249"/>
      <c r="DA26" s="249"/>
      <c r="DB26" s="249"/>
      <c r="DC26" s="249"/>
      <c r="DD26" s="249"/>
      <c r="DE26" s="249"/>
      <c r="DF26" s="249"/>
      <c r="DG26" s="249"/>
      <c r="DH26" s="249"/>
      <c r="DI26" s="249"/>
      <c r="DJ26" s="249"/>
      <c r="DK26" s="249"/>
      <c r="DL26" s="249"/>
      <c r="DM26" s="249"/>
      <c r="DN26" s="249"/>
      <c r="DO26" s="249"/>
    </row>
    <row r="27" spans="1:242" ht="13.5" thickBot="1" x14ac:dyDescent="0.25">
      <c r="A27" s="7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10"/>
      <c r="S27" s="252">
        <v>17</v>
      </c>
      <c r="T27" s="255" t="s">
        <v>248</v>
      </c>
      <c r="U27" s="254">
        <v>1</v>
      </c>
      <c r="V27" s="631" t="s">
        <v>78</v>
      </c>
      <c r="W27" s="632"/>
      <c r="X27" s="632"/>
      <c r="Y27" s="632"/>
      <c r="Z27" s="633"/>
      <c r="AA27" s="3"/>
      <c r="AB27" s="249"/>
      <c r="AC27" s="249"/>
      <c r="AD27" s="249"/>
      <c r="AE27" s="249"/>
      <c r="AF27" s="249"/>
      <c r="AG27" s="249"/>
      <c r="AH27" s="249"/>
      <c r="AI27" s="249"/>
      <c r="AJ27" s="249"/>
      <c r="AK27" s="249"/>
      <c r="AL27" s="249"/>
      <c r="AM27" s="249"/>
      <c r="AN27" s="249"/>
      <c r="AO27" s="249"/>
      <c r="AP27" s="249"/>
      <c r="AQ27" s="249"/>
      <c r="AR27" s="249"/>
      <c r="AS27" s="249"/>
      <c r="AT27" s="249"/>
      <c r="AU27" s="249"/>
      <c r="AV27" s="249"/>
      <c r="AW27" s="249"/>
      <c r="AX27" s="249"/>
      <c r="AY27" s="249"/>
      <c r="AZ27" s="249"/>
      <c r="BA27" s="249"/>
      <c r="BB27" s="249"/>
      <c r="BC27" s="249"/>
      <c r="BD27" s="249"/>
      <c r="BE27" s="249"/>
      <c r="BF27" s="249"/>
      <c r="BG27" s="249"/>
      <c r="BH27" s="249"/>
      <c r="BI27" s="249"/>
      <c r="BJ27" s="249"/>
      <c r="BK27" s="249"/>
      <c r="BL27" s="249"/>
      <c r="BM27" s="249"/>
      <c r="BN27" s="249"/>
      <c r="BO27" s="249"/>
      <c r="BP27" s="249"/>
      <c r="BQ27" s="249"/>
      <c r="BR27" s="249"/>
      <c r="BS27" s="249"/>
      <c r="BT27" s="249"/>
      <c r="BU27" s="249"/>
      <c r="BV27" s="249"/>
      <c r="BW27" s="249"/>
      <c r="BX27" s="249"/>
      <c r="BY27" s="249"/>
      <c r="BZ27" s="249"/>
      <c r="CA27" s="249"/>
      <c r="CB27" s="249"/>
      <c r="CC27" s="249"/>
      <c r="CD27" s="249"/>
      <c r="CE27" s="249"/>
      <c r="CF27" s="249"/>
      <c r="CG27" s="249"/>
      <c r="CH27" s="249"/>
      <c r="CI27" s="249"/>
      <c r="CJ27" s="249"/>
      <c r="CK27" s="249"/>
      <c r="CL27" s="249"/>
      <c r="CM27" s="249"/>
      <c r="CN27" s="249"/>
      <c r="CO27" s="249"/>
      <c r="CP27" s="249"/>
      <c r="CQ27" s="249"/>
      <c r="CR27" s="249"/>
      <c r="CS27" s="249"/>
      <c r="CT27" s="249"/>
      <c r="CU27" s="249"/>
      <c r="CV27" s="249"/>
      <c r="CW27" s="249"/>
      <c r="CX27" s="249"/>
      <c r="CY27" s="249"/>
      <c r="CZ27" s="249"/>
      <c r="DA27" s="249"/>
      <c r="DB27" s="249"/>
      <c r="DC27" s="249"/>
      <c r="DD27" s="249"/>
      <c r="DE27" s="249"/>
      <c r="DF27" s="249"/>
      <c r="DG27" s="249"/>
      <c r="DH27" s="249"/>
      <c r="DI27" s="249"/>
      <c r="DJ27" s="249"/>
      <c r="DK27" s="249"/>
      <c r="DL27" s="249"/>
      <c r="DM27" s="249"/>
      <c r="DN27" s="249"/>
      <c r="DO27" s="249"/>
    </row>
    <row r="28" spans="1:242" ht="13.5" thickBot="1" x14ac:dyDescent="0.25">
      <c r="A28" s="7"/>
      <c r="B28" s="97" t="s">
        <v>52</v>
      </c>
      <c r="C28" s="30"/>
      <c r="D28" s="31"/>
      <c r="E28" s="3"/>
      <c r="F28" s="3"/>
      <c r="G28" s="3"/>
      <c r="H28" s="46"/>
      <c r="I28" s="47"/>
      <c r="J28" s="47"/>
      <c r="K28" s="47"/>
      <c r="L28" s="47"/>
      <c r="M28" s="48"/>
      <c r="N28" s="1"/>
      <c r="O28" s="10"/>
      <c r="S28" s="252">
        <v>18</v>
      </c>
      <c r="T28" s="255" t="s">
        <v>247</v>
      </c>
      <c r="U28" s="254">
        <v>1</v>
      </c>
      <c r="V28" s="631" t="s">
        <v>79</v>
      </c>
      <c r="W28" s="632"/>
      <c r="X28" s="632"/>
      <c r="Y28" s="632"/>
      <c r="Z28" s="633"/>
      <c r="AA28" s="3"/>
      <c r="AB28" s="249"/>
      <c r="AC28" s="249"/>
      <c r="AD28" s="249"/>
      <c r="AE28" s="249"/>
      <c r="AF28" s="249"/>
      <c r="AG28" s="249"/>
      <c r="AH28" s="249"/>
      <c r="AI28" s="249"/>
      <c r="AJ28" s="249"/>
      <c r="AK28" s="249"/>
      <c r="AL28" s="249"/>
      <c r="AM28" s="249"/>
      <c r="AN28" s="249"/>
      <c r="AO28" s="249"/>
      <c r="AP28" s="249"/>
      <c r="AQ28" s="249"/>
      <c r="AR28" s="249"/>
      <c r="AS28" s="249"/>
      <c r="AT28" s="249"/>
      <c r="AU28" s="249"/>
      <c r="AV28" s="249"/>
      <c r="AW28" s="249"/>
      <c r="AX28" s="249"/>
      <c r="AY28" s="249"/>
      <c r="AZ28" s="249"/>
      <c r="BA28" s="249"/>
      <c r="BB28" s="249"/>
      <c r="BC28" s="249"/>
      <c r="BD28" s="249"/>
      <c r="BE28" s="249"/>
      <c r="BF28" s="249"/>
      <c r="BG28" s="249"/>
      <c r="BH28" s="249"/>
      <c r="BI28" s="249"/>
      <c r="BJ28" s="249"/>
      <c r="BK28" s="249"/>
      <c r="BL28" s="249"/>
      <c r="BM28" s="249"/>
      <c r="BN28" s="249"/>
      <c r="BO28" s="249"/>
      <c r="BP28" s="249"/>
      <c r="BQ28" s="249"/>
      <c r="BR28" s="249"/>
      <c r="BS28" s="249"/>
      <c r="BT28" s="249"/>
      <c r="BU28" s="249"/>
      <c r="BV28" s="249"/>
      <c r="BW28" s="249"/>
      <c r="BX28" s="249"/>
      <c r="BY28" s="249"/>
      <c r="BZ28" s="249"/>
      <c r="CA28" s="249"/>
      <c r="CB28" s="249"/>
      <c r="CC28" s="249"/>
      <c r="CD28" s="249"/>
      <c r="CE28" s="249"/>
      <c r="CF28" s="249"/>
      <c r="CG28" s="249"/>
      <c r="CH28" s="249"/>
      <c r="CI28" s="249"/>
      <c r="CJ28" s="249"/>
      <c r="CK28" s="249"/>
      <c r="CL28" s="249"/>
      <c r="CM28" s="249"/>
      <c r="CN28" s="249"/>
      <c r="CO28" s="249"/>
      <c r="CP28" s="249"/>
      <c r="CQ28" s="249"/>
      <c r="CR28" s="249"/>
      <c r="CS28" s="249"/>
      <c r="CT28" s="249"/>
      <c r="CU28" s="249"/>
      <c r="CV28" s="249"/>
      <c r="CW28" s="249"/>
      <c r="CX28" s="249"/>
      <c r="CY28" s="249"/>
      <c r="CZ28" s="249"/>
      <c r="DA28" s="249"/>
      <c r="DB28" s="249"/>
      <c r="DC28" s="249"/>
      <c r="DD28" s="249"/>
      <c r="DE28" s="249"/>
      <c r="DF28" s="249"/>
      <c r="DG28" s="249"/>
      <c r="DH28" s="249"/>
      <c r="DI28" s="249"/>
      <c r="DJ28" s="249"/>
      <c r="DK28" s="249"/>
      <c r="DL28" s="249"/>
      <c r="DM28" s="249"/>
      <c r="DN28" s="249"/>
      <c r="DO28" s="249"/>
    </row>
    <row r="29" spans="1:242" ht="16.5" thickBot="1" x14ac:dyDescent="0.3">
      <c r="A29" s="7"/>
      <c r="B29" s="269" t="s">
        <v>53</v>
      </c>
      <c r="C29" s="268">
        <f>IF(D10&lt;1301,4,IF(D10&gt;2600,8,6))</f>
        <v>4</v>
      </c>
      <c r="D29" s="267" t="s">
        <v>35</v>
      </c>
      <c r="E29" s="3"/>
      <c r="F29" s="3"/>
      <c r="G29" s="3"/>
      <c r="H29" s="49" t="s">
        <v>54</v>
      </c>
      <c r="I29" s="76"/>
      <c r="J29" s="76"/>
      <c r="K29" s="75">
        <f>$C$26+$C$32+IF($K$24&gt;0,$K$24*M24,IF($K$25&gt;0,$K$25*M25,$K$26*M26))</f>
        <v>202.17460299999999</v>
      </c>
      <c r="L29" s="50" t="s">
        <v>46</v>
      </c>
      <c r="M29" s="51"/>
      <c r="N29" s="1"/>
      <c r="O29" s="10"/>
      <c r="S29" s="252">
        <v>19</v>
      </c>
      <c r="T29" s="255" t="s">
        <v>246</v>
      </c>
      <c r="U29" s="254">
        <v>1</v>
      </c>
      <c r="V29" s="631" t="s">
        <v>79</v>
      </c>
      <c r="W29" s="632"/>
      <c r="X29" s="632"/>
      <c r="Y29" s="632"/>
      <c r="Z29" s="633"/>
      <c r="AA29" s="3"/>
      <c r="AB29" s="249"/>
      <c r="AC29" s="249"/>
      <c r="AD29" s="249"/>
      <c r="AE29" s="249"/>
      <c r="AF29" s="249"/>
      <c r="AG29" s="249"/>
      <c r="AH29" s="249"/>
      <c r="AI29" s="249"/>
      <c r="AJ29" s="249"/>
      <c r="AK29" s="249"/>
      <c r="AL29" s="249"/>
      <c r="AM29" s="249"/>
      <c r="AN29" s="249"/>
      <c r="AO29" s="249"/>
      <c r="AP29" s="249"/>
      <c r="AQ29" s="249"/>
      <c r="AR29" s="249"/>
      <c r="AS29" s="249"/>
      <c r="AT29" s="249"/>
      <c r="AU29" s="249"/>
      <c r="AV29" s="249"/>
      <c r="AW29" s="249"/>
      <c r="AX29" s="249"/>
      <c r="AY29" s="249"/>
      <c r="AZ29" s="249"/>
      <c r="BA29" s="249"/>
      <c r="BB29" s="249"/>
      <c r="BC29" s="249"/>
      <c r="BD29" s="249"/>
      <c r="BE29" s="249"/>
      <c r="BF29" s="249"/>
      <c r="BG29" s="249"/>
      <c r="BH29" s="249"/>
      <c r="BI29" s="249"/>
      <c r="BJ29" s="249"/>
      <c r="BK29" s="249"/>
      <c r="BL29" s="249"/>
      <c r="BM29" s="249"/>
      <c r="BN29" s="249"/>
      <c r="BO29" s="249"/>
      <c r="BP29" s="249"/>
      <c r="BQ29" s="249"/>
      <c r="BR29" s="249"/>
      <c r="BS29" s="249"/>
      <c r="BT29" s="249"/>
      <c r="BU29" s="249"/>
      <c r="BV29" s="249"/>
      <c r="BW29" s="249"/>
      <c r="BX29" s="249"/>
      <c r="BY29" s="249"/>
      <c r="BZ29" s="249"/>
      <c r="CA29" s="249"/>
      <c r="CB29" s="249"/>
      <c r="CC29" s="249"/>
      <c r="CD29" s="249"/>
      <c r="CE29" s="249"/>
      <c r="CF29" s="249"/>
      <c r="CG29" s="249"/>
      <c r="CH29" s="249"/>
      <c r="CI29" s="249"/>
      <c r="CJ29" s="249"/>
      <c r="CK29" s="249"/>
      <c r="CL29" s="249"/>
      <c r="CM29" s="249"/>
      <c r="CN29" s="249"/>
      <c r="CO29" s="249"/>
      <c r="CP29" s="249"/>
      <c r="CQ29" s="249"/>
      <c r="CR29" s="249"/>
      <c r="CS29" s="249"/>
      <c r="CT29" s="249"/>
      <c r="CU29" s="249"/>
      <c r="CV29" s="249"/>
      <c r="CW29" s="249"/>
      <c r="CX29" s="249"/>
      <c r="CY29" s="249"/>
      <c r="CZ29" s="249"/>
      <c r="DA29" s="249"/>
      <c r="DB29" s="249"/>
      <c r="DC29" s="249"/>
      <c r="DD29" s="249"/>
      <c r="DE29" s="249"/>
      <c r="DF29" s="249"/>
      <c r="DG29" s="249"/>
      <c r="DH29" s="249"/>
      <c r="DI29" s="249"/>
      <c r="DJ29" s="249"/>
      <c r="DK29" s="249"/>
      <c r="DL29" s="249"/>
      <c r="DM29" s="249"/>
      <c r="DN29" s="249"/>
      <c r="DO29" s="249"/>
    </row>
    <row r="30" spans="1:242" ht="13.5" thickBot="1" x14ac:dyDescent="0.25">
      <c r="A30" s="7"/>
      <c r="B30" s="36" t="s">
        <v>55</v>
      </c>
      <c r="C30" s="266">
        <f>D17-1</f>
        <v>17</v>
      </c>
      <c r="D30" s="265" t="s">
        <v>35</v>
      </c>
      <c r="E30" s="3"/>
      <c r="F30" s="3"/>
      <c r="G30" s="3"/>
      <c r="H30" s="52"/>
      <c r="I30" s="53"/>
      <c r="J30" s="53"/>
      <c r="K30" s="53"/>
      <c r="L30" s="53"/>
      <c r="M30" s="54"/>
      <c r="N30" s="1"/>
      <c r="O30" s="10"/>
      <c r="S30" s="252">
        <v>20</v>
      </c>
      <c r="T30" s="255" t="s">
        <v>80</v>
      </c>
      <c r="U30" s="259">
        <f>C29*2</f>
        <v>8</v>
      </c>
      <c r="V30" s="631" t="s">
        <v>81</v>
      </c>
      <c r="W30" s="632"/>
      <c r="X30" s="632"/>
      <c r="Y30" s="632"/>
      <c r="Z30" s="633"/>
      <c r="AA30" s="3"/>
      <c r="AB30" s="249"/>
      <c r="AC30" s="249"/>
      <c r="AD30" s="249"/>
      <c r="AE30" s="249"/>
      <c r="AF30" s="249"/>
      <c r="AG30" s="249"/>
      <c r="AH30" s="249"/>
      <c r="AI30" s="249"/>
      <c r="AJ30" s="249"/>
      <c r="AK30" s="249"/>
      <c r="AL30" s="249"/>
      <c r="AM30" s="249"/>
      <c r="AN30" s="249"/>
      <c r="AO30" s="249"/>
      <c r="AP30" s="249"/>
      <c r="AQ30" s="249"/>
      <c r="AR30" s="249"/>
      <c r="AS30" s="249"/>
      <c r="AT30" s="249"/>
      <c r="AU30" s="249"/>
      <c r="AV30" s="249"/>
      <c r="AW30" s="249"/>
      <c r="AX30" s="249"/>
      <c r="AY30" s="249"/>
      <c r="AZ30" s="249"/>
      <c r="BA30" s="249"/>
      <c r="BB30" s="249"/>
      <c r="BC30" s="249"/>
      <c r="BD30" s="249"/>
      <c r="BE30" s="249"/>
      <c r="BF30" s="249"/>
      <c r="BG30" s="249"/>
      <c r="BH30" s="249"/>
      <c r="BI30" s="249"/>
      <c r="BJ30" s="249"/>
      <c r="BK30" s="249"/>
      <c r="BL30" s="249"/>
      <c r="BM30" s="249"/>
      <c r="BN30" s="249"/>
      <c r="BO30" s="249"/>
      <c r="BP30" s="249"/>
      <c r="BQ30" s="249"/>
      <c r="BR30" s="249"/>
      <c r="BS30" s="249"/>
      <c r="BT30" s="249"/>
      <c r="BU30" s="249"/>
      <c r="BV30" s="249"/>
      <c r="BW30" s="249"/>
      <c r="BX30" s="249"/>
      <c r="BY30" s="249"/>
      <c r="BZ30" s="249"/>
      <c r="CA30" s="249"/>
      <c r="CB30" s="249"/>
      <c r="CC30" s="249"/>
      <c r="CD30" s="249"/>
      <c r="CE30" s="249"/>
      <c r="CF30" s="249"/>
      <c r="CG30" s="249"/>
      <c r="CH30" s="249"/>
      <c r="CI30" s="249"/>
      <c r="CJ30" s="249"/>
      <c r="CK30" s="249"/>
      <c r="CL30" s="249"/>
      <c r="CM30" s="249"/>
      <c r="CN30" s="249"/>
      <c r="CO30" s="249"/>
      <c r="CP30" s="249"/>
      <c r="CQ30" s="249"/>
      <c r="CR30" s="249"/>
      <c r="CS30" s="249"/>
      <c r="CT30" s="249"/>
      <c r="CU30" s="249"/>
      <c r="CV30" s="249"/>
      <c r="CW30" s="249"/>
      <c r="CX30" s="249"/>
      <c r="CY30" s="249"/>
      <c r="CZ30" s="249"/>
      <c r="DA30" s="249"/>
      <c r="DB30" s="249"/>
      <c r="DC30" s="249"/>
      <c r="DD30" s="249"/>
      <c r="DE30" s="249"/>
      <c r="DF30" s="249"/>
      <c r="DG30" s="249"/>
      <c r="DH30" s="249"/>
      <c r="DI30" s="249"/>
      <c r="DJ30" s="249"/>
      <c r="DK30" s="249"/>
      <c r="DL30" s="249"/>
      <c r="DM30" s="249"/>
      <c r="DN30" s="249"/>
      <c r="DO30" s="249"/>
    </row>
    <row r="31" spans="1:242" ht="26.25" thickBot="1" x14ac:dyDescent="0.25">
      <c r="A31" s="7"/>
      <c r="B31" s="264" t="s">
        <v>245</v>
      </c>
      <c r="C31" s="263">
        <f>IF(D12=6,8,0)</f>
        <v>8</v>
      </c>
      <c r="D31" s="262" t="s">
        <v>46</v>
      </c>
      <c r="E31" s="3"/>
      <c r="F31" s="3"/>
      <c r="G31" s="3"/>
      <c r="H31" s="3"/>
      <c r="I31" s="3"/>
      <c r="J31" s="3"/>
      <c r="K31" s="3"/>
      <c r="L31" s="3"/>
      <c r="M31" s="3"/>
      <c r="N31" s="3"/>
      <c r="O31" s="10"/>
      <c r="S31" s="252">
        <v>21</v>
      </c>
      <c r="T31" s="255" t="s">
        <v>244</v>
      </c>
      <c r="U31" s="254">
        <v>1</v>
      </c>
      <c r="V31" s="631"/>
      <c r="W31" s="632"/>
      <c r="X31" s="632"/>
      <c r="Y31" s="632"/>
      <c r="Z31" s="633"/>
      <c r="AA31" s="3"/>
      <c r="AB31" s="249"/>
      <c r="AC31" s="249"/>
      <c r="AD31" s="249"/>
      <c r="AE31" s="249"/>
      <c r="AF31" s="249"/>
      <c r="AG31" s="249"/>
      <c r="AH31" s="249"/>
      <c r="AI31" s="249"/>
      <c r="AJ31" s="249"/>
      <c r="AK31" s="249"/>
      <c r="AL31" s="249"/>
      <c r="AM31" s="249"/>
      <c r="AN31" s="249"/>
      <c r="AO31" s="249"/>
      <c r="AP31" s="249"/>
      <c r="AQ31" s="249"/>
      <c r="AR31" s="249"/>
      <c r="AS31" s="249"/>
      <c r="AT31" s="249"/>
      <c r="AU31" s="249"/>
      <c r="AV31" s="249"/>
      <c r="AW31" s="249"/>
      <c r="AX31" s="249"/>
      <c r="AY31" s="249"/>
      <c r="AZ31" s="249"/>
      <c r="BA31" s="249"/>
      <c r="BB31" s="249"/>
      <c r="BC31" s="249"/>
      <c r="BD31" s="249"/>
      <c r="BE31" s="249"/>
      <c r="BF31" s="249"/>
      <c r="BG31" s="249"/>
      <c r="BH31" s="249"/>
      <c r="BI31" s="249"/>
      <c r="BJ31" s="249"/>
      <c r="BK31" s="249"/>
      <c r="BL31" s="249"/>
      <c r="BM31" s="249"/>
      <c r="BN31" s="249"/>
      <c r="BO31" s="249"/>
      <c r="BP31" s="249"/>
      <c r="BQ31" s="249"/>
      <c r="BR31" s="249"/>
      <c r="BS31" s="249"/>
      <c r="BT31" s="249"/>
      <c r="BU31" s="249"/>
      <c r="BV31" s="249"/>
      <c r="BW31" s="249"/>
      <c r="BX31" s="249"/>
      <c r="BY31" s="249"/>
      <c r="BZ31" s="249"/>
      <c r="CA31" s="249"/>
      <c r="CB31" s="249"/>
      <c r="CC31" s="249"/>
      <c r="CD31" s="249"/>
      <c r="CE31" s="249"/>
      <c r="CF31" s="249"/>
      <c r="CG31" s="249"/>
      <c r="CH31" s="249"/>
      <c r="CI31" s="249"/>
      <c r="CJ31" s="249"/>
      <c r="CK31" s="249"/>
      <c r="CL31" s="249"/>
      <c r="CM31" s="249"/>
      <c r="CN31" s="249"/>
      <c r="CO31" s="249"/>
      <c r="CP31" s="249"/>
      <c r="CQ31" s="249"/>
      <c r="CR31" s="249"/>
      <c r="CS31" s="249"/>
      <c r="CT31" s="249"/>
      <c r="CU31" s="249"/>
      <c r="CV31" s="249"/>
      <c r="CW31" s="249"/>
      <c r="CX31" s="249"/>
      <c r="CY31" s="249"/>
      <c r="CZ31" s="249"/>
      <c r="DA31" s="249"/>
      <c r="DB31" s="249"/>
      <c r="DC31" s="249"/>
      <c r="DD31" s="249"/>
      <c r="DE31" s="249"/>
      <c r="DF31" s="249"/>
      <c r="DG31" s="249"/>
      <c r="DH31" s="249"/>
      <c r="DI31" s="249"/>
      <c r="DJ31" s="249"/>
      <c r="DK31" s="249"/>
      <c r="DL31" s="249"/>
      <c r="DM31" s="249"/>
      <c r="DN31" s="249"/>
      <c r="DO31" s="249"/>
    </row>
    <row r="32" spans="1:242" ht="15.75" thickBot="1" x14ac:dyDescent="0.3">
      <c r="A32" s="7"/>
      <c r="B32" s="98" t="s">
        <v>56</v>
      </c>
      <c r="C32" s="261">
        <f>C29*(5.0445*C30+35)/60+C31</f>
        <v>16.050433333333334</v>
      </c>
      <c r="D32" s="260" t="s">
        <v>46</v>
      </c>
      <c r="E32" s="3"/>
      <c r="F32" s="3"/>
      <c r="G32" s="3"/>
      <c r="H32" s="3"/>
      <c r="I32" s="3"/>
      <c r="J32" s="3"/>
      <c r="K32" s="435">
        <f>Параметры!B3</f>
        <v>309</v>
      </c>
      <c r="L32" s="55" t="s">
        <v>57</v>
      </c>
      <c r="M32" s="3"/>
      <c r="N32" s="3"/>
      <c r="O32" s="10"/>
      <c r="S32" s="252">
        <v>22</v>
      </c>
      <c r="T32" s="255" t="s">
        <v>82</v>
      </c>
      <c r="U32" s="259">
        <f>C22+3</f>
        <v>21</v>
      </c>
      <c r="V32" s="631"/>
      <c r="W32" s="632"/>
      <c r="X32" s="632"/>
      <c r="Y32" s="632"/>
      <c r="Z32" s="633"/>
      <c r="AA32" s="3"/>
      <c r="AB32" s="249"/>
      <c r="AC32" s="249"/>
      <c r="AD32" s="249"/>
      <c r="AE32" s="249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K32" s="1"/>
      <c r="BL32" s="1"/>
      <c r="BM32" s="1"/>
      <c r="BN32" s="1"/>
      <c r="BO32" s="1"/>
      <c r="BP32" s="1"/>
      <c r="BQ32" s="1"/>
      <c r="BR32" s="1"/>
      <c r="BS32" s="1"/>
      <c r="BT32" s="1"/>
      <c r="BU32" s="1"/>
      <c r="BV32" s="1"/>
      <c r="BW32" s="1"/>
      <c r="BX32" s="1"/>
      <c r="BY32" s="1"/>
      <c r="BZ32" s="1"/>
      <c r="CA32" s="1"/>
      <c r="CB32" s="1"/>
      <c r="CC32" s="1"/>
      <c r="CD32" s="1"/>
      <c r="CE32" s="1"/>
      <c r="CF32" s="1"/>
      <c r="CG32" s="1"/>
      <c r="CH32" s="1"/>
      <c r="CI32" s="1"/>
      <c r="CJ32" s="1"/>
      <c r="CK32" s="1"/>
      <c r="CL32" s="1"/>
      <c r="CM32" s="1"/>
      <c r="CN32" s="1"/>
      <c r="CO32" s="1"/>
      <c r="CP32" s="1"/>
      <c r="CQ32" s="1"/>
      <c r="CR32" s="1"/>
      <c r="CS32" s="1"/>
      <c r="CT32" s="1"/>
      <c r="CU32" s="1"/>
      <c r="CV32" s="1"/>
      <c r="CW32" s="1"/>
      <c r="CX32" s="1"/>
      <c r="CY32" s="1"/>
      <c r="CZ32" s="1"/>
      <c r="DA32" s="1"/>
      <c r="DB32" s="1"/>
      <c r="DC32" s="1"/>
      <c r="DD32" s="1"/>
      <c r="DE32" s="1"/>
      <c r="DF32" s="1"/>
      <c r="DG32" s="1"/>
      <c r="DH32" s="1"/>
      <c r="DI32" s="1"/>
      <c r="DJ32" s="1"/>
      <c r="DK32" s="1"/>
      <c r="DL32" s="1"/>
      <c r="DM32" s="1"/>
      <c r="DN32" s="1"/>
      <c r="DO32" s="1"/>
      <c r="DP32" s="1"/>
      <c r="DQ32" s="1"/>
      <c r="DR32" s="1"/>
      <c r="DS32" s="1"/>
      <c r="DT32" s="1"/>
      <c r="DU32" s="1"/>
      <c r="DV32" s="1"/>
      <c r="DW32" s="1"/>
      <c r="DX32" s="1"/>
      <c r="DY32" s="1"/>
      <c r="DZ32" s="1"/>
      <c r="EA32" s="1"/>
      <c r="EB32" s="1"/>
      <c r="EC32" s="1"/>
      <c r="ED32" s="1"/>
      <c r="EE32" s="1"/>
      <c r="EF32" s="1"/>
      <c r="EG32" s="1"/>
      <c r="EH32" s="1"/>
      <c r="EI32" s="1"/>
      <c r="EJ32" s="1"/>
      <c r="EK32" s="1"/>
      <c r="EL32" s="1"/>
      <c r="EM32" s="1"/>
      <c r="EN32" s="1"/>
      <c r="EO32" s="1"/>
      <c r="EP32" s="1"/>
      <c r="EQ32" s="1"/>
      <c r="ER32" s="1"/>
      <c r="ES32" s="1"/>
      <c r="ET32" s="1"/>
      <c r="EU32" s="1"/>
      <c r="EV32" s="1"/>
      <c r="EW32" s="1"/>
      <c r="EX32" s="1"/>
      <c r="EY32" s="1"/>
      <c r="EZ32" s="1"/>
      <c r="FA32" s="1"/>
      <c r="FB32" s="1"/>
      <c r="FC32" s="1"/>
      <c r="FD32" s="1"/>
      <c r="FE32" s="1"/>
      <c r="FF32" s="1"/>
      <c r="FG32" s="1"/>
      <c r="FH32" s="1"/>
      <c r="FI32" s="1"/>
      <c r="FJ32" s="1"/>
      <c r="FK32" s="1"/>
      <c r="FL32" s="1"/>
      <c r="FM32" s="1"/>
      <c r="FN32" s="1"/>
      <c r="FO32" s="1"/>
      <c r="FP32" s="1"/>
      <c r="FQ32" s="1"/>
      <c r="FR32" s="1"/>
      <c r="FS32" s="1"/>
      <c r="FT32" s="1"/>
      <c r="FU32" s="1"/>
      <c r="FV32" s="1"/>
      <c r="FW32" s="1"/>
      <c r="FX32" s="1"/>
      <c r="FY32" s="1"/>
      <c r="FZ32" s="1"/>
      <c r="GA32" s="1"/>
      <c r="GB32" s="1"/>
      <c r="GC32" s="1"/>
      <c r="GD32" s="1"/>
      <c r="GE32" s="1"/>
      <c r="GF32" s="1"/>
      <c r="GG32" s="1"/>
      <c r="GH32" s="1"/>
      <c r="GI32" s="1"/>
      <c r="GJ32" s="1"/>
      <c r="GK32" s="1"/>
      <c r="GL32" s="1"/>
      <c r="GM32" s="1"/>
      <c r="GN32" s="1"/>
      <c r="GO32" s="1"/>
      <c r="GP32" s="1"/>
      <c r="GQ32" s="1"/>
      <c r="GR32" s="1"/>
      <c r="GS32" s="1"/>
      <c r="GT32" s="1"/>
      <c r="GU32" s="1"/>
      <c r="GV32" s="1"/>
      <c r="GW32" s="1"/>
      <c r="GX32" s="1"/>
      <c r="GY32" s="1"/>
      <c r="GZ32" s="1"/>
      <c r="HA32" s="1"/>
      <c r="HB32" s="1"/>
      <c r="HC32" s="1"/>
      <c r="HD32" s="1"/>
      <c r="HE32" s="1"/>
      <c r="HF32" s="1"/>
      <c r="HG32" s="1"/>
      <c r="HH32" s="1"/>
      <c r="HI32" s="1"/>
      <c r="HJ32" s="1"/>
      <c r="HK32" s="1"/>
      <c r="HL32" s="1"/>
      <c r="HM32" s="1"/>
      <c r="HN32" s="1"/>
      <c r="HO32" s="1"/>
      <c r="HP32" s="1"/>
      <c r="HQ32" s="1"/>
      <c r="HR32" s="1"/>
      <c r="HS32" s="1"/>
      <c r="HT32" s="1"/>
      <c r="HU32" s="1"/>
      <c r="HV32" s="1"/>
      <c r="HW32" s="1"/>
      <c r="HX32" s="1"/>
      <c r="HY32" s="1"/>
      <c r="HZ32" s="1"/>
      <c r="IA32" s="1"/>
      <c r="IB32" s="1"/>
      <c r="IC32" s="1"/>
      <c r="ID32" s="1"/>
      <c r="IE32" s="1"/>
      <c r="IF32" s="1"/>
      <c r="IG32" s="1"/>
      <c r="IH32" s="1"/>
    </row>
    <row r="33" spans="1:242" ht="15.75" thickBot="1" x14ac:dyDescent="0.3">
      <c r="A33" s="7"/>
      <c r="B33" s="258"/>
      <c r="C33" s="257"/>
      <c r="D33" s="256"/>
      <c r="E33" s="3"/>
      <c r="F33" s="3"/>
      <c r="G33" s="3"/>
      <c r="H33" s="3"/>
      <c r="I33" s="3"/>
      <c r="J33" s="3"/>
      <c r="K33" s="56"/>
      <c r="L33" s="56"/>
      <c r="M33" s="3"/>
      <c r="N33" s="3"/>
      <c r="O33" s="10"/>
      <c r="S33" s="252">
        <v>23</v>
      </c>
      <c r="T33" s="255" t="s">
        <v>243</v>
      </c>
      <c r="U33" s="254">
        <v>2</v>
      </c>
      <c r="V33" s="631"/>
      <c r="W33" s="632"/>
      <c r="X33" s="632"/>
      <c r="Y33" s="632"/>
      <c r="Z33" s="633"/>
      <c r="AB33" s="249"/>
      <c r="AC33" s="249"/>
      <c r="AD33" s="249"/>
      <c r="AE33" s="249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K33" s="1"/>
      <c r="BL33" s="1"/>
      <c r="BM33" s="1"/>
      <c r="BN33" s="1"/>
      <c r="BO33" s="1"/>
      <c r="BP33" s="1"/>
      <c r="BQ33" s="1"/>
      <c r="BR33" s="1"/>
      <c r="BS33" s="1"/>
      <c r="BT33" s="1"/>
      <c r="BU33" s="1"/>
      <c r="BV33" s="1"/>
      <c r="BW33" s="1"/>
      <c r="BX33" s="1"/>
      <c r="BY33" s="1"/>
      <c r="BZ33" s="1"/>
      <c r="CA33" s="1"/>
      <c r="CB33" s="1"/>
      <c r="CC33" s="1"/>
      <c r="CD33" s="1"/>
      <c r="CE33" s="1"/>
      <c r="CF33" s="1"/>
      <c r="CG33" s="1"/>
      <c r="CH33" s="1"/>
      <c r="CI33" s="1"/>
      <c r="CJ33" s="1"/>
      <c r="CK33" s="1"/>
      <c r="CL33" s="1"/>
      <c r="CM33" s="1"/>
      <c r="CN33" s="1"/>
      <c r="CO33" s="1"/>
      <c r="CP33" s="1"/>
      <c r="CQ33" s="1"/>
      <c r="CR33" s="1"/>
      <c r="CS33" s="1"/>
      <c r="CT33" s="1"/>
      <c r="CU33" s="1"/>
      <c r="CV33" s="1"/>
      <c r="CW33" s="1"/>
      <c r="CX33" s="1"/>
      <c r="CY33" s="1"/>
      <c r="CZ33" s="1"/>
      <c r="DA33" s="1"/>
      <c r="DB33" s="1"/>
      <c r="DC33" s="1"/>
      <c r="DD33" s="1"/>
      <c r="DE33" s="1"/>
      <c r="DF33" s="1"/>
      <c r="DG33" s="1"/>
      <c r="DH33" s="1"/>
      <c r="DI33" s="1"/>
      <c r="DJ33" s="1"/>
      <c r="DK33" s="1"/>
      <c r="DL33" s="1"/>
      <c r="DM33" s="1"/>
      <c r="DN33" s="1"/>
      <c r="DO33" s="1"/>
      <c r="DP33" s="1"/>
      <c r="DQ33" s="1"/>
      <c r="DR33" s="1"/>
      <c r="DS33" s="1"/>
      <c r="DT33" s="1"/>
      <c r="DU33" s="1"/>
      <c r="DV33" s="1"/>
      <c r="DW33" s="1"/>
      <c r="DX33" s="1"/>
      <c r="DY33" s="1"/>
      <c r="DZ33" s="1"/>
      <c r="EA33" s="1"/>
      <c r="EB33" s="1"/>
      <c r="EC33" s="1"/>
      <c r="ED33" s="1"/>
      <c r="EE33" s="1"/>
      <c r="EF33" s="1"/>
      <c r="EG33" s="1"/>
      <c r="EH33" s="1"/>
      <c r="EI33" s="1"/>
      <c r="EJ33" s="1"/>
      <c r="EK33" s="1"/>
      <c r="EL33" s="1"/>
      <c r="EM33" s="1"/>
      <c r="EN33" s="1"/>
      <c r="EO33" s="1"/>
      <c r="EP33" s="1"/>
      <c r="EQ33" s="1"/>
      <c r="ER33" s="1"/>
      <c r="ES33" s="1"/>
      <c r="ET33" s="1"/>
      <c r="EU33" s="1"/>
      <c r="EV33" s="1"/>
      <c r="EW33" s="1"/>
      <c r="EX33" s="1"/>
      <c r="EY33" s="1"/>
      <c r="EZ33" s="1"/>
      <c r="FA33" s="1"/>
      <c r="FB33" s="1"/>
      <c r="FC33" s="1"/>
      <c r="FD33" s="1"/>
      <c r="FE33" s="1"/>
      <c r="FF33" s="1"/>
      <c r="FG33" s="1"/>
      <c r="FH33" s="1"/>
      <c r="FI33" s="1"/>
      <c r="FJ33" s="1"/>
      <c r="FK33" s="1"/>
      <c r="FL33" s="1"/>
      <c r="FM33" s="1"/>
      <c r="FN33" s="1"/>
      <c r="FO33" s="1"/>
      <c r="FP33" s="1"/>
      <c r="FQ33" s="1"/>
      <c r="FR33" s="1"/>
      <c r="FS33" s="1"/>
      <c r="FT33" s="1"/>
      <c r="FU33" s="1"/>
      <c r="FV33" s="1"/>
      <c r="FW33" s="1"/>
      <c r="FX33" s="1"/>
      <c r="FY33" s="1"/>
      <c r="FZ33" s="1"/>
      <c r="GA33" s="1"/>
      <c r="GB33" s="1"/>
      <c r="GC33" s="1"/>
      <c r="GD33" s="1"/>
      <c r="GE33" s="1"/>
      <c r="GF33" s="1"/>
      <c r="GG33" s="1"/>
      <c r="GH33" s="1"/>
      <c r="GI33" s="1"/>
      <c r="GJ33" s="1"/>
      <c r="GK33" s="1"/>
      <c r="GL33" s="1"/>
      <c r="GM33" s="1"/>
      <c r="GN33" s="1"/>
      <c r="GO33" s="1"/>
      <c r="GP33" s="1"/>
      <c r="GQ33" s="1"/>
      <c r="GR33" s="1"/>
      <c r="GS33" s="1"/>
      <c r="GT33" s="1"/>
      <c r="GU33" s="1"/>
      <c r="GV33" s="1"/>
      <c r="GW33" s="1"/>
      <c r="GX33" s="1"/>
      <c r="GY33" s="1"/>
      <c r="GZ33" s="1"/>
      <c r="HA33" s="1"/>
      <c r="HB33" s="1"/>
      <c r="HC33" s="1"/>
      <c r="HD33" s="1"/>
      <c r="HE33" s="1"/>
      <c r="HF33" s="1"/>
      <c r="HG33" s="1"/>
      <c r="HH33" s="1"/>
      <c r="HI33" s="1"/>
      <c r="HJ33" s="1"/>
      <c r="HK33" s="1"/>
      <c r="HL33" s="1"/>
      <c r="HM33" s="1"/>
      <c r="HN33" s="1"/>
      <c r="HO33" s="1"/>
      <c r="HP33" s="1"/>
      <c r="HQ33" s="1"/>
      <c r="HR33" s="1"/>
      <c r="HS33" s="1"/>
      <c r="HT33" s="1"/>
      <c r="HU33" s="1"/>
      <c r="HV33" s="1"/>
      <c r="HW33" s="1"/>
      <c r="HX33" s="1"/>
      <c r="HY33" s="1"/>
      <c r="HZ33" s="1"/>
      <c r="IA33" s="1"/>
      <c r="IB33" s="1"/>
      <c r="IC33" s="1"/>
      <c r="ID33" s="1"/>
      <c r="IE33" s="1"/>
      <c r="IF33" s="1"/>
      <c r="IG33" s="1"/>
      <c r="IH33" s="1"/>
    </row>
    <row r="34" spans="1:242" ht="15.75" thickBot="1" x14ac:dyDescent="0.3">
      <c r="A34" s="187"/>
      <c r="B34" s="188"/>
      <c r="C34" s="188"/>
      <c r="D34" s="188"/>
      <c r="E34" s="188"/>
      <c r="F34" s="188"/>
      <c r="G34" s="188"/>
      <c r="H34" s="188"/>
      <c r="I34" s="188"/>
      <c r="J34" s="188"/>
      <c r="K34" s="57">
        <f>K29*K32</f>
        <v>62471.952326999999</v>
      </c>
      <c r="L34" s="55" t="s">
        <v>1</v>
      </c>
      <c r="M34" s="188"/>
      <c r="N34" s="188"/>
      <c r="O34" s="6"/>
      <c r="S34" s="252">
        <v>24</v>
      </c>
      <c r="T34" s="255" t="s">
        <v>242</v>
      </c>
      <c r="U34" s="254">
        <v>2</v>
      </c>
      <c r="V34" s="631"/>
      <c r="W34" s="632"/>
      <c r="X34" s="632"/>
      <c r="Y34" s="632"/>
      <c r="Z34" s="633"/>
      <c r="AB34" s="249"/>
      <c r="AC34" s="249"/>
      <c r="AD34" s="249"/>
      <c r="AE34" s="249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  <c r="BY34" s="1"/>
      <c r="BZ34" s="1"/>
      <c r="CA34" s="1"/>
      <c r="CB34" s="1"/>
      <c r="CC34" s="1"/>
      <c r="CD34" s="1"/>
      <c r="CE34" s="1"/>
      <c r="CF34" s="1"/>
      <c r="CG34" s="1"/>
      <c r="CH34" s="1"/>
      <c r="CI34" s="1"/>
      <c r="CJ34" s="1"/>
      <c r="CK34" s="1"/>
      <c r="CL34" s="1"/>
      <c r="CM34" s="1"/>
      <c r="CN34" s="1"/>
      <c r="CO34" s="1"/>
      <c r="CP34" s="1"/>
      <c r="CQ34" s="1"/>
      <c r="CR34" s="1"/>
      <c r="CS34" s="1"/>
      <c r="CT34" s="1"/>
      <c r="CU34" s="1"/>
      <c r="CV34" s="1"/>
      <c r="CW34" s="1"/>
      <c r="CX34" s="1"/>
      <c r="CY34" s="1"/>
      <c r="CZ34" s="1"/>
      <c r="DA34" s="1"/>
      <c r="DB34" s="1"/>
      <c r="DC34" s="1"/>
      <c r="DD34" s="1"/>
      <c r="DE34" s="1"/>
      <c r="DF34" s="1"/>
      <c r="DG34" s="1"/>
      <c r="DH34" s="1"/>
      <c r="DI34" s="1"/>
      <c r="DJ34" s="1"/>
      <c r="DK34" s="1"/>
      <c r="DL34" s="1"/>
      <c r="DM34" s="1"/>
      <c r="DN34" s="1"/>
      <c r="DO34" s="1"/>
      <c r="DP34" s="1"/>
      <c r="DQ34" s="1"/>
      <c r="DR34" s="1"/>
      <c r="DS34" s="1"/>
      <c r="DT34" s="1"/>
      <c r="DU34" s="1"/>
      <c r="DV34" s="1"/>
      <c r="DW34" s="1"/>
      <c r="DX34" s="1"/>
      <c r="DY34" s="1"/>
      <c r="DZ34" s="1"/>
      <c r="EA34" s="1"/>
      <c r="EB34" s="1"/>
      <c r="EC34" s="1"/>
      <c r="ED34" s="1"/>
      <c r="EE34" s="1"/>
      <c r="EF34" s="1"/>
      <c r="EG34" s="1"/>
      <c r="EH34" s="1"/>
      <c r="EI34" s="1"/>
      <c r="EJ34" s="1"/>
      <c r="EK34" s="1"/>
      <c r="EL34" s="1"/>
      <c r="EM34" s="1"/>
      <c r="EN34" s="1"/>
      <c r="EO34" s="1"/>
      <c r="EP34" s="1"/>
      <c r="EQ34" s="1"/>
      <c r="ER34" s="1"/>
      <c r="ES34" s="1"/>
      <c r="ET34" s="1"/>
      <c r="EU34" s="1"/>
      <c r="EV34" s="1"/>
      <c r="EW34" s="1"/>
      <c r="EX34" s="1"/>
      <c r="EY34" s="1"/>
      <c r="EZ34" s="1"/>
      <c r="FA34" s="1"/>
      <c r="FB34" s="1"/>
      <c r="FC34" s="1"/>
      <c r="FD34" s="1"/>
      <c r="FE34" s="1"/>
      <c r="FF34" s="1"/>
      <c r="FG34" s="1"/>
      <c r="FH34" s="1"/>
      <c r="FI34" s="1"/>
      <c r="FJ34" s="1"/>
      <c r="FK34" s="1"/>
      <c r="FL34" s="1"/>
      <c r="FM34" s="1"/>
      <c r="FN34" s="1"/>
      <c r="FO34" s="1"/>
      <c r="FP34" s="1"/>
      <c r="FQ34" s="1"/>
      <c r="FR34" s="1"/>
      <c r="FS34" s="1"/>
      <c r="FT34" s="1"/>
      <c r="FU34" s="1"/>
      <c r="FV34" s="1"/>
      <c r="FW34" s="1"/>
      <c r="FX34" s="1"/>
      <c r="FY34" s="1"/>
      <c r="FZ34" s="1"/>
      <c r="GA34" s="1"/>
      <c r="GB34" s="1"/>
      <c r="GC34" s="1"/>
      <c r="GD34" s="1"/>
      <c r="GE34" s="1"/>
      <c r="GF34" s="1"/>
      <c r="GG34" s="1"/>
      <c r="GH34" s="1"/>
      <c r="GI34" s="1"/>
      <c r="GJ34" s="1"/>
      <c r="GK34" s="1"/>
      <c r="GL34" s="1"/>
      <c r="GM34" s="1"/>
      <c r="GN34" s="1"/>
      <c r="GO34" s="1"/>
      <c r="GP34" s="1"/>
      <c r="GQ34" s="1"/>
      <c r="GR34" s="1"/>
      <c r="GS34" s="1"/>
      <c r="GT34" s="1"/>
      <c r="GU34" s="1"/>
      <c r="GV34" s="1"/>
      <c r="GW34" s="1"/>
      <c r="GX34" s="1"/>
      <c r="GY34" s="1"/>
      <c r="GZ34" s="1"/>
      <c r="HA34" s="1"/>
      <c r="HB34" s="1"/>
      <c r="HC34" s="1"/>
      <c r="HD34" s="1"/>
      <c r="HE34" s="1"/>
      <c r="HF34" s="1"/>
      <c r="HG34" s="1"/>
      <c r="HH34" s="1"/>
      <c r="HI34" s="1"/>
      <c r="HJ34" s="1"/>
      <c r="HK34" s="1"/>
      <c r="HL34" s="1"/>
      <c r="HM34" s="1"/>
      <c r="HN34" s="1"/>
      <c r="HO34" s="1"/>
      <c r="HP34" s="1"/>
      <c r="HQ34" s="1"/>
      <c r="HR34" s="1"/>
      <c r="HS34" s="1"/>
      <c r="HT34" s="1"/>
      <c r="HU34" s="1"/>
      <c r="HV34" s="1"/>
      <c r="HW34" s="1"/>
      <c r="HX34" s="1"/>
      <c r="HY34" s="1"/>
      <c r="HZ34" s="1"/>
      <c r="IA34" s="1"/>
      <c r="IB34" s="1"/>
      <c r="IC34" s="1"/>
      <c r="ID34" s="1"/>
      <c r="IE34" s="1"/>
      <c r="IF34" s="1"/>
      <c r="IG34" s="1"/>
      <c r="IH34" s="1"/>
    </row>
    <row r="35" spans="1:242" x14ac:dyDescent="0.2">
      <c r="S35" s="252">
        <v>25</v>
      </c>
      <c r="T35" s="253" t="s">
        <v>241</v>
      </c>
      <c r="U35" s="251">
        <v>4</v>
      </c>
      <c r="V35" s="631"/>
      <c r="W35" s="632"/>
      <c r="X35" s="632"/>
      <c r="Y35" s="632"/>
      <c r="Z35" s="633"/>
      <c r="AB35" s="249"/>
      <c r="AC35" s="249"/>
      <c r="AD35" s="249"/>
      <c r="AE35" s="24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1"/>
      <c r="BK35" s="1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  <c r="BY35" s="1"/>
      <c r="BZ35" s="1"/>
      <c r="CA35" s="1"/>
      <c r="CB35" s="1"/>
      <c r="CC35" s="1"/>
      <c r="CD35" s="1"/>
      <c r="CE35" s="1"/>
      <c r="CF35" s="1"/>
      <c r="CG35" s="1"/>
      <c r="CH35" s="1"/>
      <c r="CI35" s="1"/>
      <c r="CJ35" s="1"/>
      <c r="CK35" s="1"/>
      <c r="CL35" s="1"/>
      <c r="CM35" s="1"/>
      <c r="CN35" s="1"/>
      <c r="CO35" s="1"/>
      <c r="CP35" s="1"/>
      <c r="CQ35" s="1"/>
      <c r="CR35" s="1"/>
      <c r="CS35" s="1"/>
      <c r="CT35" s="1"/>
      <c r="CU35" s="1"/>
      <c r="CV35" s="1"/>
      <c r="CW35" s="1"/>
      <c r="CX35" s="1"/>
      <c r="CY35" s="1"/>
      <c r="CZ35" s="1"/>
      <c r="DA35" s="1"/>
      <c r="DB35" s="1"/>
      <c r="DC35" s="1"/>
      <c r="DD35" s="1"/>
      <c r="DE35" s="1"/>
      <c r="DF35" s="1"/>
      <c r="DG35" s="1"/>
      <c r="DH35" s="1"/>
      <c r="DI35" s="1"/>
      <c r="DJ35" s="1"/>
      <c r="DK35" s="1"/>
      <c r="DL35" s="1"/>
      <c r="DM35" s="1"/>
      <c r="DN35" s="1"/>
      <c r="DO35" s="1"/>
      <c r="DP35" s="1"/>
      <c r="DQ35" s="1"/>
      <c r="DR35" s="1"/>
      <c r="DS35" s="1"/>
      <c r="DT35" s="1"/>
      <c r="DU35" s="1"/>
      <c r="DV35" s="1"/>
      <c r="DW35" s="1"/>
      <c r="DX35" s="1"/>
      <c r="DY35" s="1"/>
      <c r="DZ35" s="1"/>
      <c r="EA35" s="1"/>
      <c r="EB35" s="1"/>
      <c r="EC35" s="1"/>
      <c r="ED35" s="1"/>
      <c r="EE35" s="1"/>
      <c r="EF35" s="1"/>
      <c r="EG35" s="1"/>
      <c r="EH35" s="1"/>
      <c r="EI35" s="1"/>
      <c r="EJ35" s="1"/>
      <c r="EK35" s="1"/>
      <c r="EL35" s="1"/>
      <c r="EM35" s="1"/>
      <c r="EN35" s="1"/>
      <c r="EO35" s="1"/>
      <c r="EP35" s="1"/>
      <c r="EQ35" s="1"/>
      <c r="ER35" s="1"/>
      <c r="ES35" s="1"/>
      <c r="ET35" s="1"/>
      <c r="EU35" s="1"/>
      <c r="EV35" s="1"/>
      <c r="EW35" s="1"/>
      <c r="EX35" s="1"/>
      <c r="EY35" s="1"/>
      <c r="EZ35" s="1"/>
      <c r="FA35" s="1"/>
      <c r="FB35" s="1"/>
      <c r="FC35" s="1"/>
      <c r="FD35" s="1"/>
      <c r="FE35" s="1"/>
      <c r="FF35" s="1"/>
      <c r="FG35" s="1"/>
      <c r="FH35" s="1"/>
      <c r="FI35" s="1"/>
      <c r="FJ35" s="1"/>
      <c r="FK35" s="1"/>
      <c r="FL35" s="1"/>
      <c r="FM35" s="1"/>
      <c r="FN35" s="1"/>
      <c r="FO35" s="1"/>
      <c r="FP35" s="1"/>
      <c r="FQ35" s="1"/>
      <c r="FR35" s="1"/>
      <c r="FS35" s="1"/>
      <c r="FT35" s="1"/>
      <c r="FU35" s="1"/>
      <c r="FV35" s="1"/>
      <c r="FW35" s="1"/>
      <c r="FX35" s="1"/>
      <c r="FY35" s="1"/>
      <c r="FZ35" s="1"/>
      <c r="GA35" s="1"/>
      <c r="GB35" s="1"/>
      <c r="GC35" s="1"/>
      <c r="GD35" s="1"/>
      <c r="GE35" s="1"/>
      <c r="GF35" s="1"/>
      <c r="GG35" s="1"/>
      <c r="GH35" s="1"/>
      <c r="GI35" s="1"/>
      <c r="GJ35" s="1"/>
      <c r="GK35" s="1"/>
      <c r="GL35" s="1"/>
      <c r="GM35" s="1"/>
      <c r="GN35" s="1"/>
      <c r="GO35" s="1"/>
      <c r="GP35" s="1"/>
      <c r="GQ35" s="1"/>
      <c r="GR35" s="1"/>
      <c r="GS35" s="1"/>
      <c r="GT35" s="1"/>
      <c r="GU35" s="1"/>
      <c r="GV35" s="1"/>
      <c r="GW35" s="1"/>
      <c r="GX35" s="1"/>
      <c r="GY35" s="1"/>
      <c r="GZ35" s="1"/>
      <c r="HA35" s="1"/>
      <c r="HB35" s="1"/>
      <c r="HC35" s="1"/>
      <c r="HD35" s="1"/>
      <c r="HE35" s="1"/>
      <c r="HF35" s="1"/>
      <c r="HG35" s="1"/>
      <c r="HH35" s="1"/>
      <c r="HI35" s="1"/>
      <c r="HJ35" s="1"/>
      <c r="HK35" s="1"/>
      <c r="HL35" s="1"/>
      <c r="HM35" s="1"/>
      <c r="HN35" s="1"/>
      <c r="HO35" s="1"/>
      <c r="HP35" s="1"/>
      <c r="HQ35" s="1"/>
      <c r="HR35" s="1"/>
      <c r="HS35" s="1"/>
      <c r="HT35" s="1"/>
      <c r="HU35" s="1"/>
      <c r="HV35" s="1"/>
      <c r="HW35" s="1"/>
      <c r="HX35" s="1"/>
      <c r="HY35" s="1"/>
      <c r="HZ35" s="1"/>
      <c r="IA35" s="1"/>
      <c r="IB35" s="1"/>
      <c r="IC35" s="1"/>
      <c r="ID35" s="1"/>
      <c r="IE35" s="1"/>
      <c r="IF35" s="1"/>
      <c r="IG35" s="1"/>
      <c r="IH35" s="1"/>
    </row>
    <row r="36" spans="1:242" x14ac:dyDescent="0.2">
      <c r="S36" s="252">
        <v>26</v>
      </c>
      <c r="T36" s="253" t="s">
        <v>240</v>
      </c>
      <c r="U36" s="251">
        <v>4</v>
      </c>
      <c r="V36" s="631"/>
      <c r="W36" s="632"/>
      <c r="X36" s="632"/>
      <c r="Y36" s="632"/>
      <c r="Z36" s="633"/>
      <c r="AB36" s="249"/>
      <c r="AC36" s="249"/>
      <c r="AD36" s="249"/>
      <c r="AE36" s="249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1"/>
      <c r="BY36" s="1"/>
      <c r="BZ36" s="1"/>
      <c r="CA36" s="1"/>
      <c r="CB36" s="1"/>
      <c r="CC36" s="1"/>
      <c r="CD36" s="1"/>
      <c r="CE36" s="1"/>
      <c r="CF36" s="1"/>
      <c r="CG36" s="1"/>
      <c r="CH36" s="1"/>
      <c r="CI36" s="1"/>
      <c r="CJ36" s="1"/>
      <c r="CK36" s="1"/>
      <c r="CL36" s="1"/>
      <c r="CM36" s="1"/>
      <c r="CN36" s="1"/>
      <c r="CO36" s="1"/>
      <c r="CP36" s="1"/>
      <c r="CQ36" s="1"/>
      <c r="CR36" s="1"/>
      <c r="CS36" s="1"/>
      <c r="CT36" s="1"/>
      <c r="CU36" s="1"/>
      <c r="CV36" s="1"/>
      <c r="CW36" s="1"/>
      <c r="CX36" s="1"/>
      <c r="CY36" s="1"/>
      <c r="CZ36" s="1"/>
      <c r="DA36" s="1"/>
      <c r="DB36" s="1"/>
      <c r="DC36" s="1"/>
      <c r="DD36" s="1"/>
      <c r="DE36" s="1"/>
      <c r="DF36" s="1"/>
      <c r="DG36" s="1"/>
      <c r="DH36" s="1"/>
      <c r="DI36" s="1"/>
      <c r="DJ36" s="1"/>
      <c r="DK36" s="1"/>
      <c r="DL36" s="1"/>
      <c r="DM36" s="1"/>
      <c r="DN36" s="1"/>
      <c r="DO36" s="1"/>
      <c r="DP36" s="1"/>
      <c r="DQ36" s="1"/>
      <c r="DR36" s="1"/>
      <c r="DS36" s="1"/>
      <c r="DT36" s="1"/>
      <c r="DU36" s="1"/>
      <c r="DV36" s="1"/>
      <c r="DW36" s="1"/>
      <c r="DX36" s="1"/>
      <c r="DY36" s="1"/>
      <c r="DZ36" s="1"/>
      <c r="EA36" s="1"/>
      <c r="EB36" s="1"/>
      <c r="EC36" s="1"/>
      <c r="ED36" s="1"/>
      <c r="EE36" s="1"/>
      <c r="EF36" s="1"/>
      <c r="EG36" s="1"/>
      <c r="EH36" s="1"/>
      <c r="EI36" s="1"/>
      <c r="EJ36" s="1"/>
      <c r="EK36" s="1"/>
      <c r="EL36" s="1"/>
      <c r="EM36" s="1"/>
      <c r="EN36" s="1"/>
      <c r="EO36" s="1"/>
      <c r="EP36" s="1"/>
      <c r="EQ36" s="1"/>
      <c r="ER36" s="1"/>
      <c r="ES36" s="1"/>
      <c r="ET36" s="1"/>
      <c r="EU36" s="1"/>
      <c r="EV36" s="1"/>
      <c r="EW36" s="1"/>
      <c r="EX36" s="1"/>
      <c r="EY36" s="1"/>
      <c r="EZ36" s="1"/>
      <c r="FA36" s="1"/>
      <c r="FB36" s="1"/>
      <c r="FC36" s="1"/>
      <c r="FD36" s="1"/>
      <c r="FE36" s="1"/>
      <c r="FF36" s="1"/>
      <c r="FG36" s="1"/>
      <c r="FH36" s="1"/>
      <c r="FI36" s="1"/>
      <c r="FJ36" s="1"/>
      <c r="FK36" s="1"/>
      <c r="FL36" s="1"/>
      <c r="FM36" s="1"/>
      <c r="FN36" s="1"/>
      <c r="FO36" s="1"/>
      <c r="FP36" s="1"/>
      <c r="FQ36" s="1"/>
      <c r="FR36" s="1"/>
      <c r="FS36" s="1"/>
      <c r="FT36" s="1"/>
      <c r="FU36" s="1"/>
      <c r="FV36" s="1"/>
      <c r="FW36" s="1"/>
      <c r="FX36" s="1"/>
      <c r="FY36" s="1"/>
      <c r="FZ36" s="1"/>
      <c r="GA36" s="1"/>
      <c r="GB36" s="1"/>
      <c r="GC36" s="1"/>
      <c r="GD36" s="1"/>
      <c r="GE36" s="1"/>
      <c r="GF36" s="1"/>
      <c r="GG36" s="1"/>
      <c r="GH36" s="1"/>
      <c r="GI36" s="1"/>
      <c r="GJ36" s="1"/>
      <c r="GK36" s="1"/>
      <c r="GL36" s="1"/>
      <c r="GM36" s="1"/>
      <c r="GN36" s="1"/>
      <c r="GO36" s="1"/>
      <c r="GP36" s="1"/>
      <c r="GQ36" s="1"/>
      <c r="GR36" s="1"/>
      <c r="GS36" s="1"/>
      <c r="GT36" s="1"/>
      <c r="GU36" s="1"/>
      <c r="GV36" s="1"/>
      <c r="GW36" s="1"/>
      <c r="GX36" s="1"/>
      <c r="GY36" s="1"/>
      <c r="GZ36" s="1"/>
      <c r="HA36" s="1"/>
      <c r="HB36" s="1"/>
      <c r="HC36" s="1"/>
      <c r="HD36" s="1"/>
      <c r="HE36" s="1"/>
      <c r="HF36" s="1"/>
      <c r="HG36" s="1"/>
      <c r="HH36" s="1"/>
      <c r="HI36" s="1"/>
      <c r="HJ36" s="1"/>
      <c r="HK36" s="1"/>
      <c r="HL36" s="1"/>
      <c r="HM36" s="1"/>
      <c r="HN36" s="1"/>
      <c r="HO36" s="1"/>
      <c r="HP36" s="1"/>
      <c r="HQ36" s="1"/>
      <c r="HR36" s="1"/>
      <c r="HS36" s="1"/>
      <c r="HT36" s="1"/>
      <c r="HU36" s="1"/>
      <c r="HV36" s="1"/>
      <c r="HW36" s="1"/>
      <c r="HX36" s="1"/>
      <c r="HY36" s="1"/>
      <c r="HZ36" s="1"/>
      <c r="IA36" s="1"/>
      <c r="IB36" s="1"/>
      <c r="IC36" s="1"/>
      <c r="ID36" s="1"/>
      <c r="IE36" s="1"/>
      <c r="IF36" s="1"/>
      <c r="IG36" s="1"/>
      <c r="IH36" s="1"/>
    </row>
    <row r="37" spans="1:242" ht="15" x14ac:dyDescent="0.2">
      <c r="A37" s="5" t="s">
        <v>186</v>
      </c>
      <c r="B37" s="5"/>
      <c r="C37" s="193">
        <f>CEILING(K34,5)</f>
        <v>62475</v>
      </c>
      <c r="D37" s="102" t="s">
        <v>187</v>
      </c>
      <c r="S37" s="252">
        <v>27</v>
      </c>
      <c r="T37" s="253" t="s">
        <v>239</v>
      </c>
      <c r="U37" s="251">
        <v>2</v>
      </c>
      <c r="V37" s="631"/>
      <c r="W37" s="632"/>
      <c r="X37" s="632"/>
      <c r="Y37" s="632"/>
      <c r="Z37" s="633"/>
      <c r="AA37" s="249"/>
      <c r="AB37" s="249"/>
      <c r="AC37" s="249"/>
      <c r="AD37" s="249"/>
      <c r="AE37" s="24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  <c r="BY37" s="1"/>
      <c r="BZ37" s="1"/>
      <c r="CA37" s="1"/>
      <c r="CB37" s="1"/>
      <c r="CC37" s="1"/>
      <c r="CD37" s="1"/>
      <c r="CE37" s="1"/>
      <c r="CF37" s="1"/>
      <c r="CG37" s="1"/>
      <c r="CH37" s="1"/>
      <c r="CI37" s="1"/>
      <c r="CJ37" s="1"/>
      <c r="CK37" s="1"/>
      <c r="CL37" s="1"/>
      <c r="CM37" s="1"/>
      <c r="CN37" s="1"/>
      <c r="CO37" s="1"/>
      <c r="CP37" s="1"/>
      <c r="CQ37" s="1"/>
      <c r="CR37" s="1"/>
      <c r="CS37" s="1"/>
      <c r="CT37" s="1"/>
      <c r="CU37" s="1"/>
      <c r="CV37" s="1"/>
      <c r="CW37" s="1"/>
      <c r="CX37" s="1"/>
      <c r="CY37" s="1"/>
      <c r="CZ37" s="1"/>
      <c r="DA37" s="1"/>
      <c r="DB37" s="1"/>
      <c r="DC37" s="1"/>
      <c r="DD37" s="1"/>
      <c r="DE37" s="1"/>
      <c r="DF37" s="1"/>
      <c r="DG37" s="1"/>
      <c r="DH37" s="1"/>
      <c r="DI37" s="1"/>
      <c r="DJ37" s="1"/>
      <c r="DK37" s="1"/>
      <c r="DL37" s="1"/>
      <c r="DM37" s="1"/>
      <c r="DN37" s="1"/>
      <c r="DO37" s="1"/>
      <c r="DP37" s="1"/>
      <c r="DQ37" s="1"/>
      <c r="DR37" s="1"/>
      <c r="DS37" s="1"/>
      <c r="DT37" s="1"/>
      <c r="DU37" s="1"/>
      <c r="DV37" s="1"/>
      <c r="DW37" s="1"/>
      <c r="DX37" s="1"/>
      <c r="DY37" s="1"/>
      <c r="DZ37" s="1"/>
      <c r="EA37" s="1"/>
      <c r="EB37" s="1"/>
      <c r="EC37" s="1"/>
      <c r="ED37" s="1"/>
      <c r="EE37" s="1"/>
      <c r="EF37" s="1"/>
      <c r="EG37" s="1"/>
      <c r="EH37" s="1"/>
      <c r="EI37" s="1"/>
      <c r="EJ37" s="1"/>
      <c r="EK37" s="1"/>
      <c r="EL37" s="1"/>
      <c r="EM37" s="1"/>
      <c r="EN37" s="1"/>
      <c r="EO37" s="1"/>
      <c r="EP37" s="1"/>
      <c r="EQ37" s="1"/>
      <c r="ER37" s="1"/>
      <c r="ES37" s="1"/>
      <c r="ET37" s="1"/>
      <c r="EU37" s="1"/>
      <c r="EV37" s="1"/>
      <c r="EW37" s="1"/>
      <c r="EX37" s="1"/>
      <c r="EY37" s="1"/>
      <c r="EZ37" s="1"/>
      <c r="FA37" s="1"/>
      <c r="FB37" s="1"/>
      <c r="FC37" s="1"/>
      <c r="FD37" s="1"/>
      <c r="FE37" s="1"/>
      <c r="FF37" s="1"/>
      <c r="FG37" s="1"/>
      <c r="FH37" s="1"/>
      <c r="FI37" s="1"/>
      <c r="FJ37" s="1"/>
      <c r="FK37" s="1"/>
      <c r="FL37" s="1"/>
      <c r="FM37" s="1"/>
      <c r="FN37" s="1"/>
      <c r="FO37" s="1"/>
      <c r="FP37" s="1"/>
      <c r="FQ37" s="1"/>
      <c r="FR37" s="1"/>
      <c r="FS37" s="1"/>
      <c r="FT37" s="1"/>
      <c r="FU37" s="1"/>
      <c r="FV37" s="1"/>
      <c r="FW37" s="1"/>
      <c r="FX37" s="1"/>
      <c r="FY37" s="1"/>
      <c r="FZ37" s="1"/>
      <c r="GA37" s="1"/>
      <c r="GB37" s="1"/>
      <c r="GC37" s="1"/>
      <c r="GD37" s="1"/>
      <c r="GE37" s="1"/>
      <c r="GF37" s="1"/>
      <c r="GG37" s="1"/>
      <c r="GH37" s="1"/>
      <c r="GI37" s="1"/>
      <c r="GJ37" s="1"/>
      <c r="GK37" s="1"/>
      <c r="GL37" s="1"/>
      <c r="GM37" s="1"/>
      <c r="GN37" s="1"/>
      <c r="GO37" s="1"/>
      <c r="GP37" s="1"/>
      <c r="GQ37" s="1"/>
      <c r="GR37" s="1"/>
      <c r="GS37" s="1"/>
      <c r="GT37" s="1"/>
      <c r="GU37" s="1"/>
      <c r="GV37" s="1"/>
      <c r="GW37" s="1"/>
      <c r="GX37" s="1"/>
      <c r="GY37" s="1"/>
      <c r="GZ37" s="1"/>
      <c r="HA37" s="1"/>
      <c r="HB37" s="1"/>
      <c r="HC37" s="1"/>
      <c r="HD37" s="1"/>
      <c r="HE37" s="1"/>
      <c r="HF37" s="1"/>
      <c r="HG37" s="1"/>
      <c r="HH37" s="1"/>
      <c r="HI37" s="1"/>
      <c r="HJ37" s="1"/>
      <c r="HK37" s="1"/>
      <c r="HL37" s="1"/>
      <c r="HM37" s="1"/>
      <c r="HN37" s="1"/>
      <c r="HO37" s="1"/>
      <c r="HP37" s="1"/>
      <c r="HQ37" s="1"/>
      <c r="HR37" s="1"/>
      <c r="HS37" s="1"/>
      <c r="HT37" s="1"/>
      <c r="HU37" s="1"/>
      <c r="HV37" s="1"/>
      <c r="HW37" s="1"/>
      <c r="HX37" s="1"/>
      <c r="HY37" s="1"/>
      <c r="HZ37" s="1"/>
      <c r="IA37" s="1"/>
      <c r="IB37" s="1"/>
      <c r="IC37" s="1"/>
      <c r="ID37" s="1"/>
      <c r="IE37" s="1"/>
      <c r="IF37" s="1"/>
      <c r="IG37" s="1"/>
      <c r="IH37" s="1"/>
    </row>
    <row r="38" spans="1:242" x14ac:dyDescent="0.2">
      <c r="S38" s="252">
        <v>28</v>
      </c>
      <c r="T38" s="253" t="s">
        <v>238</v>
      </c>
      <c r="U38" s="251">
        <v>4</v>
      </c>
      <c r="V38" s="631"/>
      <c r="W38" s="632"/>
      <c r="X38" s="632"/>
      <c r="Y38" s="632"/>
      <c r="Z38" s="633"/>
      <c r="AA38" s="249"/>
      <c r="AB38" s="249"/>
      <c r="AC38" s="249"/>
      <c r="AD38" s="249"/>
      <c r="AE38" s="249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  <c r="BY38" s="1"/>
      <c r="BZ38" s="1"/>
      <c r="CA38" s="1"/>
      <c r="CB38" s="1"/>
      <c r="CC38" s="1"/>
      <c r="CD38" s="1"/>
      <c r="CE38" s="1"/>
      <c r="CF38" s="1"/>
      <c r="CG38" s="1"/>
      <c r="CH38" s="1"/>
      <c r="CI38" s="1"/>
      <c r="CJ38" s="1"/>
      <c r="CK38" s="1"/>
      <c r="CL38" s="1"/>
      <c r="CM38" s="1"/>
      <c r="CN38" s="1"/>
      <c r="CO38" s="1"/>
      <c r="CP38" s="1"/>
      <c r="CQ38" s="1"/>
      <c r="CR38" s="1"/>
      <c r="CS38" s="1"/>
      <c r="CT38" s="1"/>
      <c r="CU38" s="1"/>
      <c r="CV38" s="1"/>
      <c r="CW38" s="1"/>
      <c r="CX38" s="1"/>
      <c r="CY38" s="1"/>
      <c r="CZ38" s="1"/>
      <c r="DA38" s="1"/>
      <c r="DB38" s="1"/>
      <c r="DC38" s="1"/>
      <c r="DD38" s="1"/>
      <c r="DE38" s="1"/>
      <c r="DF38" s="1"/>
      <c r="DG38" s="1"/>
      <c r="DH38" s="1"/>
      <c r="DI38" s="1"/>
      <c r="DJ38" s="1"/>
      <c r="DK38" s="1"/>
      <c r="DL38" s="1"/>
      <c r="DM38" s="1"/>
      <c r="DN38" s="1"/>
      <c r="DO38" s="1"/>
      <c r="DP38" s="1"/>
      <c r="DQ38" s="1"/>
      <c r="DR38" s="1"/>
      <c r="DS38" s="1"/>
      <c r="DT38" s="1"/>
      <c r="DU38" s="1"/>
      <c r="DV38" s="1"/>
      <c r="DW38" s="1"/>
      <c r="DX38" s="1"/>
      <c r="DY38" s="1"/>
      <c r="DZ38" s="1"/>
      <c r="EA38" s="1"/>
      <c r="EB38" s="1"/>
      <c r="EC38" s="1"/>
      <c r="ED38" s="1"/>
      <c r="EE38" s="1"/>
      <c r="EF38" s="1"/>
      <c r="EG38" s="1"/>
      <c r="EH38" s="1"/>
      <c r="EI38" s="1"/>
      <c r="EJ38" s="1"/>
      <c r="EK38" s="1"/>
      <c r="EL38" s="1"/>
      <c r="EM38" s="1"/>
      <c r="EN38" s="1"/>
      <c r="EO38" s="1"/>
      <c r="EP38" s="1"/>
      <c r="EQ38" s="1"/>
      <c r="ER38" s="1"/>
      <c r="ES38" s="1"/>
      <c r="ET38" s="1"/>
      <c r="EU38" s="1"/>
      <c r="EV38" s="1"/>
      <c r="EW38" s="1"/>
      <c r="EX38" s="1"/>
      <c r="EY38" s="1"/>
      <c r="EZ38" s="1"/>
      <c r="FA38" s="1"/>
      <c r="FB38" s="1"/>
      <c r="FC38" s="1"/>
      <c r="FD38" s="1"/>
      <c r="FE38" s="1"/>
      <c r="FF38" s="1"/>
      <c r="FG38" s="1"/>
      <c r="FH38" s="1"/>
      <c r="FI38" s="1"/>
      <c r="FJ38" s="1"/>
      <c r="FK38" s="1"/>
      <c r="FL38" s="1"/>
      <c r="FM38" s="1"/>
      <c r="FN38" s="1"/>
      <c r="FO38" s="1"/>
      <c r="FP38" s="1"/>
      <c r="FQ38" s="1"/>
      <c r="FR38" s="1"/>
      <c r="FS38" s="1"/>
      <c r="FT38" s="1"/>
      <c r="FU38" s="1"/>
      <c r="FV38" s="1"/>
      <c r="FW38" s="1"/>
      <c r="FX38" s="1"/>
      <c r="FY38" s="1"/>
      <c r="FZ38" s="1"/>
      <c r="GA38" s="1"/>
      <c r="GB38" s="1"/>
      <c r="GC38" s="1"/>
      <c r="GD38" s="1"/>
      <c r="GE38" s="1"/>
      <c r="GF38" s="1"/>
      <c r="GG38" s="1"/>
      <c r="GH38" s="1"/>
      <c r="GI38" s="1"/>
      <c r="GJ38" s="1"/>
      <c r="GK38" s="1"/>
      <c r="GL38" s="1"/>
      <c r="GM38" s="1"/>
      <c r="GN38" s="1"/>
      <c r="GO38" s="1"/>
      <c r="GP38" s="1"/>
      <c r="GQ38" s="1"/>
      <c r="GR38" s="1"/>
      <c r="GS38" s="1"/>
      <c r="GT38" s="1"/>
      <c r="GU38" s="1"/>
      <c r="GV38" s="1"/>
      <c r="GW38" s="1"/>
      <c r="GX38" s="1"/>
      <c r="GY38" s="1"/>
      <c r="GZ38" s="1"/>
      <c r="HA38" s="1"/>
      <c r="HB38" s="1"/>
      <c r="HC38" s="1"/>
      <c r="HD38" s="1"/>
      <c r="HE38" s="1"/>
      <c r="HF38" s="1"/>
      <c r="HG38" s="1"/>
      <c r="HH38" s="1"/>
      <c r="HI38" s="1"/>
      <c r="HJ38" s="1"/>
      <c r="HK38" s="1"/>
      <c r="HL38" s="1"/>
      <c r="HM38" s="1"/>
      <c r="HN38" s="1"/>
      <c r="HO38" s="1"/>
      <c r="HP38" s="1"/>
      <c r="HQ38" s="1"/>
      <c r="HR38" s="1"/>
      <c r="HS38" s="1"/>
      <c r="HT38" s="1"/>
      <c r="HU38" s="1"/>
      <c r="HV38" s="1"/>
      <c r="HW38" s="1"/>
      <c r="HX38" s="1"/>
      <c r="HY38" s="1"/>
      <c r="HZ38" s="1"/>
      <c r="IA38" s="1"/>
      <c r="IB38" s="1"/>
      <c r="IC38" s="1"/>
      <c r="ID38" s="1"/>
      <c r="IE38" s="1"/>
      <c r="IF38" s="1"/>
      <c r="IG38" s="1"/>
      <c r="IH38" s="1"/>
    </row>
    <row r="39" spans="1:242" s="103" customFormat="1" ht="15" x14ac:dyDescent="0.2">
      <c r="A39" s="638" t="s">
        <v>92</v>
      </c>
      <c r="B39" s="639"/>
      <c r="C39" s="639"/>
      <c r="D39" s="639"/>
      <c r="E39" s="639"/>
      <c r="F39" s="639"/>
      <c r="G39" s="639"/>
      <c r="H39" s="639"/>
      <c r="I39" s="639"/>
      <c r="J39" s="639"/>
      <c r="K39" s="639"/>
      <c r="L39" s="639"/>
      <c r="M39" s="639"/>
      <c r="N39" s="639"/>
      <c r="O39" s="639"/>
      <c r="S39" s="252">
        <v>29</v>
      </c>
      <c r="T39" s="253" t="s">
        <v>237</v>
      </c>
      <c r="U39" s="251">
        <v>4</v>
      </c>
      <c r="V39" s="631"/>
      <c r="W39" s="632"/>
      <c r="X39" s="632"/>
      <c r="Y39" s="632"/>
      <c r="Z39" s="633"/>
      <c r="AA39" s="249"/>
      <c r="AB39" s="249"/>
      <c r="AC39" s="249"/>
      <c r="AD39" s="249"/>
      <c r="AE39" s="24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  <c r="AZ39" s="1"/>
      <c r="BA39" s="1"/>
      <c r="BB39" s="1"/>
      <c r="BC39" s="1"/>
      <c r="BD39" s="1"/>
      <c r="BE39" s="1"/>
      <c r="BF39" s="1"/>
      <c r="BG39" s="1"/>
      <c r="BH39" s="1"/>
      <c r="BI39" s="1"/>
      <c r="BJ39" s="1"/>
      <c r="BK39" s="1"/>
      <c r="BL39" s="1"/>
      <c r="BM39" s="1"/>
      <c r="BN39" s="1"/>
      <c r="BO39" s="1"/>
      <c r="BP39" s="1"/>
      <c r="BQ39" s="1"/>
      <c r="BR39" s="1"/>
      <c r="BS39" s="1"/>
      <c r="BT39" s="1"/>
      <c r="BU39" s="1"/>
      <c r="BV39" s="1"/>
      <c r="BW39" s="1"/>
      <c r="BX39" s="1"/>
      <c r="BY39" s="1"/>
      <c r="BZ39" s="1"/>
      <c r="CA39" s="1"/>
      <c r="CB39" s="1"/>
      <c r="CC39" s="1"/>
      <c r="CD39" s="1"/>
      <c r="CE39" s="1"/>
      <c r="CF39" s="1"/>
      <c r="CG39" s="1"/>
      <c r="CH39" s="1"/>
      <c r="CI39" s="1"/>
      <c r="CJ39" s="1"/>
      <c r="CK39" s="1"/>
      <c r="CL39" s="1"/>
      <c r="CM39" s="1"/>
      <c r="CN39" s="1"/>
      <c r="CO39" s="1"/>
      <c r="CP39" s="1"/>
      <c r="CQ39" s="1"/>
      <c r="CR39" s="1"/>
      <c r="CS39" s="1"/>
      <c r="CT39" s="1"/>
      <c r="CU39" s="1"/>
      <c r="CV39" s="1"/>
      <c r="CW39" s="1"/>
      <c r="CX39" s="1"/>
      <c r="CY39" s="1"/>
      <c r="CZ39" s="1"/>
      <c r="DA39" s="1"/>
      <c r="DB39" s="1"/>
      <c r="DC39" s="1"/>
      <c r="DD39" s="1"/>
      <c r="DE39" s="1"/>
      <c r="DF39" s="1"/>
      <c r="DG39" s="1"/>
      <c r="DH39" s="1"/>
      <c r="DI39" s="1"/>
      <c r="DJ39" s="1"/>
      <c r="DK39" s="1"/>
      <c r="DL39" s="1"/>
      <c r="DM39" s="1"/>
      <c r="DN39" s="1"/>
      <c r="DO39" s="1"/>
      <c r="DP39" s="1"/>
      <c r="DQ39" s="1"/>
      <c r="DR39" s="1"/>
      <c r="DS39" s="1"/>
      <c r="DT39" s="1"/>
      <c r="DU39" s="1"/>
      <c r="DV39" s="1"/>
      <c r="DW39" s="1"/>
      <c r="DX39" s="1"/>
      <c r="DY39" s="1"/>
      <c r="DZ39" s="1"/>
      <c r="EA39" s="1"/>
      <c r="EB39" s="1"/>
      <c r="EC39" s="1"/>
      <c r="ED39" s="1"/>
      <c r="EE39" s="1"/>
      <c r="EF39" s="1"/>
      <c r="EG39" s="1"/>
      <c r="EH39" s="1"/>
      <c r="EI39" s="1"/>
      <c r="EJ39" s="1"/>
      <c r="EK39" s="1"/>
      <c r="EL39" s="1"/>
      <c r="EM39" s="1"/>
      <c r="EN39" s="1"/>
      <c r="EO39" s="1"/>
      <c r="EP39" s="1"/>
      <c r="EQ39" s="1"/>
      <c r="ER39" s="1"/>
      <c r="ES39" s="1"/>
      <c r="ET39" s="1"/>
      <c r="EU39" s="1"/>
      <c r="EV39" s="1"/>
      <c r="EW39" s="1"/>
      <c r="EX39" s="1"/>
      <c r="EY39" s="1"/>
      <c r="EZ39" s="1"/>
      <c r="FA39" s="1"/>
      <c r="FB39" s="1"/>
      <c r="FC39" s="1"/>
      <c r="FD39" s="1"/>
      <c r="FE39" s="1"/>
      <c r="FF39" s="1"/>
      <c r="FG39" s="1"/>
      <c r="FH39" s="1"/>
      <c r="FI39" s="1"/>
      <c r="FJ39" s="1"/>
      <c r="FK39" s="1"/>
      <c r="FL39" s="1"/>
      <c r="FM39" s="1"/>
      <c r="FN39" s="1"/>
      <c r="FO39" s="1"/>
      <c r="FP39" s="1"/>
      <c r="FQ39" s="1"/>
      <c r="FR39" s="1"/>
      <c r="FS39" s="1"/>
      <c r="FT39" s="1"/>
      <c r="FU39" s="1"/>
      <c r="FV39" s="1"/>
      <c r="FW39" s="1"/>
      <c r="FX39" s="1"/>
      <c r="FY39" s="1"/>
      <c r="FZ39" s="1"/>
      <c r="GA39" s="1"/>
      <c r="GB39" s="1"/>
      <c r="GC39" s="1"/>
      <c r="GD39" s="1"/>
      <c r="GE39" s="1"/>
      <c r="GF39" s="1"/>
      <c r="GG39" s="1"/>
      <c r="GH39" s="1"/>
      <c r="GI39" s="1"/>
      <c r="GJ39" s="1"/>
      <c r="GK39" s="1"/>
      <c r="GL39" s="1"/>
      <c r="GM39" s="1"/>
      <c r="GN39" s="1"/>
      <c r="GO39" s="1"/>
      <c r="GP39" s="1"/>
      <c r="GQ39" s="1"/>
      <c r="GR39" s="1"/>
      <c r="GS39" s="1"/>
      <c r="GT39" s="1"/>
      <c r="GU39" s="1"/>
      <c r="GV39" s="1"/>
      <c r="GW39" s="1"/>
      <c r="GX39" s="1"/>
      <c r="GY39" s="1"/>
      <c r="GZ39" s="1"/>
      <c r="HA39" s="1"/>
      <c r="HB39" s="1"/>
      <c r="HC39" s="1"/>
      <c r="HD39" s="1"/>
      <c r="HE39" s="1"/>
      <c r="HF39" s="1"/>
      <c r="HG39" s="1"/>
      <c r="HH39" s="1"/>
      <c r="HI39" s="1"/>
      <c r="HJ39" s="1"/>
      <c r="HK39" s="1"/>
      <c r="HL39" s="1"/>
      <c r="HM39" s="1"/>
      <c r="HN39" s="1"/>
      <c r="HO39" s="1"/>
      <c r="HP39" s="1"/>
      <c r="HQ39" s="1"/>
      <c r="HR39" s="1"/>
      <c r="HS39" s="1"/>
      <c r="HT39" s="1"/>
      <c r="HU39" s="1"/>
      <c r="HV39" s="1"/>
      <c r="HW39" s="1"/>
      <c r="HX39" s="1"/>
      <c r="HY39" s="1"/>
      <c r="HZ39" s="1"/>
      <c r="IA39" s="1"/>
      <c r="IB39" s="1"/>
      <c r="IC39" s="1"/>
      <c r="ID39" s="1"/>
      <c r="IE39" s="1"/>
      <c r="IF39" s="1"/>
      <c r="IG39" s="1"/>
      <c r="IH39" s="1"/>
    </row>
    <row r="40" spans="1:242" x14ac:dyDescent="0.2">
      <c r="A40" s="21" t="s">
        <v>179</v>
      </c>
      <c r="B40" s="39"/>
      <c r="C40" s="433" t="str">
        <f>Цена!D26</f>
        <v>Да</v>
      </c>
      <c r="D40" s="102"/>
      <c r="S40" s="252"/>
      <c r="T40" s="253"/>
      <c r="U40" s="251"/>
      <c r="V40" s="631"/>
      <c r="W40" s="632"/>
      <c r="X40" s="632"/>
      <c r="Y40" s="632"/>
      <c r="Z40" s="633"/>
      <c r="AA40" s="249"/>
      <c r="AB40" s="249"/>
      <c r="AC40" s="249"/>
      <c r="AD40" s="249"/>
      <c r="AE40" s="249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  <c r="EY40" s="1"/>
      <c r="EZ40" s="1"/>
      <c r="FA40" s="1"/>
      <c r="FB40" s="1"/>
      <c r="FC40" s="1"/>
      <c r="FD40" s="1"/>
      <c r="FE40" s="1"/>
      <c r="FF40" s="1"/>
      <c r="FG40" s="1"/>
      <c r="FH40" s="1"/>
      <c r="FI40" s="1"/>
      <c r="FJ40" s="1"/>
      <c r="FK40" s="1"/>
      <c r="FL40" s="1"/>
      <c r="FM40" s="1"/>
      <c r="FN40" s="1"/>
      <c r="FO40" s="1"/>
      <c r="FP40" s="1"/>
      <c r="FQ40" s="1"/>
      <c r="FR40" s="1"/>
      <c r="FS40" s="1"/>
      <c r="FT40" s="1"/>
      <c r="FU40" s="1"/>
      <c r="FV40" s="1"/>
      <c r="FW40" s="1"/>
      <c r="FX40" s="1"/>
      <c r="FY40" s="1"/>
      <c r="FZ40" s="1"/>
      <c r="GA40" s="1"/>
      <c r="GB40" s="1"/>
      <c r="GC40" s="1"/>
      <c r="GD40" s="1"/>
      <c r="GE40" s="1"/>
      <c r="GF40" s="1"/>
      <c r="GG40" s="1"/>
      <c r="GH40" s="1"/>
      <c r="GI40" s="1"/>
      <c r="GJ40" s="1"/>
      <c r="GK40" s="1"/>
      <c r="GL40" s="1"/>
      <c r="GM40" s="1"/>
      <c r="GN40" s="1"/>
      <c r="GO40" s="1"/>
      <c r="GP40" s="1"/>
      <c r="GQ40" s="1"/>
      <c r="GR40" s="1"/>
      <c r="GS40" s="1"/>
      <c r="GT40" s="1"/>
      <c r="GU40" s="1"/>
      <c r="GV40" s="1"/>
      <c r="GW40" s="1"/>
      <c r="GX40" s="1"/>
      <c r="GY40" s="1"/>
      <c r="GZ40" s="1"/>
      <c r="HA40" s="1"/>
      <c r="HB40" s="1"/>
      <c r="HC40" s="1"/>
      <c r="HD40" s="1"/>
      <c r="HE40" s="1"/>
      <c r="HF40" s="1"/>
      <c r="HG40" s="1"/>
      <c r="HH40" s="1"/>
      <c r="HI40" s="1"/>
      <c r="HJ40" s="1"/>
      <c r="HK40" s="1"/>
      <c r="HL40" s="1"/>
      <c r="HM40" s="1"/>
      <c r="HN40" s="1"/>
      <c r="HO40" s="1"/>
      <c r="HP40" s="1"/>
      <c r="HQ40" s="1"/>
      <c r="HR40" s="1"/>
      <c r="HS40" s="1"/>
      <c r="HT40" s="1"/>
      <c r="HU40" s="1"/>
      <c r="HV40" s="1"/>
      <c r="HW40" s="1"/>
      <c r="HX40" s="1"/>
      <c r="HY40" s="1"/>
      <c r="HZ40" s="1"/>
      <c r="IA40" s="1"/>
      <c r="IB40" s="1"/>
      <c r="IC40" s="1"/>
      <c r="ID40" s="1"/>
      <c r="IE40" s="1"/>
      <c r="IF40" s="1"/>
      <c r="IG40" s="1"/>
      <c r="IH40" s="1"/>
    </row>
    <row r="41" spans="1:242" x14ac:dyDescent="0.2">
      <c r="A41" s="432" t="s">
        <v>93</v>
      </c>
      <c r="B41" s="432"/>
      <c r="C41" s="102">
        <v>40</v>
      </c>
      <c r="D41" s="102" t="s">
        <v>94</v>
      </c>
      <c r="S41" s="252">
        <v>30</v>
      </c>
      <c r="T41" s="253" t="s">
        <v>236</v>
      </c>
      <c r="U41" s="251">
        <v>2</v>
      </c>
      <c r="V41" s="631"/>
      <c r="W41" s="632"/>
      <c r="X41" s="632"/>
      <c r="Y41" s="632"/>
      <c r="Z41" s="633"/>
      <c r="AA41" s="249"/>
      <c r="AB41" s="249"/>
      <c r="AC41" s="249"/>
      <c r="AD41" s="249"/>
      <c r="AE41" s="24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  <c r="AZ41" s="1"/>
      <c r="BA41" s="1"/>
      <c r="BB41" s="1"/>
      <c r="BC41" s="1"/>
      <c r="BD41" s="1"/>
      <c r="BE41" s="1"/>
      <c r="BF41" s="1"/>
      <c r="BG41" s="1"/>
      <c r="BH41" s="1"/>
      <c r="BI41" s="1"/>
      <c r="BJ41" s="1"/>
      <c r="BK41" s="1"/>
      <c r="BL41" s="1"/>
      <c r="BM41" s="1"/>
      <c r="BN41" s="1"/>
      <c r="BO41" s="1"/>
      <c r="BP41" s="1"/>
      <c r="BQ41" s="1"/>
      <c r="BR41" s="1"/>
      <c r="BS41" s="1"/>
      <c r="BT41" s="1"/>
      <c r="BU41" s="1"/>
      <c r="BV41" s="1"/>
      <c r="BW41" s="1"/>
      <c r="BX41" s="1"/>
      <c r="BY41" s="1"/>
      <c r="BZ41" s="1"/>
      <c r="CA41" s="1"/>
      <c r="CB41" s="1"/>
      <c r="CC41" s="1"/>
      <c r="CD41" s="1"/>
      <c r="CE41" s="1"/>
      <c r="CF41" s="1"/>
      <c r="CG41" s="1"/>
      <c r="CH41" s="1"/>
      <c r="CI41" s="1"/>
      <c r="CJ41" s="1"/>
      <c r="CK41" s="1"/>
      <c r="CL41" s="1"/>
      <c r="CM41" s="1"/>
      <c r="CN41" s="1"/>
      <c r="CO41" s="1"/>
      <c r="CP41" s="1"/>
      <c r="CQ41" s="1"/>
      <c r="CR41" s="1"/>
      <c r="CS41" s="1"/>
      <c r="CT41" s="1"/>
      <c r="CU41" s="1"/>
      <c r="CV41" s="1"/>
      <c r="CW41" s="1"/>
      <c r="CX41" s="1"/>
      <c r="CY41" s="1"/>
      <c r="CZ41" s="1"/>
      <c r="DA41" s="1"/>
      <c r="DB41" s="1"/>
      <c r="DC41" s="1"/>
      <c r="DD41" s="1"/>
      <c r="DE41" s="1"/>
      <c r="DF41" s="1"/>
      <c r="DG41" s="1"/>
      <c r="DH41" s="1"/>
      <c r="DI41" s="1"/>
      <c r="DJ41" s="1"/>
      <c r="DK41" s="1"/>
      <c r="DL41" s="1"/>
      <c r="DM41" s="1"/>
      <c r="DN41" s="1"/>
      <c r="DO41" s="1"/>
      <c r="DP41" s="1"/>
      <c r="DQ41" s="1"/>
      <c r="DR41" s="1"/>
      <c r="DS41" s="1"/>
      <c r="DT41" s="1"/>
      <c r="DU41" s="1"/>
      <c r="DV41" s="1"/>
      <c r="DW41" s="1"/>
      <c r="DX41" s="1"/>
      <c r="DY41" s="1"/>
      <c r="DZ41" s="1"/>
      <c r="EA41" s="1"/>
      <c r="EB41" s="1"/>
      <c r="EC41" s="1"/>
      <c r="ED41" s="1"/>
      <c r="EE41" s="1"/>
      <c r="EF41" s="1"/>
      <c r="EG41" s="1"/>
      <c r="EH41" s="1"/>
      <c r="EI41" s="1"/>
      <c r="EJ41" s="1"/>
      <c r="EK41" s="1"/>
      <c r="EL41" s="1"/>
      <c r="EM41" s="1"/>
      <c r="EN41" s="1"/>
      <c r="EO41" s="1"/>
      <c r="EP41" s="1"/>
      <c r="EQ41" s="1"/>
      <c r="ER41" s="1"/>
      <c r="ES41" s="1"/>
      <c r="ET41" s="1"/>
      <c r="EU41" s="1"/>
      <c r="EV41" s="1"/>
      <c r="EW41" s="1"/>
      <c r="EX41" s="1"/>
      <c r="EY41" s="1"/>
      <c r="EZ41" s="1"/>
      <c r="FA41" s="1"/>
      <c r="FB41" s="1"/>
      <c r="FC41" s="1"/>
      <c r="FD41" s="1"/>
      <c r="FE41" s="1"/>
      <c r="FF41" s="1"/>
      <c r="FG41" s="1"/>
      <c r="FH41" s="1"/>
      <c r="FI41" s="1"/>
      <c r="FJ41" s="1"/>
      <c r="FK41" s="1"/>
      <c r="FL41" s="1"/>
      <c r="FM41" s="1"/>
      <c r="FN41" s="1"/>
      <c r="FO41" s="1"/>
      <c r="FP41" s="1"/>
      <c r="FQ41" s="1"/>
      <c r="FR41" s="1"/>
      <c r="FS41" s="1"/>
      <c r="FT41" s="1"/>
      <c r="FU41" s="1"/>
      <c r="FV41" s="1"/>
      <c r="FW41" s="1"/>
      <c r="FX41" s="1"/>
      <c r="FY41" s="1"/>
      <c r="FZ41" s="1"/>
      <c r="GA41" s="1"/>
      <c r="GB41" s="1"/>
      <c r="GC41" s="1"/>
      <c r="GD41" s="1"/>
      <c r="GE41" s="1"/>
      <c r="GF41" s="1"/>
      <c r="GG41" s="1"/>
      <c r="GH41" s="1"/>
      <c r="GI41" s="1"/>
      <c r="GJ41" s="1"/>
      <c r="GK41" s="1"/>
      <c r="GL41" s="1"/>
      <c r="GM41" s="1"/>
      <c r="GN41" s="1"/>
      <c r="GO41" s="1"/>
      <c r="GP41" s="1"/>
      <c r="GQ41" s="1"/>
      <c r="GR41" s="1"/>
      <c r="GS41" s="1"/>
      <c r="GT41" s="1"/>
      <c r="GU41" s="1"/>
      <c r="GV41" s="1"/>
      <c r="GW41" s="1"/>
      <c r="GX41" s="1"/>
      <c r="GY41" s="1"/>
      <c r="GZ41" s="1"/>
      <c r="HA41" s="1"/>
      <c r="HB41" s="1"/>
      <c r="HC41" s="1"/>
      <c r="HD41" s="1"/>
      <c r="HE41" s="1"/>
      <c r="HF41" s="1"/>
      <c r="HG41" s="1"/>
      <c r="HH41" s="1"/>
      <c r="HI41" s="1"/>
      <c r="HJ41" s="1"/>
      <c r="HK41" s="1"/>
      <c r="HL41" s="1"/>
      <c r="HM41" s="1"/>
      <c r="HN41" s="1"/>
      <c r="HO41" s="1"/>
      <c r="HP41" s="1"/>
      <c r="HQ41" s="1"/>
      <c r="HR41" s="1"/>
      <c r="HS41" s="1"/>
      <c r="HT41" s="1"/>
      <c r="HU41" s="1"/>
      <c r="HV41" s="1"/>
      <c r="HW41" s="1"/>
      <c r="HX41" s="1"/>
      <c r="HY41" s="1"/>
      <c r="HZ41" s="1"/>
      <c r="IA41" s="1"/>
      <c r="IB41" s="1"/>
      <c r="IC41" s="1"/>
      <c r="ID41" s="1"/>
      <c r="IE41" s="1"/>
      <c r="IF41" s="1"/>
      <c r="IG41" s="1"/>
      <c r="IH41" s="1"/>
    </row>
    <row r="42" spans="1:242" x14ac:dyDescent="0.2">
      <c r="A42" s="107" t="s">
        <v>212</v>
      </c>
      <c r="B42" s="107"/>
      <c r="C42" s="434">
        <f>Параметры!B3</f>
        <v>309</v>
      </c>
      <c r="D42" s="102" t="s">
        <v>213</v>
      </c>
      <c r="S42" s="252">
        <v>31</v>
      </c>
      <c r="T42" s="253" t="s">
        <v>235</v>
      </c>
      <c r="U42" s="251">
        <v>2</v>
      </c>
      <c r="V42" s="631"/>
      <c r="W42" s="632"/>
      <c r="X42" s="632"/>
      <c r="Y42" s="632"/>
      <c r="Z42" s="633"/>
      <c r="AA42" s="249"/>
      <c r="AB42" s="249"/>
      <c r="AC42" s="249"/>
      <c r="AD42" s="249"/>
      <c r="AE42" s="249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  <c r="AZ42" s="1"/>
      <c r="BA42" s="1"/>
      <c r="BB42" s="1"/>
      <c r="BC42" s="1"/>
      <c r="BD42" s="1"/>
      <c r="BE42" s="1"/>
      <c r="BF42" s="1"/>
      <c r="BG42" s="1"/>
      <c r="BH42" s="1"/>
      <c r="BI42" s="1"/>
      <c r="BJ42" s="1"/>
      <c r="BK42" s="1"/>
      <c r="BL42" s="1"/>
      <c r="BM42" s="1"/>
      <c r="BN42" s="1"/>
      <c r="BO42" s="1"/>
      <c r="BP42" s="1"/>
      <c r="BQ42" s="1"/>
      <c r="BR42" s="1"/>
      <c r="BS42" s="1"/>
      <c r="BT42" s="1"/>
      <c r="BU42" s="1"/>
      <c r="BV42" s="1"/>
      <c r="BW42" s="1"/>
      <c r="BX42" s="1"/>
      <c r="BY42" s="1"/>
      <c r="BZ42" s="1"/>
      <c r="CA42" s="1"/>
      <c r="CB42" s="1"/>
      <c r="CC42" s="1"/>
      <c r="CD42" s="1"/>
      <c r="CE42" s="1"/>
      <c r="CF42" s="1"/>
      <c r="CG42" s="1"/>
      <c r="CH42" s="1"/>
      <c r="CI42" s="1"/>
      <c r="CJ42" s="1"/>
      <c r="CK42" s="1"/>
      <c r="CL42" s="1"/>
      <c r="CM42" s="1"/>
      <c r="CN42" s="1"/>
      <c r="CO42" s="1"/>
      <c r="CP42" s="1"/>
      <c r="CQ42" s="1"/>
      <c r="CR42" s="1"/>
      <c r="CS42" s="1"/>
      <c r="CT42" s="1"/>
      <c r="CU42" s="1"/>
      <c r="CV42" s="1"/>
      <c r="CW42" s="1"/>
      <c r="CX42" s="1"/>
      <c r="CY42" s="1"/>
      <c r="CZ42" s="1"/>
      <c r="DA42" s="1"/>
      <c r="DB42" s="1"/>
      <c r="DC42" s="1"/>
      <c r="DD42" s="1"/>
      <c r="DE42" s="1"/>
      <c r="DF42" s="1"/>
      <c r="DG42" s="1"/>
      <c r="DH42" s="1"/>
      <c r="DI42" s="1"/>
      <c r="DJ42" s="1"/>
      <c r="DK42" s="1"/>
      <c r="DL42" s="1"/>
      <c r="DM42" s="1"/>
      <c r="DN42" s="1"/>
      <c r="DO42" s="1"/>
      <c r="DP42" s="1"/>
      <c r="DQ42" s="1"/>
      <c r="DR42" s="1"/>
      <c r="DS42" s="1"/>
      <c r="DT42" s="1"/>
      <c r="DU42" s="1"/>
      <c r="DV42" s="1"/>
      <c r="DW42" s="1"/>
      <c r="DX42" s="1"/>
      <c r="DY42" s="1"/>
      <c r="DZ42" s="1"/>
      <c r="EA42" s="1"/>
      <c r="EB42" s="1"/>
      <c r="EC42" s="1"/>
      <c r="ED42" s="1"/>
      <c r="EE42" s="1"/>
      <c r="EF42" s="1"/>
      <c r="EG42" s="1"/>
      <c r="EH42" s="1"/>
      <c r="EI42" s="1"/>
      <c r="EJ42" s="1"/>
      <c r="EK42" s="1"/>
      <c r="EL42" s="1"/>
      <c r="EM42" s="1"/>
      <c r="EN42" s="1"/>
      <c r="EO42" s="1"/>
      <c r="EP42" s="1"/>
      <c r="EQ42" s="1"/>
      <c r="ER42" s="1"/>
      <c r="ES42" s="1"/>
      <c r="ET42" s="1"/>
      <c r="EU42" s="1"/>
      <c r="EV42" s="1"/>
      <c r="EW42" s="1"/>
      <c r="EX42" s="1"/>
      <c r="EY42" s="1"/>
      <c r="EZ42" s="1"/>
      <c r="FA42" s="1"/>
      <c r="FB42" s="1"/>
      <c r="FC42" s="1"/>
      <c r="FD42" s="1"/>
      <c r="FE42" s="1"/>
      <c r="FF42" s="1"/>
      <c r="FG42" s="1"/>
      <c r="FH42" s="1"/>
      <c r="FI42" s="1"/>
      <c r="FJ42" s="1"/>
      <c r="FK42" s="1"/>
      <c r="FL42" s="1"/>
      <c r="FM42" s="1"/>
      <c r="FN42" s="1"/>
      <c r="FO42" s="1"/>
      <c r="FP42" s="1"/>
      <c r="FQ42" s="1"/>
      <c r="FR42" s="1"/>
      <c r="FS42" s="1"/>
      <c r="FT42" s="1"/>
      <c r="FU42" s="1"/>
      <c r="FV42" s="1"/>
      <c r="FW42" s="1"/>
      <c r="FX42" s="1"/>
      <c r="FY42" s="1"/>
      <c r="FZ42" s="1"/>
      <c r="GA42" s="1"/>
      <c r="GB42" s="1"/>
      <c r="GC42" s="1"/>
      <c r="GD42" s="1"/>
      <c r="GE42" s="1"/>
      <c r="GF42" s="1"/>
      <c r="GG42" s="1"/>
      <c r="GH42" s="1"/>
      <c r="GI42" s="1"/>
      <c r="GJ42" s="1"/>
      <c r="GK42" s="1"/>
      <c r="GL42" s="1"/>
      <c r="GM42" s="1"/>
      <c r="GN42" s="1"/>
      <c r="GO42" s="1"/>
      <c r="GP42" s="1"/>
      <c r="GQ42" s="1"/>
      <c r="GR42" s="1"/>
      <c r="GS42" s="1"/>
      <c r="GT42" s="1"/>
      <c r="GU42" s="1"/>
      <c r="GV42" s="1"/>
      <c r="GW42" s="1"/>
      <c r="GX42" s="1"/>
      <c r="GY42" s="1"/>
      <c r="GZ42" s="1"/>
      <c r="HA42" s="1"/>
      <c r="HB42" s="1"/>
      <c r="HC42" s="1"/>
      <c r="HD42" s="1"/>
      <c r="HE42" s="1"/>
      <c r="HF42" s="1"/>
      <c r="HG42" s="1"/>
      <c r="HH42" s="1"/>
      <c r="HI42" s="1"/>
      <c r="HJ42" s="1"/>
      <c r="HK42" s="1"/>
      <c r="HL42" s="1"/>
      <c r="HM42" s="1"/>
      <c r="HN42" s="1"/>
      <c r="HO42" s="1"/>
      <c r="HP42" s="1"/>
      <c r="HQ42" s="1"/>
      <c r="HR42" s="1"/>
      <c r="HS42" s="1"/>
      <c r="HT42" s="1"/>
      <c r="HU42" s="1"/>
      <c r="HV42" s="1"/>
      <c r="HW42" s="1"/>
      <c r="HX42" s="1"/>
      <c r="HY42" s="1"/>
      <c r="HZ42" s="1"/>
      <c r="IA42" s="1"/>
      <c r="IB42" s="1"/>
      <c r="IC42" s="1"/>
      <c r="ID42" s="1"/>
      <c r="IE42" s="1"/>
      <c r="IF42" s="1"/>
      <c r="IG42" s="1"/>
      <c r="IH42" s="1"/>
    </row>
    <row r="43" spans="1:242" x14ac:dyDescent="0.2">
      <c r="A43" s="21" t="s">
        <v>95</v>
      </c>
      <c r="B43" s="39"/>
      <c r="C43" s="106">
        <f>IF(C40="Да",C41*C42,0)</f>
        <v>12360</v>
      </c>
      <c r="D43" s="102" t="s">
        <v>1</v>
      </c>
      <c r="F43" s="223"/>
      <c r="S43" s="252">
        <v>32</v>
      </c>
      <c r="T43" s="253" t="s">
        <v>234</v>
      </c>
      <c r="U43" s="251">
        <v>1</v>
      </c>
      <c r="V43" s="631"/>
      <c r="W43" s="632"/>
      <c r="X43" s="632"/>
      <c r="Y43" s="632"/>
      <c r="Z43" s="633"/>
      <c r="AA43" s="249"/>
      <c r="AB43" s="249"/>
      <c r="AC43" s="249"/>
      <c r="AD43" s="249"/>
      <c r="AE43" s="249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  <c r="AZ43" s="1"/>
      <c r="BA43" s="1"/>
      <c r="BB43" s="1"/>
      <c r="BC43" s="1"/>
      <c r="BD43" s="1"/>
      <c r="BE43" s="1"/>
      <c r="BF43" s="1"/>
      <c r="BG43" s="1"/>
      <c r="BH43" s="1"/>
      <c r="BI43" s="1"/>
      <c r="BJ43" s="1"/>
      <c r="BK43" s="1"/>
      <c r="BL43" s="1"/>
      <c r="BM43" s="1"/>
      <c r="BN43" s="1"/>
      <c r="BO43" s="1"/>
      <c r="BP43" s="1"/>
      <c r="BQ43" s="1"/>
      <c r="BR43" s="1"/>
      <c r="BS43" s="1"/>
      <c r="BT43" s="1"/>
      <c r="BU43" s="1"/>
      <c r="BV43" s="1"/>
      <c r="BW43" s="1"/>
      <c r="BX43" s="1"/>
      <c r="BY43" s="1"/>
      <c r="BZ43" s="1"/>
      <c r="CA43" s="1"/>
      <c r="CB43" s="1"/>
      <c r="CC43" s="1"/>
      <c r="CD43" s="1"/>
      <c r="CE43" s="1"/>
      <c r="CF43" s="1"/>
      <c r="CG43" s="1"/>
      <c r="CH43" s="1"/>
      <c r="CI43" s="1"/>
      <c r="CJ43" s="1"/>
      <c r="CK43" s="1"/>
      <c r="CL43" s="1"/>
      <c r="CM43" s="1"/>
      <c r="CN43" s="1"/>
      <c r="CO43" s="1"/>
      <c r="CP43" s="1"/>
      <c r="CQ43" s="1"/>
      <c r="CR43" s="1"/>
      <c r="CS43" s="1"/>
      <c r="CT43" s="1"/>
      <c r="CU43" s="1"/>
      <c r="CV43" s="1"/>
      <c r="CW43" s="1"/>
      <c r="CX43" s="1"/>
      <c r="CY43" s="1"/>
      <c r="CZ43" s="1"/>
      <c r="DA43" s="1"/>
      <c r="DB43" s="1"/>
      <c r="DC43" s="1"/>
      <c r="DD43" s="1"/>
      <c r="DE43" s="1"/>
      <c r="DF43" s="1"/>
      <c r="DG43" s="1"/>
      <c r="DH43" s="1"/>
      <c r="DI43" s="1"/>
      <c r="DJ43" s="1"/>
      <c r="DK43" s="1"/>
      <c r="DL43" s="1"/>
      <c r="DM43" s="1"/>
      <c r="DN43" s="1"/>
      <c r="DO43" s="1"/>
      <c r="DP43" s="1"/>
      <c r="DQ43" s="1"/>
      <c r="DR43" s="1"/>
      <c r="DS43" s="1"/>
      <c r="DT43" s="1"/>
      <c r="DU43" s="1"/>
      <c r="DV43" s="1"/>
      <c r="DW43" s="1"/>
      <c r="DX43" s="1"/>
      <c r="DY43" s="1"/>
      <c r="DZ43" s="1"/>
      <c r="EA43" s="1"/>
      <c r="EB43" s="1"/>
      <c r="EC43" s="1"/>
      <c r="ED43" s="1"/>
      <c r="EE43" s="1"/>
      <c r="EF43" s="1"/>
      <c r="EG43" s="1"/>
      <c r="EH43" s="1"/>
      <c r="EI43" s="1"/>
      <c r="EJ43" s="1"/>
      <c r="EK43" s="1"/>
      <c r="EL43" s="1"/>
      <c r="EM43" s="1"/>
      <c r="EN43" s="1"/>
      <c r="EO43" s="1"/>
      <c r="EP43" s="1"/>
      <c r="EQ43" s="1"/>
      <c r="ER43" s="1"/>
      <c r="ES43" s="1"/>
      <c r="ET43" s="1"/>
      <c r="EU43" s="1"/>
      <c r="EV43" s="1"/>
      <c r="EW43" s="1"/>
      <c r="EX43" s="1"/>
      <c r="EY43" s="1"/>
      <c r="EZ43" s="1"/>
      <c r="FA43" s="1"/>
      <c r="FB43" s="1"/>
      <c r="FC43" s="1"/>
      <c r="FD43" s="1"/>
      <c r="FE43" s="1"/>
      <c r="FF43" s="1"/>
      <c r="FG43" s="1"/>
      <c r="FH43" s="1"/>
      <c r="FI43" s="1"/>
      <c r="FJ43" s="1"/>
      <c r="FK43" s="1"/>
      <c r="FL43" s="1"/>
      <c r="FM43" s="1"/>
      <c r="FN43" s="1"/>
      <c r="FO43" s="1"/>
      <c r="FP43" s="1"/>
      <c r="FQ43" s="1"/>
      <c r="FR43" s="1"/>
      <c r="FS43" s="1"/>
      <c r="FT43" s="1"/>
      <c r="FU43" s="1"/>
      <c r="FV43" s="1"/>
      <c r="FW43" s="1"/>
      <c r="FX43" s="1"/>
      <c r="FY43" s="1"/>
      <c r="FZ43" s="1"/>
      <c r="GA43" s="1"/>
      <c r="GB43" s="1"/>
      <c r="GC43" s="1"/>
      <c r="GD43" s="1"/>
      <c r="GE43" s="1"/>
      <c r="GF43" s="1"/>
      <c r="GG43" s="1"/>
      <c r="GH43" s="1"/>
      <c r="GI43" s="1"/>
      <c r="GJ43" s="1"/>
      <c r="GK43" s="1"/>
      <c r="GL43" s="1"/>
      <c r="GM43" s="1"/>
      <c r="GN43" s="1"/>
      <c r="GO43" s="1"/>
      <c r="GP43" s="1"/>
      <c r="GQ43" s="1"/>
      <c r="GR43" s="1"/>
      <c r="GS43" s="1"/>
      <c r="GT43" s="1"/>
      <c r="GU43" s="1"/>
      <c r="GV43" s="1"/>
      <c r="GW43" s="1"/>
      <c r="GX43" s="1"/>
      <c r="GY43" s="1"/>
      <c r="GZ43" s="1"/>
      <c r="HA43" s="1"/>
      <c r="HB43" s="1"/>
      <c r="HC43" s="1"/>
      <c r="HD43" s="1"/>
      <c r="HE43" s="1"/>
      <c r="HF43" s="1"/>
      <c r="HG43" s="1"/>
      <c r="HH43" s="1"/>
      <c r="HI43" s="1"/>
      <c r="HJ43" s="1"/>
      <c r="HK43" s="1"/>
      <c r="HL43" s="1"/>
      <c r="HM43" s="1"/>
      <c r="HN43" s="1"/>
      <c r="HO43" s="1"/>
      <c r="HP43" s="1"/>
      <c r="HQ43" s="1"/>
      <c r="HR43" s="1"/>
      <c r="HS43" s="1"/>
      <c r="HT43" s="1"/>
      <c r="HU43" s="1"/>
      <c r="HV43" s="1"/>
      <c r="HW43" s="1"/>
      <c r="HX43" s="1"/>
      <c r="HY43" s="1"/>
      <c r="HZ43" s="1"/>
      <c r="IA43" s="1"/>
      <c r="IB43" s="1"/>
      <c r="IC43" s="1"/>
      <c r="ID43" s="1"/>
      <c r="IE43" s="1"/>
      <c r="IF43" s="1"/>
      <c r="IG43" s="1"/>
      <c r="IH43" s="1"/>
    </row>
    <row r="44" spans="1:242" x14ac:dyDescent="0.2">
      <c r="S44" s="252">
        <v>33</v>
      </c>
      <c r="T44" s="253" t="s">
        <v>233</v>
      </c>
      <c r="U44" s="251">
        <v>1</v>
      </c>
      <c r="V44" s="631"/>
      <c r="W44" s="632"/>
      <c r="X44" s="632"/>
      <c r="Y44" s="632"/>
      <c r="Z44" s="633"/>
      <c r="AA44" s="249"/>
      <c r="AB44" s="249"/>
      <c r="AC44" s="249"/>
      <c r="AD44" s="249"/>
      <c r="AE44" s="24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  <c r="AZ44" s="1"/>
      <c r="BA44" s="1"/>
      <c r="BB44" s="1"/>
      <c r="BC44" s="1"/>
      <c r="BD44" s="1"/>
      <c r="BE44" s="1"/>
      <c r="BF44" s="1"/>
      <c r="BG44" s="1"/>
      <c r="BH44" s="1"/>
      <c r="BI44" s="1"/>
      <c r="BJ44" s="1"/>
      <c r="BK44" s="1"/>
      <c r="BL44" s="1"/>
      <c r="BM44" s="1"/>
      <c r="BN44" s="1"/>
      <c r="BO44" s="1"/>
      <c r="BP44" s="1"/>
      <c r="BQ44" s="1"/>
      <c r="BR44" s="1"/>
      <c r="BS44" s="1"/>
      <c r="BT44" s="1"/>
      <c r="BU44" s="1"/>
      <c r="BV44" s="1"/>
      <c r="BW44" s="1"/>
      <c r="BX44" s="1"/>
      <c r="BY44" s="1"/>
      <c r="BZ44" s="1"/>
      <c r="CA44" s="1"/>
      <c r="CB44" s="1"/>
      <c r="CC44" s="1"/>
      <c r="CD44" s="1"/>
      <c r="CE44" s="1"/>
      <c r="CF44" s="1"/>
      <c r="CG44" s="1"/>
      <c r="CH44" s="1"/>
      <c r="CI44" s="1"/>
      <c r="CJ44" s="1"/>
      <c r="CK44" s="1"/>
      <c r="CL44" s="1"/>
      <c r="CM44" s="1"/>
      <c r="CN44" s="1"/>
      <c r="CO44" s="1"/>
      <c r="CP44" s="1"/>
      <c r="CQ44" s="1"/>
      <c r="CR44" s="1"/>
      <c r="CS44" s="1"/>
      <c r="CT44" s="1"/>
      <c r="CU44" s="1"/>
      <c r="CV44" s="1"/>
      <c r="CW44" s="1"/>
      <c r="CX44" s="1"/>
      <c r="CY44" s="1"/>
      <c r="CZ44" s="1"/>
      <c r="DA44" s="1"/>
      <c r="DB44" s="1"/>
      <c r="DC44" s="1"/>
      <c r="DD44" s="1"/>
      <c r="DE44" s="1"/>
      <c r="DF44" s="1"/>
      <c r="DG44" s="1"/>
      <c r="DH44" s="1"/>
      <c r="DI44" s="1"/>
      <c r="DJ44" s="1"/>
      <c r="DK44" s="1"/>
      <c r="DL44" s="1"/>
      <c r="DM44" s="1"/>
      <c r="DN44" s="1"/>
      <c r="DO44" s="1"/>
      <c r="DP44" s="1"/>
      <c r="DQ44" s="1"/>
      <c r="DR44" s="1"/>
      <c r="DS44" s="1"/>
      <c r="DT44" s="1"/>
      <c r="DU44" s="1"/>
      <c r="DV44" s="1"/>
      <c r="DW44" s="1"/>
      <c r="DX44" s="1"/>
      <c r="DY44" s="1"/>
      <c r="DZ44" s="1"/>
      <c r="EA44" s="1"/>
      <c r="EB44" s="1"/>
      <c r="EC44" s="1"/>
      <c r="ED44" s="1"/>
      <c r="EE44" s="1"/>
      <c r="EF44" s="1"/>
      <c r="EG44" s="1"/>
      <c r="EH44" s="1"/>
      <c r="EI44" s="1"/>
      <c r="EJ44" s="1"/>
      <c r="EK44" s="1"/>
      <c r="EL44" s="1"/>
      <c r="EM44" s="1"/>
      <c r="EN44" s="1"/>
      <c r="EO44" s="1"/>
      <c r="EP44" s="1"/>
      <c r="EQ44" s="1"/>
      <c r="ER44" s="1"/>
      <c r="ES44" s="1"/>
      <c r="ET44" s="1"/>
      <c r="EU44" s="1"/>
      <c r="EV44" s="1"/>
      <c r="EW44" s="1"/>
      <c r="EX44" s="1"/>
      <c r="EY44" s="1"/>
      <c r="EZ44" s="1"/>
      <c r="FA44" s="1"/>
      <c r="FB44" s="1"/>
      <c r="FC44" s="1"/>
      <c r="FD44" s="1"/>
      <c r="FE44" s="1"/>
      <c r="FF44" s="1"/>
      <c r="FG44" s="1"/>
      <c r="FH44" s="1"/>
      <c r="FI44" s="1"/>
      <c r="FJ44" s="1"/>
      <c r="FK44" s="1"/>
      <c r="FL44" s="1"/>
      <c r="FM44" s="1"/>
      <c r="FN44" s="1"/>
      <c r="FO44" s="1"/>
      <c r="FP44" s="1"/>
      <c r="FQ44" s="1"/>
      <c r="FR44" s="1"/>
      <c r="FS44" s="1"/>
      <c r="FT44" s="1"/>
      <c r="FU44" s="1"/>
      <c r="FV44" s="1"/>
      <c r="FW44" s="1"/>
      <c r="FX44" s="1"/>
      <c r="FY44" s="1"/>
      <c r="FZ44" s="1"/>
      <c r="GA44" s="1"/>
      <c r="GB44" s="1"/>
      <c r="GC44" s="1"/>
      <c r="GD44" s="1"/>
      <c r="GE44" s="1"/>
      <c r="GF44" s="1"/>
      <c r="GG44" s="1"/>
      <c r="GH44" s="1"/>
      <c r="GI44" s="1"/>
      <c r="GJ44" s="1"/>
      <c r="GK44" s="1"/>
      <c r="GL44" s="1"/>
      <c r="GM44" s="1"/>
      <c r="GN44" s="1"/>
      <c r="GO44" s="1"/>
      <c r="GP44" s="1"/>
      <c r="GQ44" s="1"/>
      <c r="GR44" s="1"/>
      <c r="GS44" s="1"/>
      <c r="GT44" s="1"/>
      <c r="GU44" s="1"/>
      <c r="GV44" s="1"/>
      <c r="GW44" s="1"/>
      <c r="GX44" s="1"/>
      <c r="GY44" s="1"/>
      <c r="GZ44" s="1"/>
      <c r="HA44" s="1"/>
      <c r="HB44" s="1"/>
      <c r="HC44" s="1"/>
      <c r="HD44" s="1"/>
      <c r="HE44" s="1"/>
      <c r="HF44" s="1"/>
      <c r="HG44" s="1"/>
      <c r="HH44" s="1"/>
      <c r="HI44" s="1"/>
      <c r="HJ44" s="1"/>
      <c r="HK44" s="1"/>
      <c r="HL44" s="1"/>
      <c r="HM44" s="1"/>
      <c r="HN44" s="1"/>
      <c r="HO44" s="1"/>
      <c r="HP44" s="1"/>
      <c r="HQ44" s="1"/>
      <c r="HR44" s="1"/>
      <c r="HS44" s="1"/>
      <c r="HT44" s="1"/>
      <c r="HU44" s="1"/>
      <c r="HV44" s="1"/>
      <c r="HW44" s="1"/>
      <c r="HX44" s="1"/>
      <c r="HY44" s="1"/>
      <c r="HZ44" s="1"/>
      <c r="IA44" s="1"/>
      <c r="IB44" s="1"/>
      <c r="IC44" s="1"/>
      <c r="ID44" s="1"/>
      <c r="IE44" s="1"/>
      <c r="IF44" s="1"/>
      <c r="IG44" s="1"/>
      <c r="IH44" s="1"/>
    </row>
    <row r="45" spans="1:242" ht="15" x14ac:dyDescent="0.2">
      <c r="A45" s="5" t="s">
        <v>189</v>
      </c>
      <c r="B45" s="5"/>
      <c r="C45" s="193">
        <f>ROUNDUP(C43,0)</f>
        <v>12360</v>
      </c>
      <c r="D45" s="102" t="s">
        <v>187</v>
      </c>
      <c r="S45" s="252">
        <v>34</v>
      </c>
      <c r="T45" s="253" t="s">
        <v>232</v>
      </c>
      <c r="U45" s="251">
        <v>2</v>
      </c>
      <c r="V45" s="631"/>
      <c r="W45" s="632"/>
      <c r="X45" s="632"/>
      <c r="Y45" s="632"/>
      <c r="Z45" s="633"/>
      <c r="AA45" s="249"/>
      <c r="AB45" s="250"/>
      <c r="AC45" s="250"/>
      <c r="AD45" s="250"/>
      <c r="AE45" s="250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  <c r="AZ45" s="1"/>
      <c r="BA45" s="1"/>
      <c r="BB45" s="1"/>
      <c r="BC45" s="1"/>
      <c r="BD45" s="1"/>
      <c r="BE45" s="1"/>
      <c r="BF45" s="1"/>
      <c r="BG45" s="1"/>
      <c r="BH45" s="1"/>
      <c r="BI45" s="1"/>
      <c r="BJ45" s="1"/>
      <c r="BK45" s="1"/>
      <c r="BL45" s="1"/>
      <c r="BM45" s="1"/>
      <c r="BN45" s="1"/>
      <c r="BO45" s="1"/>
      <c r="BP45" s="1"/>
      <c r="BQ45" s="1"/>
      <c r="BR45" s="1"/>
      <c r="BS45" s="1"/>
      <c r="BT45" s="1"/>
      <c r="BU45" s="1"/>
      <c r="BV45" s="1"/>
      <c r="BW45" s="1"/>
      <c r="BX45" s="1"/>
      <c r="BY45" s="1"/>
      <c r="BZ45" s="1"/>
      <c r="CA45" s="1"/>
      <c r="CB45" s="1"/>
      <c r="CC45" s="1"/>
      <c r="CD45" s="1"/>
      <c r="CE45" s="1"/>
      <c r="CF45" s="1"/>
      <c r="CG45" s="1"/>
      <c r="CH45" s="1"/>
      <c r="CI45" s="1"/>
      <c r="CJ45" s="1"/>
      <c r="CK45" s="1"/>
      <c r="CL45" s="1"/>
      <c r="CM45" s="1"/>
      <c r="CN45" s="1"/>
      <c r="CO45" s="1"/>
      <c r="CP45" s="1"/>
      <c r="CQ45" s="1"/>
      <c r="CR45" s="1"/>
      <c r="CS45" s="1"/>
      <c r="CT45" s="1"/>
      <c r="CU45" s="1"/>
      <c r="CV45" s="1"/>
      <c r="CW45" s="1"/>
      <c r="CX45" s="1"/>
      <c r="CY45" s="1"/>
      <c r="CZ45" s="1"/>
      <c r="DA45" s="1"/>
      <c r="DB45" s="1"/>
      <c r="DC45" s="1"/>
      <c r="DD45" s="1"/>
      <c r="DE45" s="1"/>
      <c r="DF45" s="1"/>
      <c r="DG45" s="1"/>
      <c r="DH45" s="1"/>
      <c r="DI45" s="1"/>
      <c r="DJ45" s="1"/>
      <c r="DK45" s="1"/>
      <c r="DL45" s="1"/>
      <c r="DM45" s="1"/>
      <c r="DN45" s="1"/>
      <c r="DO45" s="1"/>
      <c r="DP45" s="1"/>
      <c r="DQ45" s="1"/>
      <c r="DR45" s="1"/>
      <c r="DS45" s="1"/>
      <c r="DT45" s="1"/>
      <c r="DU45" s="1"/>
      <c r="DV45" s="1"/>
      <c r="DW45" s="1"/>
      <c r="DX45" s="1"/>
      <c r="DY45" s="1"/>
      <c r="DZ45" s="1"/>
      <c r="EA45" s="1"/>
      <c r="EB45" s="1"/>
      <c r="EC45" s="1"/>
      <c r="ED45" s="1"/>
      <c r="EE45" s="1"/>
      <c r="EF45" s="1"/>
      <c r="EG45" s="1"/>
      <c r="EH45" s="1"/>
      <c r="EI45" s="1"/>
      <c r="EJ45" s="1"/>
      <c r="EK45" s="1"/>
      <c r="EL45" s="1"/>
      <c r="EM45" s="1"/>
      <c r="EN45" s="1"/>
      <c r="EO45" s="1"/>
      <c r="EP45" s="1"/>
      <c r="EQ45" s="1"/>
      <c r="ER45" s="1"/>
      <c r="ES45" s="1"/>
      <c r="ET45" s="1"/>
      <c r="EU45" s="1"/>
      <c r="EV45" s="1"/>
      <c r="EW45" s="1"/>
      <c r="EX45" s="1"/>
      <c r="EY45" s="1"/>
      <c r="EZ45" s="1"/>
      <c r="FA45" s="1"/>
      <c r="FB45" s="1"/>
      <c r="FC45" s="1"/>
      <c r="FD45" s="1"/>
      <c r="FE45" s="1"/>
      <c r="FF45" s="1"/>
      <c r="FG45" s="1"/>
      <c r="FH45" s="1"/>
      <c r="FI45" s="1"/>
      <c r="FJ45" s="1"/>
      <c r="FK45" s="1"/>
      <c r="FL45" s="1"/>
      <c r="FM45" s="1"/>
      <c r="FN45" s="1"/>
      <c r="FO45" s="1"/>
      <c r="FP45" s="1"/>
      <c r="FQ45" s="1"/>
      <c r="FR45" s="1"/>
      <c r="FS45" s="1"/>
      <c r="FT45" s="1"/>
      <c r="FU45" s="1"/>
      <c r="FV45" s="1"/>
      <c r="FW45" s="1"/>
      <c r="FX45" s="1"/>
      <c r="FY45" s="1"/>
      <c r="FZ45" s="1"/>
      <c r="GA45" s="1"/>
      <c r="GB45" s="1"/>
      <c r="GC45" s="1"/>
      <c r="GD45" s="1"/>
      <c r="GE45" s="1"/>
      <c r="GF45" s="1"/>
      <c r="GG45" s="1"/>
      <c r="GH45" s="1"/>
      <c r="GI45" s="1"/>
      <c r="GJ45" s="1"/>
      <c r="GK45" s="1"/>
      <c r="GL45" s="1"/>
      <c r="GM45" s="1"/>
      <c r="GN45" s="1"/>
      <c r="GO45" s="1"/>
      <c r="GP45" s="1"/>
      <c r="GQ45" s="1"/>
      <c r="GR45" s="1"/>
      <c r="GS45" s="1"/>
      <c r="GT45" s="1"/>
      <c r="GU45" s="1"/>
      <c r="GV45" s="1"/>
      <c r="GW45" s="1"/>
      <c r="GX45" s="1"/>
      <c r="GY45" s="1"/>
      <c r="GZ45" s="1"/>
      <c r="HA45" s="1"/>
      <c r="HB45" s="1"/>
      <c r="HC45" s="1"/>
      <c r="HD45" s="1"/>
      <c r="HE45" s="1"/>
      <c r="HF45" s="1"/>
      <c r="HG45" s="1"/>
      <c r="HH45" s="1"/>
      <c r="HI45" s="1"/>
      <c r="HJ45" s="1"/>
      <c r="HK45" s="1"/>
      <c r="HL45" s="1"/>
      <c r="HM45" s="1"/>
      <c r="HN45" s="1"/>
      <c r="HO45" s="1"/>
      <c r="HP45" s="1"/>
      <c r="HQ45" s="1"/>
      <c r="HR45" s="1"/>
      <c r="HS45" s="1"/>
      <c r="HT45" s="1"/>
      <c r="HU45" s="1"/>
      <c r="HV45" s="1"/>
      <c r="HW45" s="1"/>
      <c r="HX45" s="1"/>
      <c r="HY45" s="1"/>
      <c r="HZ45" s="1"/>
      <c r="IA45" s="1"/>
      <c r="IB45" s="1"/>
      <c r="IC45" s="1"/>
      <c r="ID45" s="1"/>
      <c r="IE45" s="1"/>
      <c r="IF45" s="1"/>
      <c r="IG45" s="1"/>
      <c r="IH45" s="1"/>
    </row>
    <row r="46" spans="1:242" ht="15" x14ac:dyDescent="0.2">
      <c r="S46" s="252">
        <v>35</v>
      </c>
      <c r="T46" s="253" t="s">
        <v>231</v>
      </c>
      <c r="U46" s="251">
        <v>2</v>
      </c>
      <c r="V46" s="631"/>
      <c r="W46" s="632"/>
      <c r="X46" s="632"/>
      <c r="Y46" s="632"/>
      <c r="Z46" s="633"/>
      <c r="AA46" s="249"/>
      <c r="AB46" s="250"/>
      <c r="AC46" s="250"/>
      <c r="AD46" s="250"/>
      <c r="AE46" s="250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E46" s="1"/>
      <c r="BF46" s="1"/>
      <c r="BG46" s="1"/>
      <c r="BH46" s="1"/>
      <c r="BI46" s="1"/>
      <c r="BJ46" s="1"/>
      <c r="BK46" s="1"/>
      <c r="BL46" s="1"/>
      <c r="BM46" s="1"/>
      <c r="BN46" s="1"/>
      <c r="BO46" s="1"/>
      <c r="BP46" s="1"/>
      <c r="BQ46" s="1"/>
      <c r="BR46" s="1"/>
      <c r="BS46" s="1"/>
      <c r="BT46" s="1"/>
      <c r="BU46" s="1"/>
      <c r="BV46" s="1"/>
      <c r="BW46" s="1"/>
      <c r="BX46" s="1"/>
      <c r="BY46" s="1"/>
      <c r="BZ46" s="1"/>
      <c r="CA46" s="1"/>
      <c r="CB46" s="1"/>
      <c r="CC46" s="1"/>
      <c r="CD46" s="1"/>
      <c r="CE46" s="1"/>
      <c r="CF46" s="1"/>
      <c r="CG46" s="1"/>
      <c r="CH46" s="1"/>
      <c r="CI46" s="1"/>
      <c r="CJ46" s="1"/>
      <c r="CK46" s="1"/>
      <c r="CL46" s="1"/>
      <c r="CM46" s="1"/>
      <c r="CN46" s="1"/>
      <c r="CO46" s="1"/>
      <c r="CP46" s="1"/>
      <c r="CQ46" s="1"/>
      <c r="CR46" s="1"/>
      <c r="CS46" s="1"/>
      <c r="CT46" s="1"/>
      <c r="CU46" s="1"/>
      <c r="CV46" s="1"/>
      <c r="CW46" s="1"/>
      <c r="CX46" s="1"/>
      <c r="CY46" s="1"/>
      <c r="CZ46" s="1"/>
      <c r="DA46" s="1"/>
      <c r="DB46" s="1"/>
      <c r="DC46" s="1"/>
      <c r="DD46" s="1"/>
      <c r="DE46" s="1"/>
      <c r="DF46" s="1"/>
      <c r="DG46" s="1"/>
      <c r="DH46" s="1"/>
      <c r="DI46" s="1"/>
      <c r="DJ46" s="1"/>
      <c r="DK46" s="1"/>
      <c r="DL46" s="1"/>
      <c r="DM46" s="1"/>
      <c r="DN46" s="1"/>
      <c r="DO46" s="1"/>
      <c r="DP46" s="1"/>
      <c r="DQ46" s="1"/>
      <c r="DR46" s="1"/>
      <c r="DS46" s="1"/>
      <c r="DT46" s="1"/>
      <c r="DU46" s="1"/>
      <c r="DV46" s="1"/>
      <c r="DW46" s="1"/>
      <c r="DX46" s="1"/>
      <c r="DY46" s="1"/>
      <c r="DZ46" s="1"/>
      <c r="EA46" s="1"/>
      <c r="EB46" s="1"/>
      <c r="EC46" s="1"/>
      <c r="ED46" s="1"/>
      <c r="EE46" s="1"/>
      <c r="EF46" s="1"/>
      <c r="EG46" s="1"/>
      <c r="EH46" s="1"/>
      <c r="EI46" s="1"/>
      <c r="EJ46" s="1"/>
      <c r="EK46" s="1"/>
      <c r="EL46" s="1"/>
      <c r="EM46" s="1"/>
      <c r="EN46" s="1"/>
      <c r="EO46" s="1"/>
      <c r="EP46" s="1"/>
      <c r="EQ46" s="1"/>
      <c r="ER46" s="1"/>
      <c r="ES46" s="1"/>
      <c r="ET46" s="1"/>
      <c r="EU46" s="1"/>
      <c r="EV46" s="1"/>
      <c r="EW46" s="1"/>
      <c r="EX46" s="1"/>
      <c r="EY46" s="1"/>
      <c r="EZ46" s="1"/>
      <c r="FA46" s="1"/>
      <c r="FB46" s="1"/>
      <c r="FC46" s="1"/>
      <c r="FD46" s="1"/>
      <c r="FE46" s="1"/>
      <c r="FF46" s="1"/>
      <c r="FG46" s="1"/>
      <c r="FH46" s="1"/>
      <c r="FI46" s="1"/>
      <c r="FJ46" s="1"/>
      <c r="FK46" s="1"/>
      <c r="FL46" s="1"/>
      <c r="FM46" s="1"/>
      <c r="FN46" s="1"/>
      <c r="FO46" s="1"/>
      <c r="FP46" s="1"/>
      <c r="FQ46" s="1"/>
      <c r="FR46" s="1"/>
      <c r="FS46" s="1"/>
      <c r="FT46" s="1"/>
      <c r="FU46" s="1"/>
      <c r="FV46" s="1"/>
      <c r="FW46" s="1"/>
      <c r="FX46" s="1"/>
      <c r="FY46" s="1"/>
      <c r="FZ46" s="1"/>
      <c r="GA46" s="1"/>
      <c r="GB46" s="1"/>
      <c r="GC46" s="1"/>
      <c r="GD46" s="1"/>
      <c r="GE46" s="1"/>
      <c r="GF46" s="1"/>
      <c r="GG46" s="1"/>
      <c r="GH46" s="1"/>
      <c r="GI46" s="1"/>
      <c r="GJ46" s="1"/>
      <c r="GK46" s="1"/>
      <c r="GL46" s="1"/>
      <c r="GM46" s="1"/>
      <c r="GN46" s="1"/>
      <c r="GO46" s="1"/>
      <c r="GP46" s="1"/>
      <c r="GQ46" s="1"/>
      <c r="GR46" s="1"/>
      <c r="GS46" s="1"/>
      <c r="GT46" s="1"/>
      <c r="GU46" s="1"/>
      <c r="GV46" s="1"/>
      <c r="GW46" s="1"/>
      <c r="GX46" s="1"/>
      <c r="GY46" s="1"/>
      <c r="GZ46" s="1"/>
      <c r="HA46" s="1"/>
      <c r="HB46" s="1"/>
      <c r="HC46" s="1"/>
      <c r="HD46" s="1"/>
      <c r="HE46" s="1"/>
      <c r="HF46" s="1"/>
      <c r="HG46" s="1"/>
      <c r="HH46" s="1"/>
      <c r="HI46" s="1"/>
      <c r="HJ46" s="1"/>
      <c r="HK46" s="1"/>
      <c r="HL46" s="1"/>
      <c r="HM46" s="1"/>
      <c r="HN46" s="1"/>
      <c r="HO46" s="1"/>
      <c r="HP46" s="1"/>
      <c r="HQ46" s="1"/>
      <c r="HR46" s="1"/>
      <c r="HS46" s="1"/>
      <c r="HT46" s="1"/>
      <c r="HU46" s="1"/>
      <c r="HV46" s="1"/>
      <c r="HW46" s="1"/>
      <c r="HX46" s="1"/>
      <c r="HY46" s="1"/>
      <c r="HZ46" s="1"/>
      <c r="IA46" s="1"/>
      <c r="IB46" s="1"/>
      <c r="IC46" s="1"/>
      <c r="ID46" s="1"/>
      <c r="IE46" s="1"/>
      <c r="IF46" s="1"/>
      <c r="IG46" s="1"/>
      <c r="IH46" s="1"/>
    </row>
    <row r="47" spans="1:242" s="103" customFormat="1" ht="15" x14ac:dyDescent="0.2">
      <c r="A47" s="638" t="s">
        <v>178</v>
      </c>
      <c r="B47" s="639"/>
      <c r="C47" s="639"/>
      <c r="D47" s="639"/>
      <c r="E47" s="639"/>
      <c r="F47" s="639"/>
      <c r="G47" s="639"/>
      <c r="H47" s="639"/>
      <c r="I47" s="639"/>
      <c r="J47" s="639"/>
      <c r="K47" s="639"/>
      <c r="L47" s="639"/>
      <c r="M47" s="639"/>
      <c r="N47" s="639"/>
      <c r="O47" s="639"/>
      <c r="S47" s="252">
        <v>29</v>
      </c>
      <c r="T47" s="253" t="s">
        <v>237</v>
      </c>
      <c r="U47" s="251">
        <v>4</v>
      </c>
      <c r="V47" s="631"/>
      <c r="W47" s="632"/>
      <c r="X47" s="632"/>
      <c r="Y47" s="632"/>
      <c r="Z47" s="633"/>
      <c r="AA47" s="249"/>
      <c r="AB47" s="249"/>
      <c r="AC47" s="249"/>
      <c r="AD47" s="249"/>
      <c r="AE47" s="249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  <c r="AZ47" s="1"/>
      <c r="BA47" s="1"/>
      <c r="BB47" s="1"/>
      <c r="BC47" s="1"/>
      <c r="BD47" s="1"/>
      <c r="BE47" s="1"/>
      <c r="BF47" s="1"/>
      <c r="BG47" s="1"/>
      <c r="BH47" s="1"/>
      <c r="BI47" s="1"/>
      <c r="BJ47" s="1"/>
      <c r="BK47" s="1"/>
      <c r="BL47" s="1"/>
      <c r="BM47" s="1"/>
      <c r="BN47" s="1"/>
      <c r="BO47" s="1"/>
      <c r="BP47" s="1"/>
      <c r="BQ47" s="1"/>
      <c r="BR47" s="1"/>
      <c r="BS47" s="1"/>
      <c r="BT47" s="1"/>
      <c r="BU47" s="1"/>
      <c r="BV47" s="1"/>
      <c r="BW47" s="1"/>
      <c r="BX47" s="1"/>
      <c r="BY47" s="1"/>
      <c r="BZ47" s="1"/>
      <c r="CA47" s="1"/>
      <c r="CB47" s="1"/>
      <c r="CC47" s="1"/>
      <c r="CD47" s="1"/>
      <c r="CE47" s="1"/>
      <c r="CF47" s="1"/>
      <c r="CG47" s="1"/>
      <c r="CH47" s="1"/>
      <c r="CI47" s="1"/>
      <c r="CJ47" s="1"/>
      <c r="CK47" s="1"/>
      <c r="CL47" s="1"/>
      <c r="CM47" s="1"/>
      <c r="CN47" s="1"/>
      <c r="CO47" s="1"/>
      <c r="CP47" s="1"/>
      <c r="CQ47" s="1"/>
      <c r="CR47" s="1"/>
      <c r="CS47" s="1"/>
      <c r="CT47" s="1"/>
      <c r="CU47" s="1"/>
      <c r="CV47" s="1"/>
      <c r="CW47" s="1"/>
      <c r="CX47" s="1"/>
      <c r="CY47" s="1"/>
      <c r="CZ47" s="1"/>
      <c r="DA47" s="1"/>
      <c r="DB47" s="1"/>
      <c r="DC47" s="1"/>
      <c r="DD47" s="1"/>
      <c r="DE47" s="1"/>
      <c r="DF47" s="1"/>
      <c r="DG47" s="1"/>
      <c r="DH47" s="1"/>
      <c r="DI47" s="1"/>
      <c r="DJ47" s="1"/>
      <c r="DK47" s="1"/>
      <c r="DL47" s="1"/>
      <c r="DM47" s="1"/>
      <c r="DN47" s="1"/>
      <c r="DO47" s="1"/>
      <c r="DP47" s="1"/>
      <c r="DQ47" s="1"/>
      <c r="DR47" s="1"/>
      <c r="DS47" s="1"/>
      <c r="DT47" s="1"/>
      <c r="DU47" s="1"/>
      <c r="DV47" s="1"/>
      <c r="DW47" s="1"/>
      <c r="DX47" s="1"/>
      <c r="DY47" s="1"/>
      <c r="DZ47" s="1"/>
      <c r="EA47" s="1"/>
      <c r="EB47" s="1"/>
      <c r="EC47" s="1"/>
      <c r="ED47" s="1"/>
      <c r="EE47" s="1"/>
      <c r="EF47" s="1"/>
      <c r="EG47" s="1"/>
      <c r="EH47" s="1"/>
      <c r="EI47" s="1"/>
      <c r="EJ47" s="1"/>
      <c r="EK47" s="1"/>
      <c r="EL47" s="1"/>
      <c r="EM47" s="1"/>
      <c r="EN47" s="1"/>
      <c r="EO47" s="1"/>
      <c r="EP47" s="1"/>
      <c r="EQ47" s="1"/>
      <c r="ER47" s="1"/>
      <c r="ES47" s="1"/>
      <c r="ET47" s="1"/>
      <c r="EU47" s="1"/>
      <c r="EV47" s="1"/>
      <c r="EW47" s="1"/>
      <c r="EX47" s="1"/>
      <c r="EY47" s="1"/>
      <c r="EZ47" s="1"/>
      <c r="FA47" s="1"/>
      <c r="FB47" s="1"/>
      <c r="FC47" s="1"/>
      <c r="FD47" s="1"/>
      <c r="FE47" s="1"/>
      <c r="FF47" s="1"/>
      <c r="FG47" s="1"/>
      <c r="FH47" s="1"/>
      <c r="FI47" s="1"/>
      <c r="FJ47" s="1"/>
      <c r="FK47" s="1"/>
      <c r="FL47" s="1"/>
      <c r="FM47" s="1"/>
      <c r="FN47" s="1"/>
      <c r="FO47" s="1"/>
      <c r="FP47" s="1"/>
      <c r="FQ47" s="1"/>
      <c r="FR47" s="1"/>
      <c r="FS47" s="1"/>
      <c r="FT47" s="1"/>
      <c r="FU47" s="1"/>
      <c r="FV47" s="1"/>
      <c r="FW47" s="1"/>
      <c r="FX47" s="1"/>
      <c r="FY47" s="1"/>
      <c r="FZ47" s="1"/>
      <c r="GA47" s="1"/>
      <c r="GB47" s="1"/>
      <c r="GC47" s="1"/>
      <c r="GD47" s="1"/>
      <c r="GE47" s="1"/>
      <c r="GF47" s="1"/>
      <c r="GG47" s="1"/>
      <c r="GH47" s="1"/>
      <c r="GI47" s="1"/>
      <c r="GJ47" s="1"/>
      <c r="GK47" s="1"/>
      <c r="GL47" s="1"/>
      <c r="GM47" s="1"/>
      <c r="GN47" s="1"/>
      <c r="GO47" s="1"/>
      <c r="GP47" s="1"/>
      <c r="GQ47" s="1"/>
      <c r="GR47" s="1"/>
      <c r="GS47" s="1"/>
      <c r="GT47" s="1"/>
      <c r="GU47" s="1"/>
      <c r="GV47" s="1"/>
      <c r="GW47" s="1"/>
      <c r="GX47" s="1"/>
      <c r="GY47" s="1"/>
      <c r="GZ47" s="1"/>
      <c r="HA47" s="1"/>
      <c r="HB47" s="1"/>
      <c r="HC47" s="1"/>
      <c r="HD47" s="1"/>
      <c r="HE47" s="1"/>
      <c r="HF47" s="1"/>
      <c r="HG47" s="1"/>
      <c r="HH47" s="1"/>
      <c r="HI47" s="1"/>
      <c r="HJ47" s="1"/>
      <c r="HK47" s="1"/>
      <c r="HL47" s="1"/>
      <c r="HM47" s="1"/>
      <c r="HN47" s="1"/>
      <c r="HO47" s="1"/>
      <c r="HP47" s="1"/>
      <c r="HQ47" s="1"/>
      <c r="HR47" s="1"/>
      <c r="HS47" s="1"/>
      <c r="HT47" s="1"/>
      <c r="HU47" s="1"/>
      <c r="HV47" s="1"/>
      <c r="HW47" s="1"/>
      <c r="HX47" s="1"/>
      <c r="HY47" s="1"/>
      <c r="HZ47" s="1"/>
      <c r="IA47" s="1"/>
      <c r="IB47" s="1"/>
      <c r="IC47" s="1"/>
      <c r="ID47" s="1"/>
      <c r="IE47" s="1"/>
      <c r="IF47" s="1"/>
      <c r="IG47" s="1"/>
      <c r="IH47" s="1"/>
    </row>
    <row r="48" spans="1:242" x14ac:dyDescent="0.2">
      <c r="A48" s="21" t="s">
        <v>403</v>
      </c>
      <c r="B48" s="39"/>
      <c r="C48" s="433">
        <f ca="1">Цена!D18</f>
        <v>246.4</v>
      </c>
      <c r="D48" s="102"/>
      <c r="S48" s="252"/>
      <c r="T48" s="253"/>
      <c r="U48" s="251"/>
      <c r="V48" s="631"/>
      <c r="W48" s="632"/>
      <c r="X48" s="632"/>
      <c r="Y48" s="632"/>
      <c r="Z48" s="633"/>
      <c r="AA48" s="249"/>
      <c r="AB48" s="249"/>
      <c r="AC48" s="249"/>
      <c r="AD48" s="249"/>
      <c r="AE48" s="249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  <c r="AZ48" s="1"/>
      <c r="BA48" s="1"/>
      <c r="BB48" s="1"/>
      <c r="BC48" s="1"/>
      <c r="BD48" s="1"/>
      <c r="BE48" s="1"/>
      <c r="BF48" s="1"/>
      <c r="BG48" s="1"/>
      <c r="BH48" s="1"/>
      <c r="BI48" s="1"/>
      <c r="BJ48" s="1"/>
      <c r="BK48" s="1"/>
      <c r="BL48" s="1"/>
      <c r="BM48" s="1"/>
      <c r="BN48" s="1"/>
      <c r="BO48" s="1"/>
      <c r="BP48" s="1"/>
      <c r="BQ48" s="1"/>
      <c r="BR48" s="1"/>
      <c r="BS48" s="1"/>
      <c r="BT48" s="1"/>
      <c r="BU48" s="1"/>
      <c r="BV48" s="1"/>
      <c r="BW48" s="1"/>
      <c r="BX48" s="1"/>
      <c r="BY48" s="1"/>
      <c r="BZ48" s="1"/>
      <c r="CA48" s="1"/>
      <c r="CB48" s="1"/>
      <c r="CC48" s="1"/>
      <c r="CD48" s="1"/>
      <c r="CE48" s="1"/>
      <c r="CF48" s="1"/>
      <c r="CG48" s="1"/>
      <c r="CH48" s="1"/>
      <c r="CI48" s="1"/>
      <c r="CJ48" s="1"/>
      <c r="CK48" s="1"/>
      <c r="CL48" s="1"/>
      <c r="CM48" s="1"/>
      <c r="CN48" s="1"/>
      <c r="CO48" s="1"/>
      <c r="CP48" s="1"/>
      <c r="CQ48" s="1"/>
      <c r="CR48" s="1"/>
      <c r="CS48" s="1"/>
      <c r="CT48" s="1"/>
      <c r="CU48" s="1"/>
      <c r="CV48" s="1"/>
      <c r="CW48" s="1"/>
      <c r="CX48" s="1"/>
      <c r="CY48" s="1"/>
      <c r="CZ48" s="1"/>
      <c r="DA48" s="1"/>
      <c r="DB48" s="1"/>
      <c r="DC48" s="1"/>
      <c r="DD48" s="1"/>
      <c r="DE48" s="1"/>
      <c r="DF48" s="1"/>
      <c r="DG48" s="1"/>
      <c r="DH48" s="1"/>
      <c r="DI48" s="1"/>
      <c r="DJ48" s="1"/>
      <c r="DK48" s="1"/>
      <c r="DL48" s="1"/>
      <c r="DM48" s="1"/>
      <c r="DN48" s="1"/>
      <c r="DO48" s="1"/>
      <c r="DP48" s="1"/>
      <c r="DQ48" s="1"/>
      <c r="DR48" s="1"/>
      <c r="DS48" s="1"/>
      <c r="DT48" s="1"/>
      <c r="DU48" s="1"/>
      <c r="DV48" s="1"/>
      <c r="DW48" s="1"/>
      <c r="DX48" s="1"/>
      <c r="DY48" s="1"/>
      <c r="DZ48" s="1"/>
      <c r="EA48" s="1"/>
      <c r="EB48" s="1"/>
      <c r="EC48" s="1"/>
      <c r="ED48" s="1"/>
      <c r="EE48" s="1"/>
      <c r="EF48" s="1"/>
      <c r="EG48" s="1"/>
      <c r="EH48" s="1"/>
      <c r="EI48" s="1"/>
      <c r="EJ48" s="1"/>
      <c r="EK48" s="1"/>
      <c r="EL48" s="1"/>
      <c r="EM48" s="1"/>
      <c r="EN48" s="1"/>
      <c r="EO48" s="1"/>
      <c r="EP48" s="1"/>
      <c r="EQ48" s="1"/>
      <c r="ER48" s="1"/>
      <c r="ES48" s="1"/>
      <c r="ET48" s="1"/>
      <c r="EU48" s="1"/>
      <c r="EV48" s="1"/>
      <c r="EW48" s="1"/>
      <c r="EX48" s="1"/>
      <c r="EY48" s="1"/>
      <c r="EZ48" s="1"/>
      <c r="FA48" s="1"/>
      <c r="FB48" s="1"/>
      <c r="FC48" s="1"/>
      <c r="FD48" s="1"/>
      <c r="FE48" s="1"/>
      <c r="FF48" s="1"/>
      <c r="FG48" s="1"/>
      <c r="FH48" s="1"/>
      <c r="FI48" s="1"/>
      <c r="FJ48" s="1"/>
      <c r="FK48" s="1"/>
      <c r="FL48" s="1"/>
      <c r="FM48" s="1"/>
      <c r="FN48" s="1"/>
      <c r="FO48" s="1"/>
      <c r="FP48" s="1"/>
      <c r="FQ48" s="1"/>
      <c r="FR48" s="1"/>
      <c r="FS48" s="1"/>
      <c r="FT48" s="1"/>
      <c r="FU48" s="1"/>
      <c r="FV48" s="1"/>
      <c r="FW48" s="1"/>
      <c r="FX48" s="1"/>
      <c r="FY48" s="1"/>
      <c r="FZ48" s="1"/>
      <c r="GA48" s="1"/>
      <c r="GB48" s="1"/>
      <c r="GC48" s="1"/>
      <c r="GD48" s="1"/>
      <c r="GE48" s="1"/>
      <c r="GF48" s="1"/>
      <c r="GG48" s="1"/>
      <c r="GH48" s="1"/>
      <c r="GI48" s="1"/>
      <c r="GJ48" s="1"/>
      <c r="GK48" s="1"/>
      <c r="GL48" s="1"/>
      <c r="GM48" s="1"/>
      <c r="GN48" s="1"/>
      <c r="GO48" s="1"/>
      <c r="GP48" s="1"/>
      <c r="GQ48" s="1"/>
      <c r="GR48" s="1"/>
      <c r="GS48" s="1"/>
      <c r="GT48" s="1"/>
      <c r="GU48" s="1"/>
      <c r="GV48" s="1"/>
      <c r="GW48" s="1"/>
      <c r="GX48" s="1"/>
      <c r="GY48" s="1"/>
      <c r="GZ48" s="1"/>
      <c r="HA48" s="1"/>
      <c r="HB48" s="1"/>
      <c r="HC48" s="1"/>
      <c r="HD48" s="1"/>
      <c r="HE48" s="1"/>
      <c r="HF48" s="1"/>
      <c r="HG48" s="1"/>
      <c r="HH48" s="1"/>
      <c r="HI48" s="1"/>
      <c r="HJ48" s="1"/>
      <c r="HK48" s="1"/>
      <c r="HL48" s="1"/>
      <c r="HM48" s="1"/>
      <c r="HN48" s="1"/>
      <c r="HO48" s="1"/>
      <c r="HP48" s="1"/>
      <c r="HQ48" s="1"/>
      <c r="HR48" s="1"/>
      <c r="HS48" s="1"/>
      <c r="HT48" s="1"/>
      <c r="HU48" s="1"/>
      <c r="HV48" s="1"/>
      <c r="HW48" s="1"/>
      <c r="HX48" s="1"/>
      <c r="HY48" s="1"/>
      <c r="HZ48" s="1"/>
      <c r="IA48" s="1"/>
      <c r="IB48" s="1"/>
      <c r="IC48" s="1"/>
      <c r="ID48" s="1"/>
      <c r="IE48" s="1"/>
      <c r="IF48" s="1"/>
      <c r="IG48" s="1"/>
      <c r="IH48" s="1"/>
    </row>
    <row r="49" spans="1:242" x14ac:dyDescent="0.2">
      <c r="A49" s="311" t="s">
        <v>404</v>
      </c>
      <c r="B49" s="312"/>
      <c r="C49" s="436">
        <f>Параметры!B32</f>
        <v>0.95</v>
      </c>
      <c r="D49" s="102"/>
      <c r="S49" s="252"/>
      <c r="T49" s="253"/>
      <c r="U49" s="251"/>
      <c r="V49" s="342"/>
      <c r="W49" s="343"/>
      <c r="X49" s="343"/>
      <c r="Y49" s="343"/>
      <c r="Z49" s="344"/>
      <c r="AA49" s="249"/>
      <c r="AB49" s="249"/>
      <c r="AC49" s="249"/>
      <c r="AD49" s="249"/>
      <c r="AE49" s="249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  <c r="AZ49" s="1"/>
      <c r="BA49" s="1"/>
      <c r="BB49" s="1"/>
      <c r="BC49" s="1"/>
      <c r="BD49" s="1"/>
      <c r="BE49" s="1"/>
      <c r="BF49" s="1"/>
      <c r="BG49" s="1"/>
      <c r="BH49" s="1"/>
      <c r="BI49" s="1"/>
      <c r="BJ49" s="1"/>
      <c r="BK49" s="1"/>
      <c r="BL49" s="1"/>
      <c r="BM49" s="1"/>
      <c r="BN49" s="1"/>
      <c r="BO49" s="1"/>
      <c r="BP49" s="1"/>
      <c r="BQ49" s="1"/>
      <c r="BR49" s="1"/>
      <c r="BS49" s="1"/>
      <c r="BT49" s="1"/>
      <c r="BU49" s="1"/>
      <c r="BV49" s="1"/>
      <c r="BW49" s="1"/>
      <c r="BX49" s="1"/>
      <c r="BY49" s="1"/>
      <c r="BZ49" s="1"/>
      <c r="CA49" s="1"/>
      <c r="CB49" s="1"/>
      <c r="CC49" s="1"/>
      <c r="CD49" s="1"/>
      <c r="CE49" s="1"/>
      <c r="CF49" s="1"/>
      <c r="CG49" s="1"/>
      <c r="CH49" s="1"/>
      <c r="CI49" s="1"/>
      <c r="CJ49" s="1"/>
      <c r="CK49" s="1"/>
      <c r="CL49" s="1"/>
      <c r="CM49" s="1"/>
      <c r="CN49" s="1"/>
      <c r="CO49" s="1"/>
      <c r="CP49" s="1"/>
      <c r="CQ49" s="1"/>
      <c r="CR49" s="1"/>
      <c r="CS49" s="1"/>
      <c r="CT49" s="1"/>
      <c r="CU49" s="1"/>
      <c r="CV49" s="1"/>
      <c r="CW49" s="1"/>
      <c r="CX49" s="1"/>
      <c r="CY49" s="1"/>
      <c r="CZ49" s="1"/>
      <c r="DA49" s="1"/>
      <c r="DB49" s="1"/>
      <c r="DC49" s="1"/>
      <c r="DD49" s="1"/>
      <c r="DE49" s="1"/>
      <c r="DF49" s="1"/>
      <c r="DG49" s="1"/>
      <c r="DH49" s="1"/>
      <c r="DI49" s="1"/>
      <c r="DJ49" s="1"/>
      <c r="DK49" s="1"/>
      <c r="DL49" s="1"/>
      <c r="DM49" s="1"/>
      <c r="DN49" s="1"/>
      <c r="DO49" s="1"/>
      <c r="DP49" s="1"/>
      <c r="DQ49" s="1"/>
      <c r="DR49" s="1"/>
      <c r="DS49" s="1"/>
      <c r="DT49" s="1"/>
      <c r="DU49" s="1"/>
      <c r="DV49" s="1"/>
      <c r="DW49" s="1"/>
      <c r="DX49" s="1"/>
      <c r="DY49" s="1"/>
      <c r="DZ49" s="1"/>
      <c r="EA49" s="1"/>
      <c r="EB49" s="1"/>
      <c r="EC49" s="1"/>
      <c r="ED49" s="1"/>
      <c r="EE49" s="1"/>
      <c r="EF49" s="1"/>
      <c r="EG49" s="1"/>
      <c r="EH49" s="1"/>
      <c r="EI49" s="1"/>
      <c r="EJ49" s="1"/>
      <c r="EK49" s="1"/>
      <c r="EL49" s="1"/>
      <c r="EM49" s="1"/>
      <c r="EN49" s="1"/>
      <c r="EO49" s="1"/>
      <c r="EP49" s="1"/>
      <c r="EQ49" s="1"/>
      <c r="ER49" s="1"/>
      <c r="ES49" s="1"/>
      <c r="ET49" s="1"/>
      <c r="EU49" s="1"/>
      <c r="EV49" s="1"/>
      <c r="EW49" s="1"/>
      <c r="EX49" s="1"/>
      <c r="EY49" s="1"/>
      <c r="EZ49" s="1"/>
      <c r="FA49" s="1"/>
      <c r="FB49" s="1"/>
      <c r="FC49" s="1"/>
      <c r="FD49" s="1"/>
      <c r="FE49" s="1"/>
      <c r="FF49" s="1"/>
      <c r="FG49" s="1"/>
      <c r="FH49" s="1"/>
      <c r="FI49" s="1"/>
      <c r="FJ49" s="1"/>
      <c r="FK49" s="1"/>
      <c r="FL49" s="1"/>
      <c r="FM49" s="1"/>
      <c r="FN49" s="1"/>
      <c r="FO49" s="1"/>
      <c r="FP49" s="1"/>
      <c r="FQ49" s="1"/>
      <c r="FR49" s="1"/>
      <c r="FS49" s="1"/>
      <c r="FT49" s="1"/>
      <c r="FU49" s="1"/>
      <c r="FV49" s="1"/>
      <c r="FW49" s="1"/>
      <c r="FX49" s="1"/>
      <c r="FY49" s="1"/>
      <c r="FZ49" s="1"/>
      <c r="GA49" s="1"/>
      <c r="GB49" s="1"/>
      <c r="GC49" s="1"/>
      <c r="GD49" s="1"/>
      <c r="GE49" s="1"/>
      <c r="GF49" s="1"/>
      <c r="GG49" s="1"/>
      <c r="GH49" s="1"/>
      <c r="GI49" s="1"/>
      <c r="GJ49" s="1"/>
      <c r="GK49" s="1"/>
      <c r="GL49" s="1"/>
      <c r="GM49" s="1"/>
      <c r="GN49" s="1"/>
      <c r="GO49" s="1"/>
      <c r="GP49" s="1"/>
      <c r="GQ49" s="1"/>
      <c r="GR49" s="1"/>
      <c r="GS49" s="1"/>
      <c r="GT49" s="1"/>
      <c r="GU49" s="1"/>
      <c r="GV49" s="1"/>
      <c r="GW49" s="1"/>
      <c r="GX49" s="1"/>
      <c r="GY49" s="1"/>
      <c r="GZ49" s="1"/>
      <c r="HA49" s="1"/>
      <c r="HB49" s="1"/>
      <c r="HC49" s="1"/>
      <c r="HD49" s="1"/>
      <c r="HE49" s="1"/>
      <c r="HF49" s="1"/>
      <c r="HG49" s="1"/>
      <c r="HH49" s="1"/>
      <c r="HI49" s="1"/>
      <c r="HJ49" s="1"/>
      <c r="HK49" s="1"/>
      <c r="HL49" s="1"/>
      <c r="HM49" s="1"/>
      <c r="HN49" s="1"/>
      <c r="HO49" s="1"/>
      <c r="HP49" s="1"/>
      <c r="HQ49" s="1"/>
      <c r="HR49" s="1"/>
      <c r="HS49" s="1"/>
      <c r="HT49" s="1"/>
      <c r="HU49" s="1"/>
      <c r="HV49" s="1"/>
      <c r="HW49" s="1"/>
      <c r="HX49" s="1"/>
      <c r="HY49" s="1"/>
      <c r="HZ49" s="1"/>
      <c r="IA49" s="1"/>
      <c r="IB49" s="1"/>
      <c r="IC49" s="1"/>
      <c r="ID49" s="1"/>
      <c r="IE49" s="1"/>
      <c r="IF49" s="1"/>
      <c r="IG49" s="1"/>
      <c r="IH49" s="1"/>
    </row>
    <row r="50" spans="1:242" x14ac:dyDescent="0.2">
      <c r="A50" s="311" t="s">
        <v>405</v>
      </c>
      <c r="B50" s="312"/>
      <c r="C50" s="437">
        <f>Параметры!B31</f>
        <v>2</v>
      </c>
      <c r="D50" s="102" t="s">
        <v>406</v>
      </c>
      <c r="S50" s="252"/>
      <c r="T50" s="253"/>
      <c r="U50" s="251"/>
      <c r="V50" s="342"/>
      <c r="W50" s="343"/>
      <c r="X50" s="343"/>
      <c r="Y50" s="343"/>
      <c r="Z50" s="344"/>
      <c r="AA50" s="249"/>
      <c r="AB50" s="249"/>
      <c r="AC50" s="249"/>
      <c r="AD50" s="249"/>
      <c r="AE50" s="249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  <c r="BY50" s="1"/>
      <c r="BZ50" s="1"/>
      <c r="CA50" s="1"/>
      <c r="CB50" s="1"/>
      <c r="CC50" s="1"/>
      <c r="CD50" s="1"/>
      <c r="CE50" s="1"/>
      <c r="CF50" s="1"/>
      <c r="CG50" s="1"/>
      <c r="CH50" s="1"/>
      <c r="CI50" s="1"/>
      <c r="CJ50" s="1"/>
      <c r="CK50" s="1"/>
      <c r="CL50" s="1"/>
      <c r="CM50" s="1"/>
      <c r="CN50" s="1"/>
      <c r="CO50" s="1"/>
      <c r="CP50" s="1"/>
      <c r="CQ50" s="1"/>
      <c r="CR50" s="1"/>
      <c r="CS50" s="1"/>
      <c r="CT50" s="1"/>
      <c r="CU50" s="1"/>
      <c r="CV50" s="1"/>
      <c r="CW50" s="1"/>
      <c r="CX50" s="1"/>
      <c r="CY50" s="1"/>
      <c r="CZ50" s="1"/>
      <c r="DA50" s="1"/>
      <c r="DB50" s="1"/>
      <c r="DC50" s="1"/>
      <c r="DD50" s="1"/>
      <c r="DE50" s="1"/>
      <c r="DF50" s="1"/>
      <c r="DG50" s="1"/>
      <c r="DH50" s="1"/>
      <c r="DI50" s="1"/>
      <c r="DJ50" s="1"/>
      <c r="DK50" s="1"/>
      <c r="DL50" s="1"/>
      <c r="DM50" s="1"/>
      <c r="DN50" s="1"/>
      <c r="DO50" s="1"/>
      <c r="DP50" s="1"/>
      <c r="DQ50" s="1"/>
      <c r="DR50" s="1"/>
      <c r="DS50" s="1"/>
      <c r="DT50" s="1"/>
      <c r="DU50" s="1"/>
      <c r="DV50" s="1"/>
      <c r="DW50" s="1"/>
      <c r="DX50" s="1"/>
      <c r="DY50" s="1"/>
      <c r="DZ50" s="1"/>
      <c r="EA50" s="1"/>
      <c r="EB50" s="1"/>
      <c r="EC50" s="1"/>
      <c r="ED50" s="1"/>
      <c r="EE50" s="1"/>
      <c r="EF50" s="1"/>
      <c r="EG50" s="1"/>
      <c r="EH50" s="1"/>
      <c r="EI50" s="1"/>
      <c r="EJ50" s="1"/>
      <c r="EK50" s="1"/>
      <c r="EL50" s="1"/>
      <c r="EM50" s="1"/>
      <c r="EN50" s="1"/>
      <c r="EO50" s="1"/>
      <c r="EP50" s="1"/>
      <c r="EQ50" s="1"/>
      <c r="ER50" s="1"/>
      <c r="ES50" s="1"/>
      <c r="ET50" s="1"/>
      <c r="EU50" s="1"/>
      <c r="EV50" s="1"/>
      <c r="EW50" s="1"/>
      <c r="EX50" s="1"/>
      <c r="EY50" s="1"/>
      <c r="EZ50" s="1"/>
      <c r="FA50" s="1"/>
      <c r="FB50" s="1"/>
      <c r="FC50" s="1"/>
      <c r="FD50" s="1"/>
      <c r="FE50" s="1"/>
      <c r="FF50" s="1"/>
      <c r="FG50" s="1"/>
      <c r="FH50" s="1"/>
      <c r="FI50" s="1"/>
      <c r="FJ50" s="1"/>
      <c r="FK50" s="1"/>
      <c r="FL50" s="1"/>
      <c r="FM50" s="1"/>
      <c r="FN50" s="1"/>
      <c r="FO50" s="1"/>
      <c r="FP50" s="1"/>
      <c r="FQ50" s="1"/>
      <c r="FR50" s="1"/>
      <c r="FS50" s="1"/>
      <c r="FT50" s="1"/>
      <c r="FU50" s="1"/>
      <c r="FV50" s="1"/>
      <c r="FW50" s="1"/>
      <c r="FX50" s="1"/>
      <c r="FY50" s="1"/>
      <c r="FZ50" s="1"/>
      <c r="GA50" s="1"/>
      <c r="GB50" s="1"/>
      <c r="GC50" s="1"/>
      <c r="GD50" s="1"/>
      <c r="GE50" s="1"/>
      <c r="GF50" s="1"/>
      <c r="GG50" s="1"/>
      <c r="GH50" s="1"/>
      <c r="GI50" s="1"/>
      <c r="GJ50" s="1"/>
      <c r="GK50" s="1"/>
      <c r="GL50" s="1"/>
      <c r="GM50" s="1"/>
      <c r="GN50" s="1"/>
      <c r="GO50" s="1"/>
      <c r="GP50" s="1"/>
      <c r="GQ50" s="1"/>
      <c r="GR50" s="1"/>
      <c r="GS50" s="1"/>
      <c r="GT50" s="1"/>
      <c r="GU50" s="1"/>
      <c r="GV50" s="1"/>
      <c r="GW50" s="1"/>
      <c r="GX50" s="1"/>
      <c r="GY50" s="1"/>
      <c r="GZ50" s="1"/>
      <c r="HA50" s="1"/>
      <c r="HB50" s="1"/>
      <c r="HC50" s="1"/>
      <c r="HD50" s="1"/>
      <c r="HE50" s="1"/>
      <c r="HF50" s="1"/>
      <c r="HG50" s="1"/>
      <c r="HH50" s="1"/>
      <c r="HI50" s="1"/>
      <c r="HJ50" s="1"/>
      <c r="HK50" s="1"/>
      <c r="HL50" s="1"/>
      <c r="HM50" s="1"/>
      <c r="HN50" s="1"/>
      <c r="HO50" s="1"/>
      <c r="HP50" s="1"/>
      <c r="HQ50" s="1"/>
      <c r="HR50" s="1"/>
      <c r="HS50" s="1"/>
      <c r="HT50" s="1"/>
      <c r="HU50" s="1"/>
      <c r="HV50" s="1"/>
      <c r="HW50" s="1"/>
      <c r="HX50" s="1"/>
      <c r="HY50" s="1"/>
      <c r="HZ50" s="1"/>
      <c r="IA50" s="1"/>
      <c r="IB50" s="1"/>
      <c r="IC50" s="1"/>
      <c r="ID50" s="1"/>
      <c r="IE50" s="1"/>
      <c r="IF50" s="1"/>
      <c r="IG50" s="1"/>
      <c r="IH50" s="1"/>
    </row>
    <row r="51" spans="1:242" x14ac:dyDescent="0.2">
      <c r="A51" s="432" t="s">
        <v>407</v>
      </c>
      <c r="B51" s="432"/>
      <c r="C51" s="102">
        <f ca="1">MROUND(C48*C49*C50/60,1)</f>
        <v>8</v>
      </c>
      <c r="D51" s="102" t="s">
        <v>94</v>
      </c>
      <c r="S51" s="252">
        <v>30</v>
      </c>
      <c r="T51" s="253" t="s">
        <v>236</v>
      </c>
      <c r="U51" s="251">
        <v>2</v>
      </c>
      <c r="V51" s="631"/>
      <c r="W51" s="632"/>
      <c r="X51" s="632"/>
      <c r="Y51" s="632"/>
      <c r="Z51" s="633"/>
      <c r="AA51" s="249"/>
      <c r="AB51" s="249"/>
      <c r="AC51" s="249"/>
      <c r="AD51" s="249"/>
      <c r="AE51" s="249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1"/>
      <c r="BX51" s="1"/>
      <c r="BY51" s="1"/>
      <c r="BZ51" s="1"/>
      <c r="CA51" s="1"/>
      <c r="CB51" s="1"/>
      <c r="CC51" s="1"/>
      <c r="CD51" s="1"/>
      <c r="CE51" s="1"/>
      <c r="CF51" s="1"/>
      <c r="CG51" s="1"/>
      <c r="CH51" s="1"/>
      <c r="CI51" s="1"/>
      <c r="CJ51" s="1"/>
      <c r="CK51" s="1"/>
      <c r="CL51" s="1"/>
      <c r="CM51" s="1"/>
      <c r="CN51" s="1"/>
      <c r="CO51" s="1"/>
      <c r="CP51" s="1"/>
      <c r="CQ51" s="1"/>
      <c r="CR51" s="1"/>
      <c r="CS51" s="1"/>
      <c r="CT51" s="1"/>
      <c r="CU51" s="1"/>
      <c r="CV51" s="1"/>
      <c r="CW51" s="1"/>
      <c r="CX51" s="1"/>
      <c r="CY51" s="1"/>
      <c r="CZ51" s="1"/>
      <c r="DA51" s="1"/>
      <c r="DB51" s="1"/>
      <c r="DC51" s="1"/>
      <c r="DD51" s="1"/>
      <c r="DE51" s="1"/>
      <c r="DF51" s="1"/>
      <c r="DG51" s="1"/>
      <c r="DH51" s="1"/>
      <c r="DI51" s="1"/>
      <c r="DJ51" s="1"/>
      <c r="DK51" s="1"/>
      <c r="DL51" s="1"/>
      <c r="DM51" s="1"/>
      <c r="DN51" s="1"/>
      <c r="DO51" s="1"/>
      <c r="DP51" s="1"/>
      <c r="DQ51" s="1"/>
      <c r="DR51" s="1"/>
      <c r="DS51" s="1"/>
      <c r="DT51" s="1"/>
      <c r="DU51" s="1"/>
      <c r="DV51" s="1"/>
      <c r="DW51" s="1"/>
      <c r="DX51" s="1"/>
      <c r="DY51" s="1"/>
      <c r="DZ51" s="1"/>
      <c r="EA51" s="1"/>
      <c r="EB51" s="1"/>
      <c r="EC51" s="1"/>
      <c r="ED51" s="1"/>
      <c r="EE51" s="1"/>
      <c r="EF51" s="1"/>
      <c r="EG51" s="1"/>
      <c r="EH51" s="1"/>
      <c r="EI51" s="1"/>
      <c r="EJ51" s="1"/>
      <c r="EK51" s="1"/>
      <c r="EL51" s="1"/>
      <c r="EM51" s="1"/>
      <c r="EN51" s="1"/>
      <c r="EO51" s="1"/>
      <c r="EP51" s="1"/>
      <c r="EQ51" s="1"/>
      <c r="ER51" s="1"/>
      <c r="ES51" s="1"/>
      <c r="ET51" s="1"/>
      <c r="EU51" s="1"/>
      <c r="EV51" s="1"/>
      <c r="EW51" s="1"/>
      <c r="EX51" s="1"/>
      <c r="EY51" s="1"/>
      <c r="EZ51" s="1"/>
      <c r="FA51" s="1"/>
      <c r="FB51" s="1"/>
      <c r="FC51" s="1"/>
      <c r="FD51" s="1"/>
      <c r="FE51" s="1"/>
      <c r="FF51" s="1"/>
      <c r="FG51" s="1"/>
      <c r="FH51" s="1"/>
      <c r="FI51" s="1"/>
      <c r="FJ51" s="1"/>
      <c r="FK51" s="1"/>
      <c r="FL51" s="1"/>
      <c r="FM51" s="1"/>
      <c r="FN51" s="1"/>
      <c r="FO51" s="1"/>
      <c r="FP51" s="1"/>
      <c r="FQ51" s="1"/>
      <c r="FR51" s="1"/>
      <c r="FS51" s="1"/>
      <c r="FT51" s="1"/>
      <c r="FU51" s="1"/>
      <c r="FV51" s="1"/>
      <c r="FW51" s="1"/>
      <c r="FX51" s="1"/>
      <c r="FY51" s="1"/>
      <c r="FZ51" s="1"/>
      <c r="GA51" s="1"/>
      <c r="GB51" s="1"/>
      <c r="GC51" s="1"/>
      <c r="GD51" s="1"/>
      <c r="GE51" s="1"/>
      <c r="GF51" s="1"/>
      <c r="GG51" s="1"/>
      <c r="GH51" s="1"/>
      <c r="GI51" s="1"/>
      <c r="GJ51" s="1"/>
      <c r="GK51" s="1"/>
      <c r="GL51" s="1"/>
      <c r="GM51" s="1"/>
      <c r="GN51" s="1"/>
      <c r="GO51" s="1"/>
      <c r="GP51" s="1"/>
      <c r="GQ51" s="1"/>
      <c r="GR51" s="1"/>
      <c r="GS51" s="1"/>
      <c r="GT51" s="1"/>
      <c r="GU51" s="1"/>
      <c r="GV51" s="1"/>
      <c r="GW51" s="1"/>
      <c r="GX51" s="1"/>
      <c r="GY51" s="1"/>
      <c r="GZ51" s="1"/>
      <c r="HA51" s="1"/>
      <c r="HB51" s="1"/>
      <c r="HC51" s="1"/>
      <c r="HD51" s="1"/>
      <c r="HE51" s="1"/>
      <c r="HF51" s="1"/>
      <c r="HG51" s="1"/>
      <c r="HH51" s="1"/>
      <c r="HI51" s="1"/>
      <c r="HJ51" s="1"/>
      <c r="HK51" s="1"/>
      <c r="HL51" s="1"/>
      <c r="HM51" s="1"/>
      <c r="HN51" s="1"/>
      <c r="HO51" s="1"/>
      <c r="HP51" s="1"/>
      <c r="HQ51" s="1"/>
      <c r="HR51" s="1"/>
      <c r="HS51" s="1"/>
      <c r="HT51" s="1"/>
      <c r="HU51" s="1"/>
      <c r="HV51" s="1"/>
      <c r="HW51" s="1"/>
      <c r="HX51" s="1"/>
      <c r="HY51" s="1"/>
      <c r="HZ51" s="1"/>
      <c r="IA51" s="1"/>
      <c r="IB51" s="1"/>
      <c r="IC51" s="1"/>
      <c r="ID51" s="1"/>
      <c r="IE51" s="1"/>
      <c r="IF51" s="1"/>
      <c r="IG51" s="1"/>
      <c r="IH51" s="1"/>
    </row>
    <row r="52" spans="1:242" x14ac:dyDescent="0.2">
      <c r="A52" s="5" t="s">
        <v>212</v>
      </c>
      <c r="B52" s="5"/>
      <c r="C52" s="434">
        <f>C42</f>
        <v>309</v>
      </c>
      <c r="D52" s="102" t="s">
        <v>213</v>
      </c>
      <c r="S52" s="252">
        <v>31</v>
      </c>
      <c r="T52" s="253" t="s">
        <v>235</v>
      </c>
      <c r="U52" s="251">
        <v>2</v>
      </c>
      <c r="V52" s="631"/>
      <c r="W52" s="632"/>
      <c r="X52" s="632"/>
      <c r="Y52" s="632"/>
      <c r="Z52" s="633"/>
      <c r="AA52" s="249"/>
      <c r="AB52" s="249"/>
      <c r="AC52" s="249"/>
      <c r="AD52" s="249"/>
      <c r="AE52" s="249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  <c r="AZ52" s="1"/>
      <c r="BA52" s="1"/>
      <c r="BB52" s="1"/>
      <c r="BC52" s="1"/>
      <c r="BD52" s="1"/>
      <c r="BE52" s="1"/>
      <c r="BF52" s="1"/>
      <c r="BG52" s="1"/>
      <c r="BH52" s="1"/>
      <c r="BI52" s="1"/>
      <c r="BJ52" s="1"/>
      <c r="BK52" s="1"/>
      <c r="BL52" s="1"/>
      <c r="BM52" s="1"/>
      <c r="BN52" s="1"/>
      <c r="BO52" s="1"/>
      <c r="BP52" s="1"/>
      <c r="BQ52" s="1"/>
      <c r="BR52" s="1"/>
      <c r="BS52" s="1"/>
      <c r="BT52" s="1"/>
      <c r="BU52" s="1"/>
      <c r="BV52" s="1"/>
      <c r="BW52" s="1"/>
      <c r="BX52" s="1"/>
      <c r="BY52" s="1"/>
      <c r="BZ52" s="1"/>
      <c r="CA52" s="1"/>
      <c r="CB52" s="1"/>
      <c r="CC52" s="1"/>
      <c r="CD52" s="1"/>
      <c r="CE52" s="1"/>
      <c r="CF52" s="1"/>
      <c r="CG52" s="1"/>
      <c r="CH52" s="1"/>
      <c r="CI52" s="1"/>
      <c r="CJ52" s="1"/>
      <c r="CK52" s="1"/>
      <c r="CL52" s="1"/>
      <c r="CM52" s="1"/>
      <c r="CN52" s="1"/>
      <c r="CO52" s="1"/>
      <c r="CP52" s="1"/>
      <c r="CQ52" s="1"/>
      <c r="CR52" s="1"/>
      <c r="CS52" s="1"/>
      <c r="CT52" s="1"/>
      <c r="CU52" s="1"/>
      <c r="CV52" s="1"/>
      <c r="CW52" s="1"/>
      <c r="CX52" s="1"/>
      <c r="CY52" s="1"/>
      <c r="CZ52" s="1"/>
      <c r="DA52" s="1"/>
      <c r="DB52" s="1"/>
      <c r="DC52" s="1"/>
      <c r="DD52" s="1"/>
      <c r="DE52" s="1"/>
      <c r="DF52" s="1"/>
      <c r="DG52" s="1"/>
      <c r="DH52" s="1"/>
      <c r="DI52" s="1"/>
      <c r="DJ52" s="1"/>
      <c r="DK52" s="1"/>
      <c r="DL52" s="1"/>
      <c r="DM52" s="1"/>
      <c r="DN52" s="1"/>
      <c r="DO52" s="1"/>
      <c r="DP52" s="1"/>
      <c r="DQ52" s="1"/>
      <c r="DR52" s="1"/>
      <c r="DS52" s="1"/>
      <c r="DT52" s="1"/>
      <c r="DU52" s="1"/>
      <c r="DV52" s="1"/>
      <c r="DW52" s="1"/>
      <c r="DX52" s="1"/>
      <c r="DY52" s="1"/>
      <c r="DZ52" s="1"/>
      <c r="EA52" s="1"/>
      <c r="EB52" s="1"/>
      <c r="EC52" s="1"/>
      <c r="ED52" s="1"/>
      <c r="EE52" s="1"/>
      <c r="EF52" s="1"/>
      <c r="EG52" s="1"/>
      <c r="EH52" s="1"/>
      <c r="EI52" s="1"/>
      <c r="EJ52" s="1"/>
      <c r="EK52" s="1"/>
      <c r="EL52" s="1"/>
      <c r="EM52" s="1"/>
      <c r="EN52" s="1"/>
      <c r="EO52" s="1"/>
      <c r="EP52" s="1"/>
      <c r="EQ52" s="1"/>
      <c r="ER52" s="1"/>
      <c r="ES52" s="1"/>
      <c r="ET52" s="1"/>
      <c r="EU52" s="1"/>
      <c r="EV52" s="1"/>
      <c r="EW52" s="1"/>
      <c r="EX52" s="1"/>
      <c r="EY52" s="1"/>
      <c r="EZ52" s="1"/>
      <c r="FA52" s="1"/>
      <c r="FB52" s="1"/>
      <c r="FC52" s="1"/>
      <c r="FD52" s="1"/>
      <c r="FE52" s="1"/>
      <c r="FF52" s="1"/>
      <c r="FG52" s="1"/>
      <c r="FH52" s="1"/>
      <c r="FI52" s="1"/>
      <c r="FJ52" s="1"/>
      <c r="FK52" s="1"/>
      <c r="FL52" s="1"/>
      <c r="FM52" s="1"/>
      <c r="FN52" s="1"/>
      <c r="FO52" s="1"/>
      <c r="FP52" s="1"/>
      <c r="FQ52" s="1"/>
      <c r="FR52" s="1"/>
      <c r="FS52" s="1"/>
      <c r="FT52" s="1"/>
      <c r="FU52" s="1"/>
      <c r="FV52" s="1"/>
      <c r="FW52" s="1"/>
      <c r="FX52" s="1"/>
      <c r="FY52" s="1"/>
      <c r="FZ52" s="1"/>
      <c r="GA52" s="1"/>
      <c r="GB52" s="1"/>
      <c r="GC52" s="1"/>
      <c r="GD52" s="1"/>
      <c r="GE52" s="1"/>
      <c r="GF52" s="1"/>
      <c r="GG52" s="1"/>
      <c r="GH52" s="1"/>
      <c r="GI52" s="1"/>
      <c r="GJ52" s="1"/>
      <c r="GK52" s="1"/>
      <c r="GL52" s="1"/>
      <c r="GM52" s="1"/>
      <c r="GN52" s="1"/>
      <c r="GO52" s="1"/>
      <c r="GP52" s="1"/>
      <c r="GQ52" s="1"/>
      <c r="GR52" s="1"/>
      <c r="GS52" s="1"/>
      <c r="GT52" s="1"/>
      <c r="GU52" s="1"/>
      <c r="GV52" s="1"/>
      <c r="GW52" s="1"/>
      <c r="GX52" s="1"/>
      <c r="GY52" s="1"/>
      <c r="GZ52" s="1"/>
      <c r="HA52" s="1"/>
      <c r="HB52" s="1"/>
      <c r="HC52" s="1"/>
      <c r="HD52" s="1"/>
      <c r="HE52" s="1"/>
      <c r="HF52" s="1"/>
      <c r="HG52" s="1"/>
      <c r="HH52" s="1"/>
      <c r="HI52" s="1"/>
      <c r="HJ52" s="1"/>
      <c r="HK52" s="1"/>
      <c r="HL52" s="1"/>
      <c r="HM52" s="1"/>
      <c r="HN52" s="1"/>
      <c r="HO52" s="1"/>
      <c r="HP52" s="1"/>
      <c r="HQ52" s="1"/>
      <c r="HR52" s="1"/>
      <c r="HS52" s="1"/>
      <c r="HT52" s="1"/>
      <c r="HU52" s="1"/>
      <c r="HV52" s="1"/>
      <c r="HW52" s="1"/>
      <c r="HX52" s="1"/>
      <c r="HY52" s="1"/>
      <c r="HZ52" s="1"/>
      <c r="IA52" s="1"/>
      <c r="IB52" s="1"/>
      <c r="IC52" s="1"/>
      <c r="ID52" s="1"/>
      <c r="IE52" s="1"/>
      <c r="IF52" s="1"/>
      <c r="IG52" s="1"/>
      <c r="IH52" s="1"/>
    </row>
    <row r="53" spans="1:242" x14ac:dyDescent="0.2">
      <c r="S53" s="252">
        <v>33</v>
      </c>
      <c r="T53" s="253" t="s">
        <v>233</v>
      </c>
      <c r="U53" s="251">
        <v>1</v>
      </c>
      <c r="V53" s="631"/>
      <c r="W53" s="632"/>
      <c r="X53" s="632"/>
      <c r="Y53" s="632"/>
      <c r="Z53" s="633"/>
      <c r="AA53" s="249"/>
      <c r="AB53" s="249"/>
      <c r="AC53" s="249"/>
      <c r="AD53" s="249"/>
      <c r="AE53" s="249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  <c r="AZ53" s="1"/>
      <c r="BA53" s="1"/>
      <c r="BB53" s="1"/>
      <c r="BC53" s="1"/>
      <c r="BD53" s="1"/>
      <c r="BE53" s="1"/>
      <c r="BF53" s="1"/>
      <c r="BG53" s="1"/>
      <c r="BH53" s="1"/>
      <c r="BI53" s="1"/>
      <c r="BJ53" s="1"/>
      <c r="BK53" s="1"/>
      <c r="BL53" s="1"/>
      <c r="BM53" s="1"/>
      <c r="BN53" s="1"/>
      <c r="BO53" s="1"/>
      <c r="BP53" s="1"/>
      <c r="BQ53" s="1"/>
      <c r="BR53" s="1"/>
      <c r="BS53" s="1"/>
      <c r="BT53" s="1"/>
      <c r="BU53" s="1"/>
      <c r="BV53" s="1"/>
      <c r="BW53" s="1"/>
      <c r="BX53" s="1"/>
      <c r="BY53" s="1"/>
      <c r="BZ53" s="1"/>
      <c r="CA53" s="1"/>
      <c r="CB53" s="1"/>
      <c r="CC53" s="1"/>
      <c r="CD53" s="1"/>
      <c r="CE53" s="1"/>
      <c r="CF53" s="1"/>
      <c r="CG53" s="1"/>
      <c r="CH53" s="1"/>
      <c r="CI53" s="1"/>
      <c r="CJ53" s="1"/>
      <c r="CK53" s="1"/>
      <c r="CL53" s="1"/>
      <c r="CM53" s="1"/>
      <c r="CN53" s="1"/>
      <c r="CO53" s="1"/>
      <c r="CP53" s="1"/>
      <c r="CQ53" s="1"/>
      <c r="CR53" s="1"/>
      <c r="CS53" s="1"/>
      <c r="CT53" s="1"/>
      <c r="CU53" s="1"/>
      <c r="CV53" s="1"/>
      <c r="CW53" s="1"/>
      <c r="CX53" s="1"/>
      <c r="CY53" s="1"/>
      <c r="CZ53" s="1"/>
      <c r="DA53" s="1"/>
      <c r="DB53" s="1"/>
      <c r="DC53" s="1"/>
      <c r="DD53" s="1"/>
      <c r="DE53" s="1"/>
      <c r="DF53" s="1"/>
      <c r="DG53" s="1"/>
      <c r="DH53" s="1"/>
      <c r="DI53" s="1"/>
      <c r="DJ53" s="1"/>
      <c r="DK53" s="1"/>
      <c r="DL53" s="1"/>
      <c r="DM53" s="1"/>
      <c r="DN53" s="1"/>
      <c r="DO53" s="1"/>
      <c r="DP53" s="1"/>
      <c r="DQ53" s="1"/>
      <c r="DR53" s="1"/>
      <c r="DS53" s="1"/>
      <c r="DT53" s="1"/>
      <c r="DU53" s="1"/>
      <c r="DV53" s="1"/>
      <c r="DW53" s="1"/>
      <c r="DX53" s="1"/>
      <c r="DY53" s="1"/>
      <c r="DZ53" s="1"/>
      <c r="EA53" s="1"/>
      <c r="EB53" s="1"/>
      <c r="EC53" s="1"/>
      <c r="ED53" s="1"/>
      <c r="EE53" s="1"/>
      <c r="EF53" s="1"/>
      <c r="EG53" s="1"/>
      <c r="EH53" s="1"/>
      <c r="EI53" s="1"/>
      <c r="EJ53" s="1"/>
      <c r="EK53" s="1"/>
      <c r="EL53" s="1"/>
      <c r="EM53" s="1"/>
      <c r="EN53" s="1"/>
      <c r="EO53" s="1"/>
      <c r="EP53" s="1"/>
      <c r="EQ53" s="1"/>
      <c r="ER53" s="1"/>
      <c r="ES53" s="1"/>
      <c r="ET53" s="1"/>
      <c r="EU53" s="1"/>
      <c r="EV53" s="1"/>
      <c r="EW53" s="1"/>
      <c r="EX53" s="1"/>
      <c r="EY53" s="1"/>
      <c r="EZ53" s="1"/>
      <c r="FA53" s="1"/>
      <c r="FB53" s="1"/>
      <c r="FC53" s="1"/>
      <c r="FD53" s="1"/>
      <c r="FE53" s="1"/>
      <c r="FF53" s="1"/>
      <c r="FG53" s="1"/>
      <c r="FH53" s="1"/>
      <c r="FI53" s="1"/>
      <c r="FJ53" s="1"/>
      <c r="FK53" s="1"/>
      <c r="FL53" s="1"/>
      <c r="FM53" s="1"/>
      <c r="FN53" s="1"/>
      <c r="FO53" s="1"/>
      <c r="FP53" s="1"/>
      <c r="FQ53" s="1"/>
      <c r="FR53" s="1"/>
      <c r="FS53" s="1"/>
      <c r="FT53" s="1"/>
      <c r="FU53" s="1"/>
      <c r="FV53" s="1"/>
      <c r="FW53" s="1"/>
      <c r="FX53" s="1"/>
      <c r="FY53" s="1"/>
      <c r="FZ53" s="1"/>
      <c r="GA53" s="1"/>
      <c r="GB53" s="1"/>
      <c r="GC53" s="1"/>
      <c r="GD53" s="1"/>
      <c r="GE53" s="1"/>
      <c r="GF53" s="1"/>
      <c r="GG53" s="1"/>
      <c r="GH53" s="1"/>
      <c r="GI53" s="1"/>
      <c r="GJ53" s="1"/>
      <c r="GK53" s="1"/>
      <c r="GL53" s="1"/>
      <c r="GM53" s="1"/>
      <c r="GN53" s="1"/>
      <c r="GO53" s="1"/>
      <c r="GP53" s="1"/>
      <c r="GQ53" s="1"/>
      <c r="GR53" s="1"/>
      <c r="GS53" s="1"/>
      <c r="GT53" s="1"/>
      <c r="GU53" s="1"/>
      <c r="GV53" s="1"/>
      <c r="GW53" s="1"/>
      <c r="GX53" s="1"/>
      <c r="GY53" s="1"/>
      <c r="GZ53" s="1"/>
      <c r="HA53" s="1"/>
      <c r="HB53" s="1"/>
      <c r="HC53" s="1"/>
      <c r="HD53" s="1"/>
      <c r="HE53" s="1"/>
      <c r="HF53" s="1"/>
      <c r="HG53" s="1"/>
      <c r="HH53" s="1"/>
      <c r="HI53" s="1"/>
      <c r="HJ53" s="1"/>
      <c r="HK53" s="1"/>
      <c r="HL53" s="1"/>
      <c r="HM53" s="1"/>
      <c r="HN53" s="1"/>
      <c r="HO53" s="1"/>
      <c r="HP53" s="1"/>
      <c r="HQ53" s="1"/>
      <c r="HR53" s="1"/>
      <c r="HS53" s="1"/>
      <c r="HT53" s="1"/>
      <c r="HU53" s="1"/>
      <c r="HV53" s="1"/>
      <c r="HW53" s="1"/>
      <c r="HX53" s="1"/>
      <c r="HY53" s="1"/>
      <c r="HZ53" s="1"/>
      <c r="IA53" s="1"/>
      <c r="IB53" s="1"/>
      <c r="IC53" s="1"/>
      <c r="ID53" s="1"/>
      <c r="IE53" s="1"/>
      <c r="IF53" s="1"/>
      <c r="IG53" s="1"/>
      <c r="IH53" s="1"/>
    </row>
    <row r="54" spans="1:242" ht="15" x14ac:dyDescent="0.2">
      <c r="A54" s="5" t="s">
        <v>408</v>
      </c>
      <c r="B54" s="5"/>
      <c r="C54" s="193">
        <f ca="1">C51*C52</f>
        <v>2472</v>
      </c>
      <c r="D54" s="102" t="s">
        <v>187</v>
      </c>
      <c r="S54" s="252">
        <v>34</v>
      </c>
      <c r="T54" s="253" t="s">
        <v>232</v>
      </c>
      <c r="U54" s="251">
        <v>2</v>
      </c>
      <c r="V54" s="631"/>
      <c r="W54" s="632"/>
      <c r="X54" s="632"/>
      <c r="Y54" s="632"/>
      <c r="Z54" s="633"/>
      <c r="AA54" s="249"/>
      <c r="AB54" s="250"/>
      <c r="AC54" s="250"/>
      <c r="AD54" s="250"/>
      <c r="AE54" s="250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  <c r="AZ54" s="1"/>
      <c r="BA54" s="1"/>
      <c r="BB54" s="1"/>
      <c r="BC54" s="1"/>
      <c r="BD54" s="1"/>
      <c r="BE54" s="1"/>
      <c r="BF54" s="1"/>
      <c r="BG54" s="1"/>
      <c r="BH54" s="1"/>
      <c r="BI54" s="1"/>
      <c r="BJ54" s="1"/>
      <c r="BK54" s="1"/>
      <c r="BL54" s="1"/>
      <c r="BM54" s="1"/>
      <c r="BN54" s="1"/>
      <c r="BO54" s="1"/>
      <c r="BP54" s="1"/>
      <c r="BQ54" s="1"/>
      <c r="BR54" s="1"/>
      <c r="BS54" s="1"/>
      <c r="BT54" s="1"/>
      <c r="BU54" s="1"/>
      <c r="BV54" s="1"/>
      <c r="BW54" s="1"/>
      <c r="BX54" s="1"/>
      <c r="BY54" s="1"/>
      <c r="BZ54" s="1"/>
      <c r="CA54" s="1"/>
      <c r="CB54" s="1"/>
      <c r="CC54" s="1"/>
      <c r="CD54" s="1"/>
      <c r="CE54" s="1"/>
      <c r="CF54" s="1"/>
      <c r="CG54" s="1"/>
      <c r="CH54" s="1"/>
      <c r="CI54" s="1"/>
      <c r="CJ54" s="1"/>
      <c r="CK54" s="1"/>
      <c r="CL54" s="1"/>
      <c r="CM54" s="1"/>
      <c r="CN54" s="1"/>
      <c r="CO54" s="1"/>
      <c r="CP54" s="1"/>
      <c r="CQ54" s="1"/>
      <c r="CR54" s="1"/>
      <c r="CS54" s="1"/>
      <c r="CT54" s="1"/>
      <c r="CU54" s="1"/>
      <c r="CV54" s="1"/>
      <c r="CW54" s="1"/>
      <c r="CX54" s="1"/>
      <c r="CY54" s="1"/>
      <c r="CZ54" s="1"/>
      <c r="DA54" s="1"/>
      <c r="DB54" s="1"/>
      <c r="DC54" s="1"/>
      <c r="DD54" s="1"/>
      <c r="DE54" s="1"/>
      <c r="DF54" s="1"/>
      <c r="DG54" s="1"/>
      <c r="DH54" s="1"/>
      <c r="DI54" s="1"/>
      <c r="DJ54" s="1"/>
      <c r="DK54" s="1"/>
      <c r="DL54" s="1"/>
      <c r="DM54" s="1"/>
      <c r="DN54" s="1"/>
      <c r="DO54" s="1"/>
      <c r="DP54" s="1"/>
      <c r="DQ54" s="1"/>
      <c r="DR54" s="1"/>
      <c r="DS54" s="1"/>
      <c r="DT54" s="1"/>
      <c r="DU54" s="1"/>
      <c r="DV54" s="1"/>
      <c r="DW54" s="1"/>
      <c r="DX54" s="1"/>
      <c r="DY54" s="1"/>
      <c r="DZ54" s="1"/>
      <c r="EA54" s="1"/>
      <c r="EB54" s="1"/>
      <c r="EC54" s="1"/>
      <c r="ED54" s="1"/>
      <c r="EE54" s="1"/>
      <c r="EF54" s="1"/>
      <c r="EG54" s="1"/>
      <c r="EH54" s="1"/>
      <c r="EI54" s="1"/>
      <c r="EJ54" s="1"/>
      <c r="EK54" s="1"/>
      <c r="EL54" s="1"/>
      <c r="EM54" s="1"/>
      <c r="EN54" s="1"/>
      <c r="EO54" s="1"/>
      <c r="EP54" s="1"/>
      <c r="EQ54" s="1"/>
      <c r="ER54" s="1"/>
      <c r="ES54" s="1"/>
      <c r="ET54" s="1"/>
      <c r="EU54" s="1"/>
      <c r="EV54" s="1"/>
      <c r="EW54" s="1"/>
      <c r="EX54" s="1"/>
      <c r="EY54" s="1"/>
      <c r="EZ54" s="1"/>
      <c r="FA54" s="1"/>
      <c r="FB54" s="1"/>
      <c r="FC54" s="1"/>
      <c r="FD54" s="1"/>
      <c r="FE54" s="1"/>
      <c r="FF54" s="1"/>
      <c r="FG54" s="1"/>
      <c r="FH54" s="1"/>
      <c r="FI54" s="1"/>
      <c r="FJ54" s="1"/>
      <c r="FK54" s="1"/>
      <c r="FL54" s="1"/>
      <c r="FM54" s="1"/>
      <c r="FN54" s="1"/>
      <c r="FO54" s="1"/>
      <c r="FP54" s="1"/>
      <c r="FQ54" s="1"/>
      <c r="FR54" s="1"/>
      <c r="FS54" s="1"/>
      <c r="FT54" s="1"/>
      <c r="FU54" s="1"/>
      <c r="FV54" s="1"/>
      <c r="FW54" s="1"/>
      <c r="FX54" s="1"/>
      <c r="FY54" s="1"/>
      <c r="FZ54" s="1"/>
      <c r="GA54" s="1"/>
      <c r="GB54" s="1"/>
      <c r="GC54" s="1"/>
      <c r="GD54" s="1"/>
      <c r="GE54" s="1"/>
      <c r="GF54" s="1"/>
      <c r="GG54" s="1"/>
      <c r="GH54" s="1"/>
      <c r="GI54" s="1"/>
      <c r="GJ54" s="1"/>
      <c r="GK54" s="1"/>
      <c r="GL54" s="1"/>
      <c r="GM54" s="1"/>
      <c r="GN54" s="1"/>
      <c r="GO54" s="1"/>
      <c r="GP54" s="1"/>
      <c r="GQ54" s="1"/>
      <c r="GR54" s="1"/>
      <c r="GS54" s="1"/>
      <c r="GT54" s="1"/>
      <c r="GU54" s="1"/>
      <c r="GV54" s="1"/>
      <c r="GW54" s="1"/>
      <c r="GX54" s="1"/>
      <c r="GY54" s="1"/>
      <c r="GZ54" s="1"/>
      <c r="HA54" s="1"/>
      <c r="HB54" s="1"/>
      <c r="HC54" s="1"/>
      <c r="HD54" s="1"/>
      <c r="HE54" s="1"/>
      <c r="HF54" s="1"/>
      <c r="HG54" s="1"/>
      <c r="HH54" s="1"/>
      <c r="HI54" s="1"/>
      <c r="HJ54" s="1"/>
      <c r="HK54" s="1"/>
      <c r="HL54" s="1"/>
      <c r="HM54" s="1"/>
      <c r="HN54" s="1"/>
      <c r="HO54" s="1"/>
      <c r="HP54" s="1"/>
      <c r="HQ54" s="1"/>
      <c r="HR54" s="1"/>
      <c r="HS54" s="1"/>
      <c r="HT54" s="1"/>
      <c r="HU54" s="1"/>
      <c r="HV54" s="1"/>
      <c r="HW54" s="1"/>
      <c r="HX54" s="1"/>
      <c r="HY54" s="1"/>
      <c r="HZ54" s="1"/>
      <c r="IA54" s="1"/>
      <c r="IB54" s="1"/>
      <c r="IC54" s="1"/>
      <c r="ID54" s="1"/>
      <c r="IE54" s="1"/>
      <c r="IF54" s="1"/>
      <c r="IG54" s="1"/>
      <c r="IH54" s="1"/>
    </row>
    <row r="55" spans="1:242" ht="15" x14ac:dyDescent="0.2">
      <c r="S55" s="252">
        <v>35</v>
      </c>
      <c r="T55" s="253" t="s">
        <v>231</v>
      </c>
      <c r="U55" s="251">
        <v>2</v>
      </c>
      <c r="V55" s="631"/>
      <c r="W55" s="632"/>
      <c r="X55" s="632"/>
      <c r="Y55" s="632"/>
      <c r="Z55" s="633"/>
      <c r="AA55" s="249"/>
      <c r="AB55" s="250"/>
      <c r="AC55" s="250"/>
      <c r="AD55" s="250"/>
      <c r="AE55" s="250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  <c r="AZ55" s="1"/>
      <c r="BA55" s="1"/>
      <c r="BB55" s="1"/>
      <c r="BC55" s="1"/>
      <c r="BD55" s="1"/>
      <c r="BE55" s="1"/>
      <c r="BF55" s="1"/>
      <c r="BG55" s="1"/>
      <c r="BH55" s="1"/>
      <c r="BI55" s="1"/>
      <c r="BJ55" s="1"/>
      <c r="BK55" s="1"/>
      <c r="BL55" s="1"/>
      <c r="BM55" s="1"/>
      <c r="BN55" s="1"/>
      <c r="BO55" s="1"/>
      <c r="BP55" s="1"/>
      <c r="BQ55" s="1"/>
      <c r="BR55" s="1"/>
      <c r="BS55" s="1"/>
      <c r="BT55" s="1"/>
      <c r="BU55" s="1"/>
      <c r="BV55" s="1"/>
      <c r="BW55" s="1"/>
      <c r="BX55" s="1"/>
      <c r="BY55" s="1"/>
      <c r="BZ55" s="1"/>
      <c r="CA55" s="1"/>
      <c r="CB55" s="1"/>
      <c r="CC55" s="1"/>
      <c r="CD55" s="1"/>
      <c r="CE55" s="1"/>
      <c r="CF55" s="1"/>
      <c r="CG55" s="1"/>
      <c r="CH55" s="1"/>
      <c r="CI55" s="1"/>
      <c r="CJ55" s="1"/>
      <c r="CK55" s="1"/>
      <c r="CL55" s="1"/>
      <c r="CM55" s="1"/>
      <c r="CN55" s="1"/>
      <c r="CO55" s="1"/>
      <c r="CP55" s="1"/>
      <c r="CQ55" s="1"/>
      <c r="CR55" s="1"/>
      <c r="CS55" s="1"/>
      <c r="CT55" s="1"/>
      <c r="CU55" s="1"/>
      <c r="CV55" s="1"/>
      <c r="CW55" s="1"/>
      <c r="CX55" s="1"/>
      <c r="CY55" s="1"/>
      <c r="CZ55" s="1"/>
      <c r="DA55" s="1"/>
      <c r="DB55" s="1"/>
      <c r="DC55" s="1"/>
      <c r="DD55" s="1"/>
      <c r="DE55" s="1"/>
      <c r="DF55" s="1"/>
      <c r="DG55" s="1"/>
      <c r="DH55" s="1"/>
      <c r="DI55" s="1"/>
      <c r="DJ55" s="1"/>
      <c r="DK55" s="1"/>
      <c r="DL55" s="1"/>
      <c r="DM55" s="1"/>
      <c r="DN55" s="1"/>
      <c r="DO55" s="1"/>
      <c r="DP55" s="1"/>
      <c r="DQ55" s="1"/>
      <c r="DR55" s="1"/>
      <c r="DS55" s="1"/>
      <c r="DT55" s="1"/>
      <c r="DU55" s="1"/>
      <c r="DV55" s="1"/>
      <c r="DW55" s="1"/>
      <c r="DX55" s="1"/>
      <c r="DY55" s="1"/>
      <c r="DZ55" s="1"/>
      <c r="EA55" s="1"/>
      <c r="EB55" s="1"/>
      <c r="EC55" s="1"/>
      <c r="ED55" s="1"/>
      <c r="EE55" s="1"/>
      <c r="EF55" s="1"/>
      <c r="EG55" s="1"/>
      <c r="EH55" s="1"/>
      <c r="EI55" s="1"/>
      <c r="EJ55" s="1"/>
      <c r="EK55" s="1"/>
      <c r="EL55" s="1"/>
      <c r="EM55" s="1"/>
      <c r="EN55" s="1"/>
      <c r="EO55" s="1"/>
      <c r="EP55" s="1"/>
      <c r="EQ55" s="1"/>
      <c r="ER55" s="1"/>
      <c r="ES55" s="1"/>
      <c r="ET55" s="1"/>
      <c r="EU55" s="1"/>
      <c r="EV55" s="1"/>
      <c r="EW55" s="1"/>
      <c r="EX55" s="1"/>
      <c r="EY55" s="1"/>
      <c r="EZ55" s="1"/>
      <c r="FA55" s="1"/>
      <c r="FB55" s="1"/>
      <c r="FC55" s="1"/>
      <c r="FD55" s="1"/>
      <c r="FE55" s="1"/>
      <c r="FF55" s="1"/>
      <c r="FG55" s="1"/>
      <c r="FH55" s="1"/>
      <c r="FI55" s="1"/>
      <c r="FJ55" s="1"/>
      <c r="FK55" s="1"/>
      <c r="FL55" s="1"/>
      <c r="FM55" s="1"/>
      <c r="FN55" s="1"/>
      <c r="FO55" s="1"/>
      <c r="FP55" s="1"/>
      <c r="FQ55" s="1"/>
      <c r="FR55" s="1"/>
      <c r="FS55" s="1"/>
      <c r="FT55" s="1"/>
      <c r="FU55" s="1"/>
      <c r="FV55" s="1"/>
      <c r="FW55" s="1"/>
      <c r="FX55" s="1"/>
      <c r="FY55" s="1"/>
      <c r="FZ55" s="1"/>
      <c r="GA55" s="1"/>
      <c r="GB55" s="1"/>
      <c r="GC55" s="1"/>
      <c r="GD55" s="1"/>
      <c r="GE55" s="1"/>
      <c r="GF55" s="1"/>
      <c r="GG55" s="1"/>
      <c r="GH55" s="1"/>
      <c r="GI55" s="1"/>
      <c r="GJ55" s="1"/>
      <c r="GK55" s="1"/>
      <c r="GL55" s="1"/>
      <c r="GM55" s="1"/>
      <c r="GN55" s="1"/>
      <c r="GO55" s="1"/>
      <c r="GP55" s="1"/>
      <c r="GQ55" s="1"/>
      <c r="GR55" s="1"/>
      <c r="GS55" s="1"/>
      <c r="GT55" s="1"/>
      <c r="GU55" s="1"/>
      <c r="GV55" s="1"/>
      <c r="GW55" s="1"/>
      <c r="GX55" s="1"/>
      <c r="GY55" s="1"/>
      <c r="GZ55" s="1"/>
      <c r="HA55" s="1"/>
      <c r="HB55" s="1"/>
      <c r="HC55" s="1"/>
      <c r="HD55" s="1"/>
      <c r="HE55" s="1"/>
      <c r="HF55" s="1"/>
      <c r="HG55" s="1"/>
      <c r="HH55" s="1"/>
      <c r="HI55" s="1"/>
      <c r="HJ55" s="1"/>
      <c r="HK55" s="1"/>
      <c r="HL55" s="1"/>
      <c r="HM55" s="1"/>
      <c r="HN55" s="1"/>
      <c r="HO55" s="1"/>
      <c r="HP55" s="1"/>
      <c r="HQ55" s="1"/>
      <c r="HR55" s="1"/>
      <c r="HS55" s="1"/>
      <c r="HT55" s="1"/>
      <c r="HU55" s="1"/>
      <c r="HV55" s="1"/>
      <c r="HW55" s="1"/>
      <c r="HX55" s="1"/>
      <c r="HY55" s="1"/>
      <c r="HZ55" s="1"/>
      <c r="IA55" s="1"/>
      <c r="IB55" s="1"/>
      <c r="IC55" s="1"/>
      <c r="ID55" s="1"/>
      <c r="IE55" s="1"/>
      <c r="IF55" s="1"/>
      <c r="IG55" s="1"/>
      <c r="IH55" s="1"/>
    </row>
    <row r="56" spans="1:242" x14ac:dyDescent="0.2">
      <c r="AB56" s="249"/>
      <c r="AC56" s="249"/>
      <c r="AD56" s="249"/>
      <c r="AE56" s="249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  <c r="AZ56" s="1"/>
      <c r="BA56" s="1"/>
      <c r="BB56" s="1"/>
      <c r="BC56" s="1"/>
      <c r="BD56" s="1"/>
      <c r="BE56" s="1"/>
      <c r="BF56" s="1"/>
      <c r="BG56" s="1"/>
      <c r="BH56" s="1"/>
      <c r="BI56" s="1"/>
      <c r="BJ56" s="1"/>
      <c r="BK56" s="1"/>
      <c r="BL56" s="1"/>
      <c r="BM56" s="1"/>
      <c r="BN56" s="1"/>
      <c r="BO56" s="1"/>
      <c r="BP56" s="1"/>
      <c r="BQ56" s="1"/>
      <c r="BR56" s="1"/>
      <c r="BS56" s="1"/>
      <c r="BT56" s="1"/>
      <c r="BU56" s="1"/>
      <c r="BV56" s="1"/>
      <c r="BW56" s="1"/>
      <c r="BX56" s="1"/>
      <c r="BY56" s="1"/>
      <c r="BZ56" s="1"/>
      <c r="CA56" s="1"/>
      <c r="CB56" s="1"/>
      <c r="CC56" s="1"/>
      <c r="CD56" s="1"/>
      <c r="CE56" s="1"/>
      <c r="CF56" s="1"/>
      <c r="CG56" s="1"/>
      <c r="CH56" s="1"/>
      <c r="CI56" s="1"/>
      <c r="CJ56" s="1"/>
      <c r="CK56" s="1"/>
      <c r="CL56" s="1"/>
      <c r="CM56" s="1"/>
      <c r="CN56" s="1"/>
      <c r="CO56" s="1"/>
      <c r="CP56" s="1"/>
      <c r="CQ56" s="1"/>
      <c r="CR56" s="1"/>
      <c r="CS56" s="1"/>
      <c r="CT56" s="1"/>
      <c r="CU56" s="1"/>
      <c r="CV56" s="1"/>
      <c r="CW56" s="1"/>
      <c r="CX56" s="1"/>
      <c r="CY56" s="1"/>
      <c r="CZ56" s="1"/>
      <c r="DA56" s="1"/>
      <c r="DB56" s="1"/>
      <c r="DC56" s="1"/>
      <c r="DD56" s="1"/>
      <c r="DE56" s="1"/>
      <c r="DF56" s="1"/>
      <c r="DG56" s="1"/>
      <c r="DH56" s="1"/>
      <c r="DI56" s="1"/>
      <c r="DJ56" s="1"/>
      <c r="DK56" s="1"/>
      <c r="DL56" s="1"/>
      <c r="DM56" s="1"/>
      <c r="DN56" s="1"/>
      <c r="DO56" s="1"/>
      <c r="DP56" s="1"/>
      <c r="DQ56" s="1"/>
      <c r="DR56" s="1"/>
      <c r="DS56" s="1"/>
      <c r="DT56" s="1"/>
      <c r="DU56" s="1"/>
      <c r="DV56" s="1"/>
      <c r="DW56" s="1"/>
      <c r="DX56" s="1"/>
      <c r="DY56" s="1"/>
      <c r="DZ56" s="1"/>
      <c r="EA56" s="1"/>
      <c r="EB56" s="1"/>
      <c r="EC56" s="1"/>
      <c r="ED56" s="1"/>
      <c r="EE56" s="1"/>
      <c r="EF56" s="1"/>
      <c r="EG56" s="1"/>
      <c r="EH56" s="1"/>
      <c r="EI56" s="1"/>
      <c r="EJ56" s="1"/>
      <c r="EK56" s="1"/>
      <c r="EL56" s="1"/>
      <c r="EM56" s="1"/>
      <c r="EN56" s="1"/>
      <c r="EO56" s="1"/>
      <c r="EP56" s="1"/>
      <c r="EQ56" s="1"/>
      <c r="ER56" s="1"/>
      <c r="ES56" s="1"/>
      <c r="ET56" s="1"/>
      <c r="EU56" s="1"/>
      <c r="EV56" s="1"/>
      <c r="EW56" s="1"/>
      <c r="EX56" s="1"/>
      <c r="EY56" s="1"/>
      <c r="EZ56" s="1"/>
      <c r="FA56" s="1"/>
      <c r="FB56" s="1"/>
      <c r="FC56" s="1"/>
      <c r="FD56" s="1"/>
      <c r="FE56" s="1"/>
      <c r="FF56" s="1"/>
      <c r="FG56" s="1"/>
      <c r="FH56" s="1"/>
      <c r="FI56" s="1"/>
      <c r="FJ56" s="1"/>
      <c r="FK56" s="1"/>
      <c r="FL56" s="1"/>
      <c r="FM56" s="1"/>
      <c r="FN56" s="1"/>
      <c r="FO56" s="1"/>
      <c r="FP56" s="1"/>
      <c r="FQ56" s="1"/>
      <c r="FR56" s="1"/>
      <c r="FS56" s="1"/>
      <c r="FT56" s="1"/>
      <c r="FU56" s="1"/>
      <c r="FV56" s="1"/>
      <c r="FW56" s="1"/>
      <c r="FX56" s="1"/>
      <c r="FY56" s="1"/>
      <c r="FZ56" s="1"/>
      <c r="GA56" s="1"/>
      <c r="GB56" s="1"/>
      <c r="GC56" s="1"/>
      <c r="GD56" s="1"/>
      <c r="GE56" s="1"/>
      <c r="GF56" s="1"/>
      <c r="GG56" s="1"/>
      <c r="GH56" s="1"/>
      <c r="GI56" s="1"/>
      <c r="GJ56" s="1"/>
      <c r="GK56" s="1"/>
      <c r="GL56" s="1"/>
      <c r="GM56" s="1"/>
      <c r="GN56" s="1"/>
      <c r="GO56" s="1"/>
      <c r="GP56" s="1"/>
      <c r="GQ56" s="1"/>
      <c r="GR56" s="1"/>
      <c r="GS56" s="1"/>
      <c r="GT56" s="1"/>
      <c r="GU56" s="1"/>
      <c r="GV56" s="1"/>
      <c r="GW56" s="1"/>
      <c r="GX56" s="1"/>
      <c r="GY56" s="1"/>
      <c r="GZ56" s="1"/>
      <c r="HA56" s="1"/>
      <c r="HB56" s="1"/>
      <c r="HC56" s="1"/>
      <c r="HD56" s="1"/>
      <c r="HE56" s="1"/>
      <c r="HF56" s="1"/>
      <c r="HG56" s="1"/>
      <c r="HH56" s="1"/>
      <c r="HI56" s="1"/>
      <c r="HJ56" s="1"/>
      <c r="HK56" s="1"/>
      <c r="HL56" s="1"/>
      <c r="HM56" s="1"/>
      <c r="HN56" s="1"/>
      <c r="HO56" s="1"/>
      <c r="HP56" s="1"/>
      <c r="HQ56" s="1"/>
      <c r="HR56" s="1"/>
      <c r="HS56" s="1"/>
      <c r="HT56" s="1"/>
      <c r="HU56" s="1"/>
      <c r="HV56" s="1"/>
      <c r="HW56" s="1"/>
      <c r="HX56" s="1"/>
      <c r="HY56" s="1"/>
      <c r="HZ56" s="1"/>
      <c r="IA56" s="1"/>
      <c r="IB56" s="1"/>
      <c r="IC56" s="1"/>
      <c r="ID56" s="1"/>
      <c r="IE56" s="1"/>
      <c r="IF56" s="1"/>
      <c r="IG56" s="1"/>
      <c r="IH56" s="1"/>
    </row>
    <row r="57" spans="1:242" x14ac:dyDescent="0.2">
      <c r="AB57" s="249"/>
      <c r="AC57" s="249"/>
      <c r="AD57" s="249"/>
      <c r="AE57" s="249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  <c r="AZ57" s="1"/>
      <c r="BA57" s="1"/>
      <c r="BB57" s="1"/>
      <c r="BC57" s="1"/>
      <c r="BD57" s="1"/>
      <c r="BE57" s="1"/>
      <c r="BF57" s="1"/>
      <c r="BG57" s="1"/>
      <c r="BH57" s="1"/>
      <c r="BI57" s="1"/>
      <c r="BJ57" s="1"/>
      <c r="BK57" s="1"/>
      <c r="BL57" s="1"/>
      <c r="BM57" s="1"/>
      <c r="BN57" s="1"/>
      <c r="BO57" s="1"/>
      <c r="BP57" s="1"/>
      <c r="BQ57" s="1"/>
      <c r="BR57" s="1"/>
      <c r="BS57" s="1"/>
      <c r="BT57" s="1"/>
      <c r="BU57" s="1"/>
      <c r="BV57" s="1"/>
      <c r="BW57" s="1"/>
      <c r="BX57" s="1"/>
      <c r="BY57" s="1"/>
      <c r="BZ57" s="1"/>
      <c r="CA57" s="1"/>
      <c r="CB57" s="1"/>
      <c r="CC57" s="1"/>
      <c r="CD57" s="1"/>
      <c r="CE57" s="1"/>
      <c r="CF57" s="1"/>
      <c r="CG57" s="1"/>
      <c r="CH57" s="1"/>
      <c r="CI57" s="1"/>
      <c r="CJ57" s="1"/>
      <c r="CK57" s="1"/>
      <c r="CL57" s="1"/>
      <c r="CM57" s="1"/>
      <c r="CN57" s="1"/>
      <c r="CO57" s="1"/>
      <c r="CP57" s="1"/>
      <c r="CQ57" s="1"/>
      <c r="CR57" s="1"/>
      <c r="CS57" s="1"/>
      <c r="CT57" s="1"/>
      <c r="CU57" s="1"/>
      <c r="CV57" s="1"/>
      <c r="CW57" s="1"/>
      <c r="CX57" s="1"/>
      <c r="CY57" s="1"/>
      <c r="CZ57" s="1"/>
      <c r="DA57" s="1"/>
      <c r="DB57" s="1"/>
      <c r="DC57" s="1"/>
      <c r="DD57" s="1"/>
      <c r="DE57" s="1"/>
      <c r="DF57" s="1"/>
      <c r="DG57" s="1"/>
      <c r="DH57" s="1"/>
      <c r="DI57" s="1"/>
      <c r="DJ57" s="1"/>
      <c r="DK57" s="1"/>
      <c r="DL57" s="1"/>
      <c r="DM57" s="1"/>
      <c r="DN57" s="1"/>
      <c r="DO57" s="1"/>
      <c r="DP57" s="1"/>
      <c r="DQ57" s="1"/>
      <c r="DR57" s="1"/>
      <c r="DS57" s="1"/>
      <c r="DT57" s="1"/>
      <c r="DU57" s="1"/>
      <c r="DV57" s="1"/>
      <c r="DW57" s="1"/>
      <c r="DX57" s="1"/>
      <c r="DY57" s="1"/>
      <c r="DZ57" s="1"/>
      <c r="EA57" s="1"/>
      <c r="EB57" s="1"/>
      <c r="EC57" s="1"/>
      <c r="ED57" s="1"/>
      <c r="EE57" s="1"/>
      <c r="EF57" s="1"/>
      <c r="EG57" s="1"/>
      <c r="EH57" s="1"/>
      <c r="EI57" s="1"/>
      <c r="EJ57" s="1"/>
      <c r="EK57" s="1"/>
      <c r="EL57" s="1"/>
      <c r="EM57" s="1"/>
      <c r="EN57" s="1"/>
      <c r="EO57" s="1"/>
      <c r="EP57" s="1"/>
      <c r="EQ57" s="1"/>
      <c r="ER57" s="1"/>
      <c r="ES57" s="1"/>
      <c r="ET57" s="1"/>
      <c r="EU57" s="1"/>
      <c r="EV57" s="1"/>
      <c r="EW57" s="1"/>
      <c r="EX57" s="1"/>
      <c r="EY57" s="1"/>
      <c r="EZ57" s="1"/>
      <c r="FA57" s="1"/>
      <c r="FB57" s="1"/>
      <c r="FC57" s="1"/>
      <c r="FD57" s="1"/>
      <c r="FE57" s="1"/>
      <c r="FF57" s="1"/>
      <c r="FG57" s="1"/>
      <c r="FH57" s="1"/>
      <c r="FI57" s="1"/>
      <c r="FJ57" s="1"/>
      <c r="FK57" s="1"/>
      <c r="FL57" s="1"/>
      <c r="FM57" s="1"/>
      <c r="FN57" s="1"/>
      <c r="FO57" s="1"/>
      <c r="FP57" s="1"/>
      <c r="FQ57" s="1"/>
      <c r="FR57" s="1"/>
      <c r="FS57" s="1"/>
      <c r="FT57" s="1"/>
      <c r="FU57" s="1"/>
      <c r="FV57" s="1"/>
      <c r="FW57" s="1"/>
      <c r="FX57" s="1"/>
      <c r="FY57" s="1"/>
      <c r="FZ57" s="1"/>
      <c r="GA57" s="1"/>
      <c r="GB57" s="1"/>
      <c r="GC57" s="1"/>
      <c r="GD57" s="1"/>
      <c r="GE57" s="1"/>
      <c r="GF57" s="1"/>
      <c r="GG57" s="1"/>
      <c r="GH57" s="1"/>
      <c r="GI57" s="1"/>
      <c r="GJ57" s="1"/>
      <c r="GK57" s="1"/>
      <c r="GL57" s="1"/>
      <c r="GM57" s="1"/>
      <c r="GN57" s="1"/>
      <c r="GO57" s="1"/>
      <c r="GP57" s="1"/>
      <c r="GQ57" s="1"/>
      <c r="GR57" s="1"/>
      <c r="GS57" s="1"/>
      <c r="GT57" s="1"/>
      <c r="GU57" s="1"/>
      <c r="GV57" s="1"/>
      <c r="GW57" s="1"/>
      <c r="GX57" s="1"/>
      <c r="GY57" s="1"/>
      <c r="GZ57" s="1"/>
      <c r="HA57" s="1"/>
      <c r="HB57" s="1"/>
      <c r="HC57" s="1"/>
      <c r="HD57" s="1"/>
      <c r="HE57" s="1"/>
      <c r="HF57" s="1"/>
      <c r="HG57" s="1"/>
      <c r="HH57" s="1"/>
      <c r="HI57" s="1"/>
      <c r="HJ57" s="1"/>
      <c r="HK57" s="1"/>
      <c r="HL57" s="1"/>
      <c r="HM57" s="1"/>
      <c r="HN57" s="1"/>
      <c r="HO57" s="1"/>
      <c r="HP57" s="1"/>
      <c r="HQ57" s="1"/>
      <c r="HR57" s="1"/>
      <c r="HS57" s="1"/>
      <c r="HT57" s="1"/>
      <c r="HU57" s="1"/>
      <c r="HV57" s="1"/>
      <c r="HW57" s="1"/>
      <c r="HX57" s="1"/>
      <c r="HY57" s="1"/>
      <c r="HZ57" s="1"/>
      <c r="IA57" s="1"/>
      <c r="IB57" s="1"/>
      <c r="IC57" s="1"/>
      <c r="ID57" s="1"/>
      <c r="IE57" s="1"/>
      <c r="IF57" s="1"/>
      <c r="IG57" s="1"/>
      <c r="IH57" s="1"/>
    </row>
    <row r="58" spans="1:242" x14ac:dyDescent="0.2">
      <c r="AB58" s="249"/>
      <c r="AC58" s="249"/>
      <c r="AD58" s="249"/>
      <c r="AE58" s="249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  <c r="AZ58" s="1"/>
      <c r="BA58" s="1"/>
      <c r="BB58" s="1"/>
      <c r="BC58" s="1"/>
      <c r="BD58" s="1"/>
      <c r="BE58" s="1"/>
      <c r="BF58" s="1"/>
      <c r="BG58" s="1"/>
      <c r="BH58" s="1"/>
      <c r="BI58" s="1"/>
      <c r="BJ58" s="1"/>
      <c r="BK58" s="1"/>
      <c r="BL58" s="1"/>
      <c r="BM58" s="1"/>
      <c r="BN58" s="1"/>
      <c r="BO58" s="1"/>
      <c r="BP58" s="1"/>
      <c r="BQ58" s="1"/>
      <c r="BR58" s="1"/>
      <c r="BS58" s="1"/>
      <c r="BT58" s="1"/>
      <c r="BU58" s="1"/>
      <c r="BV58" s="1"/>
      <c r="BW58" s="1"/>
      <c r="BX58" s="1"/>
      <c r="BY58" s="1"/>
      <c r="BZ58" s="1"/>
      <c r="CA58" s="1"/>
      <c r="CB58" s="1"/>
      <c r="CC58" s="1"/>
      <c r="CD58" s="1"/>
      <c r="CE58" s="1"/>
      <c r="CF58" s="1"/>
      <c r="CG58" s="1"/>
      <c r="CH58" s="1"/>
      <c r="CI58" s="1"/>
      <c r="CJ58" s="1"/>
      <c r="CK58" s="1"/>
      <c r="CL58" s="1"/>
      <c r="CM58" s="1"/>
      <c r="CN58" s="1"/>
      <c r="CO58" s="1"/>
      <c r="CP58" s="1"/>
      <c r="CQ58" s="1"/>
      <c r="CR58" s="1"/>
      <c r="CS58" s="1"/>
      <c r="CT58" s="1"/>
      <c r="CU58" s="1"/>
      <c r="CV58" s="1"/>
      <c r="CW58" s="1"/>
      <c r="CX58" s="1"/>
      <c r="CY58" s="1"/>
      <c r="CZ58" s="1"/>
      <c r="DA58" s="1"/>
      <c r="DB58" s="1"/>
      <c r="DC58" s="1"/>
      <c r="DD58" s="1"/>
      <c r="DE58" s="1"/>
      <c r="DF58" s="1"/>
      <c r="DG58" s="1"/>
      <c r="DH58" s="1"/>
      <c r="DI58" s="1"/>
      <c r="DJ58" s="1"/>
      <c r="DK58" s="1"/>
      <c r="DL58" s="1"/>
      <c r="DM58" s="1"/>
      <c r="DN58" s="1"/>
      <c r="DO58" s="1"/>
      <c r="DP58" s="1"/>
      <c r="DQ58" s="1"/>
      <c r="DR58" s="1"/>
      <c r="DS58" s="1"/>
      <c r="DT58" s="1"/>
      <c r="DU58" s="1"/>
      <c r="DV58" s="1"/>
      <c r="DW58" s="1"/>
      <c r="DX58" s="1"/>
      <c r="DY58" s="1"/>
      <c r="DZ58" s="1"/>
      <c r="EA58" s="1"/>
      <c r="EB58" s="1"/>
      <c r="EC58" s="1"/>
      <c r="ED58" s="1"/>
      <c r="EE58" s="1"/>
      <c r="EF58" s="1"/>
      <c r="EG58" s="1"/>
      <c r="EH58" s="1"/>
      <c r="EI58" s="1"/>
      <c r="EJ58" s="1"/>
      <c r="EK58" s="1"/>
      <c r="EL58" s="1"/>
      <c r="EM58" s="1"/>
      <c r="EN58" s="1"/>
      <c r="EO58" s="1"/>
      <c r="EP58" s="1"/>
      <c r="EQ58" s="1"/>
      <c r="ER58" s="1"/>
      <c r="ES58" s="1"/>
      <c r="ET58" s="1"/>
      <c r="EU58" s="1"/>
      <c r="EV58" s="1"/>
      <c r="EW58" s="1"/>
      <c r="EX58" s="1"/>
      <c r="EY58" s="1"/>
      <c r="EZ58" s="1"/>
      <c r="FA58" s="1"/>
      <c r="FB58" s="1"/>
      <c r="FC58" s="1"/>
      <c r="FD58" s="1"/>
      <c r="FE58" s="1"/>
      <c r="FF58" s="1"/>
      <c r="FG58" s="1"/>
      <c r="FH58" s="1"/>
      <c r="FI58" s="1"/>
      <c r="FJ58" s="1"/>
      <c r="FK58" s="1"/>
      <c r="FL58" s="1"/>
      <c r="FM58" s="1"/>
      <c r="FN58" s="1"/>
      <c r="FO58" s="1"/>
      <c r="FP58" s="1"/>
      <c r="FQ58" s="1"/>
      <c r="FR58" s="1"/>
      <c r="FS58" s="1"/>
      <c r="FT58" s="1"/>
      <c r="FU58" s="1"/>
      <c r="FV58" s="1"/>
      <c r="FW58" s="1"/>
      <c r="FX58" s="1"/>
      <c r="FY58" s="1"/>
      <c r="FZ58" s="1"/>
      <c r="GA58" s="1"/>
      <c r="GB58" s="1"/>
      <c r="GC58" s="1"/>
      <c r="GD58" s="1"/>
      <c r="GE58" s="1"/>
      <c r="GF58" s="1"/>
      <c r="GG58" s="1"/>
      <c r="GH58" s="1"/>
      <c r="GI58" s="1"/>
      <c r="GJ58" s="1"/>
      <c r="GK58" s="1"/>
      <c r="GL58" s="1"/>
      <c r="GM58" s="1"/>
      <c r="GN58" s="1"/>
      <c r="GO58" s="1"/>
      <c r="GP58" s="1"/>
      <c r="GQ58" s="1"/>
      <c r="GR58" s="1"/>
      <c r="GS58" s="1"/>
      <c r="GT58" s="1"/>
      <c r="GU58" s="1"/>
      <c r="GV58" s="1"/>
      <c r="GW58" s="1"/>
      <c r="GX58" s="1"/>
      <c r="GY58" s="1"/>
      <c r="GZ58" s="1"/>
      <c r="HA58" s="1"/>
      <c r="HB58" s="1"/>
      <c r="HC58" s="1"/>
      <c r="HD58" s="1"/>
      <c r="HE58" s="1"/>
      <c r="HF58" s="1"/>
      <c r="HG58" s="1"/>
      <c r="HH58" s="1"/>
      <c r="HI58" s="1"/>
      <c r="HJ58" s="1"/>
      <c r="HK58" s="1"/>
      <c r="HL58" s="1"/>
      <c r="HM58" s="1"/>
      <c r="HN58" s="1"/>
      <c r="HO58" s="1"/>
      <c r="HP58" s="1"/>
      <c r="HQ58" s="1"/>
      <c r="HR58" s="1"/>
      <c r="HS58" s="1"/>
      <c r="HT58" s="1"/>
      <c r="HU58" s="1"/>
      <c r="HV58" s="1"/>
      <c r="HW58" s="1"/>
      <c r="HX58" s="1"/>
      <c r="HY58" s="1"/>
      <c r="HZ58" s="1"/>
      <c r="IA58" s="1"/>
      <c r="IB58" s="1"/>
      <c r="IC58" s="1"/>
      <c r="ID58" s="1"/>
      <c r="IE58" s="1"/>
      <c r="IF58" s="1"/>
      <c r="IG58" s="1"/>
      <c r="IH58" s="1"/>
    </row>
    <row r="59" spans="1:242" x14ac:dyDescent="0.2">
      <c r="AB59" s="249"/>
      <c r="AC59" s="249"/>
      <c r="AD59" s="249"/>
      <c r="AE59" s="249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  <c r="AZ59" s="1"/>
      <c r="BA59" s="1"/>
      <c r="BB59" s="1"/>
      <c r="BC59" s="1"/>
      <c r="BD59" s="1"/>
      <c r="BE59" s="1"/>
      <c r="BF59" s="1"/>
      <c r="BG59" s="1"/>
      <c r="BH59" s="1"/>
      <c r="BI59" s="1"/>
      <c r="BJ59" s="1"/>
      <c r="BK59" s="1"/>
      <c r="BL59" s="1"/>
      <c r="BM59" s="1"/>
      <c r="BN59" s="1"/>
      <c r="BO59" s="1"/>
      <c r="BP59" s="1"/>
      <c r="BQ59" s="1"/>
      <c r="BR59" s="1"/>
      <c r="BS59" s="1"/>
      <c r="BT59" s="1"/>
      <c r="BU59" s="1"/>
      <c r="BV59" s="1"/>
      <c r="BW59" s="1"/>
      <c r="BX59" s="1"/>
      <c r="BY59" s="1"/>
      <c r="BZ59" s="1"/>
      <c r="CA59" s="1"/>
      <c r="CB59" s="1"/>
      <c r="CC59" s="1"/>
      <c r="CD59" s="1"/>
      <c r="CE59" s="1"/>
      <c r="CF59" s="1"/>
      <c r="CG59" s="1"/>
      <c r="CH59" s="1"/>
      <c r="CI59" s="1"/>
      <c r="CJ59" s="1"/>
      <c r="CK59" s="1"/>
      <c r="CL59" s="1"/>
      <c r="CM59" s="1"/>
      <c r="CN59" s="1"/>
      <c r="CO59" s="1"/>
      <c r="CP59" s="1"/>
      <c r="CQ59" s="1"/>
      <c r="CR59" s="1"/>
      <c r="CS59" s="1"/>
      <c r="CT59" s="1"/>
      <c r="CU59" s="1"/>
      <c r="CV59" s="1"/>
      <c r="CW59" s="1"/>
      <c r="CX59" s="1"/>
      <c r="CY59" s="1"/>
      <c r="CZ59" s="1"/>
      <c r="DA59" s="1"/>
      <c r="DB59" s="1"/>
      <c r="DC59" s="1"/>
      <c r="DD59" s="1"/>
      <c r="DE59" s="1"/>
      <c r="DF59" s="1"/>
      <c r="DG59" s="1"/>
      <c r="DH59" s="1"/>
      <c r="DI59" s="1"/>
      <c r="DJ59" s="1"/>
      <c r="DK59" s="1"/>
      <c r="DL59" s="1"/>
      <c r="DM59" s="1"/>
      <c r="DN59" s="1"/>
      <c r="DO59" s="1"/>
      <c r="DP59" s="1"/>
      <c r="DQ59" s="1"/>
      <c r="DR59" s="1"/>
      <c r="DS59" s="1"/>
      <c r="DT59" s="1"/>
      <c r="DU59" s="1"/>
      <c r="DV59" s="1"/>
      <c r="DW59" s="1"/>
      <c r="DX59" s="1"/>
      <c r="DY59" s="1"/>
      <c r="DZ59" s="1"/>
      <c r="EA59" s="1"/>
      <c r="EB59" s="1"/>
      <c r="EC59" s="1"/>
      <c r="ED59" s="1"/>
      <c r="EE59" s="1"/>
      <c r="EF59" s="1"/>
      <c r="EG59" s="1"/>
      <c r="EH59" s="1"/>
      <c r="EI59" s="1"/>
      <c r="EJ59" s="1"/>
      <c r="EK59" s="1"/>
      <c r="EL59" s="1"/>
      <c r="EM59" s="1"/>
      <c r="EN59" s="1"/>
      <c r="EO59" s="1"/>
      <c r="EP59" s="1"/>
      <c r="EQ59" s="1"/>
      <c r="ER59" s="1"/>
      <c r="ES59" s="1"/>
      <c r="ET59" s="1"/>
      <c r="EU59" s="1"/>
      <c r="EV59" s="1"/>
      <c r="EW59" s="1"/>
      <c r="EX59" s="1"/>
      <c r="EY59" s="1"/>
      <c r="EZ59" s="1"/>
      <c r="FA59" s="1"/>
      <c r="FB59" s="1"/>
      <c r="FC59" s="1"/>
      <c r="FD59" s="1"/>
      <c r="FE59" s="1"/>
      <c r="FF59" s="1"/>
      <c r="FG59" s="1"/>
      <c r="FH59" s="1"/>
      <c r="FI59" s="1"/>
      <c r="FJ59" s="1"/>
      <c r="FK59" s="1"/>
      <c r="FL59" s="1"/>
      <c r="FM59" s="1"/>
      <c r="FN59" s="1"/>
      <c r="FO59" s="1"/>
      <c r="FP59" s="1"/>
      <c r="FQ59" s="1"/>
      <c r="FR59" s="1"/>
      <c r="FS59" s="1"/>
      <c r="FT59" s="1"/>
      <c r="FU59" s="1"/>
      <c r="FV59" s="1"/>
      <c r="FW59" s="1"/>
      <c r="FX59" s="1"/>
      <c r="FY59" s="1"/>
      <c r="FZ59" s="1"/>
      <c r="GA59" s="1"/>
      <c r="GB59" s="1"/>
      <c r="GC59" s="1"/>
      <c r="GD59" s="1"/>
      <c r="GE59" s="1"/>
      <c r="GF59" s="1"/>
      <c r="GG59" s="1"/>
      <c r="GH59" s="1"/>
      <c r="GI59" s="1"/>
      <c r="GJ59" s="1"/>
      <c r="GK59" s="1"/>
      <c r="GL59" s="1"/>
      <c r="GM59" s="1"/>
      <c r="GN59" s="1"/>
      <c r="GO59" s="1"/>
      <c r="GP59" s="1"/>
      <c r="GQ59" s="1"/>
      <c r="GR59" s="1"/>
      <c r="GS59" s="1"/>
      <c r="GT59" s="1"/>
      <c r="GU59" s="1"/>
      <c r="GV59" s="1"/>
      <c r="GW59" s="1"/>
      <c r="GX59" s="1"/>
      <c r="GY59" s="1"/>
      <c r="GZ59" s="1"/>
      <c r="HA59" s="1"/>
      <c r="HB59" s="1"/>
      <c r="HC59" s="1"/>
      <c r="HD59" s="1"/>
      <c r="HE59" s="1"/>
      <c r="HF59" s="1"/>
      <c r="HG59" s="1"/>
      <c r="HH59" s="1"/>
      <c r="HI59" s="1"/>
      <c r="HJ59" s="1"/>
      <c r="HK59" s="1"/>
      <c r="HL59" s="1"/>
      <c r="HM59" s="1"/>
      <c r="HN59" s="1"/>
      <c r="HO59" s="1"/>
      <c r="HP59" s="1"/>
      <c r="HQ59" s="1"/>
      <c r="HR59" s="1"/>
      <c r="HS59" s="1"/>
      <c r="HT59" s="1"/>
      <c r="HU59" s="1"/>
      <c r="HV59" s="1"/>
      <c r="HW59" s="1"/>
      <c r="HX59" s="1"/>
      <c r="HY59" s="1"/>
      <c r="HZ59" s="1"/>
      <c r="IA59" s="1"/>
      <c r="IB59" s="1"/>
      <c r="IC59" s="1"/>
      <c r="ID59" s="1"/>
      <c r="IE59" s="1"/>
      <c r="IF59" s="1"/>
      <c r="IG59" s="1"/>
      <c r="IH59" s="1"/>
    </row>
    <row r="60" spans="1:242" x14ac:dyDescent="0.2">
      <c r="AB60" s="249"/>
      <c r="AC60" s="249"/>
      <c r="AD60" s="249"/>
      <c r="AE60" s="249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  <c r="AZ60" s="1"/>
      <c r="BA60" s="1"/>
      <c r="BB60" s="1"/>
      <c r="BC60" s="1"/>
      <c r="BD60" s="1"/>
      <c r="BE60" s="1"/>
      <c r="BF60" s="1"/>
      <c r="BG60" s="1"/>
      <c r="BH60" s="1"/>
      <c r="BI60" s="1"/>
      <c r="BJ60" s="1"/>
      <c r="BK60" s="1"/>
      <c r="BL60" s="1"/>
      <c r="BM60" s="1"/>
      <c r="BN60" s="1"/>
      <c r="BO60" s="1"/>
      <c r="BP60" s="1"/>
      <c r="BQ60" s="1"/>
      <c r="BR60" s="1"/>
      <c r="BS60" s="1"/>
      <c r="BT60" s="1"/>
      <c r="BU60" s="1"/>
      <c r="BV60" s="1"/>
      <c r="BW60" s="1"/>
      <c r="BX60" s="1"/>
      <c r="BY60" s="1"/>
      <c r="BZ60" s="1"/>
      <c r="CA60" s="1"/>
      <c r="CB60" s="1"/>
      <c r="CC60" s="1"/>
      <c r="CD60" s="1"/>
      <c r="CE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  <c r="CT60" s="1"/>
      <c r="CU60" s="1"/>
      <c r="CV60" s="1"/>
      <c r="CW60" s="1"/>
      <c r="CX60" s="1"/>
      <c r="CY60" s="1"/>
      <c r="CZ60" s="1"/>
      <c r="DA60" s="1"/>
      <c r="DB60" s="1"/>
      <c r="DC60" s="1"/>
      <c r="DD60" s="1"/>
      <c r="DE60" s="1"/>
      <c r="DF60" s="1"/>
      <c r="DG60" s="1"/>
      <c r="DH60" s="1"/>
      <c r="DI60" s="1"/>
      <c r="DJ60" s="1"/>
      <c r="DK60" s="1"/>
      <c r="DL60" s="1"/>
      <c r="DM60" s="1"/>
      <c r="DN60" s="1"/>
      <c r="DO60" s="1"/>
      <c r="DP60" s="1"/>
      <c r="DQ60" s="1"/>
      <c r="DR60" s="1"/>
      <c r="DS60" s="1"/>
      <c r="DT60" s="1"/>
      <c r="DU60" s="1"/>
      <c r="DV60" s="1"/>
      <c r="DW60" s="1"/>
      <c r="DX60" s="1"/>
      <c r="DY60" s="1"/>
      <c r="DZ60" s="1"/>
      <c r="EA60" s="1"/>
      <c r="EB60" s="1"/>
      <c r="EC60" s="1"/>
      <c r="ED60" s="1"/>
      <c r="EE60" s="1"/>
      <c r="EF60" s="1"/>
      <c r="EG60" s="1"/>
      <c r="EH60" s="1"/>
      <c r="EI60" s="1"/>
      <c r="EJ60" s="1"/>
      <c r="EK60" s="1"/>
      <c r="EL60" s="1"/>
      <c r="EM60" s="1"/>
      <c r="EN60" s="1"/>
      <c r="EO60" s="1"/>
      <c r="EP60" s="1"/>
      <c r="EQ60" s="1"/>
      <c r="ER60" s="1"/>
      <c r="ES60" s="1"/>
      <c r="ET60" s="1"/>
      <c r="EU60" s="1"/>
      <c r="EV60" s="1"/>
      <c r="EW60" s="1"/>
      <c r="EX60" s="1"/>
      <c r="EY60" s="1"/>
      <c r="EZ60" s="1"/>
      <c r="FA60" s="1"/>
      <c r="FB60" s="1"/>
      <c r="FC60" s="1"/>
      <c r="FD60" s="1"/>
      <c r="FE60" s="1"/>
      <c r="FF60" s="1"/>
      <c r="FG60" s="1"/>
      <c r="FH60" s="1"/>
      <c r="FI60" s="1"/>
      <c r="FJ60" s="1"/>
      <c r="FK60" s="1"/>
      <c r="FL60" s="1"/>
      <c r="FM60" s="1"/>
      <c r="FN60" s="1"/>
      <c r="FO60" s="1"/>
      <c r="FP60" s="1"/>
      <c r="FQ60" s="1"/>
      <c r="FR60" s="1"/>
      <c r="FS60" s="1"/>
      <c r="FT60" s="1"/>
      <c r="FU60" s="1"/>
      <c r="FV60" s="1"/>
      <c r="FW60" s="1"/>
      <c r="FX60" s="1"/>
      <c r="FY60" s="1"/>
      <c r="FZ60" s="1"/>
      <c r="GA60" s="1"/>
      <c r="GB60" s="1"/>
      <c r="GC60" s="1"/>
      <c r="GD60" s="1"/>
      <c r="GE60" s="1"/>
      <c r="GF60" s="1"/>
      <c r="GG60" s="1"/>
      <c r="GH60" s="1"/>
      <c r="GI60" s="1"/>
      <c r="GJ60" s="1"/>
      <c r="GK60" s="1"/>
      <c r="GL60" s="1"/>
      <c r="GM60" s="1"/>
      <c r="GN60" s="1"/>
      <c r="GO60" s="1"/>
      <c r="GP60" s="1"/>
      <c r="GQ60" s="1"/>
      <c r="GR60" s="1"/>
      <c r="GS60" s="1"/>
      <c r="GT60" s="1"/>
      <c r="GU60" s="1"/>
      <c r="GV60" s="1"/>
      <c r="GW60" s="1"/>
      <c r="GX60" s="1"/>
      <c r="GY60" s="1"/>
      <c r="GZ60" s="1"/>
      <c r="HA60" s="1"/>
      <c r="HB60" s="1"/>
      <c r="HC60" s="1"/>
      <c r="HD60" s="1"/>
      <c r="HE60" s="1"/>
      <c r="HF60" s="1"/>
      <c r="HG60" s="1"/>
      <c r="HH60" s="1"/>
      <c r="HI60" s="1"/>
      <c r="HJ60" s="1"/>
      <c r="HK60" s="1"/>
      <c r="HL60" s="1"/>
      <c r="HM60" s="1"/>
      <c r="HN60" s="1"/>
      <c r="HO60" s="1"/>
      <c r="HP60" s="1"/>
      <c r="HQ60" s="1"/>
      <c r="HR60" s="1"/>
      <c r="HS60" s="1"/>
      <c r="HT60" s="1"/>
      <c r="HU60" s="1"/>
      <c r="HV60" s="1"/>
      <c r="HW60" s="1"/>
      <c r="HX60" s="1"/>
      <c r="HY60" s="1"/>
      <c r="HZ60" s="1"/>
      <c r="IA60" s="1"/>
      <c r="IB60" s="1"/>
      <c r="IC60" s="1"/>
      <c r="ID60" s="1"/>
      <c r="IE60" s="1"/>
      <c r="IF60" s="1"/>
      <c r="IG60" s="1"/>
      <c r="IH60" s="1"/>
    </row>
    <row r="61" spans="1:242" x14ac:dyDescent="0.2">
      <c r="AB61" s="249"/>
      <c r="AC61" s="249"/>
      <c r="AD61" s="249"/>
      <c r="AE61" s="249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  <c r="BY61" s="1"/>
      <c r="BZ61" s="1"/>
      <c r="CA61" s="1"/>
      <c r="CB61" s="1"/>
      <c r="CC61" s="1"/>
      <c r="CD61" s="1"/>
      <c r="CE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  <c r="CT61" s="1"/>
      <c r="CU61" s="1"/>
      <c r="CV61" s="1"/>
      <c r="CW61" s="1"/>
      <c r="CX61" s="1"/>
      <c r="CY61" s="1"/>
      <c r="CZ61" s="1"/>
      <c r="DA61" s="1"/>
      <c r="DB61" s="1"/>
      <c r="DC61" s="1"/>
      <c r="DD61" s="1"/>
      <c r="DE61" s="1"/>
      <c r="DF61" s="1"/>
      <c r="DG61" s="1"/>
      <c r="DH61" s="1"/>
      <c r="DI61" s="1"/>
      <c r="DJ61" s="1"/>
      <c r="DK61" s="1"/>
      <c r="DL61" s="1"/>
      <c r="DM61" s="1"/>
      <c r="DN61" s="1"/>
      <c r="DO61" s="1"/>
      <c r="DP61" s="1"/>
      <c r="DQ61" s="1"/>
      <c r="DR61" s="1"/>
      <c r="DS61" s="1"/>
      <c r="DT61" s="1"/>
      <c r="DU61" s="1"/>
      <c r="DV61" s="1"/>
      <c r="DW61" s="1"/>
      <c r="DX61" s="1"/>
      <c r="DY61" s="1"/>
      <c r="DZ61" s="1"/>
      <c r="EA61" s="1"/>
      <c r="EB61" s="1"/>
      <c r="EC61" s="1"/>
      <c r="ED61" s="1"/>
      <c r="EE61" s="1"/>
      <c r="EF61" s="1"/>
      <c r="EG61" s="1"/>
      <c r="EH61" s="1"/>
      <c r="EI61" s="1"/>
      <c r="EJ61" s="1"/>
      <c r="EK61" s="1"/>
      <c r="EL61" s="1"/>
      <c r="EM61" s="1"/>
      <c r="EN61" s="1"/>
      <c r="EO61" s="1"/>
      <c r="EP61" s="1"/>
      <c r="EQ61" s="1"/>
      <c r="ER61" s="1"/>
      <c r="ES61" s="1"/>
      <c r="ET61" s="1"/>
      <c r="EU61" s="1"/>
      <c r="EV61" s="1"/>
      <c r="EW61" s="1"/>
      <c r="EX61" s="1"/>
      <c r="EY61" s="1"/>
      <c r="EZ61" s="1"/>
      <c r="FA61" s="1"/>
      <c r="FB61" s="1"/>
      <c r="FC61" s="1"/>
      <c r="FD61" s="1"/>
      <c r="FE61" s="1"/>
      <c r="FF61" s="1"/>
      <c r="FG61" s="1"/>
      <c r="FH61" s="1"/>
      <c r="FI61" s="1"/>
      <c r="FJ61" s="1"/>
      <c r="FK61" s="1"/>
      <c r="FL61" s="1"/>
      <c r="FM61" s="1"/>
      <c r="FN61" s="1"/>
      <c r="FO61" s="1"/>
      <c r="FP61" s="1"/>
      <c r="FQ61" s="1"/>
      <c r="FR61" s="1"/>
      <c r="FS61" s="1"/>
      <c r="FT61" s="1"/>
      <c r="FU61" s="1"/>
      <c r="FV61" s="1"/>
      <c r="FW61" s="1"/>
      <c r="FX61" s="1"/>
      <c r="FY61" s="1"/>
      <c r="FZ61" s="1"/>
      <c r="GA61" s="1"/>
      <c r="GB61" s="1"/>
      <c r="GC61" s="1"/>
      <c r="GD61" s="1"/>
      <c r="GE61" s="1"/>
      <c r="GF61" s="1"/>
      <c r="GG61" s="1"/>
      <c r="GH61" s="1"/>
      <c r="GI61" s="1"/>
      <c r="GJ61" s="1"/>
      <c r="GK61" s="1"/>
      <c r="GL61" s="1"/>
      <c r="GM61" s="1"/>
      <c r="GN61" s="1"/>
      <c r="GO61" s="1"/>
      <c r="GP61" s="1"/>
      <c r="GQ61" s="1"/>
      <c r="GR61" s="1"/>
      <c r="GS61" s="1"/>
      <c r="GT61" s="1"/>
      <c r="GU61" s="1"/>
      <c r="GV61" s="1"/>
      <c r="GW61" s="1"/>
      <c r="GX61" s="1"/>
      <c r="GY61" s="1"/>
      <c r="GZ61" s="1"/>
      <c r="HA61" s="1"/>
      <c r="HB61" s="1"/>
      <c r="HC61" s="1"/>
      <c r="HD61" s="1"/>
      <c r="HE61" s="1"/>
      <c r="HF61" s="1"/>
      <c r="HG61" s="1"/>
      <c r="HH61" s="1"/>
      <c r="HI61" s="1"/>
      <c r="HJ61" s="1"/>
      <c r="HK61" s="1"/>
      <c r="HL61" s="1"/>
      <c r="HM61" s="1"/>
      <c r="HN61" s="1"/>
      <c r="HO61" s="1"/>
      <c r="HP61" s="1"/>
      <c r="HQ61" s="1"/>
      <c r="HR61" s="1"/>
      <c r="HS61" s="1"/>
      <c r="HT61" s="1"/>
      <c r="HU61" s="1"/>
      <c r="HV61" s="1"/>
      <c r="HW61" s="1"/>
      <c r="HX61" s="1"/>
      <c r="HY61" s="1"/>
      <c r="HZ61" s="1"/>
      <c r="IA61" s="1"/>
      <c r="IB61" s="1"/>
      <c r="IC61" s="1"/>
      <c r="ID61" s="1"/>
      <c r="IE61" s="1"/>
      <c r="IF61" s="1"/>
      <c r="IG61" s="1"/>
      <c r="IH61" s="1"/>
    </row>
    <row r="62" spans="1:242" x14ac:dyDescent="0.2">
      <c r="AB62" s="249"/>
      <c r="AC62" s="249"/>
      <c r="AD62" s="249"/>
      <c r="AE62" s="249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  <c r="AZ62" s="1"/>
      <c r="BA62" s="1"/>
      <c r="BB62" s="1"/>
      <c r="BC62" s="1"/>
      <c r="BD62" s="1"/>
      <c r="BE62" s="1"/>
      <c r="BF62" s="1"/>
      <c r="BG62" s="1"/>
      <c r="BH62" s="1"/>
      <c r="BI62" s="1"/>
      <c r="BJ62" s="1"/>
      <c r="BK62" s="1"/>
      <c r="BL62" s="1"/>
      <c r="BM62" s="1"/>
      <c r="BN62" s="1"/>
      <c r="BO62" s="1"/>
      <c r="BP62" s="1"/>
      <c r="BQ62" s="1"/>
      <c r="BR62" s="1"/>
      <c r="BS62" s="1"/>
      <c r="BT62" s="1"/>
      <c r="BU62" s="1"/>
      <c r="BV62" s="1"/>
      <c r="BW62" s="1"/>
      <c r="BX62" s="1"/>
      <c r="BY62" s="1"/>
      <c r="BZ62" s="1"/>
      <c r="CA62" s="1"/>
      <c r="CB62" s="1"/>
      <c r="CC62" s="1"/>
      <c r="CD62" s="1"/>
      <c r="CE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  <c r="CT62" s="1"/>
      <c r="CU62" s="1"/>
      <c r="CV62" s="1"/>
      <c r="CW62" s="1"/>
      <c r="CX62" s="1"/>
      <c r="CY62" s="1"/>
      <c r="CZ62" s="1"/>
      <c r="DA62" s="1"/>
      <c r="DB62" s="1"/>
      <c r="DC62" s="1"/>
      <c r="DD62" s="1"/>
      <c r="DE62" s="1"/>
      <c r="DF62" s="1"/>
      <c r="DG62" s="1"/>
      <c r="DH62" s="1"/>
      <c r="DI62" s="1"/>
      <c r="DJ62" s="1"/>
      <c r="DK62" s="1"/>
      <c r="DL62" s="1"/>
      <c r="DM62" s="1"/>
      <c r="DN62" s="1"/>
      <c r="DO62" s="1"/>
      <c r="DP62" s="1"/>
      <c r="DQ62" s="1"/>
      <c r="DR62" s="1"/>
      <c r="DS62" s="1"/>
      <c r="DT62" s="1"/>
      <c r="DU62" s="1"/>
      <c r="DV62" s="1"/>
      <c r="DW62" s="1"/>
      <c r="DX62" s="1"/>
      <c r="DY62" s="1"/>
      <c r="DZ62" s="1"/>
      <c r="EA62" s="1"/>
      <c r="EB62" s="1"/>
      <c r="EC62" s="1"/>
      <c r="ED62" s="1"/>
      <c r="EE62" s="1"/>
      <c r="EF62" s="1"/>
      <c r="EG62" s="1"/>
      <c r="EH62" s="1"/>
      <c r="EI62" s="1"/>
      <c r="EJ62" s="1"/>
      <c r="EK62" s="1"/>
      <c r="EL62" s="1"/>
      <c r="EM62" s="1"/>
      <c r="EN62" s="1"/>
      <c r="EO62" s="1"/>
      <c r="EP62" s="1"/>
      <c r="EQ62" s="1"/>
      <c r="ER62" s="1"/>
      <c r="ES62" s="1"/>
      <c r="ET62" s="1"/>
      <c r="EU62" s="1"/>
      <c r="EV62" s="1"/>
      <c r="EW62" s="1"/>
      <c r="EX62" s="1"/>
      <c r="EY62" s="1"/>
      <c r="EZ62" s="1"/>
      <c r="FA62" s="1"/>
      <c r="FB62" s="1"/>
      <c r="FC62" s="1"/>
      <c r="FD62" s="1"/>
      <c r="FE62" s="1"/>
      <c r="FF62" s="1"/>
      <c r="FG62" s="1"/>
      <c r="FH62" s="1"/>
      <c r="FI62" s="1"/>
      <c r="FJ62" s="1"/>
      <c r="FK62" s="1"/>
      <c r="FL62" s="1"/>
      <c r="FM62" s="1"/>
      <c r="FN62" s="1"/>
      <c r="FO62" s="1"/>
      <c r="FP62" s="1"/>
      <c r="FQ62" s="1"/>
      <c r="FR62" s="1"/>
      <c r="FS62" s="1"/>
      <c r="FT62" s="1"/>
      <c r="FU62" s="1"/>
      <c r="FV62" s="1"/>
      <c r="FW62" s="1"/>
      <c r="FX62" s="1"/>
      <c r="FY62" s="1"/>
      <c r="FZ62" s="1"/>
      <c r="GA62" s="1"/>
      <c r="GB62" s="1"/>
      <c r="GC62" s="1"/>
      <c r="GD62" s="1"/>
      <c r="GE62" s="1"/>
      <c r="GF62" s="1"/>
      <c r="GG62" s="1"/>
      <c r="GH62" s="1"/>
      <c r="GI62" s="1"/>
      <c r="GJ62" s="1"/>
      <c r="GK62" s="1"/>
      <c r="GL62" s="1"/>
      <c r="GM62" s="1"/>
      <c r="GN62" s="1"/>
      <c r="GO62" s="1"/>
      <c r="GP62" s="1"/>
      <c r="GQ62" s="1"/>
      <c r="GR62" s="1"/>
      <c r="GS62" s="1"/>
      <c r="GT62" s="1"/>
      <c r="GU62" s="1"/>
      <c r="GV62" s="1"/>
      <c r="GW62" s="1"/>
      <c r="GX62" s="1"/>
      <c r="GY62" s="1"/>
      <c r="GZ62" s="1"/>
      <c r="HA62" s="1"/>
      <c r="HB62" s="1"/>
      <c r="HC62" s="1"/>
      <c r="HD62" s="1"/>
      <c r="HE62" s="1"/>
      <c r="HF62" s="1"/>
      <c r="HG62" s="1"/>
      <c r="HH62" s="1"/>
      <c r="HI62" s="1"/>
      <c r="HJ62" s="1"/>
      <c r="HK62" s="1"/>
      <c r="HL62" s="1"/>
      <c r="HM62" s="1"/>
      <c r="HN62" s="1"/>
      <c r="HO62" s="1"/>
      <c r="HP62" s="1"/>
      <c r="HQ62" s="1"/>
      <c r="HR62" s="1"/>
      <c r="HS62" s="1"/>
      <c r="HT62" s="1"/>
      <c r="HU62" s="1"/>
      <c r="HV62" s="1"/>
      <c r="HW62" s="1"/>
      <c r="HX62" s="1"/>
      <c r="HY62" s="1"/>
      <c r="HZ62" s="1"/>
      <c r="IA62" s="1"/>
      <c r="IB62" s="1"/>
      <c r="IC62" s="1"/>
      <c r="ID62" s="1"/>
      <c r="IE62" s="1"/>
      <c r="IF62" s="1"/>
      <c r="IG62" s="1"/>
      <c r="IH62" s="1"/>
    </row>
    <row r="63" spans="1:242" x14ac:dyDescent="0.2">
      <c r="AB63" s="249"/>
      <c r="AC63" s="249"/>
      <c r="AD63" s="249"/>
      <c r="AE63" s="249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  <c r="AZ63" s="1"/>
      <c r="BA63" s="1"/>
      <c r="BB63" s="1"/>
      <c r="BC63" s="1"/>
      <c r="BD63" s="1"/>
      <c r="BE63" s="1"/>
      <c r="BF63" s="1"/>
      <c r="BG63" s="1"/>
      <c r="BH63" s="1"/>
      <c r="BI63" s="1"/>
      <c r="BJ63" s="1"/>
      <c r="BK63" s="1"/>
      <c r="BL63" s="1"/>
      <c r="BM63" s="1"/>
      <c r="BN63" s="1"/>
      <c r="BO63" s="1"/>
      <c r="BP63" s="1"/>
      <c r="BQ63" s="1"/>
      <c r="BR63" s="1"/>
      <c r="BS63" s="1"/>
      <c r="BT63" s="1"/>
      <c r="BU63" s="1"/>
      <c r="BV63" s="1"/>
      <c r="BW63" s="1"/>
      <c r="BX63" s="1"/>
      <c r="BY63" s="1"/>
      <c r="BZ63" s="1"/>
      <c r="CA63" s="1"/>
      <c r="CB63" s="1"/>
      <c r="CC63" s="1"/>
      <c r="CD63" s="1"/>
      <c r="CE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  <c r="CT63" s="1"/>
      <c r="CU63" s="1"/>
      <c r="CV63" s="1"/>
      <c r="CW63" s="1"/>
      <c r="CX63" s="1"/>
      <c r="CY63" s="1"/>
      <c r="CZ63" s="1"/>
      <c r="DA63" s="1"/>
      <c r="DB63" s="1"/>
      <c r="DC63" s="1"/>
      <c r="DD63" s="1"/>
      <c r="DE63" s="1"/>
      <c r="DF63" s="1"/>
      <c r="DG63" s="1"/>
      <c r="DH63" s="1"/>
      <c r="DI63" s="1"/>
      <c r="DJ63" s="1"/>
      <c r="DK63" s="1"/>
      <c r="DL63" s="1"/>
      <c r="DM63" s="1"/>
      <c r="DN63" s="1"/>
      <c r="DO63" s="1"/>
      <c r="DP63" s="1"/>
      <c r="DQ63" s="1"/>
      <c r="DR63" s="1"/>
      <c r="DS63" s="1"/>
      <c r="DT63" s="1"/>
      <c r="DU63" s="1"/>
      <c r="DV63" s="1"/>
      <c r="DW63" s="1"/>
      <c r="DX63" s="1"/>
      <c r="DY63" s="1"/>
      <c r="DZ63" s="1"/>
      <c r="EA63" s="1"/>
      <c r="EB63" s="1"/>
      <c r="EC63" s="1"/>
      <c r="ED63" s="1"/>
      <c r="EE63" s="1"/>
      <c r="EF63" s="1"/>
      <c r="EG63" s="1"/>
      <c r="EH63" s="1"/>
      <c r="EI63" s="1"/>
      <c r="EJ63" s="1"/>
      <c r="EK63" s="1"/>
      <c r="EL63" s="1"/>
      <c r="EM63" s="1"/>
      <c r="EN63" s="1"/>
      <c r="EO63" s="1"/>
      <c r="EP63" s="1"/>
      <c r="EQ63" s="1"/>
      <c r="ER63" s="1"/>
      <c r="ES63" s="1"/>
      <c r="ET63" s="1"/>
      <c r="EU63" s="1"/>
      <c r="EV63" s="1"/>
      <c r="EW63" s="1"/>
      <c r="EX63" s="1"/>
      <c r="EY63" s="1"/>
      <c r="EZ63" s="1"/>
      <c r="FA63" s="1"/>
      <c r="FB63" s="1"/>
      <c r="FC63" s="1"/>
      <c r="FD63" s="1"/>
      <c r="FE63" s="1"/>
      <c r="FF63" s="1"/>
      <c r="FG63" s="1"/>
      <c r="FH63" s="1"/>
      <c r="FI63" s="1"/>
      <c r="FJ63" s="1"/>
      <c r="FK63" s="1"/>
      <c r="FL63" s="1"/>
      <c r="FM63" s="1"/>
      <c r="FN63" s="1"/>
      <c r="FO63" s="1"/>
      <c r="FP63" s="1"/>
      <c r="FQ63" s="1"/>
      <c r="FR63" s="1"/>
      <c r="FS63" s="1"/>
      <c r="FT63" s="1"/>
      <c r="FU63" s="1"/>
      <c r="FV63" s="1"/>
      <c r="FW63" s="1"/>
      <c r="FX63" s="1"/>
      <c r="FY63" s="1"/>
      <c r="FZ63" s="1"/>
      <c r="GA63" s="1"/>
      <c r="GB63" s="1"/>
      <c r="GC63" s="1"/>
      <c r="GD63" s="1"/>
      <c r="GE63" s="1"/>
      <c r="GF63" s="1"/>
      <c r="GG63" s="1"/>
      <c r="GH63" s="1"/>
      <c r="GI63" s="1"/>
      <c r="GJ63" s="1"/>
      <c r="GK63" s="1"/>
      <c r="GL63" s="1"/>
      <c r="GM63" s="1"/>
      <c r="GN63" s="1"/>
      <c r="GO63" s="1"/>
      <c r="GP63" s="1"/>
      <c r="GQ63" s="1"/>
      <c r="GR63" s="1"/>
      <c r="GS63" s="1"/>
      <c r="GT63" s="1"/>
      <c r="GU63" s="1"/>
      <c r="GV63" s="1"/>
      <c r="GW63" s="1"/>
      <c r="GX63" s="1"/>
      <c r="GY63" s="1"/>
      <c r="GZ63" s="1"/>
      <c r="HA63" s="1"/>
      <c r="HB63" s="1"/>
      <c r="HC63" s="1"/>
      <c r="HD63" s="1"/>
      <c r="HE63" s="1"/>
      <c r="HF63" s="1"/>
      <c r="HG63" s="1"/>
      <c r="HH63" s="1"/>
      <c r="HI63" s="1"/>
      <c r="HJ63" s="1"/>
      <c r="HK63" s="1"/>
      <c r="HL63" s="1"/>
      <c r="HM63" s="1"/>
      <c r="HN63" s="1"/>
      <c r="HO63" s="1"/>
      <c r="HP63" s="1"/>
      <c r="HQ63" s="1"/>
      <c r="HR63" s="1"/>
      <c r="HS63" s="1"/>
      <c r="HT63" s="1"/>
      <c r="HU63" s="1"/>
      <c r="HV63" s="1"/>
      <c r="HW63" s="1"/>
      <c r="HX63" s="1"/>
      <c r="HY63" s="1"/>
      <c r="HZ63" s="1"/>
      <c r="IA63" s="1"/>
      <c r="IB63" s="1"/>
      <c r="IC63" s="1"/>
      <c r="ID63" s="1"/>
      <c r="IE63" s="1"/>
      <c r="IF63" s="1"/>
      <c r="IG63" s="1"/>
      <c r="IH63" s="1"/>
    </row>
    <row r="64" spans="1:242" x14ac:dyDescent="0.2">
      <c r="B64" t="s">
        <v>230</v>
      </c>
      <c r="D64">
        <v>1500</v>
      </c>
      <c r="E64">
        <v>1800</v>
      </c>
      <c r="F64">
        <v>850</v>
      </c>
      <c r="G64">
        <v>6</v>
      </c>
      <c r="H64" t="s">
        <v>217</v>
      </c>
      <c r="AB64" s="249"/>
      <c r="AC64" s="249"/>
      <c r="AD64" s="249"/>
      <c r="AE64" s="249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  <c r="AZ64" s="1"/>
      <c r="BA64" s="1"/>
      <c r="BB64" s="1"/>
      <c r="BC64" s="1"/>
      <c r="BD64" s="1"/>
      <c r="BE64" s="1"/>
      <c r="BF64" s="1"/>
      <c r="BG64" s="1"/>
      <c r="BH64" s="1"/>
      <c r="BI64" s="1"/>
      <c r="BJ64" s="1"/>
      <c r="BK64" s="1"/>
      <c r="BL64" s="1"/>
      <c r="BM64" s="1"/>
      <c r="BN64" s="1"/>
      <c r="BO64" s="1"/>
      <c r="BP64" s="1"/>
      <c r="BQ64" s="1"/>
      <c r="BR64" s="1"/>
      <c r="BS64" s="1"/>
      <c r="BT64" s="1"/>
      <c r="BU64" s="1"/>
      <c r="BV64" s="1"/>
      <c r="BW64" s="1"/>
      <c r="BX64" s="1"/>
      <c r="BY64" s="1"/>
      <c r="BZ64" s="1"/>
      <c r="CA64" s="1"/>
      <c r="CB64" s="1"/>
      <c r="CC64" s="1"/>
      <c r="CD64" s="1"/>
      <c r="CE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  <c r="CT64" s="1"/>
      <c r="CU64" s="1"/>
      <c r="CV64" s="1"/>
      <c r="CW64" s="1"/>
      <c r="CX64" s="1"/>
      <c r="CY64" s="1"/>
      <c r="CZ64" s="1"/>
      <c r="DA64" s="1"/>
      <c r="DB64" s="1"/>
      <c r="DC64" s="1"/>
      <c r="DD64" s="1"/>
      <c r="DE64" s="1"/>
      <c r="DF64" s="1"/>
      <c r="DG64" s="1"/>
      <c r="DH64" s="1"/>
      <c r="DI64" s="1"/>
      <c r="DJ64" s="1"/>
      <c r="DK64" s="1"/>
      <c r="DL64" s="1"/>
      <c r="DM64" s="1"/>
      <c r="DN64" s="1"/>
      <c r="DO64" s="1"/>
      <c r="DP64" s="1"/>
      <c r="DQ64" s="1"/>
      <c r="DR64" s="1"/>
      <c r="DS64" s="1"/>
      <c r="DT64" s="1"/>
      <c r="DU64" s="1"/>
      <c r="DV64" s="1"/>
      <c r="DW64" s="1"/>
      <c r="DX64" s="1"/>
      <c r="DY64" s="1"/>
      <c r="DZ64" s="1"/>
      <c r="EA64" s="1"/>
      <c r="EB64" s="1"/>
      <c r="EC64" s="1"/>
      <c r="ED64" s="1"/>
      <c r="EE64" s="1"/>
      <c r="EF64" s="1"/>
      <c r="EG64" s="1"/>
      <c r="EH64" s="1"/>
      <c r="EI64" s="1"/>
      <c r="EJ64" s="1"/>
      <c r="EK64" s="1"/>
      <c r="EL64" s="1"/>
      <c r="EM64" s="1"/>
      <c r="EN64" s="1"/>
      <c r="EO64" s="1"/>
      <c r="EP64" s="1"/>
      <c r="EQ64" s="1"/>
      <c r="ER64" s="1"/>
      <c r="ES64" s="1"/>
      <c r="ET64" s="1"/>
      <c r="EU64" s="1"/>
      <c r="EV64" s="1"/>
      <c r="EW64" s="1"/>
      <c r="EX64" s="1"/>
      <c r="EY64" s="1"/>
      <c r="EZ64" s="1"/>
      <c r="FA64" s="1"/>
      <c r="FB64" s="1"/>
      <c r="FC64" s="1"/>
      <c r="FD64" s="1"/>
      <c r="FE64" s="1"/>
      <c r="FF64" s="1"/>
      <c r="FG64" s="1"/>
      <c r="FH64" s="1"/>
      <c r="FI64" s="1"/>
      <c r="FJ64" s="1"/>
      <c r="FK64" s="1"/>
      <c r="FL64" s="1"/>
      <c r="FM64" s="1"/>
      <c r="FN64" s="1"/>
      <c r="FO64" s="1"/>
      <c r="FP64" s="1"/>
      <c r="FQ64" s="1"/>
      <c r="FR64" s="1"/>
      <c r="FS64" s="1"/>
      <c r="FT64" s="1"/>
      <c r="FU64" s="1"/>
      <c r="FV64" s="1"/>
      <c r="FW64" s="1"/>
      <c r="FX64" s="1"/>
      <c r="FY64" s="1"/>
      <c r="FZ64" s="1"/>
      <c r="GA64" s="1"/>
      <c r="GB64" s="1"/>
      <c r="GC64" s="1"/>
      <c r="GD64" s="1"/>
      <c r="GE64" s="1"/>
      <c r="GF64" s="1"/>
      <c r="GG64" s="1"/>
      <c r="GH64" s="1"/>
      <c r="GI64" s="1"/>
      <c r="GJ64" s="1"/>
      <c r="GK64" s="1"/>
      <c r="GL64" s="1"/>
      <c r="GM64" s="1"/>
      <c r="GN64" s="1"/>
      <c r="GO64" s="1"/>
      <c r="GP64" s="1"/>
      <c r="GQ64" s="1"/>
      <c r="GR64" s="1"/>
      <c r="GS64" s="1"/>
      <c r="GT64" s="1"/>
      <c r="GU64" s="1"/>
      <c r="GV64" s="1"/>
      <c r="GW64" s="1"/>
      <c r="GX64" s="1"/>
      <c r="GY64" s="1"/>
      <c r="GZ64" s="1"/>
      <c r="HA64" s="1"/>
      <c r="HB64" s="1"/>
      <c r="HC64" s="1"/>
      <c r="HD64" s="1"/>
      <c r="HE64" s="1"/>
      <c r="HF64" s="1"/>
      <c r="HG64" s="1"/>
      <c r="HH64" s="1"/>
      <c r="HI64" s="1"/>
      <c r="HJ64" s="1"/>
      <c r="HK64" s="1"/>
      <c r="HL64" s="1"/>
      <c r="HM64" s="1"/>
      <c r="HN64" s="1"/>
      <c r="HO64" s="1"/>
      <c r="HP64" s="1"/>
      <c r="HQ64" s="1"/>
      <c r="HR64" s="1"/>
      <c r="HS64" s="1"/>
      <c r="HT64" s="1"/>
      <c r="HU64" s="1"/>
      <c r="HV64" s="1"/>
      <c r="HW64" s="1"/>
      <c r="HX64" s="1"/>
      <c r="HY64" s="1"/>
      <c r="HZ64" s="1"/>
      <c r="IA64" s="1"/>
      <c r="IB64" s="1"/>
      <c r="IC64" s="1"/>
      <c r="ID64" s="1"/>
      <c r="IE64" s="1"/>
      <c r="IF64" s="1"/>
      <c r="IG64" s="1"/>
      <c r="IH64" s="1"/>
    </row>
    <row r="65" spans="2:242" x14ac:dyDescent="0.2">
      <c r="B65" t="s">
        <v>229</v>
      </c>
      <c r="D65">
        <v>1400</v>
      </c>
      <c r="E65">
        <v>1800</v>
      </c>
      <c r="F65">
        <v>1500</v>
      </c>
      <c r="G65">
        <v>10</v>
      </c>
      <c r="H65" t="s">
        <v>217</v>
      </c>
      <c r="AB65" s="249"/>
      <c r="AC65" s="249"/>
      <c r="AD65" s="249"/>
      <c r="AE65" s="249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  <c r="AZ65" s="1"/>
      <c r="BA65" s="1"/>
      <c r="BB65" s="1"/>
      <c r="BC65" s="1"/>
      <c r="BD65" s="1"/>
      <c r="BE65" s="1"/>
      <c r="BF65" s="1"/>
      <c r="BG65" s="1"/>
      <c r="BH65" s="1"/>
      <c r="BI65" s="1"/>
      <c r="BJ65" s="1"/>
      <c r="BK65" s="1"/>
      <c r="BL65" s="1"/>
      <c r="BM65" s="1"/>
      <c r="BN65" s="1"/>
      <c r="BO65" s="1"/>
      <c r="BP65" s="1"/>
      <c r="BQ65" s="1"/>
      <c r="BR65" s="1"/>
      <c r="BS65" s="1"/>
      <c r="BT65" s="1"/>
      <c r="BU65" s="1"/>
      <c r="BV65" s="1"/>
      <c r="BW65" s="1"/>
      <c r="BX65" s="1"/>
      <c r="BY65" s="1"/>
      <c r="BZ65" s="1"/>
      <c r="CA65" s="1"/>
      <c r="CB65" s="1"/>
      <c r="CC65" s="1"/>
      <c r="CD65" s="1"/>
      <c r="CE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  <c r="CT65" s="1"/>
      <c r="CU65" s="1"/>
      <c r="CV65" s="1"/>
      <c r="CW65" s="1"/>
      <c r="CX65" s="1"/>
      <c r="CY65" s="1"/>
      <c r="CZ65" s="1"/>
      <c r="DA65" s="1"/>
      <c r="DB65" s="1"/>
      <c r="DC65" s="1"/>
      <c r="DD65" s="1"/>
      <c r="DE65" s="1"/>
      <c r="DF65" s="1"/>
      <c r="DG65" s="1"/>
      <c r="DH65" s="1"/>
      <c r="DI65" s="1"/>
      <c r="DJ65" s="1"/>
      <c r="DK65" s="1"/>
      <c r="DL65" s="1"/>
      <c r="DM65" s="1"/>
      <c r="DN65" s="1"/>
      <c r="DO65" s="1"/>
      <c r="DP65" s="1"/>
      <c r="DQ65" s="1"/>
      <c r="DR65" s="1"/>
      <c r="DS65" s="1"/>
      <c r="DT65" s="1"/>
      <c r="DU65" s="1"/>
      <c r="DV65" s="1"/>
      <c r="DW65" s="1"/>
      <c r="DX65" s="1"/>
      <c r="DY65" s="1"/>
      <c r="DZ65" s="1"/>
      <c r="EA65" s="1"/>
      <c r="EB65" s="1"/>
      <c r="EC65" s="1"/>
      <c r="ED65" s="1"/>
      <c r="EE65" s="1"/>
      <c r="EF65" s="1"/>
      <c r="EG65" s="1"/>
      <c r="EH65" s="1"/>
      <c r="EI65" s="1"/>
      <c r="EJ65" s="1"/>
      <c r="EK65" s="1"/>
      <c r="EL65" s="1"/>
      <c r="EM65" s="1"/>
      <c r="EN65" s="1"/>
      <c r="EO65" s="1"/>
      <c r="EP65" s="1"/>
      <c r="EQ65" s="1"/>
      <c r="ER65" s="1"/>
      <c r="ES65" s="1"/>
      <c r="ET65" s="1"/>
      <c r="EU65" s="1"/>
      <c r="EV65" s="1"/>
      <c r="EW65" s="1"/>
      <c r="EX65" s="1"/>
      <c r="EY65" s="1"/>
      <c r="EZ65" s="1"/>
      <c r="FA65" s="1"/>
      <c r="FB65" s="1"/>
      <c r="FC65" s="1"/>
      <c r="FD65" s="1"/>
      <c r="FE65" s="1"/>
      <c r="FF65" s="1"/>
      <c r="FG65" s="1"/>
      <c r="FH65" s="1"/>
      <c r="FI65" s="1"/>
      <c r="FJ65" s="1"/>
      <c r="FK65" s="1"/>
      <c r="FL65" s="1"/>
      <c r="FM65" s="1"/>
      <c r="FN65" s="1"/>
      <c r="FO65" s="1"/>
      <c r="FP65" s="1"/>
      <c r="FQ65" s="1"/>
      <c r="FR65" s="1"/>
      <c r="FS65" s="1"/>
      <c r="FT65" s="1"/>
      <c r="FU65" s="1"/>
      <c r="FV65" s="1"/>
      <c r="FW65" s="1"/>
      <c r="FX65" s="1"/>
      <c r="FY65" s="1"/>
      <c r="FZ65" s="1"/>
      <c r="GA65" s="1"/>
      <c r="GB65" s="1"/>
      <c r="GC65" s="1"/>
      <c r="GD65" s="1"/>
      <c r="GE65" s="1"/>
      <c r="GF65" s="1"/>
      <c r="GG65" s="1"/>
      <c r="GH65" s="1"/>
      <c r="GI65" s="1"/>
      <c r="GJ65" s="1"/>
      <c r="GK65" s="1"/>
      <c r="GL65" s="1"/>
      <c r="GM65" s="1"/>
      <c r="GN65" s="1"/>
      <c r="GO65" s="1"/>
      <c r="GP65" s="1"/>
      <c r="GQ65" s="1"/>
      <c r="GR65" s="1"/>
      <c r="GS65" s="1"/>
      <c r="GT65" s="1"/>
      <c r="GU65" s="1"/>
      <c r="GV65" s="1"/>
      <c r="GW65" s="1"/>
      <c r="GX65" s="1"/>
      <c r="GY65" s="1"/>
      <c r="GZ65" s="1"/>
      <c r="HA65" s="1"/>
      <c r="HB65" s="1"/>
      <c r="HC65" s="1"/>
      <c r="HD65" s="1"/>
      <c r="HE65" s="1"/>
      <c r="HF65" s="1"/>
      <c r="HG65" s="1"/>
      <c r="HH65" s="1"/>
      <c r="HI65" s="1"/>
      <c r="HJ65" s="1"/>
      <c r="HK65" s="1"/>
      <c r="HL65" s="1"/>
      <c r="HM65" s="1"/>
      <c r="HN65" s="1"/>
      <c r="HO65" s="1"/>
      <c r="HP65" s="1"/>
      <c r="HQ65" s="1"/>
      <c r="HR65" s="1"/>
      <c r="HS65" s="1"/>
      <c r="HT65" s="1"/>
      <c r="HU65" s="1"/>
      <c r="HV65" s="1"/>
      <c r="HW65" s="1"/>
      <c r="HX65" s="1"/>
      <c r="HY65" s="1"/>
      <c r="HZ65" s="1"/>
      <c r="IA65" s="1"/>
      <c r="IB65" s="1"/>
      <c r="IC65" s="1"/>
      <c r="ID65" s="1"/>
      <c r="IE65" s="1"/>
      <c r="IF65" s="1"/>
      <c r="IG65" s="1"/>
      <c r="IH65" s="1"/>
    </row>
    <row r="66" spans="2:242" x14ac:dyDescent="0.2">
      <c r="B66" t="s">
        <v>228</v>
      </c>
      <c r="D66">
        <v>1200</v>
      </c>
      <c r="E66">
        <v>1700</v>
      </c>
      <c r="F66">
        <v>1200</v>
      </c>
      <c r="G66">
        <v>16</v>
      </c>
      <c r="H66" t="s">
        <v>217</v>
      </c>
      <c r="AB66" s="249"/>
      <c r="AC66" s="249"/>
      <c r="AD66" s="249"/>
      <c r="AE66" s="249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K66" s="1"/>
      <c r="BL66" s="1"/>
      <c r="BM66" s="1"/>
      <c r="BN66" s="1"/>
      <c r="BO66" s="1"/>
      <c r="BP66" s="1"/>
      <c r="BQ66" s="1"/>
      <c r="BR66" s="1"/>
      <c r="BS66" s="1"/>
      <c r="BT66" s="1"/>
      <c r="BU66" s="1"/>
      <c r="BV66" s="1"/>
      <c r="BW66" s="1"/>
      <c r="BX66" s="1"/>
      <c r="BY66" s="1"/>
      <c r="BZ66" s="1"/>
      <c r="CA66" s="1"/>
      <c r="CB66" s="1"/>
      <c r="CC66" s="1"/>
      <c r="CD66" s="1"/>
      <c r="CE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  <c r="CT66" s="1"/>
      <c r="CU66" s="1"/>
      <c r="CV66" s="1"/>
      <c r="CW66" s="1"/>
      <c r="CX66" s="1"/>
      <c r="CY66" s="1"/>
      <c r="CZ66" s="1"/>
      <c r="DA66" s="1"/>
      <c r="DB66" s="1"/>
      <c r="DC66" s="1"/>
      <c r="DD66" s="1"/>
      <c r="DE66" s="1"/>
      <c r="DF66" s="1"/>
      <c r="DG66" s="1"/>
      <c r="DH66" s="1"/>
      <c r="DI66" s="1"/>
      <c r="DJ66" s="1"/>
      <c r="DK66" s="1"/>
      <c r="DL66" s="1"/>
      <c r="DM66" s="1"/>
      <c r="DN66" s="1"/>
      <c r="DO66" s="1"/>
      <c r="DP66" s="1"/>
      <c r="DQ66" s="1"/>
      <c r="DR66" s="1"/>
      <c r="DS66" s="1"/>
      <c r="DT66" s="1"/>
      <c r="DU66" s="1"/>
      <c r="DV66" s="1"/>
      <c r="DW66" s="1"/>
      <c r="DX66" s="1"/>
      <c r="DY66" s="1"/>
      <c r="DZ66" s="1"/>
      <c r="EA66" s="1"/>
      <c r="EB66" s="1"/>
      <c r="EC66" s="1"/>
      <c r="ED66" s="1"/>
      <c r="EE66" s="1"/>
      <c r="EF66" s="1"/>
      <c r="EG66" s="1"/>
      <c r="EH66" s="1"/>
      <c r="EI66" s="1"/>
      <c r="EJ66" s="1"/>
      <c r="EK66" s="1"/>
      <c r="EL66" s="1"/>
      <c r="EM66" s="1"/>
      <c r="EN66" s="1"/>
      <c r="EO66" s="1"/>
      <c r="EP66" s="1"/>
      <c r="EQ66" s="1"/>
      <c r="ER66" s="1"/>
      <c r="ES66" s="1"/>
      <c r="ET66" s="1"/>
      <c r="EU66" s="1"/>
      <c r="EV66" s="1"/>
      <c r="EW66" s="1"/>
      <c r="EX66" s="1"/>
      <c r="EY66" s="1"/>
      <c r="EZ66" s="1"/>
      <c r="FA66" s="1"/>
      <c r="FB66" s="1"/>
      <c r="FC66" s="1"/>
      <c r="FD66" s="1"/>
      <c r="FE66" s="1"/>
      <c r="FF66" s="1"/>
      <c r="FG66" s="1"/>
      <c r="FH66" s="1"/>
      <c r="FI66" s="1"/>
      <c r="FJ66" s="1"/>
      <c r="FK66" s="1"/>
      <c r="FL66" s="1"/>
      <c r="FM66" s="1"/>
      <c r="FN66" s="1"/>
      <c r="FO66" s="1"/>
      <c r="FP66" s="1"/>
      <c r="FQ66" s="1"/>
      <c r="FR66" s="1"/>
      <c r="FS66" s="1"/>
      <c r="FT66" s="1"/>
      <c r="FU66" s="1"/>
      <c r="FV66" s="1"/>
      <c r="FW66" s="1"/>
      <c r="FX66" s="1"/>
      <c r="FY66" s="1"/>
      <c r="FZ66" s="1"/>
      <c r="GA66" s="1"/>
      <c r="GB66" s="1"/>
      <c r="GC66" s="1"/>
      <c r="GD66" s="1"/>
      <c r="GE66" s="1"/>
      <c r="GF66" s="1"/>
      <c r="GG66" s="1"/>
      <c r="GH66" s="1"/>
      <c r="GI66" s="1"/>
      <c r="GJ66" s="1"/>
      <c r="GK66" s="1"/>
      <c r="GL66" s="1"/>
      <c r="GM66" s="1"/>
      <c r="GN66" s="1"/>
      <c r="GO66" s="1"/>
      <c r="GP66" s="1"/>
      <c r="GQ66" s="1"/>
      <c r="GR66" s="1"/>
      <c r="GS66" s="1"/>
      <c r="GT66" s="1"/>
      <c r="GU66" s="1"/>
      <c r="GV66" s="1"/>
      <c r="GW66" s="1"/>
      <c r="GX66" s="1"/>
      <c r="GY66" s="1"/>
      <c r="GZ66" s="1"/>
      <c r="HA66" s="1"/>
      <c r="HB66" s="1"/>
      <c r="HC66" s="1"/>
      <c r="HD66" s="1"/>
      <c r="HE66" s="1"/>
      <c r="HF66" s="1"/>
      <c r="HG66" s="1"/>
      <c r="HH66" s="1"/>
      <c r="HI66" s="1"/>
      <c r="HJ66" s="1"/>
      <c r="HK66" s="1"/>
      <c r="HL66" s="1"/>
      <c r="HM66" s="1"/>
      <c r="HN66" s="1"/>
      <c r="HO66" s="1"/>
      <c r="HP66" s="1"/>
      <c r="HQ66" s="1"/>
      <c r="HR66" s="1"/>
      <c r="HS66" s="1"/>
      <c r="HT66" s="1"/>
      <c r="HU66" s="1"/>
      <c r="HV66" s="1"/>
      <c r="HW66" s="1"/>
      <c r="HX66" s="1"/>
      <c r="HY66" s="1"/>
      <c r="HZ66" s="1"/>
      <c r="IA66" s="1"/>
      <c r="IB66" s="1"/>
      <c r="IC66" s="1"/>
      <c r="ID66" s="1"/>
      <c r="IE66" s="1"/>
      <c r="IF66" s="1"/>
      <c r="IG66" s="1"/>
      <c r="IH66" s="1"/>
    </row>
    <row r="67" spans="2:242" x14ac:dyDescent="0.2">
      <c r="B67" t="s">
        <v>227</v>
      </c>
      <c r="D67">
        <v>1500</v>
      </c>
      <c r="E67">
        <v>2000</v>
      </c>
      <c r="F67">
        <v>800</v>
      </c>
      <c r="G67">
        <v>10</v>
      </c>
      <c r="H67" t="s">
        <v>217</v>
      </c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K67" s="1"/>
      <c r="BL67" s="1"/>
      <c r="BM67" s="1"/>
      <c r="BN67" s="1"/>
      <c r="BO67" s="1"/>
      <c r="BP67" s="1"/>
      <c r="BQ67" s="1"/>
      <c r="BR67" s="1"/>
      <c r="BS67" s="1"/>
      <c r="BT67" s="1"/>
      <c r="BU67" s="1"/>
      <c r="BV67" s="1"/>
      <c r="BW67" s="1"/>
      <c r="BX67" s="1"/>
      <c r="BY67" s="1"/>
      <c r="BZ67" s="1"/>
      <c r="CA67" s="1"/>
      <c r="CB67" s="1"/>
      <c r="CC67" s="1"/>
      <c r="CD67" s="1"/>
      <c r="CE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  <c r="CT67" s="1"/>
      <c r="CU67" s="1"/>
      <c r="CV67" s="1"/>
      <c r="CW67" s="1"/>
      <c r="CX67" s="1"/>
      <c r="CY67" s="1"/>
      <c r="CZ67" s="1"/>
      <c r="DA67" s="1"/>
      <c r="DB67" s="1"/>
      <c r="DC67" s="1"/>
      <c r="DD67" s="1"/>
      <c r="DE67" s="1"/>
      <c r="DF67" s="1"/>
      <c r="DG67" s="1"/>
      <c r="DH67" s="1"/>
      <c r="DI67" s="1"/>
      <c r="DJ67" s="1"/>
      <c r="DK67" s="1"/>
      <c r="DL67" s="1"/>
      <c r="DM67" s="1"/>
      <c r="DN67" s="1"/>
      <c r="DO67" s="1"/>
      <c r="DP67" s="1"/>
      <c r="DQ67" s="1"/>
      <c r="DR67" s="1"/>
      <c r="DS67" s="1"/>
      <c r="DT67" s="1"/>
      <c r="DU67" s="1"/>
      <c r="DV67" s="1"/>
      <c r="DW67" s="1"/>
      <c r="DX67" s="1"/>
      <c r="DY67" s="1"/>
      <c r="DZ67" s="1"/>
      <c r="EA67" s="1"/>
      <c r="EB67" s="1"/>
      <c r="EC67" s="1"/>
      <c r="ED67" s="1"/>
      <c r="EE67" s="1"/>
      <c r="EF67" s="1"/>
      <c r="EG67" s="1"/>
      <c r="EH67" s="1"/>
      <c r="EI67" s="1"/>
      <c r="EJ67" s="1"/>
      <c r="EK67" s="1"/>
      <c r="EL67" s="1"/>
      <c r="EM67" s="1"/>
      <c r="EN67" s="1"/>
      <c r="EO67" s="1"/>
      <c r="EP67" s="1"/>
      <c r="EQ67" s="1"/>
      <c r="ER67" s="1"/>
      <c r="ES67" s="1"/>
      <c r="ET67" s="1"/>
      <c r="EU67" s="1"/>
      <c r="EV67" s="1"/>
      <c r="EW67" s="1"/>
      <c r="EX67" s="1"/>
      <c r="EY67" s="1"/>
      <c r="EZ67" s="1"/>
      <c r="FA67" s="1"/>
      <c r="FB67" s="1"/>
      <c r="FC67" s="1"/>
      <c r="FD67" s="1"/>
      <c r="FE67" s="1"/>
      <c r="FF67" s="1"/>
      <c r="FG67" s="1"/>
      <c r="FH67" s="1"/>
      <c r="FI67" s="1"/>
      <c r="FJ67" s="1"/>
      <c r="FK67" s="1"/>
      <c r="FL67" s="1"/>
      <c r="FM67" s="1"/>
      <c r="FN67" s="1"/>
      <c r="FO67" s="1"/>
      <c r="FP67" s="1"/>
      <c r="FQ67" s="1"/>
      <c r="FR67" s="1"/>
      <c r="FS67" s="1"/>
      <c r="FT67" s="1"/>
      <c r="FU67" s="1"/>
      <c r="FV67" s="1"/>
      <c r="FW67" s="1"/>
      <c r="FX67" s="1"/>
      <c r="FY67" s="1"/>
      <c r="FZ67" s="1"/>
      <c r="GA67" s="1"/>
      <c r="GB67" s="1"/>
      <c r="GC67" s="1"/>
      <c r="GD67" s="1"/>
      <c r="GE67" s="1"/>
      <c r="GF67" s="1"/>
      <c r="GG67" s="1"/>
      <c r="GH67" s="1"/>
      <c r="GI67" s="1"/>
      <c r="GJ67" s="1"/>
      <c r="GK67" s="1"/>
      <c r="GL67" s="1"/>
      <c r="GM67" s="1"/>
      <c r="GN67" s="1"/>
      <c r="GO67" s="1"/>
      <c r="GP67" s="1"/>
      <c r="GQ67" s="1"/>
      <c r="GR67" s="1"/>
      <c r="GS67" s="1"/>
      <c r="GT67" s="1"/>
      <c r="GU67" s="1"/>
      <c r="GV67" s="1"/>
      <c r="GW67" s="1"/>
      <c r="GX67" s="1"/>
      <c r="GY67" s="1"/>
      <c r="GZ67" s="1"/>
      <c r="HA67" s="1"/>
      <c r="HB67" s="1"/>
      <c r="HC67" s="1"/>
      <c r="HD67" s="1"/>
      <c r="HE67" s="1"/>
      <c r="HF67" s="1"/>
      <c r="HG67" s="1"/>
      <c r="HH67" s="1"/>
      <c r="HI67" s="1"/>
      <c r="HJ67" s="1"/>
      <c r="HK67" s="1"/>
      <c r="HL67" s="1"/>
      <c r="HM67" s="1"/>
      <c r="HN67" s="1"/>
      <c r="HO67" s="1"/>
      <c r="HP67" s="1"/>
      <c r="HQ67" s="1"/>
      <c r="HR67" s="1"/>
      <c r="HS67" s="1"/>
      <c r="HT67" s="1"/>
      <c r="HU67" s="1"/>
      <c r="HV67" s="1"/>
      <c r="HW67" s="1"/>
      <c r="HX67" s="1"/>
      <c r="HY67" s="1"/>
      <c r="HZ67" s="1"/>
      <c r="IA67" s="1"/>
      <c r="IB67" s="1"/>
      <c r="IC67" s="1"/>
      <c r="ID67" s="1"/>
      <c r="IE67" s="1"/>
      <c r="IF67" s="1"/>
      <c r="IG67" s="1"/>
      <c r="IH67" s="1"/>
    </row>
    <row r="68" spans="2:242" x14ac:dyDescent="0.2">
      <c r="B68" t="s">
        <v>226</v>
      </c>
      <c r="D68">
        <v>1400</v>
      </c>
      <c r="E68">
        <v>2000</v>
      </c>
      <c r="F68">
        <v>1200</v>
      </c>
      <c r="G68">
        <v>8</v>
      </c>
      <c r="H68" t="s">
        <v>217</v>
      </c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1"/>
      <c r="BK68" s="1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  <c r="BY68" s="1"/>
      <c r="BZ68" s="1"/>
      <c r="CA68" s="1"/>
      <c r="CB68" s="1"/>
      <c r="CC68" s="1"/>
      <c r="CD68" s="1"/>
      <c r="CE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  <c r="CT68" s="1"/>
      <c r="CU68" s="1"/>
      <c r="CV68" s="1"/>
      <c r="CW68" s="1"/>
      <c r="CX68" s="1"/>
      <c r="CY68" s="1"/>
      <c r="CZ68" s="1"/>
      <c r="DA68" s="1"/>
      <c r="DB68" s="1"/>
      <c r="DC68" s="1"/>
      <c r="DD68" s="1"/>
      <c r="DE68" s="1"/>
      <c r="DF68" s="1"/>
      <c r="DG68" s="1"/>
      <c r="DH68" s="1"/>
      <c r="DI68" s="1"/>
      <c r="DJ68" s="1"/>
      <c r="DK68" s="1"/>
      <c r="DL68" s="1"/>
      <c r="DM68" s="1"/>
      <c r="DN68" s="1"/>
      <c r="DO68" s="1"/>
      <c r="DP68" s="1"/>
      <c r="DQ68" s="1"/>
      <c r="DR68" s="1"/>
      <c r="DS68" s="1"/>
      <c r="DT68" s="1"/>
      <c r="DU68" s="1"/>
      <c r="DV68" s="1"/>
      <c r="DW68" s="1"/>
      <c r="DX68" s="1"/>
      <c r="DY68" s="1"/>
      <c r="DZ68" s="1"/>
      <c r="EA68" s="1"/>
      <c r="EB68" s="1"/>
      <c r="EC68" s="1"/>
      <c r="ED68" s="1"/>
      <c r="EE68" s="1"/>
      <c r="EF68" s="1"/>
      <c r="EG68" s="1"/>
      <c r="EH68" s="1"/>
      <c r="EI68" s="1"/>
      <c r="EJ68" s="1"/>
      <c r="EK68" s="1"/>
      <c r="EL68" s="1"/>
      <c r="EM68" s="1"/>
      <c r="EN68" s="1"/>
      <c r="EO68" s="1"/>
      <c r="EP68" s="1"/>
      <c r="EQ68" s="1"/>
      <c r="ER68" s="1"/>
      <c r="ES68" s="1"/>
      <c r="ET68" s="1"/>
      <c r="EU68" s="1"/>
      <c r="EV68" s="1"/>
      <c r="EW68" s="1"/>
      <c r="EX68" s="1"/>
      <c r="EY68" s="1"/>
      <c r="EZ68" s="1"/>
      <c r="FA68" s="1"/>
      <c r="FB68" s="1"/>
      <c r="FC68" s="1"/>
      <c r="FD68" s="1"/>
      <c r="FE68" s="1"/>
      <c r="FF68" s="1"/>
      <c r="FG68" s="1"/>
      <c r="FH68" s="1"/>
      <c r="FI68" s="1"/>
      <c r="FJ68" s="1"/>
      <c r="FK68" s="1"/>
      <c r="FL68" s="1"/>
      <c r="FM68" s="1"/>
      <c r="FN68" s="1"/>
      <c r="FO68" s="1"/>
      <c r="FP68" s="1"/>
      <c r="FQ68" s="1"/>
      <c r="FR68" s="1"/>
      <c r="FS68" s="1"/>
      <c r="FT68" s="1"/>
      <c r="FU68" s="1"/>
      <c r="FV68" s="1"/>
      <c r="FW68" s="1"/>
      <c r="FX68" s="1"/>
      <c r="FY68" s="1"/>
      <c r="FZ68" s="1"/>
      <c r="GA68" s="1"/>
      <c r="GB68" s="1"/>
      <c r="GC68" s="1"/>
      <c r="GD68" s="1"/>
      <c r="GE68" s="1"/>
      <c r="GF68" s="1"/>
      <c r="GG68" s="1"/>
      <c r="GH68" s="1"/>
      <c r="GI68" s="1"/>
      <c r="GJ68" s="1"/>
      <c r="GK68" s="1"/>
      <c r="GL68" s="1"/>
      <c r="GM68" s="1"/>
      <c r="GN68" s="1"/>
      <c r="GO68" s="1"/>
      <c r="GP68" s="1"/>
      <c r="GQ68" s="1"/>
      <c r="GR68" s="1"/>
      <c r="GS68" s="1"/>
      <c r="GT68" s="1"/>
      <c r="GU68" s="1"/>
      <c r="GV68" s="1"/>
      <c r="GW68" s="1"/>
      <c r="GX68" s="1"/>
      <c r="GY68" s="1"/>
      <c r="GZ68" s="1"/>
      <c r="HA68" s="1"/>
      <c r="HB68" s="1"/>
      <c r="HC68" s="1"/>
      <c r="HD68" s="1"/>
      <c r="HE68" s="1"/>
      <c r="HF68" s="1"/>
      <c r="HG68" s="1"/>
      <c r="HH68" s="1"/>
      <c r="HI68" s="1"/>
      <c r="HJ68" s="1"/>
      <c r="HK68" s="1"/>
      <c r="HL68" s="1"/>
      <c r="HM68" s="1"/>
      <c r="HN68" s="1"/>
      <c r="HO68" s="1"/>
      <c r="HP68" s="1"/>
      <c r="HQ68" s="1"/>
      <c r="HR68" s="1"/>
      <c r="HS68" s="1"/>
      <c r="HT68" s="1"/>
      <c r="HU68" s="1"/>
      <c r="HV68" s="1"/>
      <c r="HW68" s="1"/>
      <c r="HX68" s="1"/>
      <c r="HY68" s="1"/>
      <c r="HZ68" s="1"/>
      <c r="IA68" s="1"/>
      <c r="IB68" s="1"/>
      <c r="IC68" s="1"/>
      <c r="ID68" s="1"/>
      <c r="IE68" s="1"/>
      <c r="IF68" s="1"/>
      <c r="IG68" s="1"/>
      <c r="IH68" s="1"/>
    </row>
    <row r="69" spans="2:242" x14ac:dyDescent="0.2">
      <c r="B69" t="s">
        <v>225</v>
      </c>
      <c r="D69">
        <v>1400</v>
      </c>
      <c r="E69">
        <v>1700</v>
      </c>
      <c r="F69">
        <v>850</v>
      </c>
      <c r="G69">
        <v>16</v>
      </c>
      <c r="H69" t="s">
        <v>217</v>
      </c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  <c r="BY69" s="1"/>
      <c r="BZ69" s="1"/>
      <c r="CA69" s="1"/>
      <c r="CB69" s="1"/>
      <c r="CC69" s="1"/>
      <c r="CD69" s="1"/>
      <c r="CE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  <c r="CT69" s="1"/>
      <c r="CU69" s="1"/>
      <c r="CV69" s="1"/>
      <c r="CW69" s="1"/>
      <c r="CX69" s="1"/>
      <c r="CY69" s="1"/>
      <c r="CZ69" s="1"/>
      <c r="DA69" s="1"/>
      <c r="DB69" s="1"/>
      <c r="DC69" s="1"/>
      <c r="DD69" s="1"/>
      <c r="DE69" s="1"/>
      <c r="DF69" s="1"/>
      <c r="DG69" s="1"/>
      <c r="DH69" s="1"/>
      <c r="DI69" s="1"/>
      <c r="DJ69" s="1"/>
      <c r="DK69" s="1"/>
      <c r="DL69" s="1"/>
      <c r="DM69" s="1"/>
      <c r="DN69" s="1"/>
      <c r="DO69" s="1"/>
      <c r="DP69" s="1"/>
      <c r="DQ69" s="1"/>
      <c r="DR69" s="1"/>
      <c r="DS69" s="1"/>
      <c r="DT69" s="1"/>
      <c r="DU69" s="1"/>
      <c r="DV69" s="1"/>
      <c r="DW69" s="1"/>
      <c r="DX69" s="1"/>
      <c r="DY69" s="1"/>
      <c r="DZ69" s="1"/>
      <c r="EA69" s="1"/>
      <c r="EB69" s="1"/>
      <c r="EC69" s="1"/>
      <c r="ED69" s="1"/>
      <c r="EE69" s="1"/>
      <c r="EF69" s="1"/>
      <c r="EG69" s="1"/>
      <c r="EH69" s="1"/>
      <c r="EI69" s="1"/>
      <c r="EJ69" s="1"/>
      <c r="EK69" s="1"/>
      <c r="EL69" s="1"/>
      <c r="EM69" s="1"/>
      <c r="EN69" s="1"/>
      <c r="EO69" s="1"/>
      <c r="EP69" s="1"/>
      <c r="EQ69" s="1"/>
      <c r="ER69" s="1"/>
      <c r="ES69" s="1"/>
      <c r="ET69" s="1"/>
      <c r="EU69" s="1"/>
      <c r="EV69" s="1"/>
      <c r="EW69" s="1"/>
      <c r="EX69" s="1"/>
      <c r="EY69" s="1"/>
      <c r="EZ69" s="1"/>
      <c r="FA69" s="1"/>
      <c r="FB69" s="1"/>
      <c r="FC69" s="1"/>
      <c r="FD69" s="1"/>
      <c r="FE69" s="1"/>
      <c r="FF69" s="1"/>
      <c r="FG69" s="1"/>
      <c r="FH69" s="1"/>
      <c r="FI69" s="1"/>
      <c r="FJ69" s="1"/>
      <c r="FK69" s="1"/>
      <c r="FL69" s="1"/>
      <c r="FM69" s="1"/>
      <c r="FN69" s="1"/>
      <c r="FO69" s="1"/>
      <c r="FP69" s="1"/>
      <c r="FQ69" s="1"/>
      <c r="FR69" s="1"/>
      <c r="FS69" s="1"/>
      <c r="FT69" s="1"/>
      <c r="FU69" s="1"/>
      <c r="FV69" s="1"/>
      <c r="FW69" s="1"/>
      <c r="FX69" s="1"/>
      <c r="FY69" s="1"/>
      <c r="FZ69" s="1"/>
      <c r="GA69" s="1"/>
      <c r="GB69" s="1"/>
      <c r="GC69" s="1"/>
      <c r="GD69" s="1"/>
      <c r="GE69" s="1"/>
      <c r="GF69" s="1"/>
      <c r="GG69" s="1"/>
      <c r="GH69" s="1"/>
      <c r="GI69" s="1"/>
      <c r="GJ69" s="1"/>
      <c r="GK69" s="1"/>
      <c r="GL69" s="1"/>
      <c r="GM69" s="1"/>
      <c r="GN69" s="1"/>
      <c r="GO69" s="1"/>
      <c r="GP69" s="1"/>
      <c r="GQ69" s="1"/>
      <c r="GR69" s="1"/>
      <c r="GS69" s="1"/>
      <c r="GT69" s="1"/>
      <c r="GU69" s="1"/>
      <c r="GV69" s="1"/>
      <c r="GW69" s="1"/>
      <c r="GX69" s="1"/>
      <c r="GY69" s="1"/>
      <c r="GZ69" s="1"/>
      <c r="HA69" s="1"/>
      <c r="HB69" s="1"/>
      <c r="HC69" s="1"/>
      <c r="HD69" s="1"/>
      <c r="HE69" s="1"/>
      <c r="HF69" s="1"/>
      <c r="HG69" s="1"/>
      <c r="HH69" s="1"/>
      <c r="HI69" s="1"/>
      <c r="HJ69" s="1"/>
      <c r="HK69" s="1"/>
      <c r="HL69" s="1"/>
      <c r="HM69" s="1"/>
      <c r="HN69" s="1"/>
      <c r="HO69" s="1"/>
      <c r="HP69" s="1"/>
      <c r="HQ69" s="1"/>
      <c r="HR69" s="1"/>
      <c r="HS69" s="1"/>
      <c r="HT69" s="1"/>
      <c r="HU69" s="1"/>
      <c r="HV69" s="1"/>
      <c r="HW69" s="1"/>
      <c r="HX69" s="1"/>
      <c r="HY69" s="1"/>
      <c r="HZ69" s="1"/>
      <c r="IA69" s="1"/>
      <c r="IB69" s="1"/>
      <c r="IC69" s="1"/>
      <c r="ID69" s="1"/>
      <c r="IE69" s="1"/>
      <c r="IF69" s="1"/>
      <c r="IG69" s="1"/>
      <c r="IH69" s="1"/>
    </row>
    <row r="70" spans="2:242" x14ac:dyDescent="0.2">
      <c r="B70" t="s">
        <v>224</v>
      </c>
      <c r="D70">
        <v>1100</v>
      </c>
      <c r="E70">
        <v>1600</v>
      </c>
      <c r="F70">
        <v>850</v>
      </c>
      <c r="G70">
        <v>10</v>
      </c>
      <c r="H70" t="s">
        <v>217</v>
      </c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1"/>
      <c r="BY70" s="1"/>
      <c r="BZ70" s="1"/>
      <c r="CA70" s="1"/>
      <c r="CB70" s="1"/>
      <c r="CC70" s="1"/>
      <c r="CD70" s="1"/>
      <c r="CE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  <c r="CT70" s="1"/>
      <c r="CU70" s="1"/>
      <c r="CV70" s="1"/>
      <c r="CW70" s="1"/>
      <c r="CX70" s="1"/>
      <c r="CY70" s="1"/>
      <c r="CZ70" s="1"/>
      <c r="DA70" s="1"/>
      <c r="DB70" s="1"/>
      <c r="DC70" s="1"/>
      <c r="DD70" s="1"/>
      <c r="DE70" s="1"/>
      <c r="DF70" s="1"/>
      <c r="DG70" s="1"/>
      <c r="DH70" s="1"/>
      <c r="DI70" s="1"/>
      <c r="DJ70" s="1"/>
      <c r="DK70" s="1"/>
      <c r="DL70" s="1"/>
      <c r="DM70" s="1"/>
      <c r="DN70" s="1"/>
      <c r="DO70" s="1"/>
      <c r="DP70" s="1"/>
      <c r="DQ70" s="1"/>
      <c r="DR70" s="1"/>
      <c r="DS70" s="1"/>
      <c r="DT70" s="1"/>
      <c r="DU70" s="1"/>
      <c r="DV70" s="1"/>
      <c r="DW70" s="1"/>
      <c r="DX70" s="1"/>
      <c r="DY70" s="1"/>
      <c r="DZ70" s="1"/>
      <c r="EA70" s="1"/>
      <c r="EB70" s="1"/>
      <c r="EC70" s="1"/>
      <c r="ED70" s="1"/>
      <c r="EE70" s="1"/>
      <c r="EF70" s="1"/>
      <c r="EG70" s="1"/>
      <c r="EH70" s="1"/>
      <c r="EI70" s="1"/>
      <c r="EJ70" s="1"/>
      <c r="EK70" s="1"/>
      <c r="EL70" s="1"/>
      <c r="EM70" s="1"/>
      <c r="EN70" s="1"/>
      <c r="EO70" s="1"/>
      <c r="EP70" s="1"/>
      <c r="EQ70" s="1"/>
      <c r="ER70" s="1"/>
      <c r="ES70" s="1"/>
      <c r="ET70" s="1"/>
      <c r="EU70" s="1"/>
      <c r="EV70" s="1"/>
      <c r="EW70" s="1"/>
      <c r="EX70" s="1"/>
      <c r="EY70" s="1"/>
      <c r="EZ70" s="1"/>
      <c r="FA70" s="1"/>
      <c r="FB70" s="1"/>
      <c r="FC70" s="1"/>
      <c r="FD70" s="1"/>
      <c r="FE70" s="1"/>
      <c r="FF70" s="1"/>
      <c r="FG70" s="1"/>
      <c r="FH70" s="1"/>
      <c r="FI70" s="1"/>
      <c r="FJ70" s="1"/>
      <c r="FK70" s="1"/>
      <c r="FL70" s="1"/>
      <c r="FM70" s="1"/>
      <c r="FN70" s="1"/>
      <c r="FO70" s="1"/>
      <c r="FP70" s="1"/>
      <c r="FQ70" s="1"/>
      <c r="FR70" s="1"/>
      <c r="FS70" s="1"/>
      <c r="FT70" s="1"/>
      <c r="FU70" s="1"/>
      <c r="FV70" s="1"/>
      <c r="FW70" s="1"/>
      <c r="FX70" s="1"/>
      <c r="FY70" s="1"/>
      <c r="FZ70" s="1"/>
      <c r="GA70" s="1"/>
      <c r="GB70" s="1"/>
      <c r="GC70" s="1"/>
      <c r="GD70" s="1"/>
      <c r="GE70" s="1"/>
      <c r="GF70" s="1"/>
      <c r="GG70" s="1"/>
      <c r="GH70" s="1"/>
      <c r="GI70" s="1"/>
      <c r="GJ70" s="1"/>
      <c r="GK70" s="1"/>
      <c r="GL70" s="1"/>
      <c r="GM70" s="1"/>
      <c r="GN70" s="1"/>
      <c r="GO70" s="1"/>
      <c r="GP70" s="1"/>
      <c r="GQ70" s="1"/>
      <c r="GR70" s="1"/>
      <c r="GS70" s="1"/>
      <c r="GT70" s="1"/>
      <c r="GU70" s="1"/>
      <c r="GV70" s="1"/>
      <c r="GW70" s="1"/>
      <c r="GX70" s="1"/>
      <c r="GY70" s="1"/>
      <c r="GZ70" s="1"/>
      <c r="HA70" s="1"/>
      <c r="HB70" s="1"/>
      <c r="HC70" s="1"/>
      <c r="HD70" s="1"/>
      <c r="HE70" s="1"/>
      <c r="HF70" s="1"/>
      <c r="HG70" s="1"/>
      <c r="HH70" s="1"/>
      <c r="HI70" s="1"/>
      <c r="HJ70" s="1"/>
      <c r="HK70" s="1"/>
      <c r="HL70" s="1"/>
      <c r="HM70" s="1"/>
      <c r="HN70" s="1"/>
      <c r="HO70" s="1"/>
      <c r="HP70" s="1"/>
      <c r="HQ70" s="1"/>
      <c r="HR70" s="1"/>
      <c r="HS70" s="1"/>
      <c r="HT70" s="1"/>
      <c r="HU70" s="1"/>
      <c r="HV70" s="1"/>
      <c r="HW70" s="1"/>
      <c r="HX70" s="1"/>
      <c r="HY70" s="1"/>
      <c r="HZ70" s="1"/>
      <c r="IA70" s="1"/>
      <c r="IB70" s="1"/>
      <c r="IC70" s="1"/>
      <c r="ID70" s="1"/>
      <c r="IE70" s="1"/>
      <c r="IF70" s="1"/>
      <c r="IG70" s="1"/>
      <c r="IH70" s="1"/>
    </row>
    <row r="71" spans="2:242" x14ac:dyDescent="0.2">
      <c r="B71" t="s">
        <v>223</v>
      </c>
      <c r="D71">
        <v>1100</v>
      </c>
      <c r="E71">
        <v>1400</v>
      </c>
      <c r="F71">
        <v>850</v>
      </c>
      <c r="G71">
        <v>10</v>
      </c>
      <c r="H71" t="s">
        <v>217</v>
      </c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  <c r="BY71" s="1"/>
      <c r="BZ71" s="1"/>
      <c r="CA71" s="1"/>
      <c r="CB71" s="1"/>
      <c r="CC71" s="1"/>
      <c r="CD71" s="1"/>
      <c r="CE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  <c r="CT71" s="1"/>
      <c r="CU71" s="1"/>
      <c r="CV71" s="1"/>
      <c r="CW71" s="1"/>
      <c r="CX71" s="1"/>
      <c r="CY71" s="1"/>
      <c r="CZ71" s="1"/>
      <c r="DA71" s="1"/>
      <c r="DB71" s="1"/>
      <c r="DC71" s="1"/>
      <c r="DD71" s="1"/>
      <c r="DE71" s="1"/>
      <c r="DF71" s="1"/>
      <c r="DG71" s="1"/>
      <c r="DH71" s="1"/>
      <c r="DI71" s="1"/>
      <c r="DJ71" s="1"/>
      <c r="DK71" s="1"/>
      <c r="DL71" s="1"/>
      <c r="DM71" s="1"/>
      <c r="DN71" s="1"/>
      <c r="DO71" s="1"/>
      <c r="DP71" s="1"/>
      <c r="DQ71" s="1"/>
      <c r="DR71" s="1"/>
      <c r="DS71" s="1"/>
      <c r="DT71" s="1"/>
      <c r="DU71" s="1"/>
      <c r="DV71" s="1"/>
      <c r="DW71" s="1"/>
      <c r="DX71" s="1"/>
      <c r="DY71" s="1"/>
      <c r="DZ71" s="1"/>
      <c r="EA71" s="1"/>
      <c r="EB71" s="1"/>
      <c r="EC71" s="1"/>
      <c r="ED71" s="1"/>
      <c r="EE71" s="1"/>
      <c r="EF71" s="1"/>
      <c r="EG71" s="1"/>
      <c r="EH71" s="1"/>
      <c r="EI71" s="1"/>
      <c r="EJ71" s="1"/>
      <c r="EK71" s="1"/>
      <c r="EL71" s="1"/>
      <c r="EM71" s="1"/>
      <c r="EN71" s="1"/>
      <c r="EO71" s="1"/>
      <c r="EP71" s="1"/>
      <c r="EQ71" s="1"/>
      <c r="ER71" s="1"/>
      <c r="ES71" s="1"/>
      <c r="ET71" s="1"/>
      <c r="EU71" s="1"/>
      <c r="EV71" s="1"/>
      <c r="EW71" s="1"/>
      <c r="EX71" s="1"/>
      <c r="EY71" s="1"/>
      <c r="EZ71" s="1"/>
      <c r="FA71" s="1"/>
      <c r="FB71" s="1"/>
      <c r="FC71" s="1"/>
      <c r="FD71" s="1"/>
      <c r="FE71" s="1"/>
      <c r="FF71" s="1"/>
      <c r="FG71" s="1"/>
      <c r="FH71" s="1"/>
      <c r="FI71" s="1"/>
      <c r="FJ71" s="1"/>
      <c r="FK71" s="1"/>
      <c r="FL71" s="1"/>
      <c r="FM71" s="1"/>
      <c r="FN71" s="1"/>
      <c r="FO71" s="1"/>
      <c r="FP71" s="1"/>
      <c r="FQ71" s="1"/>
      <c r="FR71" s="1"/>
      <c r="FS71" s="1"/>
      <c r="FT71" s="1"/>
      <c r="FU71" s="1"/>
      <c r="FV71" s="1"/>
      <c r="FW71" s="1"/>
      <c r="FX71" s="1"/>
      <c r="FY71" s="1"/>
      <c r="FZ71" s="1"/>
      <c r="GA71" s="1"/>
      <c r="GB71" s="1"/>
      <c r="GC71" s="1"/>
      <c r="GD71" s="1"/>
      <c r="GE71" s="1"/>
      <c r="GF71" s="1"/>
      <c r="GG71" s="1"/>
      <c r="GH71" s="1"/>
      <c r="GI71" s="1"/>
      <c r="GJ71" s="1"/>
      <c r="GK71" s="1"/>
      <c r="GL71" s="1"/>
      <c r="GM71" s="1"/>
      <c r="GN71" s="1"/>
      <c r="GO71" s="1"/>
      <c r="GP71" s="1"/>
      <c r="GQ71" s="1"/>
      <c r="GR71" s="1"/>
      <c r="GS71" s="1"/>
      <c r="GT71" s="1"/>
      <c r="GU71" s="1"/>
      <c r="GV71" s="1"/>
      <c r="GW71" s="1"/>
      <c r="GX71" s="1"/>
      <c r="GY71" s="1"/>
      <c r="GZ71" s="1"/>
      <c r="HA71" s="1"/>
      <c r="HB71" s="1"/>
      <c r="HC71" s="1"/>
      <c r="HD71" s="1"/>
      <c r="HE71" s="1"/>
      <c r="HF71" s="1"/>
      <c r="HG71" s="1"/>
      <c r="HH71" s="1"/>
      <c r="HI71" s="1"/>
      <c r="HJ71" s="1"/>
      <c r="HK71" s="1"/>
      <c r="HL71" s="1"/>
      <c r="HM71" s="1"/>
      <c r="HN71" s="1"/>
      <c r="HO71" s="1"/>
      <c r="HP71" s="1"/>
      <c r="HQ71" s="1"/>
      <c r="HR71" s="1"/>
      <c r="HS71" s="1"/>
      <c r="HT71" s="1"/>
      <c r="HU71" s="1"/>
      <c r="HV71" s="1"/>
      <c r="HW71" s="1"/>
      <c r="HX71" s="1"/>
      <c r="HY71" s="1"/>
      <c r="HZ71" s="1"/>
      <c r="IA71" s="1"/>
      <c r="IB71" s="1"/>
      <c r="IC71" s="1"/>
      <c r="ID71" s="1"/>
      <c r="IE71" s="1"/>
      <c r="IF71" s="1"/>
      <c r="IG71" s="1"/>
      <c r="IH71" s="1"/>
    </row>
    <row r="72" spans="2:242" x14ac:dyDescent="0.2">
      <c r="B72" t="s">
        <v>222</v>
      </c>
      <c r="D72">
        <v>1600</v>
      </c>
      <c r="E72">
        <v>2200</v>
      </c>
      <c r="F72">
        <v>1200</v>
      </c>
      <c r="G72">
        <v>16</v>
      </c>
      <c r="H72" t="s">
        <v>217</v>
      </c>
    </row>
    <row r="73" spans="2:242" x14ac:dyDescent="0.2">
      <c r="B73" t="s">
        <v>221</v>
      </c>
      <c r="D73">
        <v>1200</v>
      </c>
      <c r="E73">
        <v>1500</v>
      </c>
      <c r="F73">
        <v>850</v>
      </c>
      <c r="G73">
        <v>10</v>
      </c>
      <c r="H73" t="s">
        <v>217</v>
      </c>
    </row>
    <row r="74" spans="2:242" x14ac:dyDescent="0.2">
      <c r="B74" t="s">
        <v>220</v>
      </c>
      <c r="D74">
        <v>2000</v>
      </c>
      <c r="E74">
        <v>3100</v>
      </c>
      <c r="F74">
        <v>850</v>
      </c>
      <c r="G74">
        <v>14</v>
      </c>
      <c r="H74" t="s">
        <v>219</v>
      </c>
    </row>
    <row r="75" spans="2:242" x14ac:dyDescent="0.2">
      <c r="B75" t="s">
        <v>218</v>
      </c>
      <c r="D75">
        <v>2300</v>
      </c>
      <c r="E75">
        <v>2000</v>
      </c>
      <c r="F75">
        <v>1200</v>
      </c>
      <c r="G75">
        <v>8</v>
      </c>
      <c r="H75" t="s">
        <v>217</v>
      </c>
    </row>
    <row r="76" spans="2:242" x14ac:dyDescent="0.2">
      <c r="B76" t="s">
        <v>216</v>
      </c>
      <c r="D76">
        <v>1200</v>
      </c>
      <c r="E76">
        <v>1500</v>
      </c>
      <c r="F76">
        <v>1200</v>
      </c>
      <c r="G76">
        <v>8</v>
      </c>
      <c r="H76" t="s">
        <v>214</v>
      </c>
    </row>
    <row r="77" spans="2:242" x14ac:dyDescent="0.2">
      <c r="B77" t="s">
        <v>215</v>
      </c>
      <c r="D77">
        <v>900</v>
      </c>
      <c r="E77">
        <v>1300</v>
      </c>
      <c r="F77">
        <v>850</v>
      </c>
      <c r="G77">
        <v>6</v>
      </c>
      <c r="H77" t="s">
        <v>214</v>
      </c>
    </row>
  </sheetData>
  <mergeCells count="70">
    <mergeCell ref="S7:Z7"/>
    <mergeCell ref="V47:Z47"/>
    <mergeCell ref="V36:Z36"/>
    <mergeCell ref="V37:Z37"/>
    <mergeCell ref="V38:Z38"/>
    <mergeCell ref="V39:Z39"/>
    <mergeCell ref="V34:Z34"/>
    <mergeCell ref="V35:Z35"/>
    <mergeCell ref="V43:Z43"/>
    <mergeCell ref="V44:Z44"/>
    <mergeCell ref="V15:Z15"/>
    <mergeCell ref="V33:Z33"/>
    <mergeCell ref="V16:Z16"/>
    <mergeCell ref="V17:Z17"/>
    <mergeCell ref="V18:Z18"/>
    <mergeCell ref="V19:Z19"/>
    <mergeCell ref="V20:Z20"/>
    <mergeCell ref="V21:Z21"/>
    <mergeCell ref="V26:Z26"/>
    <mergeCell ref="V27:Z27"/>
    <mergeCell ref="V28:Z28"/>
    <mergeCell ref="V29:Z29"/>
    <mergeCell ref="V30:Z30"/>
    <mergeCell ref="V31:Z31"/>
    <mergeCell ref="V12:Z12"/>
    <mergeCell ref="V9:Z9"/>
    <mergeCell ref="V11:Z11"/>
    <mergeCell ref="V13:Z13"/>
    <mergeCell ref="V10:Z10"/>
    <mergeCell ref="E14:O14"/>
    <mergeCell ref="E15:O15"/>
    <mergeCell ref="J22:J23"/>
    <mergeCell ref="F22:F23"/>
    <mergeCell ref="H22:H23"/>
    <mergeCell ref="G22:G23"/>
    <mergeCell ref="E13:O13"/>
    <mergeCell ref="E12:O12"/>
    <mergeCell ref="V54:Z54"/>
    <mergeCell ref="V55:Z55"/>
    <mergeCell ref="V53:Z53"/>
    <mergeCell ref="V23:Z23"/>
    <mergeCell ref="K22:L23"/>
    <mergeCell ref="M22:M23"/>
    <mergeCell ref="N22:O23"/>
    <mergeCell ref="V24:Z24"/>
    <mergeCell ref="V25:Z25"/>
    <mergeCell ref="V32:Z32"/>
    <mergeCell ref="F21:O21"/>
    <mergeCell ref="A39:O39"/>
    <mergeCell ref="F19:O19"/>
    <mergeCell ref="F20:O20"/>
    <mergeCell ref="A1:O1"/>
    <mergeCell ref="A2:O2"/>
    <mergeCell ref="E9:O9"/>
    <mergeCell ref="E10:O10"/>
    <mergeCell ref="E11:O11"/>
    <mergeCell ref="V52:Z52"/>
    <mergeCell ref="I22:I23"/>
    <mergeCell ref="N26:O26"/>
    <mergeCell ref="A47:O47"/>
    <mergeCell ref="V22:Z22"/>
    <mergeCell ref="V45:Z45"/>
    <mergeCell ref="V46:Z46"/>
    <mergeCell ref="V41:Z41"/>
    <mergeCell ref="V42:Z42"/>
    <mergeCell ref="E16:O16"/>
    <mergeCell ref="E17:O17"/>
    <mergeCell ref="V40:Z40"/>
    <mergeCell ref="V48:Z48"/>
    <mergeCell ref="V51:Z51"/>
  </mergeCells>
  <conditionalFormatting sqref="D11">
    <cfRule type="cellIs" dxfId="1" priority="2" stopIfTrue="1" operator="greaterThan">
      <formula>1500</formula>
    </cfRule>
  </conditionalFormatting>
  <conditionalFormatting sqref="D16">
    <cfRule type="cellIs" dxfId="0" priority="1" stopIfTrue="1" operator="greaterThan">
      <formula>1500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6"/>
  <dimension ref="A1:S90"/>
  <sheetViews>
    <sheetView topLeftCell="A61" workbookViewId="0">
      <selection activeCell="K83" sqref="K83"/>
    </sheetView>
  </sheetViews>
  <sheetFormatPr defaultRowHeight="12.75" x14ac:dyDescent="0.2"/>
  <cols>
    <col min="1" max="1" width="44.7109375" style="401" customWidth="1"/>
    <col min="2" max="2" width="10" style="401" customWidth="1"/>
    <col min="3" max="3" width="9.140625" style="401"/>
    <col min="4" max="4" width="41.42578125" style="401" customWidth="1"/>
    <col min="5" max="6" width="9.140625" style="401"/>
    <col min="7" max="7" width="16" style="401" customWidth="1"/>
    <col min="8" max="8" width="12.140625" style="401" customWidth="1"/>
    <col min="9" max="9" width="15" style="401" customWidth="1"/>
    <col min="10" max="10" width="14.7109375" style="401" customWidth="1"/>
    <col min="11" max="11" width="9.140625" style="401"/>
    <col min="12" max="12" width="59.42578125" style="401" customWidth="1"/>
    <col min="13" max="13" width="12.5703125" style="401" customWidth="1"/>
    <col min="14" max="15" width="9.140625" style="401"/>
    <col min="16" max="16" width="12.28515625" style="401" customWidth="1"/>
    <col min="17" max="16384" width="9.140625" style="401"/>
  </cols>
  <sheetData>
    <row r="1" spans="1:17" s="398" customFormat="1" ht="13.5" thickBot="1" x14ac:dyDescent="0.25">
      <c r="A1" s="396" t="s">
        <v>376</v>
      </c>
      <c r="B1" s="397"/>
    </row>
    <row r="2" spans="1:17" x14ac:dyDescent="0.2">
      <c r="A2" s="399" t="s">
        <v>377</v>
      </c>
      <c r="B2" s="400"/>
      <c r="E2" s="402"/>
    </row>
    <row r="3" spans="1:17" x14ac:dyDescent="0.2">
      <c r="A3" s="393" t="s">
        <v>391</v>
      </c>
      <c r="B3" s="403">
        <f ca="1">ТХ!D75</f>
        <v>233</v>
      </c>
      <c r="D3" s="401" t="s">
        <v>17</v>
      </c>
      <c r="E3" s="404">
        <f>Цена!B16</f>
        <v>400</v>
      </c>
      <c r="I3" s="394" t="s">
        <v>377</v>
      </c>
      <c r="J3" s="394" t="s">
        <v>378</v>
      </c>
    </row>
    <row r="4" spans="1:17" x14ac:dyDescent="0.2">
      <c r="A4" s="393" t="s">
        <v>380</v>
      </c>
      <c r="B4" s="403">
        <f ca="1">ROUNDUP(B3/E16,0-1)</f>
        <v>300</v>
      </c>
      <c r="D4" s="401" t="s">
        <v>18</v>
      </c>
      <c r="E4" s="404">
        <f>Цена!C16</f>
        <v>400</v>
      </c>
      <c r="I4" s="406" t="s">
        <v>180</v>
      </c>
      <c r="J4" s="407">
        <f>Параметры!B11</f>
        <v>205</v>
      </c>
    </row>
    <row r="5" spans="1:17" x14ac:dyDescent="0.2">
      <c r="A5" s="393" t="s">
        <v>383</v>
      </c>
      <c r="B5" s="403">
        <f ca="1">MROUND(B4*$F$11,10)</f>
        <v>61500</v>
      </c>
      <c r="D5" s="401" t="s">
        <v>392</v>
      </c>
      <c r="E5" s="404">
        <f>Цена!D16</f>
        <v>850</v>
      </c>
      <c r="I5" s="406" t="s">
        <v>86</v>
      </c>
      <c r="J5" s="407">
        <f>Параметры!B12</f>
        <v>275</v>
      </c>
    </row>
    <row r="6" spans="1:17" x14ac:dyDescent="0.2">
      <c r="A6" s="417" t="s">
        <v>384</v>
      </c>
      <c r="B6" s="418"/>
      <c r="D6" s="401" t="s">
        <v>393</v>
      </c>
      <c r="E6" s="408">
        <f>Цена!E16</f>
        <v>6</v>
      </c>
      <c r="I6" s="406" t="s">
        <v>87</v>
      </c>
      <c r="J6" s="407">
        <f>Параметры!B13</f>
        <v>390</v>
      </c>
    </row>
    <row r="7" spans="1:17" x14ac:dyDescent="0.2">
      <c r="A7" s="419" t="s">
        <v>399</v>
      </c>
      <c r="B7" s="431">
        <f>ROUNDUP((E8*2+830)*2*1.05/1000,0)</f>
        <v>9</v>
      </c>
      <c r="D7" s="401" t="s">
        <v>397</v>
      </c>
      <c r="E7" s="408">
        <f>Цена!D20</f>
        <v>2250</v>
      </c>
      <c r="I7" s="406" t="s">
        <v>181</v>
      </c>
      <c r="J7" s="407">
        <f>Параметры!B14</f>
        <v>310</v>
      </c>
    </row>
    <row r="8" spans="1:17" x14ac:dyDescent="0.2">
      <c r="A8" s="419" t="s">
        <v>400</v>
      </c>
      <c r="B8" s="403">
        <f>B7*E18</f>
        <v>48600</v>
      </c>
      <c r="D8" s="401" t="s">
        <v>398</v>
      </c>
      <c r="E8" s="408">
        <f>Цена!D21</f>
        <v>1600</v>
      </c>
    </row>
    <row r="9" spans="1:17" s="440" customFormat="1" ht="30" x14ac:dyDescent="0.2">
      <c r="A9" s="438" t="s">
        <v>386</v>
      </c>
      <c r="B9" s="439">
        <f ca="1">OFFSET(L9,MATCH(1,Q10:Q15,0),1,1,1)</f>
        <v>737</v>
      </c>
      <c r="D9" s="440" t="s">
        <v>396</v>
      </c>
      <c r="E9" s="441">
        <f>Цена!D22</f>
        <v>400</v>
      </c>
      <c r="L9" s="442" t="s">
        <v>361</v>
      </c>
      <c r="M9" s="443" t="s">
        <v>362</v>
      </c>
      <c r="N9" s="443" t="s">
        <v>274</v>
      </c>
      <c r="O9" s="443" t="s">
        <v>363</v>
      </c>
      <c r="P9" s="443" t="s">
        <v>85</v>
      </c>
      <c r="Q9" s="443" t="s">
        <v>382</v>
      </c>
    </row>
    <row r="10" spans="1:17" ht="15" x14ac:dyDescent="0.25">
      <c r="A10" s="419" t="s">
        <v>388</v>
      </c>
      <c r="B10" s="403">
        <f ca="1">ROUNDUP(B9*$E$14,-1)</f>
        <v>70020</v>
      </c>
      <c r="I10" s="411"/>
      <c r="J10" s="411"/>
      <c r="L10" s="412" t="str">
        <f>Параметры!A35</f>
        <v>Мотор-редуктор СВPP-  85-225,4-KWO 37/6/80B5 LFB IP55</v>
      </c>
      <c r="M10" s="413">
        <f>Параметры!B35</f>
        <v>737</v>
      </c>
      <c r="N10" s="414">
        <f>Параметры!C35</f>
        <v>40</v>
      </c>
      <c r="O10" s="414">
        <f>Параметры!D35</f>
        <v>0.37</v>
      </c>
      <c r="P10" s="415"/>
      <c r="Q10" s="416">
        <f>IF(AND($E$3&lt;1801,$E$4&lt;2301,$E$15=55),1,0)</f>
        <v>1</v>
      </c>
    </row>
    <row r="11" spans="1:17" ht="15" x14ac:dyDescent="0.25">
      <c r="A11" s="401" t="s">
        <v>409</v>
      </c>
      <c r="B11" s="421">
        <f>4000*2</f>
        <v>8000</v>
      </c>
      <c r="D11" s="401" t="s">
        <v>377</v>
      </c>
      <c r="E11" s="404" t="str">
        <f>Цена!D24</f>
        <v>AISI 201</v>
      </c>
      <c r="F11" s="401">
        <f ca="1">OFFSET(I3,MATCH(E11,I4:I7,0),1,1,1)</f>
        <v>205</v>
      </c>
      <c r="G11" s="401" t="s">
        <v>378</v>
      </c>
      <c r="L11" s="412" t="str">
        <f>Параметры!A36</f>
        <v>Мотор-редуктор СВPP-  85-225,4-KWO 37/6/80B5 LFB IP66</v>
      </c>
      <c r="M11" s="413">
        <f>Параметры!B36</f>
        <v>811</v>
      </c>
      <c r="N11" s="414">
        <f>Параметры!C36</f>
        <v>40</v>
      </c>
      <c r="O11" s="414">
        <f>Параметры!D36</f>
        <v>0.37</v>
      </c>
      <c r="P11" s="415"/>
      <c r="Q11" s="416">
        <f>IF(AND($E$3&lt;1801,$E$4&lt;2301,$E$15=66),1,0)</f>
        <v>0</v>
      </c>
    </row>
    <row r="12" spans="1:17" ht="30.75" thickBot="1" x14ac:dyDescent="0.3">
      <c r="A12" s="419" t="s">
        <v>389</v>
      </c>
      <c r="B12" s="403">
        <f>B73</f>
        <v>15233.166666666668</v>
      </c>
      <c r="D12" s="409" t="s">
        <v>379</v>
      </c>
      <c r="E12" s="410">
        <f>Параметры!B3</f>
        <v>309</v>
      </c>
      <c r="L12" s="412" t="str">
        <f>Параметры!A37</f>
        <v>Рредуктор СВPP-  85-225,4 М3 LFB - AXF90SG,0,37KW,6P,230VD/400 IP 68</v>
      </c>
      <c r="M12" s="413">
        <f>Параметры!B37</f>
        <v>1483</v>
      </c>
      <c r="N12" s="414">
        <f>Параметры!C37</f>
        <v>40</v>
      </c>
      <c r="O12" s="414">
        <f>Параметры!D37</f>
        <v>0.37</v>
      </c>
      <c r="P12" s="415"/>
      <c r="Q12" s="416">
        <f>IF(AND($E$3&lt;1801,$E$4&lt;2301,$E$15=68),1,0)</f>
        <v>0</v>
      </c>
    </row>
    <row r="13" spans="1:17" ht="15.75" thickBot="1" x14ac:dyDescent="0.3">
      <c r="A13" s="395" t="s">
        <v>390</v>
      </c>
      <c r="B13" s="426">
        <f ca="1">B5+B8+B10+B12</f>
        <v>195353.16666666666</v>
      </c>
      <c r="D13" s="409" t="s">
        <v>381</v>
      </c>
      <c r="E13" s="410">
        <f>Параметры!B4</f>
        <v>1.82</v>
      </c>
      <c r="L13" s="412" t="str">
        <f>Параметры!A38</f>
        <v>Редуктор СВРР 110 1/225,4 80В5 М3 LFB IP55</v>
      </c>
      <c r="M13" s="413">
        <f>Параметры!B38</f>
        <v>1069</v>
      </c>
      <c r="N13" s="414">
        <f>Параметры!C38</f>
        <v>60</v>
      </c>
      <c r="O13" s="414">
        <f>Параметры!D38</f>
        <v>0.55000000000000004</v>
      </c>
      <c r="P13" s="415"/>
      <c r="Q13" s="416">
        <f>IF(AND($Q$10=0,$Q$11=0,$Q$12=0,$E$15=55),1,0)</f>
        <v>0</v>
      </c>
    </row>
    <row r="14" spans="1:17" ht="15" x14ac:dyDescent="0.25">
      <c r="D14" s="401" t="s">
        <v>385</v>
      </c>
      <c r="E14" s="429">
        <f>Цена!B3</f>
        <v>95</v>
      </c>
      <c r="L14" s="412" t="str">
        <f>Параметры!A39</f>
        <v>Редуктор СВРР 110 1/225,4 80В5 М3 LFB IP66</v>
      </c>
      <c r="M14" s="413">
        <f>Параметры!B39</f>
        <v>1176</v>
      </c>
      <c r="N14" s="414">
        <f>Параметры!C39</f>
        <v>60</v>
      </c>
      <c r="O14" s="414">
        <f>Параметры!D39</f>
        <v>0.55000000000000004</v>
      </c>
      <c r="P14" s="415"/>
      <c r="Q14" s="416">
        <f>IF(AND($Q$10=0,$Q$11=0,$Q$12=0,$E$15=66),1,0)</f>
        <v>0</v>
      </c>
    </row>
    <row r="15" spans="1:17" ht="30" x14ac:dyDescent="0.25">
      <c r="D15" s="401" t="s">
        <v>103</v>
      </c>
      <c r="E15" s="404">
        <f>Цена!D25</f>
        <v>55</v>
      </c>
      <c r="L15" s="412" t="str">
        <f>Параметры!A40</f>
        <v>Редуктор СВРР 110 1/225,4 80В5 М3 LFB - AXF90SG,0,37KW,6P,230VD/400 IP 68</v>
      </c>
      <c r="M15" s="413">
        <f>Параметры!B40</f>
        <v>2151</v>
      </c>
      <c r="N15" s="414">
        <f>Параметры!C40</f>
        <v>60</v>
      </c>
      <c r="O15" s="414">
        <f>Параметры!D40</f>
        <v>0.37</v>
      </c>
      <c r="P15" s="415"/>
      <c r="Q15" s="416">
        <f>IF(AND($Q$10=0,$Q$11=0,$Q$12=0,$E$15=68),1,0)</f>
        <v>0</v>
      </c>
    </row>
    <row r="16" spans="1:17" x14ac:dyDescent="0.2">
      <c r="D16" s="401" t="s">
        <v>387</v>
      </c>
      <c r="E16" s="420">
        <f>Параметры!B30</f>
        <v>0.8</v>
      </c>
    </row>
    <row r="17" spans="1:19" x14ac:dyDescent="0.2">
      <c r="D17" s="401" t="s">
        <v>353</v>
      </c>
      <c r="E17" s="421">
        <f>Параметры!B5</f>
        <v>0.03</v>
      </c>
    </row>
    <row r="18" spans="1:19" s="391" customFormat="1" x14ac:dyDescent="0.2">
      <c r="D18" s="401" t="s">
        <v>394</v>
      </c>
      <c r="E18" s="430">
        <f>Параметры!B42</f>
        <v>5400</v>
      </c>
      <c r="S18" s="392"/>
    </row>
    <row r="19" spans="1:19" ht="13.5" thickBot="1" x14ac:dyDescent="0.25">
      <c r="A19" s="393"/>
      <c r="B19" s="405"/>
    </row>
    <row r="20" spans="1:19" s="398" customFormat="1" ht="13.5" thickBot="1" x14ac:dyDescent="0.25">
      <c r="A20" s="689" t="s">
        <v>389</v>
      </c>
      <c r="B20" s="690"/>
    </row>
    <row r="21" spans="1:19" x14ac:dyDescent="0.2">
      <c r="A21" s="422" t="s">
        <v>410</v>
      </c>
      <c r="B21" s="423">
        <v>6</v>
      </c>
      <c r="C21" s="408">
        <v>129.16666666666669</v>
      </c>
      <c r="D21" s="408">
        <f>C21*B21</f>
        <v>775.00000000000011</v>
      </c>
    </row>
    <row r="22" spans="1:19" x14ac:dyDescent="0.2">
      <c r="A22" s="393" t="s">
        <v>411</v>
      </c>
      <c r="B22" s="424">
        <v>6</v>
      </c>
      <c r="C22" s="408">
        <v>200</v>
      </c>
      <c r="D22" s="408">
        <f t="shared" ref="D22:D70" si="0">C22*B22</f>
        <v>1200</v>
      </c>
    </row>
    <row r="23" spans="1:19" x14ac:dyDescent="0.2">
      <c r="A23" s="393" t="s">
        <v>458</v>
      </c>
      <c r="B23" s="424">
        <v>1</v>
      </c>
      <c r="C23" s="408">
        <v>20.833333333333336</v>
      </c>
      <c r="D23" s="408">
        <f t="shared" si="0"/>
        <v>20.833333333333336</v>
      </c>
      <c r="E23" s="420"/>
    </row>
    <row r="24" spans="1:19" x14ac:dyDescent="0.2">
      <c r="A24" s="393" t="s">
        <v>412</v>
      </c>
      <c r="B24" s="424">
        <v>4</v>
      </c>
      <c r="C24" s="408">
        <v>158.33333333333334</v>
      </c>
      <c r="D24" s="408">
        <f t="shared" si="0"/>
        <v>633.33333333333337</v>
      </c>
      <c r="E24" s="421"/>
    </row>
    <row r="25" spans="1:19" x14ac:dyDescent="0.2">
      <c r="A25" s="393" t="s">
        <v>413</v>
      </c>
      <c r="B25" s="424">
        <v>4</v>
      </c>
      <c r="C25" s="408">
        <v>195.83333333333334</v>
      </c>
      <c r="D25" s="408">
        <f t="shared" si="0"/>
        <v>783.33333333333337</v>
      </c>
    </row>
    <row r="26" spans="1:19" x14ac:dyDescent="0.2">
      <c r="A26" s="393" t="s">
        <v>414</v>
      </c>
      <c r="B26" s="424">
        <v>6</v>
      </c>
      <c r="C26" s="408">
        <v>308.33333333333337</v>
      </c>
      <c r="D26" s="408">
        <f t="shared" si="0"/>
        <v>1850.0000000000002</v>
      </c>
    </row>
    <row r="27" spans="1:19" x14ac:dyDescent="0.2">
      <c r="A27" s="393" t="s">
        <v>415</v>
      </c>
      <c r="B27" s="424">
        <v>2</v>
      </c>
      <c r="C27" s="445">
        <v>1750</v>
      </c>
      <c r="D27" s="445">
        <f t="shared" si="0"/>
        <v>3500</v>
      </c>
    </row>
    <row r="28" spans="1:19" x14ac:dyDescent="0.2">
      <c r="A28" s="393" t="s">
        <v>416</v>
      </c>
      <c r="B28" s="424">
        <v>2</v>
      </c>
      <c r="C28" s="408">
        <v>200</v>
      </c>
      <c r="D28" s="408">
        <f t="shared" si="0"/>
        <v>400</v>
      </c>
    </row>
    <row r="29" spans="1:19" s="425" customFormat="1" x14ac:dyDescent="0.2">
      <c r="A29" s="393" t="s">
        <v>417</v>
      </c>
      <c r="B29" s="424">
        <v>5</v>
      </c>
      <c r="C29" s="408">
        <v>12.5</v>
      </c>
      <c r="D29" s="408">
        <f t="shared" si="0"/>
        <v>62.5</v>
      </c>
      <c r="E29" s="401"/>
      <c r="F29" s="401"/>
    </row>
    <row r="30" spans="1:19" x14ac:dyDescent="0.2">
      <c r="A30" s="393" t="s">
        <v>418</v>
      </c>
      <c r="B30" s="424">
        <v>13</v>
      </c>
      <c r="C30" s="408">
        <v>16.666666666666668</v>
      </c>
      <c r="D30" s="408">
        <f t="shared" si="0"/>
        <v>216.66666666666669</v>
      </c>
    </row>
    <row r="31" spans="1:19" x14ac:dyDescent="0.2">
      <c r="A31" s="391" t="s">
        <v>419</v>
      </c>
      <c r="B31" s="391">
        <v>8</v>
      </c>
      <c r="C31" s="444">
        <v>28.333333333333336</v>
      </c>
      <c r="D31" s="444">
        <f t="shared" si="0"/>
        <v>226.66666666666669</v>
      </c>
    </row>
    <row r="32" spans="1:19" x14ac:dyDescent="0.2">
      <c r="A32" s="401" t="s">
        <v>420</v>
      </c>
      <c r="B32" s="401">
        <v>19</v>
      </c>
      <c r="C32" s="408">
        <v>2.5</v>
      </c>
      <c r="D32" s="408">
        <f t="shared" si="0"/>
        <v>47.5</v>
      </c>
    </row>
    <row r="33" spans="1:19" s="391" customFormat="1" x14ac:dyDescent="0.2">
      <c r="A33" s="391" t="s">
        <v>421</v>
      </c>
      <c r="B33" s="391">
        <v>41</v>
      </c>
      <c r="C33" s="444">
        <v>4.166666666666667</v>
      </c>
      <c r="D33" s="444">
        <f t="shared" si="0"/>
        <v>170.83333333333334</v>
      </c>
      <c r="E33" s="401"/>
      <c r="F33" s="401"/>
      <c r="G33" s="401"/>
      <c r="H33" s="401"/>
      <c r="I33" s="401"/>
      <c r="J33" s="401"/>
      <c r="K33" s="401"/>
      <c r="L33" s="401"/>
      <c r="M33" s="401"/>
      <c r="N33" s="401"/>
      <c r="O33" s="401"/>
      <c r="P33" s="401"/>
    </row>
    <row r="34" spans="1:19" x14ac:dyDescent="0.2">
      <c r="A34" s="401" t="s">
        <v>422</v>
      </c>
      <c r="B34" s="401">
        <v>14</v>
      </c>
      <c r="C34" s="408">
        <v>7.5</v>
      </c>
      <c r="D34" s="408">
        <f t="shared" si="0"/>
        <v>105</v>
      </c>
    </row>
    <row r="35" spans="1:19" s="391" customFormat="1" x14ac:dyDescent="0.2">
      <c r="A35" s="401" t="s">
        <v>423</v>
      </c>
      <c r="B35" s="401">
        <v>15</v>
      </c>
      <c r="C35" s="408">
        <v>5.8333333333333339</v>
      </c>
      <c r="D35" s="408">
        <f t="shared" si="0"/>
        <v>87.500000000000014</v>
      </c>
      <c r="E35" s="401"/>
      <c r="F35" s="401"/>
      <c r="S35" s="392"/>
    </row>
    <row r="36" spans="1:19" x14ac:dyDescent="0.2">
      <c r="A36" s="401" t="s">
        <v>424</v>
      </c>
      <c r="B36" s="401">
        <v>7</v>
      </c>
      <c r="C36" s="408">
        <v>6.666666666666667</v>
      </c>
      <c r="D36" s="408">
        <f t="shared" si="0"/>
        <v>46.666666666666671</v>
      </c>
      <c r="E36" s="425"/>
      <c r="F36" s="425"/>
    </row>
    <row r="37" spans="1:19" x14ac:dyDescent="0.2">
      <c r="A37" s="401" t="s">
        <v>425</v>
      </c>
      <c r="B37" s="401">
        <v>6</v>
      </c>
      <c r="C37" s="408">
        <v>6.666666666666667</v>
      </c>
      <c r="D37" s="408">
        <f t="shared" si="0"/>
        <v>40</v>
      </c>
    </row>
    <row r="38" spans="1:19" x14ac:dyDescent="0.2">
      <c r="A38" s="428" t="s">
        <v>426</v>
      </c>
      <c r="B38" s="428">
        <v>75</v>
      </c>
      <c r="C38" s="408">
        <v>6.666666666666667</v>
      </c>
      <c r="D38" s="408">
        <f t="shared" si="0"/>
        <v>500</v>
      </c>
    </row>
    <row r="39" spans="1:19" x14ac:dyDescent="0.2">
      <c r="A39" s="401" t="s">
        <v>427</v>
      </c>
      <c r="B39" s="401">
        <v>24</v>
      </c>
      <c r="C39" s="408">
        <v>8.3333333333333339</v>
      </c>
      <c r="D39" s="408">
        <f t="shared" si="0"/>
        <v>200</v>
      </c>
    </row>
    <row r="40" spans="1:19" x14ac:dyDescent="0.2">
      <c r="A40" s="401" t="s">
        <v>428</v>
      </c>
      <c r="B40" s="401">
        <v>2</v>
      </c>
      <c r="C40" s="408">
        <v>8.3333333333333339</v>
      </c>
      <c r="D40" s="408">
        <f t="shared" si="0"/>
        <v>16.666666666666668</v>
      </c>
    </row>
    <row r="41" spans="1:19" x14ac:dyDescent="0.2">
      <c r="A41" s="401" t="s">
        <v>429</v>
      </c>
      <c r="B41" s="401">
        <v>4</v>
      </c>
      <c r="C41" s="408">
        <v>8.3333333333333339</v>
      </c>
      <c r="D41" s="408">
        <f t="shared" si="0"/>
        <v>33.333333333333336</v>
      </c>
    </row>
    <row r="42" spans="1:19" x14ac:dyDescent="0.2">
      <c r="A42" s="401" t="s">
        <v>430</v>
      </c>
      <c r="B42" s="401">
        <v>6</v>
      </c>
      <c r="C42" s="408">
        <v>12.5</v>
      </c>
      <c r="D42" s="408">
        <f t="shared" si="0"/>
        <v>75</v>
      </c>
    </row>
    <row r="43" spans="1:19" x14ac:dyDescent="0.2">
      <c r="A43" s="401" t="s">
        <v>431</v>
      </c>
      <c r="B43" s="401">
        <v>6</v>
      </c>
      <c r="C43" s="408">
        <v>2.5</v>
      </c>
      <c r="D43" s="408">
        <f t="shared" si="0"/>
        <v>15</v>
      </c>
    </row>
    <row r="44" spans="1:19" x14ac:dyDescent="0.2">
      <c r="A44" s="401" t="s">
        <v>432</v>
      </c>
      <c r="B44" s="401">
        <v>44</v>
      </c>
      <c r="C44" s="408">
        <v>3.3333333333333335</v>
      </c>
      <c r="D44" s="408">
        <f t="shared" si="0"/>
        <v>146.66666666666669</v>
      </c>
    </row>
    <row r="45" spans="1:19" x14ac:dyDescent="0.2">
      <c r="A45" s="401" t="s">
        <v>433</v>
      </c>
      <c r="B45" s="401">
        <v>9</v>
      </c>
      <c r="C45" s="408">
        <v>3.3333333333333335</v>
      </c>
      <c r="D45" s="408">
        <f t="shared" si="0"/>
        <v>30</v>
      </c>
    </row>
    <row r="46" spans="1:19" x14ac:dyDescent="0.2">
      <c r="A46" s="401" t="s">
        <v>434</v>
      </c>
      <c r="B46" s="401">
        <v>22</v>
      </c>
      <c r="C46" s="408">
        <v>16.666666666666668</v>
      </c>
      <c r="D46" s="408">
        <f t="shared" si="0"/>
        <v>366.66666666666669</v>
      </c>
    </row>
    <row r="47" spans="1:19" x14ac:dyDescent="0.2">
      <c r="A47" s="401" t="s">
        <v>435</v>
      </c>
      <c r="B47" s="401">
        <v>6</v>
      </c>
      <c r="C47" s="408">
        <v>0.83333333333333337</v>
      </c>
      <c r="D47" s="408">
        <f t="shared" si="0"/>
        <v>5</v>
      </c>
    </row>
    <row r="48" spans="1:19" x14ac:dyDescent="0.2">
      <c r="A48" s="401" t="s">
        <v>436</v>
      </c>
      <c r="B48" s="401">
        <v>17</v>
      </c>
      <c r="C48" s="408">
        <v>4.166666666666667</v>
      </c>
      <c r="D48" s="408">
        <f t="shared" si="0"/>
        <v>70.833333333333343</v>
      </c>
    </row>
    <row r="49" spans="1:4" x14ac:dyDescent="0.2">
      <c r="A49" s="401" t="s">
        <v>437</v>
      </c>
      <c r="B49" s="401">
        <v>22</v>
      </c>
      <c r="C49" s="408">
        <v>6.666666666666667</v>
      </c>
      <c r="D49" s="408">
        <f t="shared" si="0"/>
        <v>146.66666666666669</v>
      </c>
    </row>
    <row r="50" spans="1:4" x14ac:dyDescent="0.2">
      <c r="A50" s="401" t="s">
        <v>438</v>
      </c>
      <c r="B50" s="401">
        <v>17</v>
      </c>
      <c r="C50" s="408">
        <v>7.5</v>
      </c>
      <c r="D50" s="408">
        <f t="shared" si="0"/>
        <v>127.5</v>
      </c>
    </row>
    <row r="51" spans="1:4" x14ac:dyDescent="0.2">
      <c r="A51" s="401" t="s">
        <v>439</v>
      </c>
      <c r="B51" s="401">
        <v>20</v>
      </c>
      <c r="C51" s="408">
        <v>10</v>
      </c>
      <c r="D51" s="408">
        <f t="shared" si="0"/>
        <v>200</v>
      </c>
    </row>
    <row r="52" spans="1:4" x14ac:dyDescent="0.2">
      <c r="A52" s="401" t="s">
        <v>440</v>
      </c>
      <c r="B52" s="401">
        <v>12</v>
      </c>
      <c r="C52" s="408">
        <v>19.166666666666668</v>
      </c>
      <c r="D52" s="408">
        <f t="shared" si="0"/>
        <v>230</v>
      </c>
    </row>
    <row r="53" spans="1:4" x14ac:dyDescent="0.2">
      <c r="A53" s="401" t="s">
        <v>441</v>
      </c>
      <c r="B53" s="401">
        <v>30</v>
      </c>
      <c r="C53" s="408">
        <v>1.6666666666666667</v>
      </c>
      <c r="D53" s="408">
        <f t="shared" si="0"/>
        <v>50</v>
      </c>
    </row>
    <row r="54" spans="1:4" x14ac:dyDescent="0.2">
      <c r="A54" s="401" t="s">
        <v>442</v>
      </c>
      <c r="B54" s="401">
        <v>118</v>
      </c>
      <c r="C54" s="408">
        <v>6.666666666666667</v>
      </c>
      <c r="D54" s="408">
        <f t="shared" si="0"/>
        <v>786.66666666666674</v>
      </c>
    </row>
    <row r="55" spans="1:4" x14ac:dyDescent="0.2">
      <c r="A55" s="401" t="s">
        <v>443</v>
      </c>
      <c r="B55" s="401">
        <v>21</v>
      </c>
      <c r="C55" s="408">
        <v>0.83333333333333337</v>
      </c>
      <c r="D55" s="408">
        <f t="shared" si="0"/>
        <v>17.5</v>
      </c>
    </row>
    <row r="56" spans="1:4" x14ac:dyDescent="0.2">
      <c r="A56" s="401" t="s">
        <v>444</v>
      </c>
      <c r="B56" s="401">
        <v>22</v>
      </c>
      <c r="C56" s="408">
        <v>0.83333333333333337</v>
      </c>
      <c r="D56" s="408">
        <f t="shared" si="0"/>
        <v>18.333333333333336</v>
      </c>
    </row>
    <row r="57" spans="1:4" x14ac:dyDescent="0.2">
      <c r="A57" s="401" t="s">
        <v>445</v>
      </c>
      <c r="B57" s="401">
        <v>4</v>
      </c>
      <c r="C57" s="408">
        <v>0.83333333333333337</v>
      </c>
      <c r="D57" s="408">
        <f t="shared" si="0"/>
        <v>3.3333333333333335</v>
      </c>
    </row>
    <row r="58" spans="1:4" x14ac:dyDescent="0.2">
      <c r="A58" s="401" t="s">
        <v>446</v>
      </c>
      <c r="B58" s="401">
        <v>72</v>
      </c>
      <c r="C58" s="408">
        <v>0.83333333333333337</v>
      </c>
      <c r="D58" s="408">
        <f t="shared" si="0"/>
        <v>60</v>
      </c>
    </row>
    <row r="59" spans="1:4" x14ac:dyDescent="0.2">
      <c r="A59" s="401" t="s">
        <v>447</v>
      </c>
      <c r="B59" s="401">
        <v>118</v>
      </c>
      <c r="C59" s="408">
        <v>0.83333333333333337</v>
      </c>
      <c r="D59" s="408">
        <f t="shared" si="0"/>
        <v>98.333333333333343</v>
      </c>
    </row>
    <row r="60" spans="1:4" x14ac:dyDescent="0.2">
      <c r="A60" s="401" t="s">
        <v>448</v>
      </c>
      <c r="B60" s="401">
        <v>6</v>
      </c>
      <c r="C60" s="408">
        <v>6.666666666666667</v>
      </c>
      <c r="D60" s="408">
        <f t="shared" si="0"/>
        <v>40</v>
      </c>
    </row>
    <row r="61" spans="1:4" x14ac:dyDescent="0.2">
      <c r="A61" s="401" t="s">
        <v>449</v>
      </c>
      <c r="B61" s="401">
        <v>8</v>
      </c>
      <c r="C61" s="408">
        <v>10</v>
      </c>
      <c r="D61" s="408">
        <f t="shared" si="0"/>
        <v>80</v>
      </c>
    </row>
    <row r="62" spans="1:4" x14ac:dyDescent="0.2">
      <c r="A62" s="401" t="s">
        <v>450</v>
      </c>
      <c r="B62" s="401">
        <v>5</v>
      </c>
      <c r="C62" s="408">
        <v>10</v>
      </c>
      <c r="D62" s="408">
        <f t="shared" si="0"/>
        <v>50</v>
      </c>
    </row>
    <row r="63" spans="1:4" x14ac:dyDescent="0.2">
      <c r="A63" s="401" t="s">
        <v>451</v>
      </c>
      <c r="B63" s="401">
        <v>6</v>
      </c>
      <c r="C63" s="408">
        <v>2.5</v>
      </c>
      <c r="D63" s="408">
        <f t="shared" si="0"/>
        <v>15</v>
      </c>
    </row>
    <row r="64" spans="1:4" x14ac:dyDescent="0.2">
      <c r="A64" s="401" t="s">
        <v>452</v>
      </c>
      <c r="B64" s="401">
        <v>8</v>
      </c>
      <c r="C64" s="408">
        <v>2.5</v>
      </c>
      <c r="D64" s="408">
        <f t="shared" si="0"/>
        <v>20</v>
      </c>
    </row>
    <row r="65" spans="1:13" x14ac:dyDescent="0.2">
      <c r="A65" s="401" t="s">
        <v>453</v>
      </c>
      <c r="B65" s="401">
        <v>5</v>
      </c>
      <c r="C65" s="408">
        <v>5</v>
      </c>
      <c r="D65" s="408">
        <f t="shared" si="0"/>
        <v>25</v>
      </c>
    </row>
    <row r="66" spans="1:13" x14ac:dyDescent="0.2">
      <c r="A66" s="401" t="s">
        <v>454</v>
      </c>
      <c r="B66" s="401">
        <v>11</v>
      </c>
      <c r="C66" s="408">
        <v>5</v>
      </c>
      <c r="D66" s="408">
        <f t="shared" si="0"/>
        <v>55</v>
      </c>
    </row>
    <row r="67" spans="1:13" x14ac:dyDescent="0.2">
      <c r="A67" s="401" t="s">
        <v>455</v>
      </c>
      <c r="B67" s="401">
        <v>1</v>
      </c>
      <c r="C67" s="408">
        <v>83.333333333333343</v>
      </c>
      <c r="D67" s="408">
        <f t="shared" si="0"/>
        <v>83.333333333333343</v>
      </c>
    </row>
    <row r="68" spans="1:13" x14ac:dyDescent="0.2">
      <c r="A68" s="401" t="s">
        <v>456</v>
      </c>
      <c r="B68" s="401">
        <v>5</v>
      </c>
      <c r="C68" s="408">
        <v>6.666666666666667</v>
      </c>
      <c r="D68" s="408">
        <f t="shared" si="0"/>
        <v>33.333333333333336</v>
      </c>
    </row>
    <row r="69" spans="1:13" x14ac:dyDescent="0.2">
      <c r="A69" s="401" t="s">
        <v>448</v>
      </c>
      <c r="B69" s="408">
        <v>5</v>
      </c>
      <c r="C69" s="408">
        <v>6.666666666666667</v>
      </c>
      <c r="D69" s="408">
        <f t="shared" si="0"/>
        <v>33.333333333333336</v>
      </c>
    </row>
    <row r="70" spans="1:13" x14ac:dyDescent="0.2">
      <c r="A70" s="401" t="s">
        <v>457</v>
      </c>
      <c r="B70" s="401">
        <v>2</v>
      </c>
      <c r="C70" s="408">
        <v>25</v>
      </c>
      <c r="D70" s="408">
        <f t="shared" si="0"/>
        <v>50</v>
      </c>
    </row>
    <row r="72" spans="1:13" ht="13.5" thickBot="1" x14ac:dyDescent="0.25"/>
    <row r="73" spans="1:13" ht="13.5" thickBot="1" x14ac:dyDescent="0.25">
      <c r="A73" s="427" t="s">
        <v>459</v>
      </c>
      <c r="B73" s="426">
        <f>SUM(D21:D70)*1.1</f>
        <v>15233.166666666668</v>
      </c>
    </row>
    <row r="75" spans="1:13" ht="13.5" thickBot="1" x14ac:dyDescent="0.25"/>
    <row r="76" spans="1:13" s="398" customFormat="1" ht="13.5" thickBot="1" x14ac:dyDescent="0.25">
      <c r="A76" s="689" t="s">
        <v>190</v>
      </c>
      <c r="B76" s="690"/>
    </row>
    <row r="77" spans="1:13" x14ac:dyDescent="0.2">
      <c r="A77" s="422"/>
      <c r="B77" s="423"/>
      <c r="C77" s="408"/>
      <c r="D77" s="408"/>
    </row>
    <row r="78" spans="1:13" x14ac:dyDescent="0.2">
      <c r="A78" s="393" t="s">
        <v>470</v>
      </c>
      <c r="B78" s="459">
        <f>Параметры!B54</f>
        <v>840</v>
      </c>
      <c r="C78" s="408"/>
      <c r="D78" s="408" t="s">
        <v>469</v>
      </c>
      <c r="E78" s="448" t="str">
        <f>Цена!D26</f>
        <v>Да</v>
      </c>
    </row>
    <row r="79" spans="1:13" ht="30" x14ac:dyDescent="0.25">
      <c r="A79" s="419" t="s">
        <v>463</v>
      </c>
      <c r="B79" s="459">
        <f ca="1">OFFSET(L83,MATCH(1,K84:K86,0),1,1,1)</f>
        <v>100</v>
      </c>
      <c r="C79" s="408"/>
      <c r="D79" s="445" t="s">
        <v>463</v>
      </c>
      <c r="E79" s="457" t="str">
        <f>Цена!D27</f>
        <v>ModBus RTU</v>
      </c>
      <c r="L79" s="369" t="s">
        <v>364</v>
      </c>
      <c r="M79" s="382" t="s">
        <v>365</v>
      </c>
    </row>
    <row r="80" spans="1:13" ht="15" x14ac:dyDescent="0.25">
      <c r="A80" s="393" t="s">
        <v>471</v>
      </c>
      <c r="B80" s="459">
        <f ca="1">OFFSET(L79,MATCH(1,K80:K82,0),1,1,1)</f>
        <v>60</v>
      </c>
      <c r="C80" s="408"/>
      <c r="D80" s="408" t="s">
        <v>472</v>
      </c>
      <c r="E80" s="449">
        <f>IF(E15=55,55,IF(E15=66,66,IF(E15=68,67)))</f>
        <v>55</v>
      </c>
      <c r="K80" s="450">
        <f>IF(E80=55,1,0)</f>
        <v>1</v>
      </c>
      <c r="L80" s="373" t="s">
        <v>495</v>
      </c>
      <c r="M80" s="383">
        <v>60</v>
      </c>
    </row>
    <row r="81" spans="1:13" ht="15" x14ac:dyDescent="0.25">
      <c r="B81" s="458"/>
      <c r="C81" s="408"/>
      <c r="D81" s="408"/>
      <c r="K81" s="450">
        <f>IF(E80=66,1,0)</f>
        <v>0</v>
      </c>
      <c r="L81" s="373" t="s">
        <v>496</v>
      </c>
      <c r="M81" s="383">
        <v>80</v>
      </c>
    </row>
    <row r="82" spans="1:13" ht="15" x14ac:dyDescent="0.25">
      <c r="A82" s="401" t="s">
        <v>474</v>
      </c>
      <c r="B82" s="459">
        <f ca="1">SUM(B78:B80)</f>
        <v>1000</v>
      </c>
      <c r="K82" s="450">
        <f>IF(SUM(K80:K81)=0,1,0)</f>
        <v>0</v>
      </c>
      <c r="L82" s="377" t="s">
        <v>265</v>
      </c>
      <c r="M82" s="384">
        <v>180</v>
      </c>
    </row>
    <row r="83" spans="1:13" x14ac:dyDescent="0.2">
      <c r="A83" s="401" t="s">
        <v>475</v>
      </c>
      <c r="B83" s="458">
        <f ca="1">B82*E14</f>
        <v>95000</v>
      </c>
    </row>
    <row r="84" spans="1:13" x14ac:dyDescent="0.2">
      <c r="A84" s="401" t="s">
        <v>90</v>
      </c>
      <c r="B84" s="458">
        <f ca="1">ROUND(B83*E17,1)</f>
        <v>2850</v>
      </c>
      <c r="K84" s="450">
        <f>IF(L84=$E$79,1,0)</f>
        <v>0</v>
      </c>
      <c r="L84" s="451" t="s">
        <v>102</v>
      </c>
      <c r="M84" s="454">
        <v>0</v>
      </c>
    </row>
    <row r="85" spans="1:13" ht="13.5" thickBot="1" x14ac:dyDescent="0.25">
      <c r="B85" s="458"/>
      <c r="K85" s="450">
        <f>IF(L85=$E$79,1,0)</f>
        <v>1</v>
      </c>
      <c r="L85" s="452" t="s">
        <v>464</v>
      </c>
      <c r="M85" s="455">
        <f>Параметры!B51</f>
        <v>100</v>
      </c>
    </row>
    <row r="86" spans="1:13" ht="13.5" thickBot="1" x14ac:dyDescent="0.25">
      <c r="A86" s="427" t="s">
        <v>476</v>
      </c>
      <c r="B86" s="426">
        <f ca="1">B83+B84</f>
        <v>97850</v>
      </c>
      <c r="J86" s="401" t="s">
        <v>473</v>
      </c>
      <c r="K86" s="450">
        <f>IF(L86=$E$79,1,0)</f>
        <v>0</v>
      </c>
      <c r="L86" s="453" t="s">
        <v>465</v>
      </c>
      <c r="M86" s="456">
        <f>Параметры!B52</f>
        <v>240</v>
      </c>
    </row>
    <row r="87" spans="1:13" x14ac:dyDescent="0.2">
      <c r="B87" s="458"/>
    </row>
    <row r="88" spans="1:13" x14ac:dyDescent="0.2">
      <c r="B88" s="458"/>
    </row>
    <row r="89" spans="1:13" x14ac:dyDescent="0.2">
      <c r="B89" s="458"/>
    </row>
    <row r="90" spans="1:13" x14ac:dyDescent="0.2">
      <c r="B90" s="458"/>
    </row>
  </sheetData>
  <mergeCells count="2">
    <mergeCell ref="A20:B20"/>
    <mergeCell ref="A76:B76"/>
  </mergeCells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O121"/>
  <sheetViews>
    <sheetView topLeftCell="A88" workbookViewId="0">
      <selection activeCell="D52" sqref="D52"/>
    </sheetView>
  </sheetViews>
  <sheetFormatPr defaultRowHeight="12.75" x14ac:dyDescent="0.2"/>
  <cols>
    <col min="1" max="1" width="27.28515625" customWidth="1"/>
    <col min="2" max="2" width="46.28515625" customWidth="1"/>
    <col min="3" max="3" width="17.140625" customWidth="1"/>
    <col min="4" max="4" width="14.7109375" customWidth="1"/>
    <col min="5" max="5" width="15.85546875" customWidth="1"/>
    <col min="6" max="6" width="16.7109375" customWidth="1"/>
    <col min="7" max="7" width="21.42578125" customWidth="1"/>
    <col min="8" max="8" width="18.5703125" customWidth="1"/>
  </cols>
  <sheetData>
    <row r="1" spans="1:8" ht="38.25" x14ac:dyDescent="0.2">
      <c r="A1" s="108" t="str">
        <f>A4</f>
        <v>Маркировка</v>
      </c>
      <c r="B1" s="109" t="s">
        <v>279</v>
      </c>
      <c r="C1" s="109" t="s">
        <v>274</v>
      </c>
      <c r="D1" s="109" t="s">
        <v>275</v>
      </c>
      <c r="E1" s="109" t="s">
        <v>276</v>
      </c>
      <c r="F1" s="109" t="s">
        <v>277</v>
      </c>
      <c r="G1" s="109" t="s">
        <v>278</v>
      </c>
    </row>
    <row r="2" spans="1:8" ht="89.25" x14ac:dyDescent="0.2">
      <c r="A2" s="297" t="str">
        <f>A5</f>
        <v>РТО 400.400.850.6</v>
      </c>
      <c r="B2" s="71" t="str">
        <f ca="1">CONCATENATE(E5,E6," ",E7," ",E8," ",E9," ",E10," ",E11," ",E12," ",E14,E15)</f>
        <v>Решетка тонкой очистки грабельного типа. Максимальная производительность - 50 м3/ч.; прозор - 6 мм.; ширина канала - 400 мм.; глубина канала - 400 мм.; высота выгрузки отбросов - 850 мм.; вес решетки в сборе - 290 кг.; привод - 0,37 кВт.; IP 55; 380 В; 50 Гц;  материал исполнения - AISI 201; в комплекте с ШУ и ВПУ.</v>
      </c>
      <c r="C2" s="110">
        <f ca="1">C11</f>
        <v>290</v>
      </c>
      <c r="D2" s="108">
        <f ca="1">C12</f>
        <v>0.37</v>
      </c>
      <c r="E2" s="108">
        <v>1</v>
      </c>
      <c r="F2" s="110">
        <f ca="1">MROUND(Цена!C49,100)</f>
        <v>528200</v>
      </c>
      <c r="G2" s="110">
        <f ca="1">F2*E2</f>
        <v>528200</v>
      </c>
      <c r="H2" s="223"/>
    </row>
    <row r="3" spans="1:8" x14ac:dyDescent="0.2">
      <c r="A3" s="297"/>
      <c r="B3" s="71"/>
      <c r="C3" s="110"/>
      <c r="D3" s="108"/>
      <c r="E3" s="108"/>
      <c r="F3" s="110"/>
      <c r="G3" s="110"/>
      <c r="H3" s="223"/>
    </row>
    <row r="4" spans="1:8" x14ac:dyDescent="0.2">
      <c r="A4" t="s">
        <v>269</v>
      </c>
      <c r="B4" t="s">
        <v>270</v>
      </c>
      <c r="C4" t="s">
        <v>273</v>
      </c>
    </row>
    <row r="5" spans="1:8" x14ac:dyDescent="0.2">
      <c r="A5" t="str">
        <f>Цена!I4</f>
        <v>РТО 400.400.850.6</v>
      </c>
      <c r="B5" s="186" t="str">
        <f>IF(Цена!A16="РТО","тонкой очистки","грубой очистки")</f>
        <v>тонкой очистки</v>
      </c>
      <c r="E5" t="str">
        <f>CONCATENATE("Решетка ",B5," грабельного типа. ")</f>
        <v xml:space="preserve">Решетка тонкой очистки грабельного типа. </v>
      </c>
    </row>
    <row r="6" spans="1:8" x14ac:dyDescent="0.2">
      <c r="B6" s="186" t="s">
        <v>271</v>
      </c>
      <c r="C6" s="298">
        <f>ROUNDUP(Гидравлика!R4,-1)</f>
        <v>50</v>
      </c>
      <c r="D6" t="s">
        <v>113</v>
      </c>
      <c r="E6" t="str">
        <f>CONCATENATE(B6," ",C6," ",D6,".;")</f>
        <v>Максимальная производительность - 50 м3/ч.;</v>
      </c>
    </row>
    <row r="7" spans="1:8" x14ac:dyDescent="0.2">
      <c r="B7" s="186" t="s">
        <v>280</v>
      </c>
      <c r="C7" s="110">
        <f>Цена!E16</f>
        <v>6</v>
      </c>
      <c r="D7" t="s">
        <v>167</v>
      </c>
      <c r="E7" t="str">
        <f>CONCATENATE(B7," ",C7," ",D7,";")</f>
        <v>прозор - 6 мм.;</v>
      </c>
    </row>
    <row r="8" spans="1:8" x14ac:dyDescent="0.2">
      <c r="B8" s="186" t="s">
        <v>281</v>
      </c>
      <c r="C8" s="110">
        <f>Цена!B16</f>
        <v>400</v>
      </c>
      <c r="D8" t="s">
        <v>167</v>
      </c>
      <c r="E8" t="str">
        <f>CONCATENATE(B8," ",C8," ",D8,";")</f>
        <v>ширина канала - 400 мм.;</v>
      </c>
    </row>
    <row r="9" spans="1:8" x14ac:dyDescent="0.2">
      <c r="B9" s="186" t="s">
        <v>282</v>
      </c>
      <c r="C9" s="110">
        <f>Цена!C16</f>
        <v>400</v>
      </c>
      <c r="D9" t="s">
        <v>167</v>
      </c>
      <c r="E9" t="str">
        <f>CONCATENATE(B9," ",C9," ",D9,";")</f>
        <v>глубина канала - 400 мм.;</v>
      </c>
    </row>
    <row r="10" spans="1:8" x14ac:dyDescent="0.2">
      <c r="B10" s="186" t="s">
        <v>283</v>
      </c>
      <c r="C10" s="110">
        <f>Цена!D16</f>
        <v>850</v>
      </c>
      <c r="D10" t="s">
        <v>167</v>
      </c>
      <c r="E10" t="str">
        <f>CONCATENATE(B10," ",C10," ",D10,";")</f>
        <v>высота выгрузки отбросов - 850 мм.;</v>
      </c>
    </row>
    <row r="11" spans="1:8" x14ac:dyDescent="0.2">
      <c r="B11" s="186" t="s">
        <v>284</v>
      </c>
      <c r="C11" s="110">
        <f ca="1">Цена!D19</f>
        <v>290</v>
      </c>
      <c r="D11" t="s">
        <v>170</v>
      </c>
      <c r="E11" t="str">
        <f ca="1">CONCATENATE(B11," ",C11," ",D11,";")</f>
        <v>вес решетки в сборе - 290 кг.;</v>
      </c>
    </row>
    <row r="12" spans="1:8" x14ac:dyDescent="0.2">
      <c r="B12" s="186" t="s">
        <v>462</v>
      </c>
      <c r="C12" s="447">
        <f ca="1">Цена!D23</f>
        <v>0.37</v>
      </c>
      <c r="D12" t="s">
        <v>272</v>
      </c>
      <c r="E12" t="str">
        <f ca="1">CONCATENATE(B12," ",C12," ",D12,"; ",C13,"; 380 В; 50 Гц; ",)</f>
        <v xml:space="preserve">привод - 0,37 кВт.; IP 55; 380 В; 50 Гц; </v>
      </c>
    </row>
    <row r="13" spans="1:8" x14ac:dyDescent="0.2">
      <c r="B13" s="186"/>
      <c r="C13" s="110" t="str">
        <f>CONCATENATE("IP ",Цена!D25)</f>
        <v>IP 55</v>
      </c>
    </row>
    <row r="14" spans="1:8" x14ac:dyDescent="0.2">
      <c r="B14" s="186" t="s">
        <v>285</v>
      </c>
      <c r="C14" s="110" t="str">
        <f>Цена!D24</f>
        <v>AISI 201</v>
      </c>
      <c r="E14" t="str">
        <f>CONCATENATE(B14," ",C14)</f>
        <v>материал исполнения - AISI 201</v>
      </c>
    </row>
    <row r="15" spans="1:8" x14ac:dyDescent="0.2">
      <c r="B15" s="186" t="s">
        <v>286</v>
      </c>
      <c r="C15" s="110" t="str">
        <f>Цена!D26</f>
        <v>Да</v>
      </c>
      <c r="E15" t="str">
        <f>IF(C15="Да","; в комплекте с ШУ и ВПУ.","; без ШУ.")</f>
        <v>; в комплекте с ШУ и ВПУ.</v>
      </c>
    </row>
    <row r="17" spans="2:15" ht="24.75" customHeight="1" x14ac:dyDescent="0.2"/>
    <row r="18" spans="2:15" x14ac:dyDescent="0.2">
      <c r="I18" s="223"/>
      <c r="J18" s="223"/>
      <c r="K18" s="223"/>
      <c r="L18" s="223"/>
      <c r="M18" s="223"/>
      <c r="N18" s="223"/>
      <c r="O18" s="223"/>
    </row>
    <row r="20" spans="2:15" x14ac:dyDescent="0.2">
      <c r="B20" s="299" t="s">
        <v>302</v>
      </c>
    </row>
    <row r="21" spans="2:15" s="304" customFormat="1" x14ac:dyDescent="0.2">
      <c r="B21" s="302" t="s">
        <v>303</v>
      </c>
      <c r="C21" s="303" t="s">
        <v>304</v>
      </c>
      <c r="D21" s="303">
        <f>Цена!B9</f>
        <v>8550</v>
      </c>
    </row>
    <row r="22" spans="2:15" x14ac:dyDescent="0.2">
      <c r="B22" s="186" t="s">
        <v>289</v>
      </c>
      <c r="C22" s="283"/>
      <c r="D22" s="283" t="str">
        <f>CONCATENATE("ТКП №",Цена!I3)</f>
        <v>ТКП №8550 0 0 04.01.22</v>
      </c>
    </row>
    <row r="23" spans="2:15" s="304" customFormat="1" x14ac:dyDescent="0.2">
      <c r="B23" s="302" t="s">
        <v>290</v>
      </c>
      <c r="C23" s="305" t="s">
        <v>318</v>
      </c>
      <c r="D23" s="305" t="str">
        <f>Цена!I4</f>
        <v>РТО 400.400.850.6</v>
      </c>
    </row>
    <row r="24" spans="2:15" s="304" customFormat="1" x14ac:dyDescent="0.2">
      <c r="B24" s="302" t="s">
        <v>291</v>
      </c>
      <c r="C24" s="304" t="s">
        <v>305</v>
      </c>
      <c r="D24" s="304" t="str">
        <f>IF(D25="РТО","тонкой","грубой")</f>
        <v>тонкой</v>
      </c>
    </row>
    <row r="25" spans="2:15" s="304" customFormat="1" x14ac:dyDescent="0.2">
      <c r="B25" s="302" t="s">
        <v>291</v>
      </c>
      <c r="C25" s="305" t="s">
        <v>317</v>
      </c>
      <c r="D25" s="305" t="str">
        <f>Цена!A16</f>
        <v>РТО</v>
      </c>
    </row>
    <row r="26" spans="2:15" s="304" customFormat="1" x14ac:dyDescent="0.2">
      <c r="B26" s="302" t="s">
        <v>292</v>
      </c>
      <c r="C26" s="303" t="s">
        <v>306</v>
      </c>
      <c r="D26" s="303">
        <f>Цена!E16</f>
        <v>6</v>
      </c>
    </row>
    <row r="27" spans="2:15" s="304" customFormat="1" x14ac:dyDescent="0.2">
      <c r="B27" s="302" t="s">
        <v>293</v>
      </c>
      <c r="C27" s="303" t="s">
        <v>307</v>
      </c>
      <c r="D27" s="303">
        <f>Цена!B16</f>
        <v>400</v>
      </c>
    </row>
    <row r="28" spans="2:15" s="304" customFormat="1" x14ac:dyDescent="0.2">
      <c r="B28" s="302" t="s">
        <v>294</v>
      </c>
      <c r="C28" s="303" t="s">
        <v>308</v>
      </c>
      <c r="D28" s="303">
        <f>Цена!C16</f>
        <v>400</v>
      </c>
    </row>
    <row r="29" spans="2:15" s="304" customFormat="1" x14ac:dyDescent="0.2">
      <c r="B29" s="302" t="s">
        <v>295</v>
      </c>
      <c r="C29" s="303" t="s">
        <v>309</v>
      </c>
      <c r="D29" s="303">
        <f>Цена!D16</f>
        <v>850</v>
      </c>
    </row>
    <row r="30" spans="2:15" s="304" customFormat="1" x14ac:dyDescent="0.2">
      <c r="B30" s="302" t="s">
        <v>296</v>
      </c>
      <c r="C30" s="305" t="s">
        <v>310</v>
      </c>
      <c r="D30" s="305">
        <f>IF(C10=850,1770,IF(C10=1200,2120,IF(C10=1500,2420,)))</f>
        <v>1770</v>
      </c>
    </row>
    <row r="31" spans="2:15" s="304" customFormat="1" x14ac:dyDescent="0.2">
      <c r="B31" s="302" t="s">
        <v>297</v>
      </c>
      <c r="C31" s="305" t="s">
        <v>311</v>
      </c>
      <c r="D31" s="305">
        <f>IF(C9&lt;1200,0,250)</f>
        <v>0</v>
      </c>
    </row>
    <row r="32" spans="2:15" x14ac:dyDescent="0.2">
      <c r="B32" s="186" t="s">
        <v>288</v>
      </c>
      <c r="C32" s="283"/>
      <c r="D32" s="283" t="str">
        <f>IF(C13="IP 55","IP 54",IF(C13="IP 66","IP 65","IP 67"))</f>
        <v>IP 54</v>
      </c>
    </row>
    <row r="33" spans="2:6" s="304" customFormat="1" x14ac:dyDescent="0.2">
      <c r="B33" s="302" t="s">
        <v>301</v>
      </c>
      <c r="C33" s="304" t="s">
        <v>314</v>
      </c>
      <c r="D33" s="304" t="str">
        <f>C13</f>
        <v>IP 55</v>
      </c>
    </row>
    <row r="34" spans="2:6" s="304" customFormat="1" x14ac:dyDescent="0.2">
      <c r="B34" s="302" t="s">
        <v>287</v>
      </c>
      <c r="C34" s="306" t="s">
        <v>312</v>
      </c>
      <c r="D34" s="306">
        <f>C6</f>
        <v>50</v>
      </c>
    </row>
    <row r="35" spans="2:6" s="304" customFormat="1" x14ac:dyDescent="0.2">
      <c r="B35" s="302" t="s">
        <v>298</v>
      </c>
      <c r="C35" s="305" t="s">
        <v>313</v>
      </c>
      <c r="D35" s="305">
        <f ca="1">D2</f>
        <v>0.37</v>
      </c>
    </row>
    <row r="36" spans="2:6" s="304" customFormat="1" x14ac:dyDescent="0.2">
      <c r="B36" s="302" t="s">
        <v>299</v>
      </c>
      <c r="C36" s="303" t="s">
        <v>315</v>
      </c>
      <c r="D36" s="303">
        <f ca="1">C11</f>
        <v>290</v>
      </c>
    </row>
    <row r="37" spans="2:6" s="304" customFormat="1" x14ac:dyDescent="0.2">
      <c r="B37" s="302" t="s">
        <v>300</v>
      </c>
      <c r="C37" s="304" t="s">
        <v>316</v>
      </c>
      <c r="D37" s="304" t="str">
        <f>C14</f>
        <v>AISI 201</v>
      </c>
    </row>
    <row r="38" spans="2:6" s="304" customFormat="1" x14ac:dyDescent="0.2">
      <c r="B38" s="302" t="s">
        <v>320</v>
      </c>
      <c r="C38" s="304" t="s">
        <v>319</v>
      </c>
      <c r="D38" s="304" t="str">
        <f>IF(C15="Да","в комплекте с ШУ и ВПУ.","без ШУ.")</f>
        <v>в комплекте с ШУ и ВПУ.</v>
      </c>
    </row>
    <row r="39" spans="2:6" s="304" customFormat="1" x14ac:dyDescent="0.2">
      <c r="B39" s="302" t="s">
        <v>321</v>
      </c>
      <c r="C39" s="304" t="s">
        <v>322</v>
      </c>
      <c r="D39" s="304" t="str">
        <f>IF(C15="Да","- Шкаф управления ШУ;","")</f>
        <v>- Шкаф управления ШУ;</v>
      </c>
    </row>
    <row r="40" spans="2:6" s="304" customFormat="1" x14ac:dyDescent="0.2">
      <c r="B40" s="302" t="s">
        <v>323</v>
      </c>
      <c r="C40" s="304" t="s">
        <v>324</v>
      </c>
      <c r="D40" s="304" t="str">
        <f>IF(C15="Да","- Выносной пульт управления ВПУ;","")</f>
        <v>- Выносной пульт управления ВПУ;</v>
      </c>
    </row>
    <row r="41" spans="2:6" x14ac:dyDescent="0.2">
      <c r="B41" s="300" t="s">
        <v>325</v>
      </c>
      <c r="C41" s="301" t="s">
        <v>326</v>
      </c>
      <c r="D41" s="301" t="str">
        <f>IF(C15="Да",", ШУ, ВПУ","")</f>
        <v>, ШУ, ВПУ</v>
      </c>
    </row>
    <row r="42" spans="2:6" s="486" customFormat="1" x14ac:dyDescent="0.2">
      <c r="B42" s="487" t="s">
        <v>493</v>
      </c>
      <c r="D42" s="488" t="str">
        <f>IF(D33="IP 68","14÷16","8÷10")</f>
        <v>8÷10</v>
      </c>
      <c r="E42" s="487"/>
      <c r="F42" s="489" t="s">
        <v>494</v>
      </c>
    </row>
    <row r="43" spans="2:6" x14ac:dyDescent="0.2">
      <c r="B43" s="186"/>
    </row>
    <row r="44" spans="2:6" x14ac:dyDescent="0.2">
      <c r="B44" s="186"/>
    </row>
    <row r="100" spans="1:8" s="71" customFormat="1" ht="38.25" x14ac:dyDescent="0.2">
      <c r="A100" s="109" t="s">
        <v>266</v>
      </c>
      <c r="B100" s="109" t="s">
        <v>478</v>
      </c>
      <c r="C100" s="109" t="s">
        <v>480</v>
      </c>
      <c r="D100" s="109" t="s">
        <v>479</v>
      </c>
      <c r="E100" s="109" t="s">
        <v>274</v>
      </c>
      <c r="F100" s="109" t="s">
        <v>199</v>
      </c>
      <c r="G100" s="109" t="s">
        <v>481</v>
      </c>
      <c r="H100" s="109" t="s">
        <v>198</v>
      </c>
    </row>
    <row r="101" spans="1:8" x14ac:dyDescent="0.2">
      <c r="A101" s="474">
        <f>Цена!B8</f>
        <v>0</v>
      </c>
      <c r="B101" s="474" t="str">
        <f>Цена!B10</f>
        <v>-</v>
      </c>
      <c r="C101" s="110">
        <f ca="1">MROUND((Цена!C49-Спецификация!D101),5)</f>
        <v>392605</v>
      </c>
      <c r="D101" s="110">
        <f ca="1">IF(Цена!D26="Нет",0,MROUND((Цена!C46*(1+Цена!B47))+Цена!C35*(1+Цена!B36),5))</f>
        <v>135640</v>
      </c>
      <c r="E101" s="110">
        <f ca="1">Спецификация!C2</f>
        <v>290</v>
      </c>
      <c r="F101" s="108" t="str">
        <f>CONCATENATE("IP ",Цена!D25)</f>
        <v>IP 55</v>
      </c>
      <c r="G101" s="108">
        <f ca="1">D2</f>
        <v>0.37</v>
      </c>
      <c r="H101" s="110" t="str">
        <f>Цена!D24</f>
        <v>AISI 201</v>
      </c>
    </row>
    <row r="115" spans="1:7" s="477" customFormat="1" x14ac:dyDescent="0.2">
      <c r="A115" s="476" t="s">
        <v>482</v>
      </c>
    </row>
    <row r="116" spans="1:7" s="477" customFormat="1" x14ac:dyDescent="0.2">
      <c r="A116" s="476"/>
    </row>
    <row r="117" spans="1:7" s="477" customFormat="1" x14ac:dyDescent="0.2">
      <c r="A117" s="478" t="s">
        <v>269</v>
      </c>
      <c r="B117" s="478" t="s">
        <v>483</v>
      </c>
      <c r="C117" s="478" t="s">
        <v>484</v>
      </c>
      <c r="D117" s="478" t="s">
        <v>485</v>
      </c>
      <c r="E117" s="477" t="s">
        <v>486</v>
      </c>
      <c r="F117" s="477" t="s">
        <v>487</v>
      </c>
      <c r="G117" s="479" t="s">
        <v>488</v>
      </c>
    </row>
    <row r="118" spans="1:7" s="477" customFormat="1" x14ac:dyDescent="0.2">
      <c r="A118" s="480" t="str">
        <f>A2</f>
        <v>РТО 400.400.850.6</v>
      </c>
      <c r="B118" s="481">
        <f ca="1">C101</f>
        <v>392605</v>
      </c>
      <c r="C118" s="482">
        <f>ROUNDUP(ФОТ!K29,0)</f>
        <v>203</v>
      </c>
      <c r="D118" s="482">
        <f ca="1">ФОТ!C51</f>
        <v>8</v>
      </c>
      <c r="E118" s="482">
        <f ca="1">IF(B118=0,0,(C118+D118)*Параметры!B3*(1+Параметры!B4))</f>
        <v>183861.18000000002</v>
      </c>
      <c r="F118" s="482">
        <f ca="1">B118-E118</f>
        <v>208743.81999999998</v>
      </c>
      <c r="G118" s="477" t="str">
        <f ca="1">CONCATENATE(A118," (",H101,"; ",G101," кВт.; ",F101,")")</f>
        <v>РТО 400.400.850.6 (AISI 201; 0,37 кВт.; IP 55)</v>
      </c>
    </row>
    <row r="119" spans="1:7" s="477" customFormat="1" x14ac:dyDescent="0.2">
      <c r="A119" s="479" t="s">
        <v>489</v>
      </c>
      <c r="B119" s="481">
        <f ca="1">IF(Цена!D26="Да",Спецификация!D101,0)</f>
        <v>135640</v>
      </c>
      <c r="C119" s="482">
        <f ca="1">IF(B119=0,0,ФОТ!C41)</f>
        <v>40</v>
      </c>
      <c r="D119" s="482">
        <v>0</v>
      </c>
      <c r="E119" s="482">
        <f ca="1">IF(B119=0,0,(C119+D119)*Параметры!B3*(1+Параметры!B4))</f>
        <v>34855.200000000004</v>
      </c>
      <c r="F119" s="482">
        <f ca="1">B119-E119</f>
        <v>100784.79999999999</v>
      </c>
      <c r="G119" s="477" t="str">
        <f ca="1">IF(B119=0,"-",CONCATENATE(A119," (",IF(Цена!D27="Нет","",CONCATENATE(Цена!D27,"; ")),"ШУ - IP54; ВПУ - ",IF(F101="IP 68","IP 67",F101),")"))</f>
        <v>ШУ-РГ (ModBus RTU; ШУ - IP54; ВПУ - IP 55)</v>
      </c>
    </row>
    <row r="120" spans="1:7" s="477" customFormat="1" x14ac:dyDescent="0.2"/>
    <row r="121" spans="1:7" s="477" customFormat="1" x14ac:dyDescent="0.2">
      <c r="B121" s="481">
        <f ca="1">SUM(B118:B119)</f>
        <v>528245</v>
      </c>
      <c r="C121" s="483">
        <f ca="1">SUM(C118:C119)</f>
        <v>243</v>
      </c>
      <c r="D121" s="483">
        <f ca="1">SUM(D118:D119)</f>
        <v>8</v>
      </c>
      <c r="E121" s="483">
        <f ca="1">SUM(E118:E119)</f>
        <v>218716.38000000003</v>
      </c>
      <c r="F121" s="483">
        <f ca="1">SUM(F118:F119)</f>
        <v>309528.62</v>
      </c>
    </row>
  </sheetData>
  <pageMargins left="0.7" right="0.7" top="0.75" bottom="0.75" header="0.3" footer="0.3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7</vt:i4>
      </vt:variant>
    </vt:vector>
  </HeadingPairs>
  <TitlesOfParts>
    <vt:vector size="7" baseType="lpstr">
      <vt:lpstr>Параметры</vt:lpstr>
      <vt:lpstr>ТХ</vt:lpstr>
      <vt:lpstr>Гидравлика</vt:lpstr>
      <vt:lpstr>Цена</vt:lpstr>
      <vt:lpstr>ФОТ</vt:lpstr>
      <vt:lpstr>РГО</vt:lpstr>
      <vt:lpstr>Спецификация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zhurba</dc:creator>
  <cp:lastModifiedBy>Махлай Константин Александрович</cp:lastModifiedBy>
  <cp:lastPrinted>2016-07-14T13:30:07Z</cp:lastPrinted>
  <dcterms:created xsi:type="dcterms:W3CDTF">2012-11-28T07:48:52Z</dcterms:created>
  <dcterms:modified xsi:type="dcterms:W3CDTF">2022-01-04T14:00:39Z</dcterms:modified>
</cp:coreProperties>
</file>