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 s="1"/>
  <c r="H6" i="8"/>
  <c r="H5" i="8"/>
  <c r="H18" i="8" s="1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 s="1"/>
  <c r="D37" i="14"/>
  <c r="K86" i="16"/>
  <c r="J25" i="6"/>
  <c r="J28" i="6" s="1"/>
  <c r="D38" i="14"/>
  <c r="D25" i="14"/>
  <c r="D24" i="14"/>
  <c r="H8" i="8"/>
  <c r="D63" i="6"/>
  <c r="D64" i="6"/>
  <c r="D39" i="14"/>
  <c r="K84" i="16"/>
  <c r="B79" i="16" l="1"/>
  <c r="D30" i="14"/>
  <c r="E7" i="16"/>
  <c r="Q11" i="1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25" i="6"/>
  <c r="K24" i="6" s="1"/>
  <c r="K23" i="6" s="1"/>
  <c r="K22" i="6" s="1"/>
  <c r="K21" i="6" s="1"/>
  <c r="K26" i="13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K25" i="13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2" i="16"/>
  <c r="K26" i="6"/>
  <c r="K27" i="6" s="1"/>
  <c r="K28" i="6" s="1"/>
  <c r="K29" i="6" s="1"/>
  <c r="E46" i="6"/>
  <c r="E33" i="6"/>
  <c r="E5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7" i="6" s="1"/>
  <c r="N26" i="6" s="1"/>
  <c r="N25" i="6" s="1"/>
  <c r="N24" i="6" s="1"/>
  <c r="N23" i="6" s="1"/>
  <c r="N22" i="6" s="1"/>
  <c r="N21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J24" i="6"/>
  <c r="E36" i="6"/>
  <c r="E35" i="6"/>
  <c r="E42" i="6"/>
  <c r="H7" i="8"/>
  <c r="J29" i="6"/>
  <c r="C43" i="13"/>
  <c r="C45" i="13" s="1"/>
  <c r="C35" i="12" s="1"/>
  <c r="B35" i="12" s="1"/>
  <c r="J22" i="6"/>
  <c r="J21" i="6"/>
  <c r="J27" i="6"/>
  <c r="J26" i="6"/>
  <c r="J23" i="6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G22" i="6" l="1"/>
  <c r="C28" i="6"/>
  <c r="I22" i="6"/>
  <c r="I28" i="6"/>
  <c r="F25" i="6"/>
  <c r="I32" i="6"/>
  <c r="H31" i="6"/>
  <c r="G25" i="6"/>
  <c r="D62" i="6" s="1"/>
  <c r="D70" i="6" s="1"/>
  <c r="D18" i="12" s="1"/>
  <c r="C48" i="13" s="1"/>
  <c r="C51" i="13" s="1"/>
  <c r="C54" i="13" s="1"/>
  <c r="C34" i="12" s="1"/>
  <c r="I43" i="6"/>
  <c r="G28" i="6"/>
  <c r="Q13" i="16"/>
  <c r="I26" i="6"/>
  <c r="I27" i="6"/>
  <c r="I25" i="6"/>
  <c r="F28" i="6"/>
  <c r="G26" i="6"/>
  <c r="I21" i="6"/>
  <c r="F24" i="6"/>
  <c r="I23" i="6"/>
  <c r="G24" i="6"/>
  <c r="F27" i="6"/>
  <c r="D24" i="6"/>
  <c r="G29" i="6"/>
  <c r="F29" i="6"/>
  <c r="F26" i="6"/>
  <c r="F22" i="6"/>
  <c r="G27" i="6"/>
  <c r="Q14" i="16"/>
  <c r="C27" i="6"/>
  <c r="C50" i="6"/>
  <c r="G32" i="6"/>
  <c r="C47" i="6"/>
  <c r="C31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D23" i="12" s="1"/>
  <c r="C12" i="14" s="1"/>
  <c r="B80" i="16"/>
  <c r="B82" i="16" s="1"/>
  <c r="B83" i="16" s="1"/>
  <c r="B84" i="16" s="1"/>
  <c r="B86" i="16" s="1"/>
  <c r="C46" i="12" s="1"/>
  <c r="D46" i="12" s="1"/>
  <c r="K82" i="16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P29" i="6"/>
  <c r="P28" i="6" s="1"/>
  <c r="P27" i="6" s="1"/>
  <c r="P26" i="6" s="1"/>
  <c r="P25" i="6" s="1"/>
  <c r="P24" i="6" s="1"/>
  <c r="P23" i="6" s="1"/>
  <c r="P22" i="6" s="1"/>
  <c r="P21" i="6" s="1"/>
  <c r="C26" i="13"/>
  <c r="D74" i="6" l="1"/>
  <c r="D19" i="12" s="1"/>
  <c r="C11" i="14" s="1"/>
  <c r="E11" i="14" s="1"/>
  <c r="D118" i="14"/>
  <c r="D121" i="14" s="1"/>
  <c r="D68" i="6"/>
  <c r="D75" i="6" s="1"/>
  <c r="B3" i="16" s="1"/>
  <c r="B4" i="16" s="1"/>
  <c r="B5" i="16" s="1"/>
  <c r="C41" i="12" s="1"/>
  <c r="D41" i="12" s="1"/>
  <c r="D101" i="14"/>
  <c r="B119" i="14" s="1"/>
  <c r="G119" i="14" s="1"/>
  <c r="C32" i="13"/>
  <c r="K29" i="13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H53" i="6"/>
  <c r="H54" i="6" s="1"/>
  <c r="B9" i="16"/>
  <c r="B10" i="16" s="1"/>
  <c r="C43" i="12" s="1"/>
  <c r="D43" i="12" s="1"/>
  <c r="E12" i="14"/>
  <c r="I5" i="12"/>
  <c r="D2" i="14"/>
  <c r="D34" i="14"/>
  <c r="K34" i="13"/>
  <c r="C37" i="13" s="1"/>
  <c r="C33" i="12" s="1"/>
  <c r="B33" i="12" s="1"/>
  <c r="C118" i="14"/>
  <c r="B34" i="12"/>
  <c r="C2" i="14" l="1"/>
  <c r="E101" i="14" s="1"/>
  <c r="B2" i="14"/>
  <c r="D36" i="14"/>
  <c r="C119" i="14"/>
  <c r="C47" i="12"/>
  <c r="D47" i="12" s="1"/>
  <c r="D39" i="12" s="1"/>
  <c r="B13" i="16"/>
  <c r="G101" i="14"/>
  <c r="G118" i="14" s="1"/>
  <c r="D35" i="14"/>
  <c r="C121" i="14"/>
  <c r="C36" i="12"/>
  <c r="C31" i="12" s="1"/>
  <c r="E119" i="14"/>
  <c r="F119" i="14" s="1"/>
  <c r="C39" i="12" l="1"/>
  <c r="C49" i="12" s="1"/>
  <c r="C101" i="14" s="1"/>
  <c r="B118" i="14" s="1"/>
  <c r="F2" i="14" l="1"/>
  <c r="G2" i="14" s="1"/>
  <c r="D49" i="12"/>
  <c r="D53" i="12" s="1"/>
  <c r="D57" i="12" s="1"/>
  <c r="D58" i="12" s="1"/>
  <c r="C53" i="12"/>
  <c r="C57" i="12" s="1"/>
  <c r="C58" i="12" s="1"/>
  <c r="E118" i="14"/>
  <c r="E121" i="14" s="1"/>
  <c r="B121" i="14"/>
  <c r="D62" i="12" l="1"/>
  <c r="D60" i="12" s="1"/>
  <c r="D61" i="12" s="1"/>
  <c r="C62" i="12"/>
  <c r="C64" i="12" s="1"/>
  <c r="F118" i="14"/>
  <c r="F121" i="14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<sst xmlns="http://schemas.openxmlformats.org/spreadsheetml/2006/main" count="716" uniqueCount="502">
  <si>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</si>
  <si>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</si>
  <si>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</si>
  <si>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</si>
  <si>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</si>
  <si>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</si>
  <si>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</si>
  <si>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</si>
  <si>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</si>
  <si>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</si>
  <si>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</si>
  <si>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</si>
  <si>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</si>
  <si>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</si>
  <si>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</si>
  <si>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</si>
  <si>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</si>
  <si>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</si>
  <si>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</si>
  <si>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</si>
  <si>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</si>
  <si>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</si>
  <si>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</si>
  <si>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</si>
  <si>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</si>
  <si>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</si>
  <si>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</si>
  <si>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</si>
  <si>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</si>
  <si>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</si>
  <si>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</si>
  <si>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</si>
  <si>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</si>
  <si>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</si>
  <si>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</si>
  <si>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</si>
  <si>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</si>
  <si>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</si>
  <si>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</si>
  <si>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</si>
  <si>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</si>
  <si>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</si>
  <si>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</si>
  <si>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</si>
  <si>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</si>
  <si>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</si>
  <si>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</si>
  <si>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</si>
  <si>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</si>
  <si>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</si>
  <si>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</si>
  <si>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</si>
  <si>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</si>
  <si>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</si>
  <si>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</si>
  <si>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</si>
  <si>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</si>
  <si>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</si>
  <si>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</si>
  <si>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</si>
  <si>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</si>
  <si>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</si>
  <si>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</si>
  <si>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</si>
  <si>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</si>
  <si>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</si>
  <si>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</si>
  <si>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</si>
  <si>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</si>
  <si>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</si>
  <si>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</si>
  <si>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</si>
  <si>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</si>
  <si>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</si>
  <si>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</si>
  <si>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</si>
  <si>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</si>
  <si>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</si>
  <si>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</si>
  <si>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</si>
  <si>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</si>
  <si>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</si>
  <si>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</si>
  <si>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</si>
  <si>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</si>
  <si>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</si>
  <si>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</si>
  <si>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</si>
  <si>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</si>
  <si>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</si>
  <si>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</si>
  <si>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</si>
  <si>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</si>
  <si>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</si>
  <si>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</si>
  <si>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</si>
  <si>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</si>
  <si>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</si>
  <si>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</si>
  <si>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</si>
  <si>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</si>
  <si>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</si>
  <si>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</si>
  <si>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</si>
  <si>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</si>
  <si>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</si>
  <si>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</si>
  <si>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</si>
  <si>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</si>
  <si>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</si>
  <si>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</si>
  <si>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</si>
  <si>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</si>
  <si>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</si>
  <si>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</si>
  <si>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</si>
  <si>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</si>
  <si>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</si>
  <si>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</si>
  <si>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</si>
  <si>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</si>
  <si>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</si>
  <si>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</si>
  <si>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</si>
  <si>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</si>
  <si>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</si>
  <si>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</si>
  <si>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</si>
  <si>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</si>
  <si>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</si>
  <si>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</si>
  <si>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</si>
  <si>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</si>
  <si>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</si>
  <si>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</si>
  <si>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</si>
  <si>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</si>
  <si>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</si>
  <si>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</si>
  <si>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</si>
  <si>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</si>
  <si>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</si>
  <si>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</si>
  <si>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</si>
  <si>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</si>
  <si>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</si>
  <si>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</si>
  <si>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</si>
  <si>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</si>
  <si>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</si>
  <si>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</si>
  <si>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</si>
  <si>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</si>
  <si>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</si>
  <si>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</si>
  <si>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</si>
  <si>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</si>
  <si>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</si>
  <si>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</si>
  <si>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</si>
  <si>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</si>
  <si>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</si>
  <si>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</si>
  <si>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</si>
  <si>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</si>
  <si>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</si>
  <si>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</si>
  <si>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</si>
  <si>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</si>
  <si>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</si>
  <si>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</si>
  <si>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</si>
  <si>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</si>
  <si>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</si>
  <si>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</si>
  <si>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</si>
  <si>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</si>
  <si>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</si>
  <si>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</si>
  <si>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</si>
  <si>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</si>
  <si>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</si>
  <si>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</si>
  <si>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</si>
  <si>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</si>
  <si>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</si>
  <si>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</si>
  <si>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</si>
  <si>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</si>
  <si>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</si>
  <si>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</si>
  <si>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</si>
  <si>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</si>
  <si>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</si>
  <si>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</si>
  <si>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</si>
  <si>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</si>
  <si>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</si>
  <si>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</si>
  <si>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</si>
  <si>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</si>
  <si>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</si>
  <si>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</si>
  <si>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</si>
  <si>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</si>
  <si>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</si>
  <si>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</si>
  <si>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</si>
  <si>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</si>
  <si>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</si>
  <si>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</si>
  <si>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</si>
  <si>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</si>
  <si>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</si>
  <si>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</si>
  <si>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</si>
  <si>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</si>
  <si>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</si>
  <si>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</si>
  <si>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</si>
  <si>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</si>
  <si>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</si>
  <si>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</si>
  <si>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</si>
  <si>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</si>
  <si>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</si>
  <si>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</si>
  <si>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</si>
  <si>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</si>
  <si>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</si>
  <si>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</si>
  <si>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</si>
  <si>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</si>
  <si>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</si>
  <si>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</si>
  <si>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</si>
  <si>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</si>
  <si>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</si>
  <si>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</si>
  <si>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</si>
  <si>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</si>
  <si>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</si>
  <si>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</si>
  <si>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</si>
  <si>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</si>
  <si>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</si>
  <si>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</si>
  <si>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</si>
  <si>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</si>
  <si>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</si>
  <si>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</si>
  <si>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</si>
  <si>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</si>
  <si>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</si>
  <si>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</si>
  <si>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</si>
  <si>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</si>
  <si>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</si>
  <si>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</si>
  <si>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</si>
  <si>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</si>
  <si>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</si>
  <si>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</si>
  <si>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</si>
  <si>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</si>
  <si>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</si>
  <si>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</si>
  <si>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</si>
  <si>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</si>
  <si>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</si>
  <si>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</si>
  <si>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</si>
  <si>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</si>
  <si>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</si>
  <si>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</si>
  <si>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</si>
  <si>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</si>
  <si>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</si>
  <si>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</si>
  <si>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</si>
  <si>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</si>
  <si>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</si>
  <si>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</si>
  <si>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</si>
  <si>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</si>
  <si>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</si>
  <si>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</si>
  <si>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</si>
  <si>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</si>
  <si>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</si>
  <si>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</si>
  <si>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</si>
  <si>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</si>
  <si>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</si>
  <si>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</si>
  <si>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</si>
  <si>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</si>
  <si>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</si>
  <si>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</si>
  <si>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</si>
  <si>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</si>
  <si>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</si>
  <si>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</si>
  <si>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</si>
  <si>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</si>
  <si>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</si>
  <si>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</si>
  <si>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</si>
  <si>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</si>
  <si>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</si>
  <si>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</si>
  <si>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</si>
  <si>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</si>
  <si>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</si>
  <si>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</si>
  <si>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</si>
  <si>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</si>
  <si>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</si>
  <si>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</si>
  <si>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</si>
  <si>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</si>
  <si>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</si>
  <si>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</si>
  <si>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</si>
  <si>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</si>
  <si>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</si>
  <si>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</si>
  <si>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</si>
  <si>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</si>
  <si>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</si>
  <si>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</si>
  <si>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</si>
  <si>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</si>
  <si>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</si>
  <si>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</si>
  <si>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</si>
  <si>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</si>
  <si>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</si>
  <si>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</si>
  <si>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</si>
  <si>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</si>
  <si>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</si>
  <si>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</si>
  <si>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</si>
  <si>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</si>
  <si>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</si>
  <si>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</si>
  <si>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</si>
  <si>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</si>
  <si>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</si>
  <si>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</si>
  <si>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</si>
  <si>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</si>
  <si>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</si>
  <si>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</si>
  <si>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</si>
  <si>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</si>
  <si>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</si>
  <si>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</si>
  <si>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</si>
  <si>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</si>
  <si>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</si>
  <si>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</si>
  <si>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</si>
  <si>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</si>
  <si>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</si>
  <si>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</si>
  <si>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</si>
  <si>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</si>
  <si>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</si>
  <si>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</si>
  <si>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</si>
  <si>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</si>
  <si>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</si>
  <si>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</si>
  <si>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</si>
  <si>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</si>
  <si>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</si>
  <si>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</si>
  <si>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</si>
  <si>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</si>
  <si>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</si>
  <si>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</si>
  <si>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</si>
  <si>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</si>
  <si>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</si>
  <si>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</si>
  <si>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</si>
  <si>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</si>
  <si>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</si>
  <si>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</si>
  <si>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</si>
  <si>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</si>
  <si>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</si>
  <si>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</si>
  <si>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</si>
  <si>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</si>
  <si>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</si>
  <si>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</si>
  <si>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</si>
  <si>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</si>
  <si>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</si>
  <si>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</si>
  <si>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</si>
  <si>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</si>
  <si>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</si>
  <si>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</si>
  <si>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</si>
  <si>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</si>
  <si>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</si>
  <si>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</si>
  <si>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</si>
  <si>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</si>
  <si>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</si>
  <si>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</si>
  <si>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</si>
  <si>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</si>
  <si>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</si>
  <si>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</si>
  <si>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</si>
  <si>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</si>
  <si>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</si>
  <si>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</si>
  <si>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</si>
  <si>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</si>
  <si>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</si>
  <si>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</si>
  <si>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</si>
  <si>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</si>
  <si>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</si>
  <si>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</si>
  <si>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</si>
  <si>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</si>
  <si>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</si>
  <si>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</si>
  <si>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</si>
  <si>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</si>
  <si>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</si>
  <si>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</si>
  <si>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</si>
  <si>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</si>
  <si>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</si>
  <si>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</si>
  <si>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</si>
  <si>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</si>
  <si>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</si>
  <si>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</si>
  <si>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</si>
  <si>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</si>
  <si>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</si>
  <si>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</si>
  <si>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</si>
  <si>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</si>
  <si>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</si>
  <si>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</si>
  <si>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</si>
  <si>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</si>
  <si>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</si>
  <si>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</si>
  <si>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</si>
  <si>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</si>
  <si>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</si>
  <si>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</si>
  <si>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</si>
  <si>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</si>
  <si>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</si>
  <si>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</si>
  <si>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</si>
  <si>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</si>
  <si>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</si>
  <si>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</si>
  <si>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</si>
  <si>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</si>
  <si>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</si>
  <si>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</si>
  <si>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</si>
  <si>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</si>
  <si>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</si>
  <si>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</si>
  <si>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</si>
  <si>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</si>
  <si>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</si>
  <si>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</si>
  <si>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</si>
  <si>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</si>
  <si>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</si>
  <si>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</si>
  <si>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</si>
  <si>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</si>
  <si>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</si>
  <si>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</si>
  <si>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</si>
  <si>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</si>
  <si>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</si>
  <si>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</si>
  <si>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</si>
  <si>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</si>
  <si>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ModBus RTU</t>
  </si>
  <si>
    <t>17.01.2022</t>
  </si>
  <si>
    <t>Андронова Е. В.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</si>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</sst>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16</v>
      </c>
      <c r="F4">
        <f>E4+C4</f>
        <v>38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32</v>
      </c>
      <c r="F5">
        <f>E5+C5</f>
        <v>73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1200.2500.1500.6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1200</v>
      </c>
      <c r="C16" s="65">
        <f>Цена!C16</f>
        <v>2500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887.48959999999988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73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53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18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962.88959999999986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1030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932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1.0318275000000001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3714.5790000000006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1.2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2.5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2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1200</v>
      </c>
      <c r="I18" s="163">
        <f>((((ROUNDUP((((H18/2)-30)-1.5-G18-80)/(H3+$H$11),0))*(H3+$H$11))+1.5)*2)+160</f>
        <v>1147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1171</v>
      </c>
      <c r="M18" s="163">
        <f>H18-L18</f>
        <v>29</v>
      </c>
      <c r="N18" s="164">
        <f>M18/2</f>
        <v>14.5</v>
      </c>
      <c r="O18" s="165">
        <f>IF(K18&gt;50,L18,I18)</f>
        <v>1147</v>
      </c>
      <c r="P18" s="166">
        <f>(((((ROUNDUP((((H18/2)-30)-1.5-H3-80)/(H3+$H$11),0))))))*2</f>
        <v>82</v>
      </c>
      <c r="Q18" s="166">
        <f>P18-1</f>
        <v>81</v>
      </c>
      <c r="R18" s="167">
        <f>($H$6-$H$8-$AR$3)*((H3/1000)*(Q18+1)+0.003)</f>
        <v>0.938025</v>
      </c>
      <c r="S18" s="168">
        <f>R18*T18</f>
        <v>1.0318275000000001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(8556) 17.01.22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8556 0 0 17.01.22</v>
      </c>
      <c r="J3" s="604"/>
      <c r="K3" s="605"/>
      <c r="L3" s="606"/>
    </row>
    <row r="4" spans="1:254" x14ac:dyDescent="0.2">
      <c r="A4" s="182" t="s">
        <v>98</v>
      </c>
      <c r="B4" s="475" t="s">
        <v>499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1200.2500.1500.6</v>
      </c>
      <c r="J4" s="607"/>
      <c r="K4" s="608"/>
      <c r="L4" s="609"/>
    </row>
    <row r="5" spans="1:254" x14ac:dyDescent="0.2">
      <c r="A5" s="182" t="s">
        <v>169</v>
      </c>
      <c r="B5" s="475" t="s">
        <v>500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1200.2500.1500.6 (AISI 321; 0,55 кВт.; IP66; с ШУ и ВПУ)</v>
      </c>
      <c r="J5" s="607"/>
      <c r="K5" s="608"/>
      <c r="L5" s="609"/>
    </row>
    <row r="6" spans="1:254" x14ac:dyDescent="0.2">
      <c r="A6" s="182" t="s">
        <v>99</v>
      </c>
      <c r="B6" s="475" t="s">
        <v>501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501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8556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500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1200</v>
      </c>
      <c r="C16" s="190">
        <v>2500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962.9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1030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5100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4450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2250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497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322297.80000000005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300 н.ч.</v>
      </c>
      <c r="C33" s="209">
        <f>ФОТ!C37</f>
        <v>92660</v>
      </c>
    </row>
    <row r="34" spans="1:254" x14ac:dyDescent="0.2">
      <c r="A34" s="71" t="s">
        <v>178</v>
      </c>
      <c r="B34" s="110" t="str">
        <f ca="1">CONCATENATE(ROUNDUP(C34/Параметры!B3,0)," н.ч.")</f>
        <v>30 н.ч.</v>
      </c>
      <c r="C34" s="209">
        <f ca="1">ФОТ!C54</f>
        <v>9270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208007.80000000002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732186.16666666663</v>
      </c>
      <c r="D39" s="215">
        <f ca="1">SUM(D41:D47)</f>
        <v>878623.4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362700</v>
      </c>
      <c r="D41" s="209">
        <f t="shared" ref="D41:D47" ca="1" si="0">C41*1.2</f>
        <v>435240</v>
      </c>
    </row>
    <row r="42" spans="1:254" x14ac:dyDescent="0.2">
      <c r="A42" t="str">
        <f>CONCATENATE("Цепи (",РГО!B7," м.п.)")</f>
        <v>Цепи (21 м.п.)</v>
      </c>
      <c r="B42" s="4"/>
      <c r="C42" s="209">
        <f>РГО!B8</f>
        <v>113400</v>
      </c>
      <c r="D42" s="209">
        <f t="shared" si="0"/>
        <v>136080</v>
      </c>
    </row>
    <row r="43" spans="1:254" x14ac:dyDescent="0.2">
      <c r="A43" t="s">
        <v>175</v>
      </c>
      <c r="B43" s="4"/>
      <c r="C43" s="209">
        <f ca="1">РГО!B10</f>
        <v>111720</v>
      </c>
      <c r="D43" s="209">
        <f t="shared" ca="1" si="0"/>
        <v>134064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99807</v>
      </c>
      <c r="D46" s="209">
        <f t="shared" ca="1" si="0"/>
        <v>119768.4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21326</v>
      </c>
      <c r="D47" s="209">
        <f t="shared" ca="1" si="0"/>
        <v>25591.200000000001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1054484</v>
      </c>
      <c r="D49" s="214">
        <f ca="1">C49*1.2</f>
        <v>1265380.8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2003520</v>
      </c>
      <c r="D53" s="222">
        <f ca="1">ROUNDUP(D49*B53,0)</f>
        <v>2404224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2003520</v>
      </c>
      <c r="D57" s="225">
        <f ca="1">D53+D55</f>
        <v>2404224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949036</v>
      </c>
      <c r="D58" s="233">
        <f ca="1">D57-D55-D49</f>
        <v>1138843.2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2003520</v>
      </c>
      <c r="D62" s="241">
        <f ca="1">D57/(1-B60*(1+B61))</f>
        <v>2404224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2003520</v>
      </c>
      <c r="D64" s="205">
        <f ca="1">D62</f>
        <v>2404224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1200</v>
      </c>
      <c r="D9" s="82">
        <f>IF(C9&lt;=750,ROUND(C9/50,0)*50,ROUND(C9/100,0)*100)</f>
        <v>1200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2500</v>
      </c>
      <c r="D10" s="82">
        <f>CEILING(C10,100)</f>
        <v>2500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467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2200</v>
      </c>
      <c r="D13" s="87">
        <f>IF(C10&lt;=1200,C10,C10-250)</f>
        <v>2250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2300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2300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78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6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6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78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238.29070000000002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11.226666666666665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299.8600166666667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77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50.342650000000006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81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92656.745150000002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92660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962.9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30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9270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932</v>
      </c>
      <c r="D3" s="401" t="s">
        <v>17</v>
      </c>
      <c r="E3" s="404">
        <f>Цена!B16</f>
        <v>1200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1170</v>
      </c>
      <c r="D4" s="401" t="s">
        <v>18</v>
      </c>
      <c r="E4" s="404">
        <f>Цена!C16</f>
        <v>2500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362700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21</v>
      </c>
      <c r="D7" s="401" t="s">
        <v>397</v>
      </c>
      <c r="E7" s="408">
        <f>Цена!D20</f>
        <v>5100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113400</v>
      </c>
      <c r="D8" s="401" t="s">
        <v>398</v>
      </c>
      <c r="E8" s="408">
        <f>Цена!D21</f>
        <v>4450</v>
      </c>
    </row>
    <row r="9" spans="1:17" s="440" customFormat="1" ht="30" x14ac:dyDescent="0.2">
      <c r="A9" s="438" t="s">
        <v>386</v>
      </c>
      <c r="B9" s="439">
        <f ca="1">OFFSET(L9,MATCH(1,Q10:Q15,0),1,1,1)</f>
        <v>1176</v>
      </c>
      <c r="D9" s="440" t="s">
        <v>396</v>
      </c>
      <c r="E9" s="441">
        <f>Цена!D22</f>
        <v>2250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111720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603053.16666666663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1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1200.2500.1500.6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- 3720 м3/ч.; прозор - 6 мм.; ширина канала - 1200 мм.; глубина канала - 2500 мм.; высота выгрузки отбросов - 1500 мм.; вес решетки в сборе - 1030 кг.; привод - 0,55 кВт.; IP 66; 380 В; 50 Гц;  материал исполнения - AISI 321; в комплекте с ШУ и ВПУ.</v>
      </c>
      <c r="C2" s="110">
        <f ca="1">C11</f>
        <v>1030</v>
      </c>
      <c r="D2" s="108">
        <f ca="1">C12</f>
        <v>0.55000000000000004</v>
      </c>
      <c r="E2" s="108">
        <v>1</v>
      </c>
      <c r="F2" s="110">
        <f ca="1">MROUND(Цена!C49,100)</f>
        <v>1054500</v>
      </c>
      <c r="G2" s="110">
        <f ca="1">F2*E2</f>
        <v>1054500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1200.2500.1500.6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3720</v>
      </c>
      <c r="D6" t="s">
        <v>113</v>
      </c>
      <c r="E6" t="str">
        <f>CONCATENATE(B6," ",C6," ",D6,".;")</f>
        <v>Максимальная производительность - 3720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1200</v>
      </c>
      <c r="D8" t="s">
        <v>167</v>
      </c>
      <c r="E8" t="str">
        <f>CONCATENATE(B8," ",C8," ",D8,";")</f>
        <v>ширина канала - 1200 мм.;</v>
      </c>
    </row>
    <row r="9" spans="1:8" x14ac:dyDescent="0.2">
      <c r="B9" s="186" t="s">
        <v>282</v>
      </c>
      <c r="C9" s="110">
        <f>Цена!C16</f>
        <v>2500</v>
      </c>
      <c r="D9" t="s">
        <v>167</v>
      </c>
      <c r="E9" t="str">
        <f>CONCATENATE(B9," ",C9," ",D9,";")</f>
        <v>глубина канала - 2500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1030</v>
      </c>
      <c r="D11" t="s">
        <v>170</v>
      </c>
      <c r="E11" t="str">
        <f ca="1">CONCATENATE(B11," ",C11," ",D11,";")</f>
        <v>вес решетки в сборе - 1030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8556</v>
      </c>
    </row>
    <row r="22" spans="2:15" x14ac:dyDescent="0.2">
      <c r="B22" s="186" t="s">
        <v>289</v>
      </c>
      <c r="C22" s="283"/>
      <c r="D22" s="283" t="str">
        <f>CONCATENATE("ТКП №",Цена!I3)</f>
        <v>ТКП №8556 0 0 17.01.22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1200.2500.1500.6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1200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3720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1030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916830</v>
      </c>
      <c r="D101" s="110">
        <f ca="1">IF(Цена!D26="Нет",0,MROUND((Цена!C46*(1+Цена!B47))+Цена!C35*(1+Цена!B36),5))</f>
        <v>137655</v>
      </c>
      <c r="E101" s="110">
        <f ca="1">Спецификация!C2</f>
        <v>1030</v>
      </c>
      <c r="F101" s="108" t="str">
        <f>CONCATENATE("IP ",Цена!D25)</f>
        <v>IP 66</v>
      </c>
      <c r="G101" s="108">
        <f ca="1">D2</f>
        <v>0.55000000000000004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1200.2500.1500.6</v>
      </c>
      <c r="B118" s="481">
        <f ca="1">C101</f>
        <v>916830</v>
      </c>
      <c r="C118" s="482">
        <f>ROUNDUP(ФОТ!K29,0)</f>
        <v>300</v>
      </c>
      <c r="D118" s="482">
        <f ca="1">ФОТ!C51</f>
        <v>30</v>
      </c>
      <c r="E118" s="482">
        <f ca="1">IF(B118=0,0,(C118+D118)*Параметры!B3*(1+Параметры!B4))</f>
        <v>287555.40000000002</v>
      </c>
      <c r="F118" s="482">
        <f ca="1">B118-E118</f>
        <v>629274.6</v>
      </c>
      <c r="G118" s="477" t="str">
        <f ca="1">CONCATENATE(A118," (",H101,"; ",G101," кВт.; ",F101,")")</f>
        <v>РТО 1200.2500.1500.6 (AISI 321; 0,55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137655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102799.79999999999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1054485</v>
      </c>
      <c r="C121" s="483">
        <f ca="1">SUM(C118:C119)</f>
        <v>340</v>
      </c>
      <c r="D121" s="483">
        <f ca="1">SUM(D118:D119)</f>
        <v>30</v>
      </c>
      <c r="E121" s="483">
        <f ca="1">SUM(E118:E119)</f>
        <v>322410.60000000003</v>
      </c>
      <c r="F121" s="483">
        <f ca="1">SUM(F118:F119)</f>
        <v>732074.39999999991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2022-01-17T15:13:12Z</dcterms:modified>
</cp:coreProperties>
</file>