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 s="1"/>
  <c r="F4" i="6" s="1"/>
  <c r="C16" i="6"/>
  <c r="C10" i="13"/>
  <c r="C13" i="13"/>
  <c r="D14" i="13" s="1"/>
  <c r="D16" i="6"/>
  <c r="E79" i="16"/>
  <c r="K85" i="16" s="1"/>
  <c r="E15" i="16"/>
  <c r="E80" i="16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Q12" i="16" s="1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1" i="14"/>
  <c r="C14" i="14"/>
  <c r="E14" i="14" s="1"/>
  <c r="C13" i="14"/>
  <c r="D32" i="14" s="1"/>
  <c r="D33" i="14"/>
  <c r="D42" i="14" s="1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/>
  <c r="M33" i="6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D30" i="14"/>
  <c r="E5" i="6"/>
  <c r="F5" i="6" s="1"/>
  <c r="D64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/>
  <c r="R27" i="6" s="1"/>
  <c r="R26" i="6" s="1"/>
  <c r="R25" i="6" s="1"/>
  <c r="R24" i="6" s="1"/>
  <c r="R23" i="6" s="1"/>
  <c r="R22" i="6" s="1"/>
  <c r="R21" i="6" s="1"/>
  <c r="Q30" i="6"/>
  <c r="Q29" i="6" s="1"/>
  <c r="Q28" i="6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/>
  <c r="S27" i="6" s="1"/>
  <c r="S26" i="6" s="1"/>
  <c r="S25" i="6" s="1"/>
  <c r="S24" i="6"/>
  <c r="S23" i="6" s="1"/>
  <c r="S22" i="6" s="1"/>
  <c r="S21" i="6" s="1"/>
  <c r="L25" i="6"/>
  <c r="L24" i="6" s="1"/>
  <c r="L23" i="6" s="1"/>
  <c r="L22" i="6" s="1"/>
  <c r="L21" i="6" s="1"/>
  <c r="L27" i="6"/>
  <c r="L28" i="6"/>
  <c r="L29" i="6" s="1"/>
  <c r="X37" i="6"/>
  <c r="X36" i="6" s="1"/>
  <c r="X35" i="6"/>
  <c r="X34" i="6" s="1"/>
  <c r="X33" i="6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V35" i="6"/>
  <c r="V34" i="6"/>
  <c r="V33" i="6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1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A5" i="14" s="1"/>
  <c r="A2" i="14" s="1"/>
  <c r="A118" i="14" s="1"/>
  <c r="M28" i="6"/>
  <c r="M29" i="6"/>
  <c r="M26" i="6"/>
  <c r="M25" i="6"/>
  <c r="M24" i="6"/>
  <c r="M23" i="6"/>
  <c r="M22" i="6" s="1"/>
  <c r="M21" i="6" s="1"/>
  <c r="H8" i="8"/>
  <c r="H7" i="8" s="1"/>
  <c r="C31" i="13"/>
  <c r="D16" i="13"/>
  <c r="D72" i="6"/>
  <c r="W18" i="8"/>
  <c r="P29" i="6"/>
  <c r="P28" i="6"/>
  <c r="P27" i="6"/>
  <c r="P26" i="6"/>
  <c r="P25" i="6" s="1"/>
  <c r="P24" i="6" s="1"/>
  <c r="P23" i="6" s="1"/>
  <c r="P22" i="6" s="1"/>
  <c r="P21" i="6" s="1"/>
  <c r="K80" i="16"/>
  <c r="K82" i="16" s="1"/>
  <c r="K81" i="16"/>
  <c r="D39" i="14"/>
  <c r="K84" i="16"/>
  <c r="B79" i="16" s="1"/>
  <c r="D45" i="6"/>
  <c r="E26" i="6"/>
  <c r="E24" i="6"/>
  <c r="D44" i="6"/>
  <c r="D42" i="6"/>
  <c r="E27" i="6"/>
  <c r="E21" i="6"/>
  <c r="E29" i="6"/>
  <c r="E23" i="6"/>
  <c r="D34" i="6" l="1"/>
  <c r="D50" i="6"/>
  <c r="D31" i="6"/>
  <c r="D41" i="6"/>
  <c r="E46" i="6"/>
  <c r="G40" i="6"/>
  <c r="I40" i="6"/>
  <c r="H31" i="6"/>
  <c r="E49" i="6"/>
  <c r="I29" i="6"/>
  <c r="I28" i="6"/>
  <c r="E25" i="6"/>
  <c r="E44" i="6"/>
  <c r="H41" i="6"/>
  <c r="B80" i="16"/>
  <c r="B82" i="16" s="1"/>
  <c r="B83" i="16" s="1"/>
  <c r="B84" i="16" s="1"/>
  <c r="B86" i="16" s="1"/>
  <c r="C46" i="12" s="1"/>
  <c r="G33" i="6"/>
  <c r="H47" i="6"/>
  <c r="Q15" i="16"/>
  <c r="J35" i="6"/>
  <c r="J46" i="6"/>
  <c r="G35" i="6"/>
  <c r="G32" i="6"/>
  <c r="H48" i="6"/>
  <c r="H34" i="6"/>
  <c r="J44" i="6"/>
  <c r="G49" i="6"/>
  <c r="U30" i="13"/>
  <c r="U20" i="13"/>
  <c r="U19" i="13"/>
  <c r="C53" i="6"/>
  <c r="D66" i="6"/>
  <c r="A42" i="12"/>
  <c r="N27" i="6"/>
  <c r="N26" i="6" s="1"/>
  <c r="N25" i="6" s="1"/>
  <c r="N24" i="6" s="1"/>
  <c r="N23" i="6" s="1"/>
  <c r="N22" i="6" s="1"/>
  <c r="N2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AA42" i="6"/>
  <c r="AA43" i="6" s="1"/>
  <c r="AA44" i="6" s="1"/>
  <c r="AA45" i="6" s="1"/>
  <c r="AA46" i="6" s="1"/>
  <c r="AA47" i="6" s="1"/>
  <c r="AA48" i="6" s="1"/>
  <c r="AA49" i="6" s="1"/>
  <c r="AA50" i="6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K24" i="13"/>
  <c r="K26" i="13"/>
  <c r="K25" i="13"/>
  <c r="D17" i="13"/>
  <c r="Q14" i="16"/>
  <c r="D23" i="12"/>
  <c r="C12" i="14" s="1"/>
  <c r="I5" i="12" s="1"/>
  <c r="Q13" i="16"/>
  <c r="B9" i="16"/>
  <c r="B10" i="16" s="1"/>
  <c r="C43" i="12" s="1"/>
  <c r="D43" i="12" s="1"/>
  <c r="D23" i="14"/>
  <c r="C25" i="6"/>
  <c r="B8" i="16"/>
  <c r="C42" i="12" s="1"/>
  <c r="D42" i="12" s="1"/>
  <c r="G21" i="6"/>
  <c r="F42" i="6"/>
  <c r="J21" i="6"/>
  <c r="J23" i="6"/>
  <c r="J26" i="6"/>
  <c r="G27" i="6"/>
  <c r="H28" i="6"/>
  <c r="I34" i="6"/>
  <c r="I35" i="6"/>
  <c r="H27" i="6"/>
  <c r="I45" i="6"/>
  <c r="I47" i="6"/>
  <c r="C50" i="6"/>
  <c r="C41" i="6"/>
  <c r="J31" i="6"/>
  <c r="E32" i="6"/>
  <c r="D25" i="6"/>
  <c r="C23" i="6"/>
  <c r="C26" i="6"/>
  <c r="E36" i="6"/>
  <c r="C46" i="6"/>
  <c r="C45" i="6"/>
  <c r="C22" i="6"/>
  <c r="C47" i="6"/>
  <c r="C28" i="6"/>
  <c r="C44" i="6"/>
  <c r="C42" i="6"/>
  <c r="C48" i="6"/>
  <c r="H25" i="6"/>
  <c r="J28" i="6"/>
  <c r="J45" i="6"/>
  <c r="J32" i="6"/>
  <c r="J38" i="6"/>
  <c r="J36" i="6"/>
  <c r="J40" i="6"/>
  <c r="J41" i="6"/>
  <c r="E35" i="6"/>
  <c r="E31" i="6"/>
  <c r="E41" i="6"/>
  <c r="H39" i="6"/>
  <c r="H36" i="6"/>
  <c r="D40" i="6"/>
  <c r="H37" i="6"/>
  <c r="D33" i="6"/>
  <c r="H40" i="6"/>
  <c r="D32" i="6"/>
  <c r="G22" i="6"/>
  <c r="I41" i="6"/>
  <c r="I31" i="6"/>
  <c r="E43" i="6"/>
  <c r="E48" i="6"/>
  <c r="H50" i="6"/>
  <c r="D39" i="6"/>
  <c r="I48" i="6"/>
  <c r="I33" i="6"/>
  <c r="E45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62" i="6" s="1"/>
  <c r="D68" i="6" s="1"/>
  <c r="D49" i="6"/>
  <c r="H44" i="6"/>
  <c r="I36" i="6"/>
  <c r="I46" i="6"/>
  <c r="I49" i="6"/>
  <c r="G24" i="6"/>
  <c r="J48" i="6"/>
  <c r="J33" i="6"/>
  <c r="F24" i="6"/>
  <c r="J39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E12" i="14"/>
  <c r="D2" i="14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I53" i="6" l="1"/>
  <c r="I54" i="6" s="1"/>
  <c r="G53" i="6"/>
  <c r="G54" i="6" s="1"/>
  <c r="D63" i="6" s="1"/>
  <c r="D70" i="6" s="1"/>
  <c r="D18" i="12" s="1"/>
  <c r="C48" i="13" s="1"/>
  <c r="C51" i="13" s="1"/>
  <c r="C54" i="13" s="1"/>
  <c r="C34" i="12" s="1"/>
  <c r="B34" i="12" s="1"/>
  <c r="E53" i="6"/>
  <c r="E54" i="6" s="1"/>
  <c r="H53" i="6"/>
  <c r="H54" i="6" s="1"/>
  <c r="J53" i="6"/>
  <c r="J54" i="6" s="1"/>
  <c r="F53" i="6"/>
  <c r="F54" i="6" s="1"/>
  <c r="D53" i="6"/>
  <c r="D54" i="6" s="1"/>
  <c r="C54" i="6"/>
  <c r="C30" i="13"/>
  <c r="C22" i="13"/>
  <c r="D34" i="14"/>
  <c r="E6" i="14"/>
  <c r="D46" i="12"/>
  <c r="D101" i="14"/>
  <c r="B119" i="14" s="1"/>
  <c r="D35" i="14"/>
  <c r="G101" i="14"/>
  <c r="G118" i="14" s="1"/>
  <c r="D74" i="6" l="1"/>
  <c r="D19" i="12" s="1"/>
  <c r="C11" i="14" s="1"/>
  <c r="D118" i="14"/>
  <c r="D121" i="14" s="1"/>
  <c r="D75" i="6"/>
  <c r="B3" i="16" s="1"/>
  <c r="B4" i="16" s="1"/>
  <c r="B5" i="16" s="1"/>
  <c r="C26" i="13"/>
  <c r="U32" i="13"/>
  <c r="U11" i="13"/>
  <c r="C32" i="13"/>
  <c r="C119" i="14"/>
  <c r="G119" i="14"/>
  <c r="C41" i="12" l="1"/>
  <c r="B13" i="16"/>
  <c r="D36" i="14"/>
  <c r="C2" i="14"/>
  <c r="E101" i="14" s="1"/>
  <c r="E11" i="14"/>
  <c r="B2" i="14" s="1"/>
  <c r="K29" i="13"/>
  <c r="E119" i="14"/>
  <c r="F119" i="14" s="1"/>
  <c r="C47" i="12" l="1"/>
  <c r="D41" i="12"/>
  <c r="C118" i="14"/>
  <c r="C121" i="14" s="1"/>
  <c r="K34" i="13"/>
  <c r="C37" i="13" s="1"/>
  <c r="C33" i="12" s="1"/>
  <c r="D47" i="12" l="1"/>
  <c r="D39" i="12" s="1"/>
  <c r="C39" i="12"/>
  <c r="B33" i="12"/>
  <c r="C36" i="12"/>
  <c r="C31" i="12" s="1"/>
  <c r="C49" i="12" s="1"/>
  <c r="D49" i="12" l="1"/>
  <c r="D53" i="12" s="1"/>
  <c r="D57" i="12" s="1"/>
  <c r="C53" i="12"/>
  <c r="C57" i="12" s="1"/>
  <c r="C101" i="14"/>
  <c r="B118" i="14" s="1"/>
  <c r="F2" i="14"/>
  <c r="G2" i="14" s="1"/>
  <c r="B121" i="14" l="1"/>
  <c r="E118" i="14"/>
  <c r="E121" i="14" s="1"/>
  <c r="C62" i="12"/>
  <c r="C58" i="12"/>
  <c r="D58" i="12"/>
  <c r="D62" i="12"/>
  <c r="C60" i="12" l="1"/>
  <c r="C61" i="12" s="1"/>
  <c r="C64" i="12"/>
  <c r="D64" i="12"/>
  <c r="D60" i="12"/>
  <c r="D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<sst xmlns="http://schemas.openxmlformats.org/spreadsheetml/2006/main" count="726" uniqueCount="513">
  <si>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</si>
  <si>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</si>
  <si>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</si>
  <si>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</si>
  <si>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</si>
  <si>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</si>
  <si>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</si>
  <si>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</si>
  <si>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</si>
  <si>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</si>
  <si>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</si>
  <si>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</si>
  <si>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</si>
  <si>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</si>
  <si>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</si>
  <si>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</si>
  <si>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</si>
  <si>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</si>
  <si>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</si>
  <si>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</si>
  <si>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</si>
  <si>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</si>
  <si>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</si>
  <si>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</si>
  <si>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</si>
  <si>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</si>
  <si>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</si>
  <si>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</si>
  <si>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</si>
  <si>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</si>
  <si>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</si>
  <si>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</si>
  <si>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</si>
  <si>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</si>
  <si>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</si>
  <si>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</si>
  <si>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</si>
  <si>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</si>
  <si>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</si>
  <si>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</si>
  <si>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</si>
  <si>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</si>
  <si>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</si>
  <si>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</si>
  <si>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</si>
  <si>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</si>
  <si>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</si>
  <si>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</si>
  <si>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</si>
  <si>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</si>
  <si>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</si>
  <si>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</si>
  <si>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</si>
  <si>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</si>
  <si>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</si>
  <si>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</si>
  <si>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</si>
  <si>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</si>
  <si>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</si>
  <si>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</si>
  <si>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</si>
  <si>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</si>
  <si>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</si>
  <si>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</si>
  <si>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</si>
  <si>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</si>
  <si>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</si>
  <si>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</si>
  <si>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</si>
  <si>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</si>
  <si>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</si>
  <si>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</si>
  <si>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</si>
  <si>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</si>
  <si>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</si>
  <si>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</si>
  <si>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</si>
  <si>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</si>
  <si>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</si>
  <si>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</si>
  <si>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</si>
  <si>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</si>
  <si>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</si>
  <si>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</si>
  <si>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</si>
  <si>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</si>
  <si>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</si>
  <si>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</si>
  <si>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</si>
  <si>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</si>
  <si>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</si>
  <si>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</si>
  <si>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</si>
  <si>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</si>
  <si>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</si>
  <si>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</si>
  <si>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</si>
  <si>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</si>
  <si>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</si>
  <si>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</si>
  <si>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</si>
  <si>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</si>
  <si>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</si>
  <si>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</si>
  <si>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</si>
  <si>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</si>
  <si>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</si>
  <si>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</si>
  <si>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</si>
  <si>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</si>
  <si>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</si>
  <si>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</si>
  <si>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</si>
  <si>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</si>
  <si>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</si>
  <si>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</si>
  <si>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</si>
  <si>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</si>
  <si>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</si>
  <si>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</si>
  <si>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</si>
  <si>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</si>
  <si>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</si>
  <si>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</si>
  <si>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</si>
  <si>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</si>
  <si>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</si>
  <si>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</si>
  <si>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</si>
  <si>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</si>
  <si>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</si>
  <si>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</si>
  <si>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</si>
  <si>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</si>
  <si>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</si>
  <si>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</si>
  <si>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</si>
  <si>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</si>
  <si>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</si>
  <si>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</si>
  <si>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</si>
  <si>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</si>
  <si>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</si>
  <si>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</si>
  <si>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</si>
  <si>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</si>
  <si>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</si>
  <si>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</si>
  <si>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</si>
  <si>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</si>
  <si>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</si>
  <si>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</si>
  <si>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</si>
  <si>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</si>
  <si>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</si>
  <si>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</si>
  <si>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</si>
  <si>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</si>
  <si>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</si>
  <si>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</si>
  <si>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</si>
  <si>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</si>
  <si>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</si>
  <si>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</si>
  <si>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</si>
  <si>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</si>
  <si>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</si>
  <si>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</si>
  <si>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</si>
  <si>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</si>
  <si>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</si>
  <si>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</si>
  <si>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</si>
  <si>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</si>
  <si>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</si>
  <si>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</si>
  <si>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</si>
  <si>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</si>
  <si>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</si>
  <si>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</si>
  <si>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</si>
  <si>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</si>
  <si>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</si>
  <si>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</si>
  <si>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</si>
  <si>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</si>
  <si>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</si>
  <si>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</si>
  <si>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</si>
  <si>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</si>
  <si>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</si>
  <si>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</si>
  <si>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</si>
  <si>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</si>
  <si>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</si>
  <si>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</si>
  <si>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</si>
  <si>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</si>
  <si>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</si>
  <si>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</si>
  <si>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</si>
  <si>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</si>
  <si>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</si>
  <si>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</si>
  <si>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</si>
  <si>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</si>
  <si>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</si>
  <si>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</si>
  <si>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</si>
  <si>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</si>
  <si>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</si>
  <si>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</si>
  <si>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</si>
  <si>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</si>
  <si>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</si>
  <si>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</si>
  <si>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</si>
  <si>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</si>
  <si>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</si>
  <si>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</si>
  <si>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</si>
  <si>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</si>
  <si>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</si>
  <si>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</si>
  <si>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</si>
  <si>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</si>
  <si>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</si>
  <si>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</si>
  <si>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</si>
  <si>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</si>
  <si>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</si>
  <si>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</si>
  <si>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</si>
  <si>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</si>
  <si>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</si>
  <si>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</si>
  <si>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</si>
  <si>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</si>
  <si>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</si>
  <si>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</si>
  <si>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</si>
  <si>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</si>
  <si>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</si>
  <si>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</si>
  <si>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</si>
  <si>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</si>
  <si>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</si>
  <si>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</si>
  <si>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</si>
  <si>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</si>
  <si>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</si>
  <si>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</si>
  <si>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</si>
  <si>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</si>
  <si>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</si>
  <si>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</si>
  <si>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</si>
  <si>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</si>
  <si>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</si>
  <si>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</si>
  <si>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</si>
  <si>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</si>
  <si>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</si>
  <si>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</si>
  <si>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</si>
  <si>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</si>
  <si>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</si>
  <si>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</si>
  <si>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</si>
  <si>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</si>
  <si>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</si>
  <si>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</si>
  <si>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</si>
  <si>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</si>
  <si>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</si>
  <si>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</si>
  <si>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</si>
  <si>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</si>
  <si>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</si>
  <si>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</si>
  <si>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</si>
  <si>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</si>
  <si>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</si>
  <si>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</si>
  <si>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</si>
  <si>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</si>
  <si>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</si>
  <si>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</si>
  <si>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</si>
  <si>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</si>
  <si>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</si>
  <si>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</si>
  <si>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</si>
  <si>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</si>
  <si>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</si>
  <si>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</si>
  <si>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</si>
  <si>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</si>
  <si>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</si>
  <si>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</si>
  <si>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</si>
  <si>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</si>
  <si>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</si>
  <si>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</si>
  <si>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</si>
  <si>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</si>
  <si>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</si>
  <si>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</si>
  <si>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</si>
  <si>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</si>
  <si>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</si>
  <si>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</si>
  <si>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</si>
  <si>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</si>
  <si>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</si>
  <si>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</si>
  <si>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</si>
  <si>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</si>
  <si>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</si>
  <si>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</si>
  <si>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</si>
  <si>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</si>
  <si>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</si>
  <si>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</si>
  <si>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</si>
  <si>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</si>
  <si>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</si>
  <si>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</si>
  <si>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</si>
  <si>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</si>
  <si>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</si>
  <si>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</si>
  <si>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</si>
  <si>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</si>
  <si>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</si>
  <si>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</si>
  <si>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</si>
  <si>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</si>
  <si>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</si>
  <si>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</si>
  <si>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</si>
  <si>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</si>
  <si>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</si>
  <si>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</si>
  <si>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</si>
  <si>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</si>
  <si>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</si>
  <si>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</si>
  <si>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</si>
  <si>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</si>
  <si>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</si>
  <si>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</si>
  <si>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</si>
  <si>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</si>
  <si>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</si>
  <si>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</si>
  <si>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</si>
  <si>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</si>
  <si>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</si>
  <si>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</si>
  <si>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</si>
  <si>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</si>
  <si>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</si>
  <si>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</si>
  <si>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</si>
  <si>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</si>
  <si>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</si>
  <si>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</si>
  <si>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</si>
  <si>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</si>
  <si>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</si>
  <si>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</si>
  <si>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</si>
  <si>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</si>
  <si>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</si>
  <si>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</si>
  <si>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</si>
  <si>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</si>
  <si>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</si>
  <si>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</si>
  <si>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</si>
  <si>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</si>
  <si>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</si>
  <si>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</si>
  <si>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</si>
  <si>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</si>
  <si>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</si>
  <si>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</si>
  <si>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</si>
  <si>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</si>
  <si>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</si>
  <si>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</si>
  <si>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</si>
  <si>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</si>
  <si>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</si>
  <si>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</si>
  <si>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</si>
  <si>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</si>
  <si>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</si>
  <si>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</si>
  <si>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</si>
  <si>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</si>
  <si>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</si>
  <si>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</si>
  <si>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</si>
  <si>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</si>
  <si>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</si>
  <si>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</si>
  <si>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</si>
  <si>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</si>
  <si>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</si>
  <si>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</si>
  <si>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</si>
  <si>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</si>
  <si>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</si>
  <si>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</si>
  <si>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</si>
  <si>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</si>
  <si>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</si>
  <si>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</si>
  <si>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</si>
  <si>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</si>
  <si>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</si>
  <si>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</si>
  <si>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</si>
  <si>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</si>
  <si>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</si>
  <si>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</si>
  <si>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</si>
  <si>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</si>
  <si>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</si>
  <si>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</si>
  <si>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</si>
  <si>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</si>
  <si>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</si>
  <si>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</si>
  <si>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</si>
  <si>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</si>
  <si>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</si>
  <si>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</si>
  <si>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</si>
  <si>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</si>
  <si>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</si>
  <si>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</si>
  <si>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</si>
  <si>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</si>
  <si>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</si>
  <si>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</si>
  <si>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</si>
  <si>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</si>
  <si>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</si>
  <si>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</si>
  <si>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</si>
  <si>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</si>
  <si>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</si>
  <si>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</si>
  <si>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</si>
  <si>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</si>
  <si>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</si>
  <si>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</si>
  <si>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</si>
  <si>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</si>
  <si>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</si>
  <si>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</si>
  <si>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</si>
  <si>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</si>
  <si>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</si>
  <si>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</si>
  <si>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</si>
  <si>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</si>
  <si>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</si>
  <si>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</si>
  <si>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</si>
  <si>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</si>
  <si>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</si>
  <si>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</si>
  <si>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</si>
  <si>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</si>
  <si>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</si>
  <si>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</si>
  <si>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</si>
  <si>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</si>
  <si>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</si>
  <si>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</si>
  <si>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</si>
  <si>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</si>
  <si>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</si>
  <si>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</si>
  <si>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</si>
  <si>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</si>
  <si>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</si>
  <si>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</si>
  <si>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</si>
  <si>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</si>
  <si>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</si>
  <si>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</si>
  <si>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</si>
  <si>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Россия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</si>
  <si>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</si>
  <si>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</si>
  <si>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</si>
  <si>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</si>
  <si>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</si>
  <si>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</si>
  <si>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</si>
  <si>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</si>
  <si>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</si>
  <si>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</si>
  <si>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18.01.2022</t>
  </si>
  <si>
    <t>Ахметшин Ю. М.</t>
  </si>
  <si>
    <t>Котляковские</t>
  </si>
  <si>
    <t>КОС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</si>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</sst>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499</v>
      </c>
      <c r="C1" s="477" t="s">
        <v>500</v>
      </c>
    </row>
    <row r="2" spans="1:3" ht="30" x14ac:dyDescent="0.25">
      <c r="A2" s="492">
        <v>44565</v>
      </c>
      <c r="B2" s="497" t="s">
        <v>501</v>
      </c>
      <c r="C2" s="495" t="s">
        <v>502</v>
      </c>
    </row>
    <row r="3" spans="1:3" ht="30" x14ac:dyDescent="0.25">
      <c r="A3" s="496">
        <v>44579</v>
      </c>
      <c r="B3" s="497" t="s">
        <v>503</v>
      </c>
      <c r="C3" s="497" t="s">
        <v>504</v>
      </c>
    </row>
    <row r="4" spans="1:3" ht="30" x14ac:dyDescent="0.25">
      <c r="A4" s="496">
        <v>44579</v>
      </c>
      <c r="B4" s="497" t="s">
        <v>506</v>
      </c>
      <c r="C4" s="495" t="s">
        <v>505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498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</v>
      </c>
      <c r="F4">
        <f>E4+C4</f>
        <v>26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</v>
      </c>
      <c r="F5">
        <f>E5+C5</f>
        <v>49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600.1000.1200.6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600</v>
      </c>
      <c r="C16" s="65">
        <f>Цена!C16</f>
        <v>1000</v>
      </c>
      <c r="D16" s="65">
        <f>Цена!D16</f>
        <v>1200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331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15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26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7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374.4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420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353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0.1276275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459.459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0.6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1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0.7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0.3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600</v>
      </c>
      <c r="I18" s="163">
        <f>((((ROUNDUP((((H18/2)-30)-1.5-G18-80)/(H3+$H$11),0))*(H3+$H$11))+1.5)*2)+160</f>
        <v>547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571</v>
      </c>
      <c r="M18" s="163">
        <f>H18-L18</f>
        <v>29</v>
      </c>
      <c r="N18" s="164">
        <f>M18/2</f>
        <v>14.5</v>
      </c>
      <c r="O18" s="165">
        <f>IF(K18&gt;50,L18,I18)</f>
        <v>547</v>
      </c>
      <c r="P18" s="166">
        <f>(((((ROUNDUP((((H18/2)-30)-1.5-H3-80)/(H3+$H$11),0))))))*2</f>
        <v>32</v>
      </c>
      <c r="Q18" s="166">
        <f>P18-1</f>
        <v>31</v>
      </c>
      <c r="R18" s="167">
        <f>($H$6-$H$8-$AR$3)*((H3/1000)*(Q18+1)+0.003)</f>
        <v>0.116025</v>
      </c>
      <c r="S18" s="168">
        <f>R18*T18</f>
        <v>0.1276275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15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508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Котляковские КОС (8569) 18.01.22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8569 Котляковские КОС 18.01.22</v>
      </c>
      <c r="J3" s="623"/>
      <c r="K3" s="624"/>
      <c r="L3" s="625"/>
    </row>
    <row r="4" spans="1:254" x14ac:dyDescent="0.2">
      <c r="A4" s="182" t="s">
        <v>98</v>
      </c>
      <c r="B4" s="475" t="s">
        <v>509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600.1000.1200.6</v>
      </c>
      <c r="J4" s="626"/>
      <c r="K4" s="627"/>
      <c r="L4" s="628"/>
    </row>
    <row r="5" spans="1:254" x14ac:dyDescent="0.2">
      <c r="A5" s="182" t="s">
        <v>169</v>
      </c>
      <c r="B5" s="475" t="s">
        <v>497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600.1000.1200.6 (AISI 201; 0,37 кВт.; IP55;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8569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600</v>
      </c>
      <c r="C16" s="190">
        <v>1000</v>
      </c>
      <c r="D16" s="191">
        <v>1200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374.4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420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3250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2600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1000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507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237472.2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216 н.ч.</v>
      </c>
      <c r="C33" s="209">
        <f>ФОТ!C37</f>
        <v>66530</v>
      </c>
    </row>
    <row r="34" spans="1:254" x14ac:dyDescent="0.2">
      <c r="A34" s="71" t="s">
        <v>178</v>
      </c>
      <c r="B34" s="110" t="str">
        <f ca="1">CONCATENATE(ROUNDUP(C34/Параметры!B3,0)," н.ч.")</f>
        <v>14 н.ч.</v>
      </c>
      <c r="C34" s="209">
        <f ca="1">ФОТ!C54</f>
        <v>4080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153262.20000000001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356331.46666666667</v>
      </c>
      <c r="D39" s="215">
        <f ca="1">SUM(D41:D47)</f>
        <v>427597.75999999995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92250</v>
      </c>
      <c r="D41" s="209">
        <f t="shared" ref="D41:D47" ca="1" si="0">C41*1.2</f>
        <v>110700</v>
      </c>
    </row>
    <row r="42" spans="1:254" x14ac:dyDescent="0.2">
      <c r="A42" t="str">
        <f>CONCATENATE("Цепи (",РГО!B7," м.п.)")</f>
        <v>Цепи (13 м.п.)</v>
      </c>
      <c r="B42" s="4"/>
      <c r="C42" s="209">
        <f ca="1">РГО!B8</f>
        <v>52325</v>
      </c>
      <c r="D42" s="209">
        <f t="shared" ca="1" si="0"/>
        <v>62790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10379</v>
      </c>
      <c r="D47" s="209">
        <f t="shared" ca="1" si="0"/>
        <v>12454.8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593804</v>
      </c>
      <c r="D49" s="214">
        <f ca="1">C49*1.2</f>
        <v>712564.79999999993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1128228</v>
      </c>
      <c r="D53" s="222">
        <f ca="1">ROUNDUP(D49*B53,0)</f>
        <v>1353874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1128228</v>
      </c>
      <c r="D57" s="225">
        <f ca="1">D53+D55</f>
        <v>1353874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534424</v>
      </c>
      <c r="D58" s="233">
        <f ca="1">D57-D55-D49</f>
        <v>641309.20000000007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1128228</v>
      </c>
      <c r="D62" s="241">
        <f ca="1">D57/(1-B60*(1+B61))</f>
        <v>1353874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1128228</v>
      </c>
      <c r="D64" s="205">
        <f ca="1">D62</f>
        <v>1353874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600</v>
      </c>
      <c r="D9" s="82">
        <f>IF(C9&lt;=750,ROUND(C9/50,0)*50,ROUND(C9/100,0)*100)</f>
        <v>600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1000</v>
      </c>
      <c r="D10" s="82">
        <f>CEILING(C10,100)</f>
        <v>1000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141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700</v>
      </c>
      <c r="D13" s="87">
        <f>IF(C10&lt;=1200,C10,C10-250)</f>
        <v>1000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800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1000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35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4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4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35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216.3031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5.35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215.30123033333334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34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21.767533333333333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38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66528.080172999995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66530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374.4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12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4080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353</v>
      </c>
      <c r="D3" s="401" t="s">
        <v>17</v>
      </c>
      <c r="E3" s="404">
        <f>Цена!B16</f>
        <v>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450</v>
      </c>
      <c r="D4" s="401" t="s">
        <v>18</v>
      </c>
      <c r="E4" s="404">
        <f>Цена!C16</f>
        <v>1000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92250</v>
      </c>
      <c r="D5" s="401" t="s">
        <v>392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13</v>
      </c>
      <c r="D7" s="401" t="s">
        <v>397</v>
      </c>
      <c r="E7" s="408">
        <f>Цена!D20</f>
        <v>3250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52325</v>
      </c>
      <c r="D8" s="401" t="s">
        <v>398</v>
      </c>
      <c r="E8" s="408">
        <f>Цена!D21</f>
        <v>2600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1000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229828.16666666666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1105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108124.3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600.1000.1200.6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- 460 м3/ч.; прозор - 6 мм.; ширина канала - 600 мм.; глубина канала - 1000 мм.; высота выгрузки отбросов - 1200 мм.; вес решетки в сборе - 420 кг.; привод - 0,37 кВт.; IP 55; 380 В; 50 Гц;  материал исполнения - AISI 201; в комплекте с ШУ и ВПУ.</v>
      </c>
      <c r="C2" s="110">
        <f ca="1">C11</f>
        <v>420</v>
      </c>
      <c r="D2" s="108">
        <f ca="1">C12</f>
        <v>0.37</v>
      </c>
      <c r="E2" s="108">
        <v>1</v>
      </c>
      <c r="F2" s="110">
        <f ca="1">MROUND(Цена!C49,100)</f>
        <v>593800</v>
      </c>
      <c r="G2" s="110">
        <f ca="1">F2*E2</f>
        <v>593800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600.1000.1200.6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460</v>
      </c>
      <c r="D6" t="s">
        <v>113</v>
      </c>
      <c r="E6" t="str">
        <f>CONCATENATE(B6," ",C6," ",D6,".;")</f>
        <v>Максимальная производительность - 460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600</v>
      </c>
      <c r="D8" t="s">
        <v>167</v>
      </c>
      <c r="E8" t="str">
        <f>CONCATENATE(B8," ",C8," ",D8,";")</f>
        <v>ширина канала - 600 мм.;</v>
      </c>
    </row>
    <row r="9" spans="1:8" x14ac:dyDescent="0.2">
      <c r="B9" s="186" t="s">
        <v>282</v>
      </c>
      <c r="C9" s="110">
        <f>Цена!C16</f>
        <v>1000</v>
      </c>
      <c r="D9" t="s">
        <v>167</v>
      </c>
      <c r="E9" t="str">
        <f>CONCATENATE(B9," ",C9," ",D9,";")</f>
        <v>глубина канала - 1000 мм.;</v>
      </c>
    </row>
    <row r="10" spans="1:8" x14ac:dyDescent="0.2">
      <c r="B10" s="186" t="s">
        <v>283</v>
      </c>
      <c r="C10" s="110">
        <f>Цена!D16</f>
        <v>1200</v>
      </c>
      <c r="D10" t="s">
        <v>167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284</v>
      </c>
      <c r="C11" s="110">
        <f ca="1">Цена!D19</f>
        <v>420</v>
      </c>
      <c r="D11" t="s">
        <v>170</v>
      </c>
      <c r="E11" t="str">
        <f ca="1">CONCATENATE(B11," ",C11," ",D11,";")</f>
        <v>вес решетки в сборе - 420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8569</v>
      </c>
    </row>
    <row r="22" spans="2:15" x14ac:dyDescent="0.2">
      <c r="B22" s="186" t="s">
        <v>289</v>
      </c>
      <c r="C22" s="283"/>
      <c r="D22" s="283" t="str">
        <f>CONCATENATE("ТКП №",Цена!I3)</f>
        <v>ТКП №8569 Котляковские КОС 18.01.22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600.1000.1200.6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1000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1200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2120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460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420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444085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420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600.1000.1200.6</v>
      </c>
      <c r="B118" s="481">
        <f ca="1">C101</f>
        <v>444085</v>
      </c>
      <c r="C118" s="482">
        <f>ROUNDUP(ФОТ!K29,0)</f>
        <v>216</v>
      </c>
      <c r="D118" s="482">
        <f ca="1">ФОТ!C51</f>
        <v>12</v>
      </c>
      <c r="E118" s="482">
        <f ca="1">IF(B118=0,0,(C118+D118)*Параметры!B3*(1+Параметры!B4))</f>
        <v>198674.64</v>
      </c>
      <c r="F118" s="482">
        <f ca="1">B118-E118</f>
        <v>245410.36</v>
      </c>
      <c r="G118" s="477" t="str">
        <f ca="1">CONCATENATE(A118," (",H101,"; ",G101," кВт.; ",F101,")")</f>
        <v>РТО 600.1000.1200.6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593805</v>
      </c>
      <c r="C121" s="483">
        <f ca="1">SUM(C118:C119)</f>
        <v>256</v>
      </c>
      <c r="D121" s="483">
        <f ca="1">SUM(D118:D119)</f>
        <v>12</v>
      </c>
      <c r="E121" s="483">
        <f ca="1">SUM(E118:E119)</f>
        <v>237026.64</v>
      </c>
      <c r="F121" s="483">
        <f ca="1">SUM(F118:F119)</f>
        <v>356778.36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2022-01-18T14:50:22Z</dcterms:modified>
</cp:coreProperties>
</file>