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5" activeTab="9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 s="1"/>
  <c r="B3" i="12"/>
  <c r="E14" i="16" s="1"/>
  <c r="B11" i="16"/>
  <c r="E16" i="6"/>
  <c r="F23" i="6" s="1"/>
  <c r="F21" i="6" s="1"/>
  <c r="B16" i="6"/>
  <c r="E5" i="6" s="1"/>
  <c r="F5" i="6" s="1"/>
  <c r="C16" i="6"/>
  <c r="C10" i="13"/>
  <c r="C13" i="13" s="1"/>
  <c r="D14" i="13" s="1"/>
  <c r="D16" i="6"/>
  <c r="E79" i="16"/>
  <c r="K85" i="16" s="1"/>
  <c r="B79" i="16" s="1"/>
  <c r="E15" i="16"/>
  <c r="E80" i="16" s="1"/>
  <c r="C9" i="13"/>
  <c r="D9" i="13" s="1"/>
  <c r="C12" i="13"/>
  <c r="D12" i="13" s="1"/>
  <c r="C11" i="13"/>
  <c r="D11" i="13" s="1"/>
  <c r="C40" i="13"/>
  <c r="C43" i="13" s="1"/>
  <c r="C45" i="13" s="1"/>
  <c r="C35" i="12" s="1"/>
  <c r="B35" i="12" s="1"/>
  <c r="D20" i="12"/>
  <c r="D21" i="12" s="1"/>
  <c r="E8" i="16" s="1"/>
  <c r="B7" i="16" s="1"/>
  <c r="E11" i="16"/>
  <c r="E3" i="16"/>
  <c r="E4" i="16"/>
  <c r="Q12" i="16" s="1"/>
  <c r="H101" i="14"/>
  <c r="F101" i="14"/>
  <c r="B101" i="14"/>
  <c r="A101" i="14"/>
  <c r="A16" i="12"/>
  <c r="B36" i="12"/>
  <c r="C55" i="12"/>
  <c r="B47" i="12"/>
  <c r="E78" i="16"/>
  <c r="B78" i="16"/>
  <c r="C15" i="14"/>
  <c r="D40" i="14" s="1"/>
  <c r="C14" i="14"/>
  <c r="E14" i="14"/>
  <c r="C13" i="14"/>
  <c r="C22" i="18" s="1"/>
  <c r="C30" i="18" s="1"/>
  <c r="D33" i="14"/>
  <c r="D42" i="14" s="1"/>
  <c r="C10" i="14"/>
  <c r="D30" i="14" s="1"/>
  <c r="C9" i="14"/>
  <c r="D31" i="14" s="1"/>
  <c r="C8" i="14"/>
  <c r="E8" i="14" s="1"/>
  <c r="C7" i="14"/>
  <c r="E7" i="14" s="1"/>
  <c r="H6" i="8"/>
  <c r="H8" i="8" s="1"/>
  <c r="H5" i="8"/>
  <c r="H18" i="8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M27" i="6"/>
  <c r="M28" i="6" s="1"/>
  <c r="O30" i="6"/>
  <c r="O31" i="6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9" i="6"/>
  <c r="D37" i="14"/>
  <c r="K86" i="16"/>
  <c r="I30" i="6"/>
  <c r="I42" i="6" s="1"/>
  <c r="K25" i="6"/>
  <c r="R32" i="6"/>
  <c r="Z40" i="6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3" i="6" s="1"/>
  <c r="N30" i="6"/>
  <c r="N31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Q31" i="6"/>
  <c r="Q32" i="6"/>
  <c r="T34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L27" i="6" s="1"/>
  <c r="A16" i="6"/>
  <c r="U35" i="6"/>
  <c r="V36" i="6"/>
  <c r="V35" i="6" s="1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Q33" i="6"/>
  <c r="Q34" i="6" s="1"/>
  <c r="Q35" i="6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 s="1"/>
  <c r="L23" i="6" s="1"/>
  <c r="L22" i="6" s="1"/>
  <c r="L21" i="6" s="1"/>
  <c r="L28" i="6"/>
  <c r="L29" i="6" s="1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L18" i="8" s="1"/>
  <c r="M18" i="8" s="1"/>
  <c r="N18" i="8" s="1"/>
  <c r="F11" i="16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E15" i="14"/>
  <c r="I18" i="8"/>
  <c r="J18" i="8" s="1"/>
  <c r="K18" i="8" s="1"/>
  <c r="O18" i="8" s="1"/>
  <c r="T35" i="6"/>
  <c r="T36" i="6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K24" i="6"/>
  <c r="K23" i="6"/>
  <c r="K22" i="6" s="1"/>
  <c r="K21" i="6" s="1"/>
  <c r="K26" i="6"/>
  <c r="K27" i="6" s="1"/>
  <c r="K28" i="6" s="1"/>
  <c r="K29" i="6" s="1"/>
  <c r="V18" i="8"/>
  <c r="U34" i="6"/>
  <c r="U33" i="6"/>
  <c r="U32" i="6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M29" i="6"/>
  <c r="M26" i="6"/>
  <c r="M25" i="6" s="1"/>
  <c r="M24" i="6" s="1"/>
  <c r="M23" i="6" s="1"/>
  <c r="M22" i="6" s="1"/>
  <c r="M21" i="6" s="1"/>
  <c r="C31" i="13"/>
  <c r="D16" i="13"/>
  <c r="K80" i="16"/>
  <c r="K81" i="16"/>
  <c r="K84" i="16"/>
  <c r="K82" i="16" l="1"/>
  <c r="C21" i="18"/>
  <c r="D32" i="14"/>
  <c r="E10" i="14"/>
  <c r="D64" i="6"/>
  <c r="E7" i="16"/>
  <c r="E9" i="14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27" i="6"/>
  <c r="N26" i="6" s="1"/>
  <c r="N25" i="6" s="1"/>
  <c r="N24" i="6" s="1"/>
  <c r="N23" i="6" s="1"/>
  <c r="N22" i="6" s="1"/>
  <c r="N21" i="6" s="1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O28" i="6"/>
  <c r="O27" i="6" s="1"/>
  <c r="O26" i="6" s="1"/>
  <c r="O25" i="6" s="1"/>
  <c r="O24" i="6" s="1"/>
  <c r="O23" i="6" s="1"/>
  <c r="O22" i="6" s="1"/>
  <c r="O21" i="6" s="1"/>
  <c r="D72" i="6"/>
  <c r="E4" i="6"/>
  <c r="F4" i="6" s="1"/>
  <c r="D39" i="14"/>
  <c r="P18" i="8"/>
  <c r="Q18" i="8" s="1"/>
  <c r="R18" i="8" s="1"/>
  <c r="S18" i="8" s="1"/>
  <c r="H4" i="8" s="1"/>
  <c r="R4" i="8" s="1"/>
  <c r="C6" i="14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Q11" i="16"/>
  <c r="Q10" i="16"/>
  <c r="D13" i="13"/>
  <c r="D15" i="13" s="1"/>
  <c r="D10" i="13"/>
  <c r="C29" i="13" s="1"/>
  <c r="C24" i="19"/>
  <c r="C8" i="18"/>
  <c r="A5" i="14"/>
  <c r="A2" i="14" s="1"/>
  <c r="A118" i="14" s="1"/>
  <c r="K26" i="13"/>
  <c r="K24" i="13"/>
  <c r="D17" i="13"/>
  <c r="D23" i="14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B82" i="16"/>
  <c r="B83" i="16" s="1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B84" i="16"/>
  <c r="B86" i="16" s="1"/>
  <c r="C46" i="12" s="1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D34" i="14" l="1"/>
  <c r="C23" i="19"/>
  <c r="E6" i="14"/>
  <c r="D62" i="6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46" i="12"/>
  <c r="D101" i="14"/>
  <c r="B119" i="14" s="1"/>
  <c r="C19" i="19" s="1"/>
  <c r="D68" i="6" l="1"/>
  <c r="D53" i="6"/>
  <c r="D54" i="6" s="1"/>
  <c r="C54" i="6"/>
  <c r="G53" i="6"/>
  <c r="G54" i="6" s="1"/>
  <c r="E53" i="6"/>
  <c r="E54" i="6" s="1"/>
  <c r="H53" i="6"/>
  <c r="H54" i="6" s="1"/>
  <c r="D63" i="6" s="1"/>
  <c r="D74" i="6" s="1"/>
  <c r="D19" i="12" s="1"/>
  <c r="C11" i="14" s="1"/>
  <c r="F53" i="6"/>
  <c r="F54" i="6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C119" i="14"/>
  <c r="G119" i="14"/>
  <c r="D70" i="6" l="1"/>
  <c r="D18" i="12" s="1"/>
  <c r="C48" i="13" s="1"/>
  <c r="C51" i="13" s="1"/>
  <c r="C54" i="13" s="1"/>
  <c r="C34" i="12" s="1"/>
  <c r="B34" i="12" s="1"/>
  <c r="E11" i="14"/>
  <c r="B2" i="14" s="1"/>
  <c r="C2" i="14"/>
  <c r="D36" i="14"/>
  <c r="C25" i="18"/>
  <c r="D75" i="6"/>
  <c r="B3" i="16" s="1"/>
  <c r="B4" i="16" s="1"/>
  <c r="B5" i="16" s="1"/>
  <c r="C22" i="19"/>
  <c r="C25" i="19" s="1"/>
  <c r="G101" i="14"/>
  <c r="G118" i="14" s="1"/>
  <c r="D35" i="14"/>
  <c r="K29" i="13"/>
  <c r="E119" i="14"/>
  <c r="F119" i="14" s="1"/>
  <c r="D118" i="14" l="1"/>
  <c r="D121" i="14" s="1"/>
  <c r="C21" i="19"/>
  <c r="E101" i="14"/>
  <c r="B13" i="16"/>
  <c r="C41" i="12"/>
  <c r="C118" i="14"/>
  <c r="C121" i="14" s="1"/>
  <c r="K34" i="13"/>
  <c r="C37" i="13" s="1"/>
  <c r="C33" i="12" s="1"/>
  <c r="C47" i="12" l="1"/>
  <c r="D47" i="12" s="1"/>
  <c r="D41" i="12"/>
  <c r="B33" i="12"/>
  <c r="C36" i="12"/>
  <c r="C31" i="12" s="1"/>
  <c r="D39" i="12" l="1"/>
  <c r="C39" i="12"/>
  <c r="C49" i="12" s="1"/>
  <c r="F2" i="14" s="1"/>
  <c r="G2" i="14" s="1"/>
  <c r="C101" i="14" l="1"/>
  <c r="B118" i="14" s="1"/>
  <c r="C20" i="19" s="1"/>
  <c r="C53" i="12"/>
  <c r="C57" i="12" s="1"/>
  <c r="C58" i="12" s="1"/>
  <c r="D49" i="12"/>
  <c r="D53" i="12" s="1"/>
  <c r="D57" i="12" s="1"/>
  <c r="D62" i="12" s="1"/>
  <c r="E118" i="14" l="1"/>
  <c r="E121" i="14" s="1"/>
  <c r="B121" i="14"/>
  <c r="C62" i="12"/>
  <c r="C60" i="12" s="1"/>
  <c r="C61" i="12" s="1"/>
  <c r="D58" i="12"/>
  <c r="D64" i="12"/>
  <c r="D60" i="12"/>
  <c r="D61" i="12" s="1"/>
  <c r="F118" i="14" l="1"/>
  <c r="F121" i="14" s="1"/>
  <c r="C64" i="12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<sst xmlns="http://schemas.openxmlformats.org/spreadsheetml/2006/main" count="834" uniqueCount="577">
  <si>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</si>
  <si>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</si>
  <si>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</si>
  <si>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</si>
  <si>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</si>
  <si>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</si>
  <si>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</si>
  <si>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</si>
  <si>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</si>
  <si>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</si>
  <si>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</si>
  <si>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</si>
  <si>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</si>
  <si>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</si>
  <si>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</si>
  <si>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</si>
  <si>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</si>
  <si>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</si>
  <si>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</si>
  <si>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</si>
  <si>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</si>
  <si>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</si>
  <si>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</si>
  <si>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</si>
  <si>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</si>
  <si>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</si>
  <si>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</si>
  <si>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</si>
  <si>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</si>
  <si>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</si>
  <si>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</si>
  <si>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</si>
  <si>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</si>
  <si>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</si>
  <si>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</si>
  <si>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</si>
  <si>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</si>
  <si>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</si>
  <si>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</si>
  <si>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</si>
  <si>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</si>
  <si>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</si>
  <si>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</si>
  <si>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</si>
  <si>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</si>
  <si>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</si>
  <si>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</si>
  <si>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</si>
  <si>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</si>
  <si>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</si>
  <si>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</si>
  <si>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</si>
  <si>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</si>
  <si>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</si>
  <si>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</si>
  <si>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</si>
  <si>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</si>
  <si>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</si>
  <si>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</si>
  <si>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</si>
  <si>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</si>
  <si>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</si>
  <si>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</si>
  <si>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</si>
  <si>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</si>
  <si>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</si>
  <si>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</si>
  <si>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</si>
  <si>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</si>
  <si>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</si>
  <si>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</si>
  <si>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</si>
  <si>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</si>
  <si>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</si>
  <si>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</si>
  <si>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</si>
  <si>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</si>
  <si>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</si>
  <si>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</si>
  <si>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</si>
  <si>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</si>
  <si>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</si>
  <si>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</si>
  <si>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</si>
  <si>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</si>
  <si>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</si>
  <si>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</si>
  <si>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</si>
  <si>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</si>
  <si>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</si>
  <si>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</si>
  <si>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</si>
  <si>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</si>
  <si>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</si>
  <si>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</si>
  <si>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</si>
  <si>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</si>
  <si>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</si>
  <si>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</si>
  <si>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</si>
  <si>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</si>
  <si>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</si>
  <si>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</si>
  <si>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</si>
  <si>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</si>
  <si>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</si>
  <si>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</si>
  <si>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</si>
  <si>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</si>
  <si>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</si>
  <si>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</si>
  <si>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</si>
  <si>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</si>
  <si>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</si>
  <si>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</si>
  <si>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</si>
  <si>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</si>
  <si>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</si>
  <si>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</si>
  <si>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</si>
  <si>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</si>
  <si>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</si>
  <si>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</si>
  <si>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</si>
  <si>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</si>
  <si>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</si>
  <si>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</si>
  <si>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</si>
  <si>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</si>
  <si>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</si>
  <si>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</si>
  <si>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</si>
  <si>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</si>
  <si>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</si>
  <si>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</si>
  <si>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</si>
  <si>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</si>
  <si>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</si>
  <si>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</si>
  <si>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</si>
  <si>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</si>
  <si>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</si>
  <si>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</si>
  <si>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</si>
  <si>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</si>
  <si>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</si>
  <si>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</si>
  <si>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</si>
  <si>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</si>
  <si>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</si>
  <si>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</si>
  <si>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</si>
  <si>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</si>
  <si>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</si>
  <si>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</si>
  <si>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</si>
  <si>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</si>
  <si>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</si>
  <si>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</si>
  <si>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</si>
  <si>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</si>
  <si>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</si>
  <si>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</si>
  <si>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</si>
  <si>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</si>
  <si>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</si>
  <si>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</si>
  <si>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</si>
  <si>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</si>
  <si>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</si>
  <si>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</si>
  <si>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</si>
  <si>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</si>
  <si>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</si>
  <si>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</si>
  <si>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</si>
  <si>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</si>
  <si>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</si>
  <si>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</si>
  <si>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</si>
  <si>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</si>
  <si>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</si>
  <si>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</si>
  <si>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</si>
  <si>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</si>
  <si>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</si>
  <si>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</si>
  <si>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</si>
  <si>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</si>
  <si>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</si>
  <si>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</si>
  <si>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</si>
  <si>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</si>
  <si>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</si>
  <si>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</si>
  <si>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</si>
  <si>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</si>
  <si>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</si>
  <si>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</si>
  <si>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</si>
  <si>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</si>
  <si>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</si>
  <si>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</si>
  <si>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</si>
  <si>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</si>
  <si>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</si>
  <si>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</si>
  <si>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</si>
  <si>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</si>
  <si>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</si>
  <si>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</si>
  <si>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</si>
  <si>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</si>
  <si>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</si>
  <si>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</si>
  <si>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</si>
  <si>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</si>
  <si>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</si>
  <si>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</si>
  <si>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</si>
  <si>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</si>
  <si>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</si>
  <si>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</si>
  <si>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</si>
  <si>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</si>
  <si>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</si>
  <si>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</si>
  <si>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</si>
  <si>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</si>
  <si>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</si>
  <si>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</si>
  <si>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</si>
  <si>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</si>
  <si>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</si>
  <si>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</si>
  <si>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</si>
  <si>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</si>
  <si>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</si>
  <si>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</si>
  <si>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</si>
  <si>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</si>
  <si>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</si>
  <si>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</si>
  <si>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</si>
  <si>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</si>
  <si>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</si>
  <si>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</si>
  <si>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</si>
  <si>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</si>
  <si>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</si>
  <si>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</si>
  <si>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</si>
  <si>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</si>
  <si>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</si>
  <si>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</si>
  <si>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</si>
  <si>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</si>
  <si>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</si>
  <si>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</si>
  <si>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</si>
  <si>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</si>
  <si>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</si>
  <si>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</si>
  <si>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</si>
  <si>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</si>
  <si>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</si>
  <si>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</si>
  <si>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</si>
  <si>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</si>
  <si>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</si>
  <si>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</si>
  <si>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</si>
  <si>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</si>
  <si>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</si>
  <si>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</si>
  <si>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</si>
  <si>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</si>
  <si>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</si>
  <si>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</si>
  <si>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</si>
  <si>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</si>
  <si>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</si>
  <si>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</si>
  <si>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</si>
  <si>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</si>
  <si>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</si>
  <si>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</si>
  <si>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</si>
  <si>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</si>
  <si>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</si>
  <si>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</si>
  <si>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</si>
  <si>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</si>
  <si>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</si>
  <si>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</si>
  <si>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</si>
  <si>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</si>
  <si>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</si>
  <si>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</si>
  <si>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</si>
  <si>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</si>
  <si>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</si>
  <si>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</si>
  <si>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</si>
  <si>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</si>
  <si>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</si>
  <si>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</si>
  <si>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</si>
  <si>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</si>
  <si>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</si>
  <si>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</si>
  <si>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</si>
  <si>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</si>
  <si>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</si>
  <si>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</si>
  <si>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</si>
  <si>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</si>
  <si>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</si>
  <si>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</si>
  <si>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</si>
  <si>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</si>
  <si>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</si>
  <si>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</si>
  <si>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</si>
  <si>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</si>
  <si>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</si>
  <si>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</si>
  <si>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</si>
  <si>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</si>
  <si>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</si>
  <si>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</si>
  <si>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</si>
  <si>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</si>
  <si>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</si>
  <si>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</si>
  <si>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</si>
  <si>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</si>
  <si>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</si>
  <si>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</si>
  <si>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</si>
  <si>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</si>
  <si>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</si>
  <si>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</si>
  <si>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</si>
  <si>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</si>
  <si>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</si>
  <si>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</si>
  <si>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</si>
  <si>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</si>
  <si>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</si>
  <si>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</si>
  <si>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</si>
  <si>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</si>
  <si>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</si>
  <si>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</si>
  <si>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</si>
  <si>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</si>
  <si>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</si>
  <si>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</si>
  <si>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</si>
  <si>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</si>
  <si>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</si>
  <si>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</si>
  <si>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</si>
  <si>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</si>
  <si>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</si>
  <si>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</si>
  <si>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</si>
  <si>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</si>
  <si>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</si>
  <si>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</si>
  <si>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</si>
  <si>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</si>
  <si>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</si>
  <si>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</si>
  <si>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</si>
  <si>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</si>
  <si>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</si>
  <si>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</si>
  <si>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</si>
  <si>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</si>
  <si>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</si>
  <si>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</si>
  <si>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</si>
  <si>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</si>
  <si>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</si>
  <si>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</si>
  <si>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</si>
  <si>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</si>
  <si>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</si>
  <si>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</si>
  <si>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</si>
  <si>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</si>
  <si>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</si>
  <si>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</si>
  <si>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</si>
  <si>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</si>
  <si>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</si>
  <si>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</si>
  <si>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</si>
  <si>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</si>
  <si>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</si>
  <si>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</si>
  <si>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</si>
  <si>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</si>
  <si>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</si>
  <si>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</si>
  <si>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</si>
  <si>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</si>
  <si>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</si>
  <si>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</si>
  <si>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</si>
  <si>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</si>
  <si>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</si>
  <si>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</si>
  <si>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</si>
  <si>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</si>
  <si>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</si>
  <si>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</si>
  <si>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</si>
  <si>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</si>
  <si>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</si>
  <si>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</si>
  <si>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</si>
  <si>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</si>
  <si>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</si>
  <si>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</si>
  <si>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</si>
  <si>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</si>
  <si>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</si>
  <si>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</si>
  <si>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</si>
  <si>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</si>
  <si>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</si>
  <si>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</si>
  <si>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</si>
  <si>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</si>
  <si>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</si>
  <si>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</si>
  <si>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</si>
  <si>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</si>
  <si>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</si>
  <si>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</si>
  <si>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</si>
  <si>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</si>
  <si>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</si>
  <si>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</si>
  <si>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</si>
  <si>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</si>
  <si>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</si>
  <si>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</si>
  <si>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</si>
  <si>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</si>
  <si>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</si>
  <si>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</si>
  <si>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</si>
  <si>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</si>
  <si>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</si>
  <si>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</si>
  <si>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</si>
  <si>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</si>
  <si>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</si>
  <si>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</si>
  <si>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</si>
  <si>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</si>
  <si>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</si>
  <si>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</si>
  <si>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</si>
  <si>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</si>
  <si>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</si>
  <si>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</si>
  <si>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</si>
  <si>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</si>
  <si>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</si>
  <si>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</si>
  <si>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</si>
  <si>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</si>
  <si>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</si>
  <si>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</si>
  <si>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</si>
  <si>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</si>
  <si>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</si>
  <si>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</si>
  <si>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</si>
  <si>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</si>
  <si>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</si>
  <si>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</si>
  <si>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</si>
  <si>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</si>
  <si>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</si>
  <si>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</si>
  <si>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</si>
  <si>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</si>
  <si>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</si>
  <si>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</si>
  <si>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>Россия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</si>
  <si>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</si>
  <si>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</si>
  <si>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</si>
  <si>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</si>
  <si>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</si>
  <si>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</si>
  <si>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</si>
  <si>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</si>
  <si>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</si>
  <si>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</si>
  <si>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</si>
  <si>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</si>
  <si>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</si>
  <si>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</si>
  <si>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</si>
  <si>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</si>
  <si>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</si>
  <si>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</si>
  <si>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</si>
  <si>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</si>
  <si>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</si>
  <si>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</si>
  <si>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</si>
  <si>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</si>
  <si>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</si>
  <si>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</si>
  <si>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</si>
  <si>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</si>
  <si>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</si>
  <si>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</si>
  <si>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</si>
  <si>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</si>
  <si>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</si>
  <si>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</si>
  <si>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</si>
  <si>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</si>
  <si>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</si>
  <si>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</si>
  <si>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</si>
  <si>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</si>
  <si>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</si>
  <si>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</si>
  <si>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</si>
  <si>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</si>
  <si>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</si>
  <si>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</si>
  <si>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</si>
  <si>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</si>
  <si>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</si>
  <si>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</si>
  <si>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</si>
  <si>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</si>
  <si>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</si>
  <si>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</si>
  <si>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</si>
  <si>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</si>
  <si>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</si>
  <si>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</si>
  <si>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</si>
  <si>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</si>
  <si>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</si>
  <si>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</si>
  <si>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</si>
  <si>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</si>
  <si>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</si>
  <si>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</si>
  <si>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</si>
  <si>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</si>
  <si>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</si>
  <si>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</si>
  <si>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</si>
  <si>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</si>
  <si>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</si>
  <si>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</si>
  <si>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</si>
  <si>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ModBus RTU</t>
  </si>
  <si>
    <t>10.02.2022</t>
  </si>
  <si>
    <t>Ахметшин Ю. М.</t>
  </si>
  <si>
    <t>ООО Индуст</t>
  </si>
  <si>
    <t>КОС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</si>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</sst>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8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8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8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497</v>
      </c>
      <c r="C1" s="477" t="s">
        <v>498</v>
      </c>
    </row>
    <row r="2" spans="1:3" ht="30" x14ac:dyDescent="0.25">
      <c r="A2" s="492">
        <v>44565</v>
      </c>
      <c r="B2" s="497" t="s">
        <v>499</v>
      </c>
      <c r="C2" s="495" t="s">
        <v>500</v>
      </c>
    </row>
    <row r="3" spans="1:3" ht="30" x14ac:dyDescent="0.25">
      <c r="A3" s="496">
        <v>44579</v>
      </c>
      <c r="B3" s="497" t="s">
        <v>501</v>
      </c>
      <c r="C3" s="497" t="s">
        <v>502</v>
      </c>
    </row>
    <row r="4" spans="1:3" ht="30" x14ac:dyDescent="0.25">
      <c r="A4" s="496">
        <v>44579</v>
      </c>
      <c r="B4" s="497" t="s">
        <v>504</v>
      </c>
      <c r="C4" s="495" t="s">
        <v>503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6" sqref="B26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569</v>
      </c>
      <c r="B1" s="504" t="s">
        <v>570</v>
      </c>
      <c r="C1" s="499">
        <v>2</v>
      </c>
    </row>
    <row r="2" spans="1:3" s="71" customFormat="1" x14ac:dyDescent="0.2">
      <c r="A2" s="503" t="s">
        <v>566</v>
      </c>
      <c r="B2" s="504" t="s">
        <v>565</v>
      </c>
      <c r="C2" s="499">
        <v>1</v>
      </c>
    </row>
    <row r="3" spans="1:3" s="71" customFormat="1" x14ac:dyDescent="0.2">
      <c r="A3" s="503" t="s">
        <v>98</v>
      </c>
      <c r="B3" s="504" t="s">
        <v>529</v>
      </c>
      <c r="C3" s="499" t="str">
        <f>Цена!B4</f>
        <v>Ахметшин Ю. М.</v>
      </c>
    </row>
    <row r="4" spans="1:3" s="71" customFormat="1" x14ac:dyDescent="0.2">
      <c r="A4" s="503" t="s">
        <v>168</v>
      </c>
      <c r="B4" s="504" t="s">
        <v>530</v>
      </c>
      <c r="C4" s="499" t="str">
        <f>Цена!B5</f>
        <v>Россия</v>
      </c>
    </row>
    <row r="5" spans="1:3" s="71" customFormat="1" x14ac:dyDescent="0.2">
      <c r="A5" s="503" t="s">
        <v>551</v>
      </c>
      <c r="B5" s="504" t="s">
        <v>531</v>
      </c>
      <c r="C5" s="499" t="str">
        <f>Цена!B6</f>
        <v>ООО Индуст</v>
      </c>
    </row>
    <row r="6" spans="1:3" s="71" customFormat="1" x14ac:dyDescent="0.2">
      <c r="A6" s="503" t="s">
        <v>100</v>
      </c>
      <c r="B6" s="504" t="s">
        <v>532</v>
      </c>
      <c r="C6" s="499" t="str">
        <f>Цена!B7</f>
        <v>КОС</v>
      </c>
    </row>
    <row r="7" spans="1:3" s="71" customFormat="1" x14ac:dyDescent="0.2">
      <c r="A7" s="503" t="s">
        <v>182</v>
      </c>
      <c r="B7" s="504" t="s">
        <v>533</v>
      </c>
      <c r="C7" s="499" t="str">
        <f>Цена!B10</f>
        <v/>
      </c>
    </row>
    <row r="8" spans="1:3" s="71" customFormat="1" x14ac:dyDescent="0.2">
      <c r="A8" s="503" t="s">
        <v>552</v>
      </c>
      <c r="B8" s="504" t="s">
        <v>534</v>
      </c>
      <c r="C8" s="499" t="str">
        <f>Цена!B11</f>
        <v>ТПП Экополимер</v>
      </c>
    </row>
    <row r="9" spans="1:3" s="71" customFormat="1" x14ac:dyDescent="0.2">
      <c r="A9" s="503" t="s">
        <v>553</v>
      </c>
      <c r="B9" s="504" t="s">
        <v>535</v>
      </c>
      <c r="C9" s="499">
        <f>Цена!B8</f>
        <v>0</v>
      </c>
    </row>
    <row r="10" spans="1:3" s="71" customFormat="1" x14ac:dyDescent="0.2">
      <c r="A10" s="503" t="s">
        <v>554</v>
      </c>
      <c r="B10" s="504" t="s">
        <v>536</v>
      </c>
      <c r="C10" s="499">
        <f>Цена!B9</f>
        <v>8616</v>
      </c>
    </row>
    <row r="11" spans="1:3" s="71" customFormat="1" x14ac:dyDescent="0.2">
      <c r="A11" s="503" t="s">
        <v>91</v>
      </c>
      <c r="B11" s="504" t="s">
        <v>537</v>
      </c>
      <c r="C11" s="499">
        <f>Цена!E16</f>
        <v>8</v>
      </c>
    </row>
    <row r="12" spans="1:3" s="71" customFormat="1" x14ac:dyDescent="0.2">
      <c r="A12" s="503" t="s">
        <v>17</v>
      </c>
      <c r="B12" s="504" t="s">
        <v>538</v>
      </c>
      <c r="C12" s="499">
        <f>Цена!B16</f>
        <v>650</v>
      </c>
    </row>
    <row r="13" spans="1:3" s="71" customFormat="1" x14ac:dyDescent="0.2">
      <c r="A13" s="503" t="s">
        <v>18</v>
      </c>
      <c r="B13" s="504" t="s">
        <v>539</v>
      </c>
      <c r="C13" s="499">
        <f>Цена!C16</f>
        <v>600</v>
      </c>
    </row>
    <row r="14" spans="1:3" s="71" customFormat="1" x14ac:dyDescent="0.2">
      <c r="A14" s="503" t="s">
        <v>555</v>
      </c>
      <c r="B14" s="504" t="s">
        <v>540</v>
      </c>
      <c r="C14" s="499">
        <f>Цена!D16</f>
        <v>1200</v>
      </c>
    </row>
    <row r="15" spans="1:3" s="71" customFormat="1" x14ac:dyDescent="0.2">
      <c r="A15" s="503" t="s">
        <v>556</v>
      </c>
      <c r="B15" s="504" t="s">
        <v>541</v>
      </c>
      <c r="C15" s="499" t="str">
        <f>CONCATENATE("IP ",Цена!D25)</f>
        <v>IP 55</v>
      </c>
    </row>
    <row r="16" spans="1:3" s="71" customFormat="1" x14ac:dyDescent="0.2">
      <c r="A16" s="503" t="s">
        <v>557</v>
      </c>
      <c r="B16" s="504" t="s">
        <v>542</v>
      </c>
      <c r="C16" s="499" t="str">
        <f>Цена!D24</f>
        <v>AISI 201</v>
      </c>
    </row>
    <row r="17" spans="1:3" s="71" customFormat="1" x14ac:dyDescent="0.2">
      <c r="A17" s="503" t="s">
        <v>558</v>
      </c>
      <c r="B17" s="504" t="s">
        <v>543</v>
      </c>
      <c r="C17" s="499" t="str">
        <f>Цена!D26</f>
        <v>Да</v>
      </c>
    </row>
    <row r="18" spans="1:3" s="71" customFormat="1" x14ac:dyDescent="0.2">
      <c r="A18" s="503" t="s">
        <v>559</v>
      </c>
      <c r="B18" s="504" t="s">
        <v>544</v>
      </c>
      <c r="C18" s="499" t="str">
        <f>Цена!D27</f>
        <v>ModBus RTU</v>
      </c>
    </row>
    <row r="19" spans="1:3" s="71" customFormat="1" x14ac:dyDescent="0.2">
      <c r="A19" s="503" t="s">
        <v>560</v>
      </c>
      <c r="B19" s="504" t="s">
        <v>545</v>
      </c>
      <c r="C19" s="499">
        <f ca="1">Спецификация!B119</f>
        <v>149720</v>
      </c>
    </row>
    <row r="20" spans="1:3" s="71" customFormat="1" x14ac:dyDescent="0.2">
      <c r="A20" s="503" t="s">
        <v>561</v>
      </c>
      <c r="B20" s="504" t="s">
        <v>546</v>
      </c>
      <c r="C20" s="499">
        <f ca="1">Спецификация!B118</f>
        <v>418055</v>
      </c>
    </row>
    <row r="21" spans="1:3" s="71" customFormat="1" x14ac:dyDescent="0.2">
      <c r="A21" s="503" t="s">
        <v>562</v>
      </c>
      <c r="B21" s="504" t="s">
        <v>547</v>
      </c>
      <c r="C21" s="499">
        <f ca="1">Спецификация!C2</f>
        <v>390</v>
      </c>
    </row>
    <row r="22" spans="1:3" s="71" customFormat="1" x14ac:dyDescent="0.2">
      <c r="A22" s="503" t="s">
        <v>563</v>
      </c>
      <c r="B22" s="504" t="s">
        <v>548</v>
      </c>
      <c r="C22" s="508">
        <f ca="1">Спецификация!D2</f>
        <v>0.37</v>
      </c>
    </row>
    <row r="23" spans="1:3" s="71" customFormat="1" x14ac:dyDescent="0.2">
      <c r="A23" s="503" t="s">
        <v>564</v>
      </c>
      <c r="B23" s="504" t="s">
        <v>549</v>
      </c>
      <c r="C23" s="499">
        <f>Спецификация!C6</f>
        <v>190</v>
      </c>
    </row>
    <row r="24" spans="1:3" s="71" customFormat="1" x14ac:dyDescent="0.2">
      <c r="A24" s="503" t="s">
        <v>268</v>
      </c>
      <c r="B24" s="504" t="s">
        <v>550</v>
      </c>
      <c r="C24" s="499" t="str">
        <f>Цена!I4</f>
        <v>РТО 650.600.1200.8</v>
      </c>
    </row>
    <row r="25" spans="1:3" ht="25.5" x14ac:dyDescent="0.2">
      <c r="A25" s="503" t="s">
        <v>568</v>
      </c>
      <c r="B25" s="504" t="s">
        <v>567</v>
      </c>
      <c r="C25" s="499" t="str">
        <f ca="1">CONCATENATE(C24," (",C16,"; ",C22," кВт.; ",C15,"; ",IF(C17="Да","с ШУ и ВПУ","без ШУ"),")")</f>
        <v>РТО 650.600.1200.8 (AISI 201; 0,37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496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5</v>
      </c>
      <c r="F4">
        <f>E4+C4</f>
        <v>27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10</v>
      </c>
      <c r="F5">
        <f>E5+C5</f>
        <v>51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650.600.1200.8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650</v>
      </c>
      <c r="C16" s="65">
        <f>Цена!C16</f>
        <v>600</v>
      </c>
      <c r="D16" s="65">
        <f>Цена!D16</f>
        <v>1200</v>
      </c>
      <c r="E16" s="65">
        <f>Цена!E16</f>
        <v>8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234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252</v>
      </c>
      <c r="F21" s="327">
        <f ca="1">$F$23+OFFSET($AQ$56,MATCH($E$16,$AQ$57:$AQ$64,0),3,1,1)*(B21-$B$23)/100</f>
        <v>260</v>
      </c>
      <c r="G21" s="327">
        <f ca="1">$G$23+OFFSET($AQ$69,MATCH($E$16,$AQ$70:$AQ$77,0),3,1,1)*(B21-$B$23)/100</f>
        <v>270</v>
      </c>
      <c r="H21" s="327">
        <f ca="1">$H$24+OFFSET($AQ$80,MATCH($E$16,$AQ$81:$AQ$88,0),3,1,1)*(B21-$B$24)/100</f>
        <v>277</v>
      </c>
      <c r="I21" s="327">
        <f ca="1">$I$24+OFFSET($AQ$91,MATCH($E$16,$AQ$92:$AQ$99,0),3,1,1)*(B21-$B$24)/100</f>
        <v>284</v>
      </c>
      <c r="J21" s="328">
        <f ca="1">$J$25+OFFSET($AQ$102,MATCH($E$16,$AQ$103:$AQ$110,0),3,1,1)*(B21-$B$25)/100</f>
        <v>294</v>
      </c>
      <c r="K21" s="327">
        <f>K22-IF($E$16=6,14,IF($E$16=8,13,IF($E$16=10,13.5,IF($E$16=12,12.75,IF($E$16=14,12.25,IF($E$16=16,11.75,IF($E$16=20,11.75,IF($E$16=40,10,0))))))))</f>
        <v>430</v>
      </c>
      <c r="L21" s="327">
        <f>L22-IF($E$16=6,15.33,IF($E$16=8,14,IF($E$16=10,14.33,IF($E$16=12,14.33,IF($E$16=14,13.33,IF($E$16=16,12.67,IF($E$16=20,12.67,IF($E$16=40,10.67,0))))))))</f>
        <v>457</v>
      </c>
      <c r="M21" s="327">
        <f t="shared" ref="M21:M26" si="0">M22-IF($E$16=6,16.5,IF($E$16=8,15.5,IF($E$16=10,15.5,IF($E$16=12,15,IF($E$16=14,13.5,IF($E$16=16,13.5,IF($E$16=20,13.5,IF($E$16=40,11,0))))))))</f>
        <v>479</v>
      </c>
      <c r="N21" s="327">
        <f t="shared" ref="N21:N26" si="1">N22-($N$31-$N$30)</f>
        <v>505.38999999999987</v>
      </c>
      <c r="O21" s="327">
        <f t="shared" ref="O21:O27" si="2">O22-($O$31-$O$30)</f>
        <v>531.15999999999985</v>
      </c>
      <c r="P21" s="327">
        <f t="shared" ref="P21:P28" si="3">P22-($P$32-$P$31)</f>
        <v>533.92999999999984</v>
      </c>
      <c r="Q21" s="327">
        <f t="shared" ref="Q21:Q29" si="4">Q22-IF($E$16=6,21.25,IF($E$16=8,18.42,IF($E$16=10,18.83,IF($E$16=12,17.75,IF($E$16=14,16.67,IF($E$16=16,16,IF($E$16=20,16,IF($E$16=40,12.75,0))))))))</f>
        <v>565.80000000000041</v>
      </c>
      <c r="R21" s="327">
        <f t="shared" ref="R21:R29" si="5">R22-IF($E$16=6,22.36,IF($E$16=8,20.36,IF($E$16=10,20.82,IF($E$16=12,19.45,IF($E$16=14,18.27,IF($E$16=16,17.55,IF($E$16=20,17.36,IF($E$16=40,13.55,0))))))))</f>
        <v>581.03999999999985</v>
      </c>
      <c r="S21" s="327">
        <f t="shared" ref="S21:S29" si="6">S22-IF($E$16=6,23.1,IF($E$16=8,21.4,IF($E$16=10,21.8,IF($E$16=12,20.4,IF($E$16=14,19.3,IF($E$16=16,18.3,IF($E$16=20,18.3,IF($E$16=40,14,0))))))))</f>
        <v>603.20000000000027</v>
      </c>
      <c r="T21" s="327">
        <f t="shared" ref="T21:T29" si="7">T22-IF($E$16=6,24.89,IF($E$16=8,22.33,IF($E$16=10,22.89,IF($E$16=12,21.33,IF($E$16=14,20,IF($E$16=16,19.11,IF($E$16=20,19,IF($E$16=40,14.56,0))))))))</f>
        <v>627.70999999999947</v>
      </c>
      <c r="U21" s="327">
        <f t="shared" ref="U21:U29" si="8">U22-IF($E$16=6,25.88,IF($E$16=8,23.38,IF($E$16=10,24,IF($E$16=12,22.38,IF($E$16=14,21,IF($E$16=16,19.88,IF($E$16=20,19.75,IF($E$16=40,15,0))))))))</f>
        <v>649.68000000000006</v>
      </c>
      <c r="V21" s="327">
        <f t="shared" ref="V21:V29" si="9">V22-IF($E$16=6,27.29,IF($E$16=8,24.43,IF($E$16=10,25,IF($E$16=12,23.29,IF($E$16=14,21.71,IF($E$16=16,20.57,IF($E$16=20,20.71,IF($E$16=40,15.43,0))))))))</f>
        <v>671.55000000000075</v>
      </c>
      <c r="W21" s="327">
        <f t="shared" ref="W21:W29" si="10">W22-IF($E$16=6,28.33,IF($E$16=8,25.33,IF($E$16=10,26.17,IF($E$16=12,24.17,IF($E$16=14,22.67,IF($E$16=16,21.33,IF($E$16=20,21.33,IF($E$16=40,16,0))))))))</f>
        <v>696.71999999999969</v>
      </c>
      <c r="X21" s="327">
        <f t="shared" ref="X21:X29" si="11">X22-IF($E$16=6,29.4,IF($E$16=8,26.4,IF($E$16=10,27.2,IF($E$16=12,25.2,IF($E$16=14,23.6,IF($E$16=16,22.2,IF($E$16=20,22,IF($E$16=40,16.4,0))))))))</f>
        <v>718.19999999999982</v>
      </c>
      <c r="Y21" s="327">
        <f t="shared" ref="Y21:Y29" si="12">Y22-IF($E$16=6,31,IF($E$16=8,27.5,IF($E$16=10,28.25,IF($E$16=12,26.25,IF($E$16=14,24.25,IF($E$16=16,23,IF($E$16=20,23,IF($E$16=40,16.75,0))))))))</f>
        <v>743</v>
      </c>
      <c r="Z21" s="327">
        <f t="shared" ref="Z21:Z29" si="13">Z22-IF($E$16=6,35,IF($E$16=8,28.67,IF($E$16=10,29.33,IF($E$16=12,27,IF($E$16=14,25.33,IF($E$16=16,23.67,IF($E$16=20,23.67,IF($E$16=40,17.33,0))))))))</f>
        <v>762.26999999999975</v>
      </c>
      <c r="AA21" s="346">
        <f t="shared" ref="AA21:AA29" si="14">AA22-IF($E$16=6,33,IF($E$16=8,29.5,IF($E$16=10,30.5,IF($E$16=12,28,IF($E$16=14,26,IF($E$16=16,24.5,IF($E$16=20,24.5,IF($E$16=40,17.5,0))))))))</f>
        <v>789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242</v>
      </c>
      <c r="D22" s="313">
        <f ca="1">OFFSET($AQ$34,MATCH($E$16,$AQ$35:$AQ$42,0),1,1,1)</f>
        <v>251</v>
      </c>
      <c r="E22" s="313">
        <f ca="1">OFFSET($AQ$45,MATCH($E$16,$AQ$46:$AQ$53,0),1,1,1)</f>
        <v>260</v>
      </c>
      <c r="F22" s="317">
        <f ca="1">$F$23+OFFSET($AQ$56,MATCH($E$16,$AQ$57:$AQ$64,0),3,1,1)*(B22-$B$23)/100</f>
        <v>269</v>
      </c>
      <c r="G22" s="317">
        <f ca="1">$G$23+OFFSET($AQ$69,MATCH($E$16,$AQ$70:$AQ$77,0),3,1,1)*(B22-$B$23)/100</f>
        <v>279</v>
      </c>
      <c r="H22" s="317">
        <f ca="1">$H$24+OFFSET($AQ$80,MATCH($E$16,$AQ$81:$AQ$88,0),3,1,1)*(B22-$B$24)/100</f>
        <v>287</v>
      </c>
      <c r="I22" s="317">
        <f ca="1">$I$24+OFFSET($AQ$91,MATCH($E$16,$AQ$92:$AQ$99,0),3,1,1)*(B22-$B$24)/100</f>
        <v>295</v>
      </c>
      <c r="J22" s="322">
        <f ca="1">$J$25+OFFSET($AQ$102,MATCH($E$16,$AQ$103:$AQ$110,0),3,1,1)*(B22-$B$25)/100</f>
        <v>305</v>
      </c>
      <c r="K22" s="317">
        <f>K23-IF($E$16=6,14,IF($E$16=8,13,IF($E$16=10,13.5,IF($E$16=12,12.75,IF($E$16=14,12.25,IF($E$16=16,11.75,IF($E$16=20,11.75,IF($E$16=40,10,0))))))))</f>
        <v>443</v>
      </c>
      <c r="L22" s="317">
        <f>L23-IF($E$16=6,15.33,IF($E$16=8,14,IF($E$16=10,14.33,IF($E$16=12,14.33,IF($E$16=14,13.33,IF($E$16=16,12.67,IF($E$16=20,12.67,IF($E$16=40,10.67,0))))))))</f>
        <v>471</v>
      </c>
      <c r="M22" s="317">
        <f t="shared" si="0"/>
        <v>494.5</v>
      </c>
      <c r="N22" s="317">
        <f t="shared" si="1"/>
        <v>521.61999999999989</v>
      </c>
      <c r="O22" s="317">
        <f t="shared" si="2"/>
        <v>548.38999999999987</v>
      </c>
      <c r="P22" s="317">
        <f t="shared" si="3"/>
        <v>552.15999999999985</v>
      </c>
      <c r="Q22" s="317">
        <f t="shared" si="4"/>
        <v>584.22000000000037</v>
      </c>
      <c r="R22" s="317">
        <f t="shared" si="5"/>
        <v>601.39999999999986</v>
      </c>
      <c r="S22" s="317">
        <f t="shared" si="6"/>
        <v>624.60000000000025</v>
      </c>
      <c r="T22" s="317">
        <f t="shared" si="7"/>
        <v>650.03999999999951</v>
      </c>
      <c r="U22" s="317">
        <f t="shared" si="8"/>
        <v>673.06000000000006</v>
      </c>
      <c r="V22" s="317">
        <f t="shared" si="9"/>
        <v>695.9800000000007</v>
      </c>
      <c r="W22" s="317">
        <f t="shared" si="10"/>
        <v>722.04999999999973</v>
      </c>
      <c r="X22" s="317">
        <f t="shared" si="11"/>
        <v>744.5999999999998</v>
      </c>
      <c r="Y22" s="317">
        <f t="shared" si="12"/>
        <v>770.5</v>
      </c>
      <c r="Z22" s="317">
        <f t="shared" si="13"/>
        <v>790.93999999999971</v>
      </c>
      <c r="AA22" s="329">
        <f t="shared" si="14"/>
        <v>818.5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250</v>
      </c>
      <c r="D23" s="185">
        <f t="shared" ref="D23:D29" ca="1" si="16">$D$22+OFFSET($AQ$34,MATCH($E$16,$AQ$35:$AQ$42,0),3,1,1)*(B23-$B$22)/100</f>
        <v>258</v>
      </c>
      <c r="E23" s="185">
        <f t="shared" ref="E23:E29" ca="1" si="17">$E$22+OFFSET($AQ$45,MATCH($E$16,$AQ$46:$AQ$53,0),3,1,1)*(B23-$B$22)/100</f>
        <v>268</v>
      </c>
      <c r="F23" s="313">
        <f ca="1">OFFSET($AQ$56,MATCH($E$16,$AQ$57:$AQ$64,0),1,1,1)</f>
        <v>278</v>
      </c>
      <c r="G23" s="313">
        <f ca="1">OFFSET($AQ$69,MATCH($E$16,$AQ$70:$AQ$77,0),1,1,1)</f>
        <v>288</v>
      </c>
      <c r="H23" s="317">
        <f ca="1">$H$24+OFFSET($AQ$80,MATCH($E$16,$AQ$81:$AQ$88,0),3,1,1)*(B23-$B$24)/100</f>
        <v>297</v>
      </c>
      <c r="I23" s="317">
        <f ca="1">$I$24+OFFSET($AQ$91,MATCH($E$16,$AQ$92:$AQ$99,0),3,1,1)*(B23-$B$24)/100</f>
        <v>306</v>
      </c>
      <c r="J23" s="322">
        <f ca="1">$J$25+OFFSET($AQ$102,MATCH($E$16,$AQ$103:$AQ$110,0),3,1,1)*(B23-$B$25)/100</f>
        <v>316</v>
      </c>
      <c r="K23" s="317">
        <f>K24-IF($E$16=6,14,IF($E$16=8,13,IF($E$16=10,13.5,IF($E$16=12,12.75,IF($E$16=14,12.25,IF($E$16=16,11.75,IF($E$16=20,11.75,IF($E$16=40,10,0))))))))</f>
        <v>456</v>
      </c>
      <c r="L23" s="317">
        <f>L24-IF($E$16=6,15.33,IF($E$16=8,14,IF($E$16=10,14.33,IF($E$16=12,14.33,IF($E$16=14,13.33,IF($E$16=16,12.67,IF($E$16=20,12.67,IF($E$16=40,10.67,0))))))))</f>
        <v>485</v>
      </c>
      <c r="M23" s="317">
        <f t="shared" si="0"/>
        <v>510</v>
      </c>
      <c r="N23" s="317">
        <f t="shared" si="1"/>
        <v>537.84999999999991</v>
      </c>
      <c r="O23" s="317">
        <f t="shared" si="2"/>
        <v>565.61999999999989</v>
      </c>
      <c r="P23" s="317">
        <f t="shared" si="3"/>
        <v>570.38999999999987</v>
      </c>
      <c r="Q23" s="317">
        <f t="shared" si="4"/>
        <v>602.64000000000033</v>
      </c>
      <c r="R23" s="317">
        <f t="shared" si="5"/>
        <v>621.75999999999988</v>
      </c>
      <c r="S23" s="317">
        <f t="shared" si="6"/>
        <v>646.00000000000023</v>
      </c>
      <c r="T23" s="317">
        <f t="shared" si="7"/>
        <v>672.36999999999955</v>
      </c>
      <c r="U23" s="317">
        <f t="shared" si="8"/>
        <v>696.44</v>
      </c>
      <c r="V23" s="317">
        <f t="shared" si="9"/>
        <v>720.41000000000065</v>
      </c>
      <c r="W23" s="317">
        <f t="shared" si="10"/>
        <v>747.37999999999977</v>
      </c>
      <c r="X23" s="317">
        <f t="shared" si="11"/>
        <v>770.99999999999977</v>
      </c>
      <c r="Y23" s="317">
        <f t="shared" si="12"/>
        <v>798</v>
      </c>
      <c r="Z23" s="317">
        <f t="shared" si="13"/>
        <v>819.60999999999967</v>
      </c>
      <c r="AA23" s="329">
        <f t="shared" si="14"/>
        <v>848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258</v>
      </c>
      <c r="D24" s="185">
        <f t="shared" ca="1" si="16"/>
        <v>265</v>
      </c>
      <c r="E24" s="185">
        <f t="shared" ca="1" si="17"/>
        <v>276</v>
      </c>
      <c r="F24" s="185">
        <f t="shared" ref="F24:F29" ca="1" si="18">$F$23+OFFSET($AQ$56,MATCH($E$16,$AQ$57:$AQ$64,0),3,1,1)*(B24-$B$23)/100</f>
        <v>287</v>
      </c>
      <c r="G24" s="185">
        <f t="shared" ref="G24:G29" ca="1" si="19">$G$23+OFFSET($AQ$69,MATCH($E$16,$AQ$70:$AQ$77,0),3,1,1)*(B24-$B$23)/100</f>
        <v>297</v>
      </c>
      <c r="H24" s="313">
        <f ca="1">OFFSET($AQ$80,MATCH($E$16,$AQ$81:$AQ$88,0),1,1,1)</f>
        <v>307</v>
      </c>
      <c r="I24" s="313">
        <f ca="1">OFFSET($AQ$91,MATCH($E$16,$AQ$92:$AQ$99,0),1,1,1)</f>
        <v>317</v>
      </c>
      <c r="J24" s="322">
        <f ca="1">$J$25+OFFSET($AQ$102,MATCH($E$16,$AQ$103:$AQ$110,0),3,1,1)*(B24-$B$25)/100</f>
        <v>327</v>
      </c>
      <c r="K24" s="317">
        <f>K25-IF($E$16=6,14,IF($E$16=8,13,IF($E$16=10,13.5,IF($E$16=12,12.75,IF($E$16=14,12.25,IF($E$16=16,11.75,IF($E$16=20,11.75,IF($E$16=40,10,0))))))))</f>
        <v>469</v>
      </c>
      <c r="L24" s="317">
        <f>L25-IF($E$16=6,15.33,IF($E$16=8,14,IF($E$16=10,14.33,IF($E$16=12,14.33,IF($E$16=14,13.33,IF($E$16=16,12.67,IF($E$16=20,12.67,IF($E$16=40,10.67,0))))))))</f>
        <v>499</v>
      </c>
      <c r="M24" s="317">
        <f t="shared" si="0"/>
        <v>525.5</v>
      </c>
      <c r="N24" s="317">
        <f t="shared" si="1"/>
        <v>554.07999999999993</v>
      </c>
      <c r="O24" s="317">
        <f t="shared" si="2"/>
        <v>582.84999999999991</v>
      </c>
      <c r="P24" s="317">
        <f t="shared" si="3"/>
        <v>588.61999999999989</v>
      </c>
      <c r="Q24" s="317">
        <f t="shared" si="4"/>
        <v>621.06000000000029</v>
      </c>
      <c r="R24" s="317">
        <f t="shared" si="5"/>
        <v>642.11999999999989</v>
      </c>
      <c r="S24" s="317">
        <f t="shared" si="6"/>
        <v>667.4000000000002</v>
      </c>
      <c r="T24" s="317">
        <f t="shared" si="7"/>
        <v>694.69999999999959</v>
      </c>
      <c r="U24" s="317">
        <f t="shared" si="8"/>
        <v>719.82</v>
      </c>
      <c r="V24" s="317">
        <f t="shared" si="9"/>
        <v>744.8400000000006</v>
      </c>
      <c r="W24" s="317">
        <f t="shared" si="10"/>
        <v>772.70999999999981</v>
      </c>
      <c r="X24" s="317">
        <f t="shared" si="11"/>
        <v>797.39999999999975</v>
      </c>
      <c r="Y24" s="317">
        <f t="shared" si="12"/>
        <v>825.5</v>
      </c>
      <c r="Z24" s="317">
        <f t="shared" si="13"/>
        <v>848.27999999999963</v>
      </c>
      <c r="AA24" s="329">
        <f t="shared" si="14"/>
        <v>877.5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266</v>
      </c>
      <c r="D25" s="185">
        <f t="shared" ca="1" si="16"/>
        <v>272</v>
      </c>
      <c r="E25" s="185">
        <f t="shared" ca="1" si="17"/>
        <v>284</v>
      </c>
      <c r="F25" s="185">
        <f t="shared" ca="1" si="18"/>
        <v>296</v>
      </c>
      <c r="G25" s="185">
        <f t="shared" ca="1" si="19"/>
        <v>306</v>
      </c>
      <c r="H25" s="185">
        <f ca="1">$H$24+OFFSET($AQ$80,MATCH($E$16,$AQ$81:$AQ$88,0),3,1,1)*(B25-$B$24)/100</f>
        <v>317</v>
      </c>
      <c r="I25" s="185">
        <f ca="1">$I$24+OFFSET($AQ$91,MATCH($E$16,$AQ$92:$AQ$99,0),3,1,1)*(B25-$B$24)/100</f>
        <v>328</v>
      </c>
      <c r="J25" s="319">
        <f ca="1">OFFSET($AQ$102,MATCH($E$16,$AQ$103:$AQ$110,0),1,1,1)</f>
        <v>338</v>
      </c>
      <c r="K25" s="284">
        <f>IF($E$16=6,487,IF($E$16=8,482,IF($E$16=10,480,IF($E$16=12,474,IF($E$16=14,468,IF($E$16=16,464,IF($E$16=20,463,IF($E$16=40,443,0))))))))</f>
        <v>482</v>
      </c>
      <c r="L25" s="317">
        <f>L26-IF($E$16=6,15.33,IF($E$16=8,14,IF($E$16=10,14.33,IF($E$16=12,14.33,IF($E$16=14,13.33,IF($E$16=16,12.67,IF($E$16=20,12.67,IF($E$16=40,10.67,0))))))))</f>
        <v>513</v>
      </c>
      <c r="M25" s="317">
        <f t="shared" si="0"/>
        <v>541</v>
      </c>
      <c r="N25" s="317">
        <f t="shared" si="1"/>
        <v>570.30999999999995</v>
      </c>
      <c r="O25" s="317">
        <f t="shared" si="2"/>
        <v>600.07999999999993</v>
      </c>
      <c r="P25" s="317">
        <f t="shared" si="3"/>
        <v>606.84999999999991</v>
      </c>
      <c r="Q25" s="317">
        <f t="shared" si="4"/>
        <v>639.48000000000025</v>
      </c>
      <c r="R25" s="317">
        <f t="shared" si="5"/>
        <v>662.4799999999999</v>
      </c>
      <c r="S25" s="317">
        <f t="shared" si="6"/>
        <v>688.80000000000018</v>
      </c>
      <c r="T25" s="317">
        <f t="shared" si="7"/>
        <v>717.02999999999963</v>
      </c>
      <c r="U25" s="317">
        <f t="shared" si="8"/>
        <v>743.2</v>
      </c>
      <c r="V25" s="317">
        <f t="shared" si="9"/>
        <v>769.27000000000055</v>
      </c>
      <c r="W25" s="317">
        <f t="shared" si="10"/>
        <v>798.03999999999985</v>
      </c>
      <c r="X25" s="317">
        <f t="shared" si="11"/>
        <v>823.79999999999973</v>
      </c>
      <c r="Y25" s="317">
        <f t="shared" si="12"/>
        <v>853</v>
      </c>
      <c r="Z25" s="317">
        <f t="shared" si="13"/>
        <v>876.94999999999959</v>
      </c>
      <c r="AA25" s="329">
        <f t="shared" si="14"/>
        <v>907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274</v>
      </c>
      <c r="D26" s="185">
        <f t="shared" ca="1" si="16"/>
        <v>279</v>
      </c>
      <c r="E26" s="185">
        <f t="shared" ca="1" si="17"/>
        <v>292</v>
      </c>
      <c r="F26" s="185">
        <f t="shared" ca="1" si="18"/>
        <v>305</v>
      </c>
      <c r="G26" s="185">
        <f t="shared" ca="1" si="19"/>
        <v>315</v>
      </c>
      <c r="H26" s="185">
        <f ca="1">$H$24+OFFSET($AQ$80,MATCH($E$16,$AQ$81:$AQ$88,0),3,1,1)*(B26-$B$24)/100</f>
        <v>327</v>
      </c>
      <c r="I26" s="185">
        <f ca="1">$I$24+OFFSET($AQ$91,MATCH($E$16,$AQ$92:$AQ$99,0),3,1,1)*(B26-$B$24)/100</f>
        <v>339</v>
      </c>
      <c r="J26" s="320">
        <f ca="1">$J$25+OFFSET($AQ$102,MATCH($E$16,$AQ$103:$AQ$110,0),3,1,1)*(B26-$B$25)/100</f>
        <v>349</v>
      </c>
      <c r="K26" s="284">
        <f>K25+IF($E$16=6,14,IF($E$16=8,13,IF($E$16=10,13.5,IF($E$16=12,12.75,IF($E$16=14,12.25,IF($E$16=16,11.75,IF($E$16=20,11.75,IF($E$16=40,10,0))))))))</f>
        <v>495</v>
      </c>
      <c r="L26" s="185">
        <f>IF($E$16=6,532,IF($E$16=8,527,IF($E$16=10,525,IF($E$16=12,516,IF($E$16=14,509,IF($E$16=16,505,IF($E$16=20,500,IF($E$16=40,479,0))))))))</f>
        <v>527</v>
      </c>
      <c r="M26" s="317">
        <f t="shared" si="0"/>
        <v>556.5</v>
      </c>
      <c r="N26" s="317">
        <f t="shared" si="1"/>
        <v>586.54</v>
      </c>
      <c r="O26" s="317">
        <f t="shared" si="2"/>
        <v>617.30999999999995</v>
      </c>
      <c r="P26" s="317">
        <f t="shared" si="3"/>
        <v>625.07999999999993</v>
      </c>
      <c r="Q26" s="317">
        <f t="shared" si="4"/>
        <v>657.9000000000002</v>
      </c>
      <c r="R26" s="317">
        <f t="shared" si="5"/>
        <v>682.83999999999992</v>
      </c>
      <c r="S26" s="317">
        <f t="shared" si="6"/>
        <v>710.20000000000016</v>
      </c>
      <c r="T26" s="317">
        <f t="shared" si="7"/>
        <v>739.35999999999967</v>
      </c>
      <c r="U26" s="317">
        <f t="shared" si="8"/>
        <v>766.58</v>
      </c>
      <c r="V26" s="317">
        <f t="shared" si="9"/>
        <v>793.7000000000005</v>
      </c>
      <c r="W26" s="317">
        <f t="shared" si="10"/>
        <v>823.36999999999989</v>
      </c>
      <c r="X26" s="317">
        <f t="shared" si="11"/>
        <v>850.1999999999997</v>
      </c>
      <c r="Y26" s="317">
        <f t="shared" si="12"/>
        <v>880.5</v>
      </c>
      <c r="Z26" s="317">
        <f t="shared" si="13"/>
        <v>905.61999999999955</v>
      </c>
      <c r="AA26" s="329">
        <f t="shared" si="14"/>
        <v>936.5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282</v>
      </c>
      <c r="D27" s="185">
        <f t="shared" ca="1" si="16"/>
        <v>286</v>
      </c>
      <c r="E27" s="185">
        <f t="shared" ca="1" si="17"/>
        <v>300</v>
      </c>
      <c r="F27" s="185">
        <f t="shared" ca="1" si="18"/>
        <v>314</v>
      </c>
      <c r="G27" s="185">
        <f t="shared" ca="1" si="19"/>
        <v>324</v>
      </c>
      <c r="H27" s="185">
        <f ca="1">$H$24+OFFSET($AQ$80,MATCH($E$16,$AQ$81:$AQ$88,0),3,1,1)*(B27-$B$24)/100</f>
        <v>337</v>
      </c>
      <c r="I27" s="185">
        <f ca="1">$I$24+OFFSET($AQ$91,MATCH($E$16,$AQ$92:$AQ$99,0),3,1,1)*(B27-$B$24)/100</f>
        <v>350</v>
      </c>
      <c r="J27" s="320">
        <f ca="1">$J$25+OFFSET($AQ$102,MATCH($E$16,$AQ$103:$AQ$110,0),3,1,1)*(B27-$B$25)/100</f>
        <v>360</v>
      </c>
      <c r="K27" s="284">
        <f>K26+IF($E$16=6,14,IF($E$16=8,13,IF($E$16=10,13.5,IF($E$16=12,12.75,IF($E$16=14,12.25,IF($E$16=16,11.75,IF($E$16=20,11.75,IF($E$16=40,10,0))))))))</f>
        <v>508</v>
      </c>
      <c r="L27" s="185">
        <f>L26+IF($E$16=6,15.33,IF($E$16=8,14,IF($E$16=10,14.33,IF($E$16=12,14.33,IF($E$16=14,13.33,IF($E$16=16,12.67,IF($E$16=20,12.67,IF($E$16=40,10.67,0))))))))</f>
        <v>541</v>
      </c>
      <c r="M27" s="185">
        <f>IF($E$16=6,581,IF($E$16=8,572,IF($E$16=10,569,IF($E$16=12,559,IF($E$16=14,550,IF($E$16=16,545,IF($E$16=20,539,IF($E$16=40,510,0))))))))</f>
        <v>572</v>
      </c>
      <c r="N27" s="317">
        <f>N28-($N$31-$N$30)</f>
        <v>602.77</v>
      </c>
      <c r="O27" s="317">
        <f t="shared" si="2"/>
        <v>634.54</v>
      </c>
      <c r="P27" s="317">
        <f t="shared" si="3"/>
        <v>643.30999999999995</v>
      </c>
      <c r="Q27" s="317">
        <f t="shared" si="4"/>
        <v>676.32000000000016</v>
      </c>
      <c r="R27" s="317">
        <f t="shared" si="5"/>
        <v>703.19999999999993</v>
      </c>
      <c r="S27" s="317">
        <f t="shared" si="6"/>
        <v>731.60000000000014</v>
      </c>
      <c r="T27" s="317">
        <f t="shared" si="7"/>
        <v>761.68999999999971</v>
      </c>
      <c r="U27" s="317">
        <f t="shared" si="8"/>
        <v>789.96</v>
      </c>
      <c r="V27" s="317">
        <f t="shared" si="9"/>
        <v>818.13000000000045</v>
      </c>
      <c r="W27" s="317">
        <f t="shared" si="10"/>
        <v>848.69999999999993</v>
      </c>
      <c r="X27" s="317">
        <f t="shared" si="11"/>
        <v>876.59999999999968</v>
      </c>
      <c r="Y27" s="317">
        <f t="shared" si="12"/>
        <v>908</v>
      </c>
      <c r="Z27" s="317">
        <f t="shared" si="13"/>
        <v>934.28999999999951</v>
      </c>
      <c r="AA27" s="329">
        <f t="shared" si="14"/>
        <v>966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290</v>
      </c>
      <c r="D28" s="185">
        <f t="shared" ca="1" si="16"/>
        <v>293</v>
      </c>
      <c r="E28" s="185">
        <f t="shared" ca="1" si="17"/>
        <v>308</v>
      </c>
      <c r="F28" s="185">
        <f t="shared" ca="1" si="18"/>
        <v>323</v>
      </c>
      <c r="G28" s="185">
        <f t="shared" ca="1" si="19"/>
        <v>333</v>
      </c>
      <c r="H28" s="185">
        <f ca="1">$H$24+OFFSET($AQ$80,MATCH($E$16,$AQ$81:$AQ$88,0),3,1,1)*(B28-$B$24)/100</f>
        <v>347</v>
      </c>
      <c r="I28" s="185">
        <f ca="1">$I$24+OFFSET($AQ$91,MATCH($E$16,$AQ$92:$AQ$99,0),3,1,1)*(B28-$B$24)/100</f>
        <v>361</v>
      </c>
      <c r="J28" s="320">
        <f ca="1">$J$25+OFFSET($AQ$102,MATCH($E$16,$AQ$103:$AQ$110,0),3,1,1)*(B28-$B$25)/100</f>
        <v>371</v>
      </c>
      <c r="K28" s="284">
        <f>K27+IF($E$16=6,14,IF($E$16=8,13,IF($E$16=10,13.5,IF($E$16=12,12.75,IF($E$16=14,12.25,IF($E$16=16,11.75,IF($E$16=20,11.75,IF($E$16=40,10,0))))))))</f>
        <v>521</v>
      </c>
      <c r="L28" s="185">
        <f>L27+IF($E$16=6,15.33,IF($E$16=8,14,IF($E$16=10,14.33,IF($E$16=12,14.33,IF($E$16=14,13.33,IF($E$16=16,12.67,IF($E$16=20,12.67,IF($E$16=40,10.67,0))))))))</f>
        <v>555</v>
      </c>
      <c r="M28" s="185">
        <f>M27+IF($E$16=6,16.5,IF($E$16=8,15.5,IF($E$16=10,15.5,IF($E$16=12,15,IF($E$16=14,13.5,IF($E$16=16,13.5,IF($E$16=20,13.5,IF($E$16=40,11,0))))))))</f>
        <v>587.5</v>
      </c>
      <c r="N28" s="185">
        <f>IF($E$16=6,630,IF($E$16=8,619,IF($E$16=10,618,IF($E$16=12,605,IF($E$16=14,594,IF($E$16=16,586,IF($E$16=20,583,IF($E$16=40,548,0))))))))</f>
        <v>619</v>
      </c>
      <c r="O28" s="317">
        <f>O29-($O$31-$O$30)</f>
        <v>651.77</v>
      </c>
      <c r="P28" s="317">
        <f t="shared" si="3"/>
        <v>661.54</v>
      </c>
      <c r="Q28" s="317">
        <f t="shared" si="4"/>
        <v>694.74000000000012</v>
      </c>
      <c r="R28" s="317">
        <f t="shared" si="5"/>
        <v>723.56</v>
      </c>
      <c r="S28" s="317">
        <f t="shared" si="6"/>
        <v>753.00000000000011</v>
      </c>
      <c r="T28" s="317">
        <f t="shared" si="7"/>
        <v>784.01999999999975</v>
      </c>
      <c r="U28" s="317">
        <f t="shared" si="8"/>
        <v>813.34</v>
      </c>
      <c r="V28" s="317">
        <f t="shared" si="9"/>
        <v>842.5600000000004</v>
      </c>
      <c r="W28" s="317">
        <f t="shared" si="10"/>
        <v>874.03</v>
      </c>
      <c r="X28" s="317">
        <f t="shared" si="11"/>
        <v>902.99999999999966</v>
      </c>
      <c r="Y28" s="317">
        <f t="shared" si="12"/>
        <v>935.5</v>
      </c>
      <c r="Z28" s="317">
        <f t="shared" si="13"/>
        <v>962.95999999999947</v>
      </c>
      <c r="AA28" s="329">
        <f t="shared" si="14"/>
        <v>995.5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298</v>
      </c>
      <c r="D29" s="321">
        <f t="shared" ca="1" si="16"/>
        <v>300</v>
      </c>
      <c r="E29" s="321">
        <f t="shared" ca="1" si="17"/>
        <v>316</v>
      </c>
      <c r="F29" s="321">
        <f t="shared" ca="1" si="18"/>
        <v>332</v>
      </c>
      <c r="G29" s="321">
        <f t="shared" ca="1" si="19"/>
        <v>342</v>
      </c>
      <c r="H29" s="321">
        <f ca="1">$H$24+OFFSET($AQ$80,MATCH($E$16,$AQ$81:$AQ$88,0),3,1,1)*(B29-$B$24)/100</f>
        <v>357</v>
      </c>
      <c r="I29" s="321">
        <f ca="1">$I$24+OFFSET($AQ$91,MATCH($E$16,$AQ$92:$AQ$99,0),3,1,1)*(B29-$B$24)/100</f>
        <v>372</v>
      </c>
      <c r="J29" s="336">
        <f ca="1">$J$25+OFFSET($AQ$102,MATCH($E$16,$AQ$103:$AQ$110,0),3,1,1)*(B29-$B$25)/100</f>
        <v>382</v>
      </c>
      <c r="K29" s="337">
        <f>K28+IF($E$16=6,14,IF($E$16=8,13,IF($E$16=10,13.5,IF($E$16=12,12.75,IF($E$16=14,12.25,IF($E$16=16,11.75,IF($E$16=20,11.75,IF($E$16=40,10,0))))))))</f>
        <v>534</v>
      </c>
      <c r="L29" s="321">
        <f>L28+IF($E$16=6,15.33,IF($E$16=8,14,IF($E$16=10,14.33,IF($E$16=12,14.33,IF($E$16=14,13.33,IF($E$16=16,12.67,IF($E$16=20,12.67,IF($E$16=40,10.67,0))))))))</f>
        <v>569</v>
      </c>
      <c r="M29" s="321">
        <f>M28+IF($E$16=6,16.5,IF($E$16=8,15.5,IF($E$16=10,15.5,IF($E$16=12,15,IF($E$16=14,13.5,IF($E$16=16,13.5,IF($E$16=20,13.5,IF($E$16=40,11,0))))))))</f>
        <v>603</v>
      </c>
      <c r="N29" s="321">
        <f>IF($E$16=6,648,IF($E$16=8,636,IF($E$16=10,634,IF($E$16=12,620,IF($E$16=14,609,IF($E$16=16,601,IF($E$16=20,597,IF($E$16=40,560,0))))))))</f>
        <v>636</v>
      </c>
      <c r="O29" s="321">
        <f>IF($E$16=6,665,IF($E$16=8,669,IF($E$16=10,666,IF($E$16=12,652,IF($E$16=14,641,IF($E$16=16,630,IF($E$16=20,625,IF($E$16=40,584,0))))))))</f>
        <v>669</v>
      </c>
      <c r="P29" s="317">
        <f>P30-($P$32-$P$31)</f>
        <v>679.77</v>
      </c>
      <c r="Q29" s="317">
        <f t="shared" si="4"/>
        <v>713.16000000000008</v>
      </c>
      <c r="R29" s="317">
        <f t="shared" si="5"/>
        <v>743.92</v>
      </c>
      <c r="S29" s="317">
        <f t="shared" si="6"/>
        <v>774.40000000000009</v>
      </c>
      <c r="T29" s="317">
        <f t="shared" si="7"/>
        <v>806.3499999999998</v>
      </c>
      <c r="U29" s="317">
        <f t="shared" si="8"/>
        <v>836.72</v>
      </c>
      <c r="V29" s="317">
        <f t="shared" si="9"/>
        <v>866.99000000000035</v>
      </c>
      <c r="W29" s="317">
        <f t="shared" si="10"/>
        <v>899.36</v>
      </c>
      <c r="X29" s="317">
        <f t="shared" si="11"/>
        <v>929.39999999999964</v>
      </c>
      <c r="Y29" s="317">
        <f t="shared" si="12"/>
        <v>963</v>
      </c>
      <c r="Z29" s="317">
        <f t="shared" si="13"/>
        <v>991.62999999999943</v>
      </c>
      <c r="AA29" s="329">
        <f t="shared" si="14"/>
        <v>1025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306</v>
      </c>
      <c r="D30" s="315">
        <f ca="1">OFFSET($AQ$34,MATCH($E$16,$AQ$35:$AQ$42,0),2,1,1)</f>
        <v>301</v>
      </c>
      <c r="E30" s="314">
        <f ca="1">OFFSET($AQ$45,MATCH($E$16,$AQ$46:$AQ$53,0),2,1,1)</f>
        <v>314</v>
      </c>
      <c r="F30" s="314">
        <f ca="1">OFFSET($AQ$56,MATCH($E$16,$AQ$57:$AQ$64,0),2,1,1)</f>
        <v>333</v>
      </c>
      <c r="G30" s="314">
        <f ca="1">OFFSET($AQ$69,MATCH($E$16,$AQ$70:$AQ$77,0),2,1,1)</f>
        <v>346</v>
      </c>
      <c r="H30" s="314">
        <f ca="1">OFFSET($AQ$80,MATCH($E$16,$AQ$81:$AQ$88,0),2,1,1)</f>
        <v>357</v>
      </c>
      <c r="I30" s="314">
        <f ca="1">OFFSET($AQ$91,MATCH($E$16,$AQ$92:$AQ$99,0),2,1,1)</f>
        <v>369</v>
      </c>
      <c r="J30" s="314">
        <f ca="1">OFFSET($AQ$102,MATCH($E$16,$AQ$103:$AQ$110,0),2,1,1)</f>
        <v>381</v>
      </c>
      <c r="K30" s="316">
        <f>IF($E$16=6,544,IF($E$16=8,536,IF($E$16=10,535,IF($E$16=12,528,IF($E$16=14,520,IF($E$16=16,515,IF($E$16=20,514,IF($E$16=40,490,0))))))))</f>
        <v>536</v>
      </c>
      <c r="L30" s="183">
        <f>IF($E$16=6,577,IF($E$16=8,570,IF($E$16=10,569,IF($E$16=12,559,IF($E$16=14,551,IF($E$16=16,546,IF($E$16=20,541,IF($E$16=40,517,0))))))))</f>
        <v>570</v>
      </c>
      <c r="M30" s="183">
        <f>IF($E$16=6,612,IF($E$16=8,602,IF($E$16=10,599,IF($E$16=12,589,IF($E$16=14,579,IF($E$16=16,574,IF($E$16=20,569,IF($E$16=40,538,0))))))))</f>
        <v>602</v>
      </c>
      <c r="N30" s="183">
        <f>IF($E$16=6,645,IF($E$16=8,634,IF($E$16=10,632,IF($E$16=12,620,IF($E$16=14,610,IF($E$16=16,602,IF($E$16=20,599,IF($E$16=40,565,0))))))))</f>
        <v>634</v>
      </c>
      <c r="O30" s="183">
        <f>IF($E$16=6,677,IF($E$16=8,666,IF($E$16=10,663,IF($E$16=12,650,IF($E$16=14,640,IF($E$16=16,630,IF($E$16=20,626,IF($E$16=40,589,0))))))))</f>
        <v>666</v>
      </c>
      <c r="P30" s="183">
        <f>IF($E$16=6,712,IF($E$16=8,698,IF($E$16=10,696,IF($E$16=12,681,IF($E$16=14,668,IF($E$16=16,658,IF($E$16=20,656,IF($E$16=40,614,0))))))))</f>
        <v>698</v>
      </c>
      <c r="Q30" s="323">
        <f>Q31-IF($E$16=6,21.25,IF($E$16=8,18.42,IF($E$16=10,18.83,IF($E$16=12,17.75,IF($E$16=14,16.67,IF($E$16=16,16,IF($E$16=20,16,IF($E$16=40,12.75,0))))))))</f>
        <v>731.58</v>
      </c>
      <c r="R30" s="323">
        <f>R31-IF($E$16=6,22.36,IF($E$16=8,20.36,IF($E$16=10,20.82,IF($E$16=12,19.45,IF($E$16=14,18.27,IF($E$16=16,17.55,IF($E$16=20,17.36,IF($E$16=40,13.55,0))))))))</f>
        <v>764.28</v>
      </c>
      <c r="S30" s="323">
        <f>S31-IF($E$16=6,23.1,IF($E$16=8,21.4,IF($E$16=10,21.8,IF($E$16=12,20.4,IF($E$16=14,19.3,IF($E$16=16,18.3,IF($E$16=20,18.3,IF($E$16=40,14,0))))))))</f>
        <v>795.80000000000007</v>
      </c>
      <c r="T30" s="323">
        <f>T31-IF($E$16=6,24.89,IF($E$16=8,22.33,IF($E$16=10,22.89,IF($E$16=12,21.33,IF($E$16=14,20,IF($E$16=16,19.11,IF($E$16=20,19,IF($E$16=40,14.56,0))))))))</f>
        <v>828.67999999999984</v>
      </c>
      <c r="U30" s="323">
        <f>U31-IF($E$16=6,25.88,IF($E$16=8,23.38,IF($E$16=10,24,IF($E$16=12,22.38,IF($E$16=14,21,IF($E$16=16,19.88,IF($E$16=20,19.75,IF($E$16=40,15,0))))))))</f>
        <v>860.1</v>
      </c>
      <c r="V30" s="323">
        <f t="shared" ref="V30:V35" si="20">V31-IF($E$16=6,27.29,IF($E$16=8,24.43,IF($E$16=10,25,IF($E$16=12,23.29,IF($E$16=14,21.71,IF($E$16=16,20.57,IF($E$16=20,20.71,IF($E$16=40,15.43,0))))))))</f>
        <v>891.4200000000003</v>
      </c>
      <c r="W30" s="323">
        <f t="shared" ref="W30:W35" si="21">W31-IF($E$16=6,28.33,IF($E$16=8,25.33,IF($E$16=10,26.17,IF($E$16=12,24.17,IF($E$16=14,22.67,IF($E$16=16,21.33,IF($E$16=20,21.33,IF($E$16=40,16,0))))))))</f>
        <v>924.69</v>
      </c>
      <c r="X30" s="323">
        <f t="shared" ref="X30:X36" si="22">X31-IF($E$16=6,29.4,IF($E$16=8,26.4,IF($E$16=10,27.2,IF($E$16=12,25.2,IF($E$16=14,23.6,IF($E$16=16,22.2,IF($E$16=20,22,IF($E$16=40,16.4,0))))))))</f>
        <v>955.79999999999961</v>
      </c>
      <c r="Y30" s="323">
        <f t="shared" ref="Y30:Y37" si="23">Y31-IF($E$16=6,31,IF($E$16=8,27.5,IF($E$16=10,28.25,IF($E$16=12,26.25,IF($E$16=14,24.25,IF($E$16=16,23,IF($E$16=20,23,IF($E$16=40,16.75,0))))))))</f>
        <v>990.5</v>
      </c>
      <c r="Z30" s="323">
        <f t="shared" ref="Z30:Z38" si="24">Z31-IF($E$16=6,35,IF($E$16=8,28.67,IF($E$16=10,29.33,IF($E$16=12,27,IF($E$16=14,25.33,IF($E$16=16,23.67,IF($E$16=20,23.67,IF($E$16=40,17.33,0))))))))</f>
        <v>1020.2999999999994</v>
      </c>
      <c r="AA30" s="338">
        <f t="shared" ref="AA30:AA39" si="25">AA31-IF($E$16=6,33,IF($E$16=8,29.5,IF($E$16=10,30.5,IF($E$16=12,28,IF($E$16=14,26,IF($E$16=16,24.5,IF($E$16=20,24.5,IF($E$16=40,17.5,0))))))))</f>
        <v>1054.5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314</v>
      </c>
      <c r="D31" s="316">
        <f ca="1">$D$30+OFFSET($AQ$34,MATCH($E$16,$AQ$35:$AQ$42,0),3,1,1)*(B31-$B$30)/100</f>
        <v>308</v>
      </c>
      <c r="E31" s="184">
        <f t="shared" ref="E31:E37" ca="1" si="27">$E$30+OFFSET($AQ$45,MATCH($E$16,$AQ$46:$AQ$53,0),3,1,1)*(B31-$B$30)/100</f>
        <v>322</v>
      </c>
      <c r="F31" s="184">
        <f ca="1">$F$30+OFFSET($AQ$56,MATCH($E$16,$AQ$57:$AQ$64,0),3,1,1)*(B31-$B$30)/100</f>
        <v>342</v>
      </c>
      <c r="G31" s="184">
        <f t="shared" ref="G31:G50" ca="1" si="28">$G$30+OFFSET($AQ$69,MATCH($E$16,$AQ$70:$AQ$77,0),3,1,1)*(B31-$B$30)/100</f>
        <v>355</v>
      </c>
      <c r="H31" s="184">
        <f t="shared" ref="H31:H50" ca="1" si="29">$H$30+OFFSET($AQ$80,MATCH($E$16,$AQ$81:$AQ$88,0),3,1,1)*(B31-$B$30)/100</f>
        <v>367</v>
      </c>
      <c r="I31" s="184">
        <f t="shared" ref="I31:I50" ca="1" si="30">$I$30+OFFSET($AQ$91,MATCH($E$16,$AQ$92:$AQ$99,0),3,1,1)*(B31-$B$30)/100</f>
        <v>380</v>
      </c>
      <c r="J31" s="183">
        <f t="shared" ref="J31:J50" ca="1" si="31">$J$30+OFFSET($AQ$102,MATCH($E$16,$AQ$103:$AQ$110,0),3,1,1)*(B31-$B$30)/100</f>
        <v>392</v>
      </c>
      <c r="K31" s="286">
        <f>K30+IF($E$16=6,14.09,IF($E$16=8,13.09,IF($E$16=10,13.36,IF($E$16=12,12.73,IF($E$16=14,12.18,IF($E$16=16,11.82,IF($E$16=20,11.91,IF($E$16=40,9.91,0))))))))</f>
        <v>549.09</v>
      </c>
      <c r="L31" s="184">
        <f>L30+IF($E$16=6,15.23,IF($E$16=8,14.23,IF($E$16=10,14.46,IF($E$16=12,13.69,IF($E$16=14,13.15,IF($E$16=16,12.77,IF($E$16=20,12.62,IF($E$16=40,10.69,0))))))))</f>
        <v>584.23</v>
      </c>
      <c r="M31" s="184">
        <f>M30+IF($E$16=6,16.62,IF($E$16=8,15.23,IF($E$16=10,15.46,IF($E$16=12,14.69,IF($E$16=14,13.92,IF($E$16=16,13.54,IF($E$16=20,13.23,IF($E$16=40,10.92,0))))))))</f>
        <v>617.23</v>
      </c>
      <c r="N31" s="184">
        <f>N30+IF($E$16=6,17.62,IF($E$16=8,16.23,IF($E$16=10,16.62,IF($E$16=12,15.62,IF($E$16=14,14.85,IF($E$16=16,14.31,IF($E$16=20,14.23,IF($E$16=40,11.69,0))))))))</f>
        <v>650.23</v>
      </c>
      <c r="O31" s="184">
        <f>O30+IF($E$16=6,17.5408,IF($E$16=8,17.23,IF($E$16=10,17.54,IF($E$16=12,16.62,IF($E$16=14,15.85,IF($E$16=16,15.08,IF($E$16=20,14.92,IF($E$16=40,12.15,0))))))))</f>
        <v>683.23</v>
      </c>
      <c r="P31" s="184">
        <f>P30+IF($E$16=6,20.08,IF($E$16=8,18.23,IF($E$16=10,18.69,IF($E$16=12,17.54,IF($E$16=14,16.62,IF($E$16=16,15.85,IF($E$16=20,15.92,IF($E$16=40,12.54,0))))))))</f>
        <v>716.23</v>
      </c>
      <c r="Q31" s="183">
        <f>IF($E$16=6,766,IF($E$16=8,750,IF($E$16=10,746,IF($E$16=12,730,IF($E$16=14,714,IF($E$16=16,703,IF($E$16=20,700,IF($E$16=40,651,0))))))))</f>
        <v>750</v>
      </c>
      <c r="R31" s="317">
        <f>R32-IF($E$16=6,22.36,IF($E$16=8,20.36,IF($E$16=10,20.82,IF($E$16=12,19.45,IF($E$16=14,18.27,IF($E$16=16,17.55,IF($E$16=20,17.36,IF($E$16=40,13.55,0))))))))</f>
        <v>784.64</v>
      </c>
      <c r="S31" s="317">
        <f>S32-IF($E$16=6,23.1,IF($E$16=8,21.4,IF($E$16=10,21.8,IF($E$16=12,20.4,IF($E$16=14,19.3,IF($E$16=16,18.3,IF($E$16=20,18.3,IF($E$16=40,14,0))))))))</f>
        <v>817.2</v>
      </c>
      <c r="T31" s="317">
        <f>T32-IF($E$16=6,24.89,IF($E$16=8,22.33,IF($E$16=10,22.89,IF($E$16=12,21.33,IF($E$16=14,20,IF($E$16=16,19.11,IF($E$16=20,19,IF($E$16=40,14.56,0))))))))</f>
        <v>851.00999999999988</v>
      </c>
      <c r="U31" s="317">
        <f>U32-IF($E$16=6,25.88,IF($E$16=8,23.38,IF($E$16=10,24,IF($E$16=12,22.38,IF($E$16=14,21,IF($E$16=16,19.88,IF($E$16=20,19.75,IF($E$16=40,15,0))))))))</f>
        <v>883.48</v>
      </c>
      <c r="V31" s="317">
        <f t="shared" si="20"/>
        <v>915.85000000000025</v>
      </c>
      <c r="W31" s="317">
        <f t="shared" si="21"/>
        <v>950.0200000000001</v>
      </c>
      <c r="X31" s="317">
        <f t="shared" si="22"/>
        <v>982.19999999999959</v>
      </c>
      <c r="Y31" s="317">
        <f t="shared" si="23"/>
        <v>1018</v>
      </c>
      <c r="Z31" s="317">
        <f t="shared" si="24"/>
        <v>1048.9699999999993</v>
      </c>
      <c r="AA31" s="329">
        <f t="shared" si="25"/>
        <v>1084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322</v>
      </c>
      <c r="D32" s="316">
        <f t="shared" ref="D32:D50" ca="1" si="32">$D$30+OFFSET($AQ$34,MATCH($E$16,$AQ$35:$AQ$42,0),3,1,1)*(B32-$B$30)/100</f>
        <v>315</v>
      </c>
      <c r="E32" s="184">
        <f t="shared" ca="1" si="27"/>
        <v>330</v>
      </c>
      <c r="F32" s="184">
        <f t="shared" ref="F32:F50" ca="1" si="33">$F$30+OFFSET($AQ$56,MATCH($E$16,$AQ$57:$AQ$64,0),3,1,1)*(B32-$B$30)/100</f>
        <v>351</v>
      </c>
      <c r="G32" s="184">
        <f t="shared" ca="1" si="28"/>
        <v>364</v>
      </c>
      <c r="H32" s="184">
        <f t="shared" ca="1" si="29"/>
        <v>377</v>
      </c>
      <c r="I32" s="184">
        <f t="shared" ca="1" si="30"/>
        <v>391</v>
      </c>
      <c r="J32" s="183">
        <f t="shared" ca="1" si="31"/>
        <v>403</v>
      </c>
      <c r="K32" s="286">
        <f t="shared" ref="K32:K50" si="34">K31+IF($E$16=6,14.09,IF($E$16=8,13.09,IF($E$16=10,13.36,IF($E$16=12,12.73,IF($E$16=14,12.18,IF($E$16=16,11.82,IF($E$16=20,11.91,IF($E$16=40,9.91,0))))))))</f>
        <v>562.18000000000006</v>
      </c>
      <c r="L32" s="184">
        <f t="shared" ref="L32:L50" si="35">L31+IF($E$16=6,15.23,IF($E$16=8,14.23,IF($E$16=10,14.46,IF($E$16=12,13.69,IF($E$16=14,13.15,IF($E$16=16,12.77,IF($E$16=20,12.62,IF($E$16=40,10.69,0))))))))</f>
        <v>598.46</v>
      </c>
      <c r="M32" s="184">
        <f t="shared" ref="M32:M50" si="36">M31+IF($E$16=6,16.62,IF($E$16=8,15.23,IF($E$16=10,15.46,IF($E$16=12,14.69,IF($E$16=14,13.92,IF($E$16=16,13.54,IF($E$16=20,13.23,IF($E$16=40,10.92,0))))))))</f>
        <v>632.46</v>
      </c>
      <c r="N32" s="184">
        <f t="shared" ref="N32:N50" si="37">N31+IF($E$16=6,17.62,IF($E$16=8,16.23,IF($E$16=10,16.62,IF($E$16=12,15.62,IF($E$16=14,14.85,IF($E$16=16,14.31,IF($E$16=20,14.23,IF($E$16=40,11.69,0))))))))</f>
        <v>666.46</v>
      </c>
      <c r="O32" s="184">
        <f t="shared" ref="O32:O50" si="38">O31+IF($E$16=6,17.5408,IF($E$16=8,17.23,IF($E$16=10,17.54,IF($E$16=12,16.62,IF($E$16=14,15.85,IF($E$16=16,15.08,IF($E$16=20,14.92,IF($E$16=40,12.15,0))))))))</f>
        <v>700.46</v>
      </c>
      <c r="P32" s="184">
        <f t="shared" ref="P32:P50" si="39">P31+IF($E$16=6,20.08,IF($E$16=8,18.23,IF($E$16=10,18.69,IF($E$16=12,17.54,IF($E$16=14,16.62,IF($E$16=16,15.85,IF($E$16=20,15.92,IF($E$16=40,12.54,0))))))))</f>
        <v>734.46</v>
      </c>
      <c r="Q32" s="184">
        <f>Q31+IF($E$16=6,21.25,IF($E$16=8,18.42,IF($E$16=10,18.83,IF($E$16=12,17.75,IF($E$16=14,16.67,IF($E$16=16,16,IF($E$16=20,16,IF($E$16=40,12.75,0))))))))</f>
        <v>768.42</v>
      </c>
      <c r="R32" s="183">
        <f>IF($E$16=6,823,IF($E$16=8,805,IF($E$16=10,801,IF($E$16=12,781,IF($E$16=14,764,IF($E$16=16,752,IF($E$16=20,745,IF($E$16=40,689,0))))))))</f>
        <v>805</v>
      </c>
      <c r="S32" s="317">
        <f>S33-IF($E$16=6,23.1,IF($E$16=8,21.4,IF($E$16=10,21.8,IF($E$16=12,20.4,IF($E$16=14,19.3,IF($E$16=16,18.3,IF($E$16=20,18.3,IF($E$16=40,14,0))))))))</f>
        <v>838.6</v>
      </c>
      <c r="T32" s="317">
        <f>T33-IF($E$16=6,24.89,IF($E$16=8,22.33,IF($E$16=10,22.89,IF($E$16=12,21.33,IF($E$16=14,20,IF($E$16=16,19.11,IF($E$16=20,19,IF($E$16=40,14.56,0))))))))</f>
        <v>873.33999999999992</v>
      </c>
      <c r="U32" s="317">
        <f>U33-IF($E$16=6,25.88,IF($E$16=8,23.38,IF($E$16=10,24,IF($E$16=12,22.38,IF($E$16=14,21,IF($E$16=16,19.88,IF($E$16=20,19.75,IF($E$16=40,15,0))))))))</f>
        <v>906.86</v>
      </c>
      <c r="V32" s="317">
        <f t="shared" si="20"/>
        <v>940.2800000000002</v>
      </c>
      <c r="W32" s="317">
        <f t="shared" si="21"/>
        <v>975.35000000000014</v>
      </c>
      <c r="X32" s="317">
        <f t="shared" si="22"/>
        <v>1008.5999999999996</v>
      </c>
      <c r="Y32" s="317">
        <f t="shared" si="23"/>
        <v>1045.5</v>
      </c>
      <c r="Z32" s="317">
        <f t="shared" si="24"/>
        <v>1077.6399999999994</v>
      </c>
      <c r="AA32" s="329">
        <f t="shared" si="25"/>
        <v>1113.5</v>
      </c>
    </row>
    <row r="33" spans="1:52" x14ac:dyDescent="0.2">
      <c r="A33" s="513"/>
      <c r="B33" s="7">
        <v>1600</v>
      </c>
      <c r="C33" s="350">
        <f t="shared" ca="1" si="26"/>
        <v>330</v>
      </c>
      <c r="D33" s="316">
        <f t="shared" ca="1" si="32"/>
        <v>322</v>
      </c>
      <c r="E33" s="184">
        <f t="shared" ca="1" si="27"/>
        <v>338</v>
      </c>
      <c r="F33" s="184">
        <f t="shared" ca="1" si="33"/>
        <v>360</v>
      </c>
      <c r="G33" s="184">
        <f t="shared" ca="1" si="28"/>
        <v>373</v>
      </c>
      <c r="H33" s="184">
        <f t="shared" ca="1" si="29"/>
        <v>387</v>
      </c>
      <c r="I33" s="184">
        <f t="shared" ca="1" si="30"/>
        <v>402</v>
      </c>
      <c r="J33" s="183">
        <f t="shared" ca="1" si="31"/>
        <v>414</v>
      </c>
      <c r="K33" s="286">
        <f t="shared" si="34"/>
        <v>575.2700000000001</v>
      </c>
      <c r="L33" s="184">
        <f t="shared" si="35"/>
        <v>612.69000000000005</v>
      </c>
      <c r="M33" s="184">
        <f t="shared" si="36"/>
        <v>647.69000000000005</v>
      </c>
      <c r="N33" s="184">
        <f t="shared" si="37"/>
        <v>682.69</v>
      </c>
      <c r="O33" s="184">
        <f t="shared" si="38"/>
        <v>717.69</v>
      </c>
      <c r="P33" s="184">
        <f t="shared" si="39"/>
        <v>752.69</v>
      </c>
      <c r="Q33" s="184">
        <f t="shared" ref="Q33:Q50" si="40">Q32+IF($E$16=6,21.25,IF($E$16=8,18.42,IF($E$16=10,18.83,IF($E$16=12,17.75,IF($E$16=14,16.67,IF($E$16=16,16,IF($E$16=20,16,IF($E$16=40,12.75,0))))))))</f>
        <v>786.83999999999992</v>
      </c>
      <c r="R33" s="184">
        <f>R32+IF($E$16=6,22.36,IF($E$16=8,20.36,IF($E$16=10,20.82,IF($E$16=12,19.45,IF($E$16=14,18.27,IF($E$16=16,17.55,IF($E$16=20,17.36,IF($E$16=40,13.55,0))))))))</f>
        <v>825.36</v>
      </c>
      <c r="S33" s="183">
        <f>IF($E$16=6,889,IF($E$16=8,860,IF($E$16=10,855,IF($E$16=12,834,IF($E$16=14,815,IF($E$16=16,800,IF($E$16=20,795,IF($E$16=40,728,0))))))))</f>
        <v>860</v>
      </c>
      <c r="T33" s="317">
        <f>T34-IF($E$16=6,24.89,IF($E$16=8,22.33,IF($E$16=10,22.89,IF($E$16=12,21.33,IF($E$16=14,20,IF($E$16=16,19.11,IF($E$16=20,19,IF($E$16=40,14.56,0))))))))</f>
        <v>895.67</v>
      </c>
      <c r="U33" s="317">
        <f>U34-IF($E$16=6,25.88,IF($E$16=8,23.38,IF($E$16=10,24,IF($E$16=12,22.38,IF($E$16=14,21,IF($E$16=16,19.88,IF($E$16=20,19.75,IF($E$16=40,15,0))))))))</f>
        <v>930.24</v>
      </c>
      <c r="V33" s="317">
        <f t="shared" si="20"/>
        <v>964.71000000000015</v>
      </c>
      <c r="W33" s="317">
        <f t="shared" si="21"/>
        <v>1000.6800000000002</v>
      </c>
      <c r="X33" s="317">
        <f t="shared" si="22"/>
        <v>1034.9999999999995</v>
      </c>
      <c r="Y33" s="317">
        <f t="shared" si="23"/>
        <v>1073</v>
      </c>
      <c r="Z33" s="317">
        <f t="shared" si="24"/>
        <v>1106.3099999999995</v>
      </c>
      <c r="AA33" s="329">
        <f t="shared" si="25"/>
        <v>1143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338</v>
      </c>
      <c r="D34" s="317">
        <f t="shared" ca="1" si="32"/>
        <v>329</v>
      </c>
      <c r="E34" s="184">
        <f t="shared" ca="1" si="27"/>
        <v>346</v>
      </c>
      <c r="F34" s="184">
        <f t="shared" ca="1" si="33"/>
        <v>369</v>
      </c>
      <c r="G34" s="184">
        <f t="shared" ca="1" si="28"/>
        <v>382</v>
      </c>
      <c r="H34" s="184">
        <f t="shared" ca="1" si="29"/>
        <v>397</v>
      </c>
      <c r="I34" s="184">
        <f t="shared" ca="1" si="30"/>
        <v>413</v>
      </c>
      <c r="J34" s="183">
        <f t="shared" ca="1" si="31"/>
        <v>425</v>
      </c>
      <c r="K34" s="286">
        <f t="shared" si="34"/>
        <v>588.36000000000013</v>
      </c>
      <c r="L34" s="184">
        <f t="shared" si="35"/>
        <v>626.92000000000007</v>
      </c>
      <c r="M34" s="184">
        <f t="shared" si="36"/>
        <v>662.92000000000007</v>
      </c>
      <c r="N34" s="184">
        <f t="shared" si="37"/>
        <v>698.92000000000007</v>
      </c>
      <c r="O34" s="184">
        <f t="shared" si="38"/>
        <v>734.92000000000007</v>
      </c>
      <c r="P34" s="184">
        <f t="shared" si="39"/>
        <v>770.92000000000007</v>
      </c>
      <c r="Q34" s="184">
        <f t="shared" si="40"/>
        <v>805.25999999999988</v>
      </c>
      <c r="R34" s="184">
        <f t="shared" ref="R34:R50" si="41">R33+IF($E$16=6,22.36,IF($E$16=8,20.36,IF($E$16=10,20.82,IF($E$16=12,19.45,IF($E$16=14,18.27,IF($E$16=16,17.55,IF($E$16=20,17.36,IF($E$16=40,13.55,0))))))))</f>
        <v>845.72</v>
      </c>
      <c r="S34" s="183">
        <f>S33+IF($E$16=6,23.1,IF($E$16=8,21.4,IF($E$16=10,21.8,IF($E$16=12,20.4,IF($E$16=14,19.3,IF($E$16=16,18.3,IF($E$16=20,18.3,IF($E$16=40,14,0))))))))</f>
        <v>881.4</v>
      </c>
      <c r="T34" s="183">
        <f>IF($E$16=6,944,IF($E$16=8,918,IF($E$16=10,915,IF($E$16=12,889,IF($E$16=14,866,IF($E$16=16,849,IF($E$16=20,844,IF($E$16=40,768,0))))))))</f>
        <v>918</v>
      </c>
      <c r="U34" s="317">
        <f>U35-IF($E$16=6,25.88,IF($E$16=8,23.38,IF($E$16=10,24,IF($E$16=12,22.38,IF($E$16=14,21,IF($E$16=16,19.88,IF($E$16=20,19.75,IF($E$16=40,15,0))))))))</f>
        <v>953.62</v>
      </c>
      <c r="V34" s="317">
        <f t="shared" si="20"/>
        <v>989.1400000000001</v>
      </c>
      <c r="W34" s="317">
        <f t="shared" si="21"/>
        <v>1026.0100000000002</v>
      </c>
      <c r="X34" s="317">
        <f t="shared" si="22"/>
        <v>1061.3999999999996</v>
      </c>
      <c r="Y34" s="317">
        <f t="shared" si="23"/>
        <v>1100.5</v>
      </c>
      <c r="Z34" s="317">
        <f t="shared" si="24"/>
        <v>1134.9799999999996</v>
      </c>
      <c r="AA34" s="329">
        <f t="shared" si="25"/>
        <v>1172.5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346</v>
      </c>
      <c r="D35" s="317">
        <f t="shared" ca="1" si="32"/>
        <v>336</v>
      </c>
      <c r="E35" s="184">
        <f t="shared" ca="1" si="27"/>
        <v>354</v>
      </c>
      <c r="F35" s="184">
        <f t="shared" ca="1" si="33"/>
        <v>378</v>
      </c>
      <c r="G35" s="184">
        <f t="shared" ca="1" si="28"/>
        <v>391</v>
      </c>
      <c r="H35" s="184">
        <f t="shared" ca="1" si="29"/>
        <v>407</v>
      </c>
      <c r="I35" s="184">
        <f t="shared" ca="1" si="30"/>
        <v>424</v>
      </c>
      <c r="J35" s="183">
        <f t="shared" ca="1" si="31"/>
        <v>436</v>
      </c>
      <c r="K35" s="286">
        <f t="shared" si="34"/>
        <v>601.45000000000016</v>
      </c>
      <c r="L35" s="184">
        <f t="shared" si="35"/>
        <v>641.15000000000009</v>
      </c>
      <c r="M35" s="184">
        <f t="shared" si="36"/>
        <v>678.15000000000009</v>
      </c>
      <c r="N35" s="184">
        <f t="shared" si="37"/>
        <v>715.15000000000009</v>
      </c>
      <c r="O35" s="184">
        <f t="shared" si="38"/>
        <v>752.15000000000009</v>
      </c>
      <c r="P35" s="184">
        <f t="shared" si="39"/>
        <v>789.15000000000009</v>
      </c>
      <c r="Q35" s="184">
        <f t="shared" si="40"/>
        <v>823.67999999999984</v>
      </c>
      <c r="R35" s="184">
        <f t="shared" si="41"/>
        <v>866.08</v>
      </c>
      <c r="S35" s="183">
        <f t="shared" ref="S35:S50" si="42">S34+IF($E$16=6,23.1,IF($E$16=8,21.4,IF($E$16=10,21.8,IF($E$16=12,20.4,IF($E$16=14,19.3,IF($E$16=16,18.3,IF($E$16=20,18.3,IF($E$16=40,14,0))))))))</f>
        <v>902.8</v>
      </c>
      <c r="T35" s="183">
        <f>T34+IF($E$16=6,24.89,IF($E$16=8,22.33,IF($E$16=10,22.89,IF($E$16=12,21.33,IF($E$16=14,20,IF($E$16=16,19.11,IF($E$16=20,19,IF($E$16=40,14.56,0))))))))</f>
        <v>940.33</v>
      </c>
      <c r="U35" s="183">
        <f>IF($E$16=6,1008,IF($E$16=8,977,IF($E$16=10,977,IF($E$16=12,945,IF($E$16=14,921,IF($E$16=16,900,IF($E$16=20,893,IF($E$16=40,809,0))))))))</f>
        <v>977</v>
      </c>
      <c r="V35" s="317">
        <f t="shared" si="20"/>
        <v>1013.57</v>
      </c>
      <c r="W35" s="317">
        <f t="shared" si="21"/>
        <v>1051.3400000000001</v>
      </c>
      <c r="X35" s="317">
        <f t="shared" si="22"/>
        <v>1087.7999999999997</v>
      </c>
      <c r="Y35" s="317">
        <f t="shared" si="23"/>
        <v>1128</v>
      </c>
      <c r="Z35" s="317">
        <f t="shared" si="24"/>
        <v>1163.6499999999996</v>
      </c>
      <c r="AA35" s="329">
        <f t="shared" si="25"/>
        <v>1202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354</v>
      </c>
      <c r="D36" s="317">
        <f t="shared" ca="1" si="32"/>
        <v>343</v>
      </c>
      <c r="E36" s="184">
        <f t="shared" ca="1" si="27"/>
        <v>362</v>
      </c>
      <c r="F36" s="184">
        <f t="shared" ca="1" si="33"/>
        <v>387</v>
      </c>
      <c r="G36" s="184">
        <f t="shared" ca="1" si="28"/>
        <v>400</v>
      </c>
      <c r="H36" s="184">
        <f t="shared" ca="1" si="29"/>
        <v>417</v>
      </c>
      <c r="I36" s="184">
        <f t="shared" ca="1" si="30"/>
        <v>435</v>
      </c>
      <c r="J36" s="183">
        <f t="shared" ca="1" si="31"/>
        <v>447</v>
      </c>
      <c r="K36" s="286">
        <f t="shared" si="34"/>
        <v>614.54000000000019</v>
      </c>
      <c r="L36" s="184">
        <f t="shared" si="35"/>
        <v>655.38000000000011</v>
      </c>
      <c r="M36" s="184">
        <f t="shared" si="36"/>
        <v>693.38000000000011</v>
      </c>
      <c r="N36" s="184">
        <f t="shared" si="37"/>
        <v>731.38000000000011</v>
      </c>
      <c r="O36" s="184">
        <f t="shared" si="38"/>
        <v>769.38000000000011</v>
      </c>
      <c r="P36" s="184">
        <f t="shared" si="39"/>
        <v>807.38000000000011</v>
      </c>
      <c r="Q36" s="184">
        <f t="shared" si="40"/>
        <v>842.0999999999998</v>
      </c>
      <c r="R36" s="184">
        <f t="shared" si="41"/>
        <v>886.44</v>
      </c>
      <c r="S36" s="183">
        <f t="shared" si="42"/>
        <v>924.19999999999993</v>
      </c>
      <c r="T36" s="183">
        <f t="shared" ref="T36:T50" si="43">T35+IF($E$16=6,24.89,IF($E$16=8,22.33,IF($E$16=10,22.89,IF($E$16=12,21.33,IF($E$16=14,20,IF($E$16=16,19.11,IF($E$16=20,19,IF($E$16=40,14.56,0))))))))</f>
        <v>962.66000000000008</v>
      </c>
      <c r="U36" s="183">
        <f>U35+IF($E$16=6,25.88,IF($E$16=8,23.38,IF($E$16=10,24,IF($E$16=12,22.38,IF($E$16=14,21,IF($E$16=16,19.88,IF($E$16=20,19.75,IF($E$16=40,15,0))))))))</f>
        <v>1000.38</v>
      </c>
      <c r="V36" s="183">
        <f>IF($E$16=6,1076,IF($E$16=8,1038,IF($E$16=10,1037,IF($E$16=12,1004,IF($E$16=14,975,IF($E$16=16,953,IF($E$16=20,949,IF($E$16=40,851,0))))))))</f>
        <v>1038</v>
      </c>
      <c r="W36" s="317">
        <f>W37-IF($E$16=6,28.33,IF($E$16=8,25.33,IF($E$16=10,26.17,IF($E$16=12,24.17,IF($E$16=14,22.67,IF($E$16=16,21.33,IF($E$16=20,21.33,IF($E$16=40,16,0))))))))</f>
        <v>1076.67</v>
      </c>
      <c r="X36" s="317">
        <f t="shared" si="22"/>
        <v>1114.1999999999998</v>
      </c>
      <c r="Y36" s="317">
        <f t="shared" si="23"/>
        <v>1155.5</v>
      </c>
      <c r="Z36" s="317">
        <f t="shared" si="24"/>
        <v>1192.3199999999997</v>
      </c>
      <c r="AA36" s="329">
        <f t="shared" si="25"/>
        <v>1231.5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362</v>
      </c>
      <c r="D37" s="317">
        <f t="shared" ca="1" si="32"/>
        <v>350</v>
      </c>
      <c r="E37" s="317">
        <f t="shared" ca="1" si="27"/>
        <v>370</v>
      </c>
      <c r="F37" s="184">
        <f t="shared" ca="1" si="33"/>
        <v>396</v>
      </c>
      <c r="G37" s="184">
        <f t="shared" ca="1" si="28"/>
        <v>409</v>
      </c>
      <c r="H37" s="184">
        <f t="shared" ca="1" si="29"/>
        <v>427</v>
      </c>
      <c r="I37" s="184">
        <f t="shared" ca="1" si="30"/>
        <v>446</v>
      </c>
      <c r="J37" s="183">
        <f t="shared" ca="1" si="31"/>
        <v>458</v>
      </c>
      <c r="K37" s="286">
        <f t="shared" si="34"/>
        <v>627.63000000000022</v>
      </c>
      <c r="L37" s="184">
        <f t="shared" si="35"/>
        <v>669.61000000000013</v>
      </c>
      <c r="M37" s="184">
        <f t="shared" si="36"/>
        <v>708.61000000000013</v>
      </c>
      <c r="N37" s="184">
        <f t="shared" si="37"/>
        <v>747.61000000000013</v>
      </c>
      <c r="O37" s="184">
        <f t="shared" si="38"/>
        <v>786.61000000000013</v>
      </c>
      <c r="P37" s="184">
        <f t="shared" si="39"/>
        <v>825.61000000000013</v>
      </c>
      <c r="Q37" s="184">
        <f t="shared" si="40"/>
        <v>860.51999999999975</v>
      </c>
      <c r="R37" s="184">
        <f t="shared" si="41"/>
        <v>906.80000000000007</v>
      </c>
      <c r="S37" s="183">
        <f t="shared" si="42"/>
        <v>945.59999999999991</v>
      </c>
      <c r="T37" s="183">
        <f t="shared" si="43"/>
        <v>984.99000000000012</v>
      </c>
      <c r="U37" s="183">
        <f t="shared" ref="U37:U50" si="44">U36+IF($E$16=6,25.88,IF($E$16=8,23.38,IF($E$16=10,24,IF($E$16=12,22.38,IF($E$16=14,21,IF($E$16=16,19.88,IF($E$16=20,19.75,IF($E$16=40,15,0))))))))</f>
        <v>1023.76</v>
      </c>
      <c r="V37" s="183">
        <f>V36+IF($E$16=6,27.29,IF($E$16=8,24.43,IF($E$16=10,25,IF($E$16=12,23.29,IF($E$16=14,21.71,IF($E$16=16,20.57,IF($E$16=20,20.71,IF($E$16=40,15.43,0))))))))</f>
        <v>1062.43</v>
      </c>
      <c r="W37" s="183">
        <f>IF($E$16=6,1144,IF($E$16=8,1102,IF($E$16=10,1103,IF($E$16=12,1065,IF($E$16=14,1034,IF($E$16=16,1007,IF($E$16=20,1002,IF($E$16=40,894,0))))))))</f>
        <v>1102</v>
      </c>
      <c r="X37" s="317">
        <f>X38-IF($E$16=6,29.4,IF($E$16=8,26.4,IF($E$16=10,27.2,IF($E$16=12,25.2,IF($E$16=14,23.6,IF($E$16=16,22.2,IF($E$16=20,22,IF($E$16=40,16.4,0))))))))</f>
        <v>1140.5999999999999</v>
      </c>
      <c r="Y37" s="317">
        <f t="shared" si="23"/>
        <v>1183</v>
      </c>
      <c r="Z37" s="317">
        <f t="shared" si="24"/>
        <v>1220.9899999999998</v>
      </c>
      <c r="AA37" s="329">
        <f t="shared" si="25"/>
        <v>1261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370</v>
      </c>
      <c r="D38" s="317">
        <f t="shared" ca="1" si="32"/>
        <v>357</v>
      </c>
      <c r="E38" s="317">
        <f t="shared" ref="E38:E50" ca="1" si="45">$E$30+OFFSET($AQ$45,MATCH($E$16,$AQ$46:$AQ$53,0),3,1,1)*(B38-$B$30)/100</f>
        <v>378</v>
      </c>
      <c r="F38" s="184">
        <f t="shared" ca="1" si="33"/>
        <v>405</v>
      </c>
      <c r="G38" s="184">
        <f t="shared" ca="1" si="28"/>
        <v>418</v>
      </c>
      <c r="H38" s="184">
        <f t="shared" ca="1" si="29"/>
        <v>437</v>
      </c>
      <c r="I38" s="184">
        <f t="shared" ca="1" si="30"/>
        <v>457</v>
      </c>
      <c r="J38" s="183">
        <f t="shared" ca="1" si="31"/>
        <v>469</v>
      </c>
      <c r="K38" s="286">
        <f t="shared" si="34"/>
        <v>640.72000000000025</v>
      </c>
      <c r="L38" s="184">
        <f t="shared" si="35"/>
        <v>683.84000000000015</v>
      </c>
      <c r="M38" s="184">
        <f t="shared" si="36"/>
        <v>723.84000000000015</v>
      </c>
      <c r="N38" s="184">
        <f t="shared" si="37"/>
        <v>763.84000000000015</v>
      </c>
      <c r="O38" s="184">
        <f t="shared" si="38"/>
        <v>803.84000000000015</v>
      </c>
      <c r="P38" s="184">
        <f t="shared" si="39"/>
        <v>843.84000000000015</v>
      </c>
      <c r="Q38" s="184">
        <f t="shared" si="40"/>
        <v>878.93999999999971</v>
      </c>
      <c r="R38" s="184">
        <f t="shared" si="41"/>
        <v>927.16000000000008</v>
      </c>
      <c r="S38" s="183">
        <f t="shared" si="42"/>
        <v>966.99999999999989</v>
      </c>
      <c r="T38" s="183">
        <f t="shared" si="43"/>
        <v>1007.3200000000002</v>
      </c>
      <c r="U38" s="183">
        <f t="shared" si="44"/>
        <v>1047.1400000000001</v>
      </c>
      <c r="V38" s="183">
        <f t="shared" ref="V38:V50" si="46">V37+IF($E$16=6,27.29,IF($E$16=8,24.43,IF($E$16=10,25,IF($E$16=12,23.29,IF($E$16=14,21.71,IF($E$16=16,20.57,IF($E$16=20,20.71,IF($E$16=40,15.43,0))))))))</f>
        <v>1086.8600000000001</v>
      </c>
      <c r="W38" s="183">
        <f>W37+IF($E$16=6,28.33,IF($E$16=8,25.33,IF($E$16=10,26.17,IF($E$16=12,24.17,IF($E$16=14,22.67,IF($E$16=16,21.33,IF($E$16=20,21.33,IF($E$16=40,16,0))))))))</f>
        <v>1127.33</v>
      </c>
      <c r="X38" s="183">
        <f>IF($E$16=6,1215,IF($E$16=8,1167,IF($E$16=10,1167,IF($E$16=12,1127,IF($E$16=14,1095,IF($E$16=16,1067,IF($E$16=20,1057,IF($E$16=40,938,0))))))))</f>
        <v>1167</v>
      </c>
      <c r="Y38" s="317">
        <f>Y39-IF($E$16=6,31,IF($E$16=8,27.5,IF($E$16=10,28.25,IF($E$16=12,26.25,IF($E$16=14,24.25,IF($E$16=16,23,IF($E$16=20,23,IF($E$16=40,16.75,0))))))))</f>
        <v>1210.5</v>
      </c>
      <c r="Z38" s="317">
        <f t="shared" si="24"/>
        <v>1249.6599999999999</v>
      </c>
      <c r="AA38" s="329">
        <f t="shared" si="25"/>
        <v>1290.5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378</v>
      </c>
      <c r="D39" s="317">
        <f t="shared" ca="1" si="32"/>
        <v>364</v>
      </c>
      <c r="E39" s="317">
        <f t="shared" ca="1" si="45"/>
        <v>386</v>
      </c>
      <c r="F39" s="317">
        <f t="shared" ca="1" si="33"/>
        <v>414</v>
      </c>
      <c r="G39" s="184">
        <f t="shared" ca="1" si="28"/>
        <v>427</v>
      </c>
      <c r="H39" s="184">
        <f t="shared" ca="1" si="29"/>
        <v>447</v>
      </c>
      <c r="I39" s="184">
        <f t="shared" ca="1" si="30"/>
        <v>468</v>
      </c>
      <c r="J39" s="183">
        <f t="shared" ca="1" si="31"/>
        <v>480</v>
      </c>
      <c r="K39" s="286">
        <f t="shared" si="34"/>
        <v>653.81000000000029</v>
      </c>
      <c r="L39" s="184">
        <f t="shared" si="35"/>
        <v>698.07000000000016</v>
      </c>
      <c r="M39" s="184">
        <f t="shared" si="36"/>
        <v>739.07000000000016</v>
      </c>
      <c r="N39" s="184">
        <f t="shared" si="37"/>
        <v>780.07000000000016</v>
      </c>
      <c r="O39" s="184">
        <f t="shared" si="38"/>
        <v>821.07000000000016</v>
      </c>
      <c r="P39" s="184">
        <f t="shared" si="39"/>
        <v>862.07000000000016</v>
      </c>
      <c r="Q39" s="184">
        <f t="shared" si="40"/>
        <v>897.35999999999967</v>
      </c>
      <c r="R39" s="184">
        <f t="shared" si="41"/>
        <v>947.5200000000001</v>
      </c>
      <c r="S39" s="183">
        <f t="shared" si="42"/>
        <v>988.39999999999986</v>
      </c>
      <c r="T39" s="183">
        <f t="shared" si="43"/>
        <v>1029.6500000000001</v>
      </c>
      <c r="U39" s="183">
        <f t="shared" si="44"/>
        <v>1070.5200000000002</v>
      </c>
      <c r="V39" s="183">
        <f t="shared" si="46"/>
        <v>1111.2900000000002</v>
      </c>
      <c r="W39" s="183">
        <f t="shared" ref="W39:W50" si="47">W38+IF($E$16=6,28.33,IF($E$16=8,25.33,IF($E$16=10,26.17,IF($E$16=12,24.17,IF($E$16=14,22.67,IF($E$16=16,21.33,IF($E$16=20,21.33,IF($E$16=40,16,0))))))))</f>
        <v>1152.6599999999999</v>
      </c>
      <c r="X39" s="183">
        <f>X38+IF($E$16=6,29.4,IF($E$16=8,26.4,IF($E$16=10,27.2,IF($E$16=12,25.2,IF($E$16=14,23.6,IF($E$16=16,22.2,IF($E$16=20,22,IF($E$16=40,16.4,0))))))))</f>
        <v>1193.4000000000001</v>
      </c>
      <c r="Y39" s="183">
        <f>IF($E$16=6,1290,IF($E$16=8,1238,IF($E$16=10,1238,IF($E$16=12,1191,IF($E$16=14,1154,IF($E$16=16,1124,IF($E$16=20,1117,IF($E$16=40,983,0))))))))</f>
        <v>1238</v>
      </c>
      <c r="Z39" s="317">
        <f>Z40-IF($E$16=6,35,IF($E$16=8,28.67,IF($E$16=10,29.33,IF($E$16=12,27,IF($E$16=14,25.33,IF($E$16=16,23.67,IF($E$16=20,23.67,IF($E$16=40,17.33,0))))))))</f>
        <v>1278.33</v>
      </c>
      <c r="AA39" s="329">
        <f t="shared" si="25"/>
        <v>1320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386</v>
      </c>
      <c r="D40" s="317">
        <f t="shared" ca="1" si="32"/>
        <v>371</v>
      </c>
      <c r="E40" s="317">
        <f t="shared" ca="1" si="45"/>
        <v>394</v>
      </c>
      <c r="F40" s="317">
        <f t="shared" ca="1" si="33"/>
        <v>423</v>
      </c>
      <c r="G40" s="184">
        <f t="shared" ca="1" si="28"/>
        <v>436</v>
      </c>
      <c r="H40" s="184">
        <f t="shared" ca="1" si="29"/>
        <v>457</v>
      </c>
      <c r="I40" s="184">
        <f t="shared" ca="1" si="30"/>
        <v>479</v>
      </c>
      <c r="J40" s="183">
        <f t="shared" ca="1" si="31"/>
        <v>491</v>
      </c>
      <c r="K40" s="286">
        <f t="shared" si="34"/>
        <v>666.90000000000032</v>
      </c>
      <c r="L40" s="184">
        <f t="shared" si="35"/>
        <v>712.30000000000018</v>
      </c>
      <c r="M40" s="184">
        <f t="shared" si="36"/>
        <v>754.30000000000018</v>
      </c>
      <c r="N40" s="184">
        <f t="shared" si="37"/>
        <v>796.30000000000018</v>
      </c>
      <c r="O40" s="184">
        <f t="shared" si="38"/>
        <v>838.30000000000018</v>
      </c>
      <c r="P40" s="184">
        <f t="shared" si="39"/>
        <v>880.30000000000018</v>
      </c>
      <c r="Q40" s="184">
        <f t="shared" si="40"/>
        <v>915.77999999999963</v>
      </c>
      <c r="R40" s="184">
        <f t="shared" si="41"/>
        <v>967.88000000000011</v>
      </c>
      <c r="S40" s="183">
        <f t="shared" si="42"/>
        <v>1009.7999999999998</v>
      </c>
      <c r="T40" s="183">
        <f t="shared" si="43"/>
        <v>1051.98</v>
      </c>
      <c r="U40" s="183">
        <f t="shared" si="44"/>
        <v>1093.9000000000003</v>
      </c>
      <c r="V40" s="183">
        <f t="shared" si="46"/>
        <v>1135.7200000000003</v>
      </c>
      <c r="W40" s="183">
        <f t="shared" si="47"/>
        <v>1177.9899999999998</v>
      </c>
      <c r="X40" s="183">
        <f>X39+IF($E$16=6,29.4,IF($E$16=8,26.4,IF($E$16=10,27.2,IF($E$16=12,25.2,IF($E$16=14,23.6,IF($E$16=16,22.2,IF($E$16=20,22,IF($E$16=40,16.4,0))))))))</f>
        <v>1219.8000000000002</v>
      </c>
      <c r="Y40" s="183">
        <f>Y39+IF($E$16=6,31,IF($E$16=8,27.5,IF($E$16=10,28.25,IF($E$16=12,26.25,IF($E$16=14,24.25,IF($E$16=16,23,IF($E$16=20,23,IF($E$16=40,16.75,0))))))))</f>
        <v>1265.5</v>
      </c>
      <c r="Z40" s="183">
        <f>IF($E$16=6,1356,IF($E$16=8,1307,IF($E$16=10,1306,IF($E$16=12,1258,IF($E$16=14,1218,IF($E$16=16,1183,IF($E$16=20,1175,IF($E$16=40,1029,0))))))))</f>
        <v>1307</v>
      </c>
      <c r="AA40" s="329">
        <f>AA41-IF($E$16=6,33,IF($E$16=8,29.5,IF($E$16=10,30.5,IF($E$16=12,28,IF($E$16=14,26,IF($E$16=16,24.5,IF($E$16=20,24.5,IF($E$16=40,17.5,0))))))))</f>
        <v>1349.5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394</v>
      </c>
      <c r="D41" s="317">
        <f t="shared" ca="1" si="32"/>
        <v>378</v>
      </c>
      <c r="E41" s="317">
        <f t="shared" ca="1" si="45"/>
        <v>402</v>
      </c>
      <c r="F41" s="317">
        <f t="shared" ca="1" si="33"/>
        <v>432</v>
      </c>
      <c r="G41" s="317">
        <f t="shared" ca="1" si="28"/>
        <v>445</v>
      </c>
      <c r="H41" s="184">
        <f t="shared" ca="1" si="29"/>
        <v>467</v>
      </c>
      <c r="I41" s="184">
        <f t="shared" ca="1" si="30"/>
        <v>490</v>
      </c>
      <c r="J41" s="183">
        <f t="shared" ca="1" si="31"/>
        <v>502</v>
      </c>
      <c r="K41" s="316">
        <f t="shared" si="34"/>
        <v>679.99000000000035</v>
      </c>
      <c r="L41" s="287">
        <f t="shared" si="35"/>
        <v>726.5300000000002</v>
      </c>
      <c r="M41" s="287">
        <f t="shared" si="36"/>
        <v>769.5300000000002</v>
      </c>
      <c r="N41" s="287">
        <f t="shared" si="37"/>
        <v>812.5300000000002</v>
      </c>
      <c r="O41" s="287">
        <f t="shared" si="38"/>
        <v>855.5300000000002</v>
      </c>
      <c r="P41" s="184">
        <f t="shared" si="39"/>
        <v>898.5300000000002</v>
      </c>
      <c r="Q41" s="184">
        <f t="shared" si="40"/>
        <v>934.19999999999959</v>
      </c>
      <c r="R41" s="184">
        <f t="shared" si="41"/>
        <v>988.24000000000012</v>
      </c>
      <c r="S41" s="183">
        <f t="shared" si="42"/>
        <v>1031.1999999999998</v>
      </c>
      <c r="T41" s="183">
        <f t="shared" si="43"/>
        <v>1074.31</v>
      </c>
      <c r="U41" s="183">
        <f t="shared" si="44"/>
        <v>1117.2800000000004</v>
      </c>
      <c r="V41" s="183">
        <f t="shared" si="46"/>
        <v>1160.1500000000003</v>
      </c>
      <c r="W41" s="183">
        <f t="shared" si="47"/>
        <v>1203.3199999999997</v>
      </c>
      <c r="X41" s="183">
        <f>X40+IF($E$16=6,29.4,IF($E$16=8,26.4,IF($E$16=10,27.2,IF($E$16=12,25.2,IF($E$16=14,23.6,IF($E$16=16,22.2,IF($E$16=20,22,IF($E$16=40,16.4,0))))))))</f>
        <v>1246.2000000000003</v>
      </c>
      <c r="Y41" s="183">
        <f>Y40+IF($E$16=6,31,IF($E$16=8,27.5,IF($E$16=10,28.25,IF($E$16=12,26.25,IF($E$16=14,24.25,IF($E$16=16,23,IF($E$16=20,23,IF($E$16=40,16.75,0))))))))</f>
        <v>1293</v>
      </c>
      <c r="Z41" s="183">
        <f>Z40+IF($E$16=6,35,IF($E$16=8,28.67,IF($E$16=10,29.33,IF($E$16=12,27,IF($E$16=14,25.33,IF($E$16=16,23.67,IF($E$16=20,23.67,IF($E$16=40,17.33,0))))))))</f>
        <v>1335.67</v>
      </c>
      <c r="AA41" s="288">
        <f>IF($E$16=6,1408,IF($E$16=8,1379,IF($E$16=10,1381,IF($E$16=12,1326,IF($E$16=14,1280,IF($E$16=16,1243,IF($E$16=20,1233,IF($E$16=40,1070,0))))))))</f>
        <v>1379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402</v>
      </c>
      <c r="D42" s="317">
        <f t="shared" ca="1" si="32"/>
        <v>385</v>
      </c>
      <c r="E42" s="317">
        <f t="shared" ca="1" si="45"/>
        <v>410</v>
      </c>
      <c r="F42" s="317">
        <f t="shared" ca="1" si="33"/>
        <v>441</v>
      </c>
      <c r="G42" s="317">
        <f t="shared" ca="1" si="28"/>
        <v>454</v>
      </c>
      <c r="H42" s="184">
        <f t="shared" ca="1" si="29"/>
        <v>477</v>
      </c>
      <c r="I42" s="184">
        <f t="shared" ca="1" si="30"/>
        <v>501</v>
      </c>
      <c r="J42" s="183">
        <f t="shared" ca="1" si="31"/>
        <v>513</v>
      </c>
      <c r="K42" s="316">
        <f t="shared" si="34"/>
        <v>693.08000000000038</v>
      </c>
      <c r="L42" s="183">
        <f t="shared" si="35"/>
        <v>740.76000000000022</v>
      </c>
      <c r="M42" s="183">
        <f t="shared" si="36"/>
        <v>784.76000000000022</v>
      </c>
      <c r="N42" s="183">
        <f t="shared" si="37"/>
        <v>828.76000000000022</v>
      </c>
      <c r="O42" s="183">
        <f t="shared" si="38"/>
        <v>872.76000000000022</v>
      </c>
      <c r="P42" s="286">
        <f t="shared" si="39"/>
        <v>916.76000000000022</v>
      </c>
      <c r="Q42" s="184">
        <f t="shared" si="40"/>
        <v>952.61999999999955</v>
      </c>
      <c r="R42" s="184">
        <f t="shared" si="41"/>
        <v>1008.6000000000001</v>
      </c>
      <c r="S42" s="183">
        <f t="shared" si="42"/>
        <v>1052.5999999999999</v>
      </c>
      <c r="T42" s="183">
        <f t="shared" si="43"/>
        <v>1096.6399999999999</v>
      </c>
      <c r="U42" s="183">
        <f t="shared" si="44"/>
        <v>1140.6600000000005</v>
      </c>
      <c r="V42" s="183">
        <f t="shared" si="46"/>
        <v>1184.5800000000004</v>
      </c>
      <c r="W42" s="183">
        <f t="shared" si="47"/>
        <v>1228.6499999999996</v>
      </c>
      <c r="X42" s="183">
        <f>X41+IF($E$16=6,29.4,IF($E$16=8,26.4,IF($E$16=10,27.2,IF($E$16=12,25.2,IF($E$16=14,23.6,IF($E$16=16,22.2,IF($E$16=20,22,IF($E$16=40,16.4,0))))))))</f>
        <v>1272.6000000000004</v>
      </c>
      <c r="Y42" s="183">
        <f>Y41+IF($E$16=6,31,IF($E$16=8,27.5,IF($E$16=10,28.25,IF($E$16=12,26.25,IF($E$16=14,24.25,IF($E$16=16,23,IF($E$16=20,23,IF($E$16=40,16.75,0))))))))</f>
        <v>1320.5</v>
      </c>
      <c r="Z42" s="183">
        <f>Z41+IF($E$16=6,35,IF($E$16=8,28.67,IF($E$16=10,29.33,IF($E$16=12,27,IF($E$16=14,25.33,IF($E$16=16,23.67,IF($E$16=20,23.67,IF($E$16=40,17.33,0))))))))</f>
        <v>1364.3400000000001</v>
      </c>
      <c r="AA42" s="288">
        <f>AA41+IF($E$16=6,33,IF($E$16=8,29.5,IF($E$16=10,30.5,IF($E$16=12,28,IF($E$16=14,26,IF($E$16=16,24.5,IF($E$16=20,24.5,IF($E$16=40,17.5,0))))))))</f>
        <v>1408.5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410</v>
      </c>
      <c r="D43" s="317">
        <f t="shared" ca="1" si="32"/>
        <v>392</v>
      </c>
      <c r="E43" s="317">
        <f t="shared" ca="1" si="45"/>
        <v>418</v>
      </c>
      <c r="F43" s="317">
        <f t="shared" ca="1" si="33"/>
        <v>450</v>
      </c>
      <c r="G43" s="317">
        <f t="shared" ca="1" si="28"/>
        <v>463</v>
      </c>
      <c r="H43" s="317">
        <f t="shared" ca="1" si="29"/>
        <v>487</v>
      </c>
      <c r="I43" s="287">
        <f t="shared" ca="1" si="30"/>
        <v>512</v>
      </c>
      <c r="J43" s="332">
        <f t="shared" ca="1" si="31"/>
        <v>524</v>
      </c>
      <c r="K43" s="333">
        <f t="shared" si="34"/>
        <v>706.17000000000041</v>
      </c>
      <c r="L43" s="332">
        <f t="shared" si="35"/>
        <v>754.99000000000024</v>
      </c>
      <c r="M43" s="332">
        <f t="shared" si="36"/>
        <v>799.99000000000024</v>
      </c>
      <c r="N43" s="332">
        <f t="shared" si="37"/>
        <v>844.99000000000024</v>
      </c>
      <c r="O43" s="332">
        <f t="shared" si="38"/>
        <v>889.99000000000024</v>
      </c>
      <c r="P43" s="334">
        <f t="shared" si="39"/>
        <v>934.99000000000024</v>
      </c>
      <c r="Q43" s="287">
        <f t="shared" si="40"/>
        <v>971.03999999999951</v>
      </c>
      <c r="R43" s="287">
        <f t="shared" si="41"/>
        <v>1028.96</v>
      </c>
      <c r="S43" s="332">
        <f t="shared" si="42"/>
        <v>1074</v>
      </c>
      <c r="T43" s="332">
        <f t="shared" si="43"/>
        <v>1118.9699999999998</v>
      </c>
      <c r="U43" s="332">
        <f t="shared" si="44"/>
        <v>1164.0400000000006</v>
      </c>
      <c r="V43" s="332">
        <f t="shared" si="46"/>
        <v>1209.0100000000004</v>
      </c>
      <c r="W43" s="332">
        <f t="shared" si="47"/>
        <v>1253.9799999999996</v>
      </c>
      <c r="X43" s="332">
        <f>X42+IF($E$16=6,29.4,IF($E$16=8,26.4,IF($E$16=10,27.2,IF($E$16=12,25.2,IF($E$16=14,23.6,IF($E$16=16,22.2,IF($E$16=20,22,IF($E$16=40,16.4,0))))))))</f>
        <v>1299.0000000000005</v>
      </c>
      <c r="Y43" s="332">
        <f>Y42+IF($E$16=6,31,IF($E$16=8,27.5,IF($E$16=10,28.25,IF($E$16=12,26.25,IF($E$16=14,24.25,IF($E$16=16,23,IF($E$16=20,23,IF($E$16=40,16.75,0))))))))</f>
        <v>1348</v>
      </c>
      <c r="Z43" s="332">
        <f>Z42+IF($E$16=6,35,IF($E$16=8,28.67,IF($E$16=10,29.33,IF($E$16=12,27,IF($E$16=14,25.33,IF($E$16=16,23.67,IF($E$16=20,23.67,IF($E$16=40,17.33,0))))))))</f>
        <v>1393.0100000000002</v>
      </c>
      <c r="AA43" s="335">
        <f>AA42+IF($E$16=6,33,IF($E$16=8,29.5,IF($E$16=10,30.5,IF($E$16=12,28,IF($E$16=14,26,IF($E$16=16,24.5,IF($E$16=20,24.5,IF($E$16=40,17.5,0))))))))</f>
        <v>1438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418</v>
      </c>
      <c r="D44" s="323">
        <f t="shared" ca="1" si="32"/>
        <v>399</v>
      </c>
      <c r="E44" s="323">
        <f t="shared" ca="1" si="45"/>
        <v>426</v>
      </c>
      <c r="F44" s="323">
        <f t="shared" ca="1" si="33"/>
        <v>459</v>
      </c>
      <c r="G44" s="323">
        <f t="shared" ca="1" si="28"/>
        <v>472</v>
      </c>
      <c r="H44" s="323">
        <f t="shared" ca="1" si="29"/>
        <v>497</v>
      </c>
      <c r="I44" s="289">
        <f t="shared" ca="1" si="30"/>
        <v>523</v>
      </c>
      <c r="J44" s="290">
        <f t="shared" ca="1" si="31"/>
        <v>535</v>
      </c>
      <c r="K44" s="318">
        <f t="shared" si="34"/>
        <v>719.26000000000045</v>
      </c>
      <c r="L44" s="290">
        <f t="shared" si="35"/>
        <v>769.22000000000025</v>
      </c>
      <c r="M44" s="290">
        <f t="shared" si="36"/>
        <v>815.22000000000025</v>
      </c>
      <c r="N44" s="290">
        <f t="shared" si="37"/>
        <v>861.22000000000025</v>
      </c>
      <c r="O44" s="290">
        <f t="shared" si="38"/>
        <v>907.22000000000025</v>
      </c>
      <c r="P44" s="291">
        <f t="shared" si="39"/>
        <v>953.22000000000025</v>
      </c>
      <c r="Q44" s="289">
        <f t="shared" si="40"/>
        <v>989.45999999999947</v>
      </c>
      <c r="R44" s="289">
        <f t="shared" si="41"/>
        <v>1049.32</v>
      </c>
      <c r="S44" s="290">
        <f t="shared" si="42"/>
        <v>1095.4000000000001</v>
      </c>
      <c r="T44" s="290">
        <f t="shared" si="43"/>
        <v>1141.2999999999997</v>
      </c>
      <c r="U44" s="290">
        <f t="shared" si="44"/>
        <v>1187.4200000000008</v>
      </c>
      <c r="V44" s="290">
        <f t="shared" si="46"/>
        <v>1233.4400000000005</v>
      </c>
      <c r="W44" s="290">
        <f t="shared" si="47"/>
        <v>1279.3099999999995</v>
      </c>
      <c r="X44" s="290">
        <f t="shared" ref="X44:X50" si="48">X43+IF($E$16=6,29.4,IF($E$16=8,26.4,IF($E$16=10,27.2,IF($E$16=12,25.2,IF($E$16=14,23.6,IF($E$16=16,22.2,IF($E$16=20,22,IF($E$16=40,16.4,0))))))))</f>
        <v>1325.4000000000005</v>
      </c>
      <c r="Y44" s="290">
        <f t="shared" ref="Y44:Y50" si="49">Y43+IF($E$16=6,31,IF($E$16=8,27.5,IF($E$16=10,28.25,IF($E$16=12,26.25,IF($E$16=14,24.25,IF($E$16=16,23,IF($E$16=20,23,IF($E$16=40,16.75,0))))))))</f>
        <v>1375.5</v>
      </c>
      <c r="Z44" s="290">
        <f t="shared" ref="Z44:Z50" si="50">Z43+IF($E$16=6,35,IF($E$16=8,28.67,IF($E$16=10,29.33,IF($E$16=12,27,IF($E$16=14,25.33,IF($E$16=16,23.67,IF($E$16=20,23.67,IF($E$16=40,17.33,0))))))))</f>
        <v>1421.6800000000003</v>
      </c>
      <c r="AA44" s="292">
        <f t="shared" ref="AA44:AA50" si="51">AA43+IF($E$16=6,33,IF($E$16=8,29.5,IF($E$16=10,30.5,IF($E$16=12,28,IF($E$16=14,26,IF($E$16=16,24.5,IF($E$16=20,24.5,IF($E$16=40,17.5,0))))))))</f>
        <v>1467.5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426</v>
      </c>
      <c r="D45" s="317">
        <f t="shared" ca="1" si="32"/>
        <v>406</v>
      </c>
      <c r="E45" s="317">
        <f t="shared" ca="1" si="45"/>
        <v>434</v>
      </c>
      <c r="F45" s="317">
        <f t="shared" ca="1" si="33"/>
        <v>468</v>
      </c>
      <c r="G45" s="317">
        <f t="shared" ca="1" si="28"/>
        <v>481</v>
      </c>
      <c r="H45" s="317">
        <f t="shared" ca="1" si="29"/>
        <v>507</v>
      </c>
      <c r="I45" s="317">
        <f t="shared" ca="1" si="30"/>
        <v>534</v>
      </c>
      <c r="J45" s="290">
        <f t="shared" ca="1" si="31"/>
        <v>546</v>
      </c>
      <c r="K45" s="318">
        <f t="shared" si="34"/>
        <v>732.35000000000048</v>
      </c>
      <c r="L45" s="290">
        <f t="shared" si="35"/>
        <v>783.45000000000027</v>
      </c>
      <c r="M45" s="290">
        <f t="shared" si="36"/>
        <v>830.45000000000027</v>
      </c>
      <c r="N45" s="290">
        <f t="shared" si="37"/>
        <v>877.45000000000027</v>
      </c>
      <c r="O45" s="290">
        <f t="shared" si="38"/>
        <v>924.45000000000027</v>
      </c>
      <c r="P45" s="291">
        <f t="shared" si="39"/>
        <v>971.45000000000027</v>
      </c>
      <c r="Q45" s="289">
        <f t="shared" si="40"/>
        <v>1007.8799999999994</v>
      </c>
      <c r="R45" s="289">
        <f t="shared" si="41"/>
        <v>1069.6799999999998</v>
      </c>
      <c r="S45" s="290">
        <f t="shared" si="42"/>
        <v>1116.8000000000002</v>
      </c>
      <c r="T45" s="290">
        <f t="shared" si="43"/>
        <v>1163.6299999999997</v>
      </c>
      <c r="U45" s="290">
        <f t="shared" si="44"/>
        <v>1210.8000000000009</v>
      </c>
      <c r="V45" s="290">
        <f t="shared" si="46"/>
        <v>1257.8700000000006</v>
      </c>
      <c r="W45" s="290">
        <f t="shared" si="47"/>
        <v>1304.6399999999994</v>
      </c>
      <c r="X45" s="290">
        <f t="shared" si="48"/>
        <v>1351.8000000000006</v>
      </c>
      <c r="Y45" s="290">
        <f t="shared" si="49"/>
        <v>1403</v>
      </c>
      <c r="Z45" s="290">
        <f t="shared" si="50"/>
        <v>1450.3500000000004</v>
      </c>
      <c r="AA45" s="292">
        <f t="shared" si="51"/>
        <v>1497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434</v>
      </c>
      <c r="D46" s="317">
        <f t="shared" ca="1" si="32"/>
        <v>413</v>
      </c>
      <c r="E46" s="317">
        <f t="shared" ca="1" si="45"/>
        <v>442</v>
      </c>
      <c r="F46" s="317">
        <f t="shared" ca="1" si="33"/>
        <v>477</v>
      </c>
      <c r="G46" s="317">
        <f t="shared" ca="1" si="28"/>
        <v>490</v>
      </c>
      <c r="H46" s="317">
        <f t="shared" ca="1" si="29"/>
        <v>517</v>
      </c>
      <c r="I46" s="317">
        <f t="shared" ca="1" si="30"/>
        <v>545</v>
      </c>
      <c r="J46" s="290">
        <f t="shared" ca="1" si="31"/>
        <v>557</v>
      </c>
      <c r="K46" s="318">
        <f t="shared" si="34"/>
        <v>745.44000000000051</v>
      </c>
      <c r="L46" s="290">
        <f t="shared" si="35"/>
        <v>797.68000000000029</v>
      </c>
      <c r="M46" s="290">
        <f t="shared" si="36"/>
        <v>845.68000000000029</v>
      </c>
      <c r="N46" s="290">
        <f t="shared" si="37"/>
        <v>893.68000000000029</v>
      </c>
      <c r="O46" s="290">
        <f t="shared" si="38"/>
        <v>941.68000000000029</v>
      </c>
      <c r="P46" s="291">
        <f t="shared" si="39"/>
        <v>989.68000000000029</v>
      </c>
      <c r="Q46" s="289">
        <f t="shared" si="40"/>
        <v>1026.2999999999995</v>
      </c>
      <c r="R46" s="289">
        <f t="shared" si="41"/>
        <v>1090.0399999999997</v>
      </c>
      <c r="S46" s="290">
        <f t="shared" si="42"/>
        <v>1138.2000000000003</v>
      </c>
      <c r="T46" s="290">
        <f t="shared" si="43"/>
        <v>1185.9599999999996</v>
      </c>
      <c r="U46" s="290">
        <f t="shared" si="44"/>
        <v>1234.180000000001</v>
      </c>
      <c r="V46" s="290">
        <f t="shared" si="46"/>
        <v>1282.3000000000006</v>
      </c>
      <c r="W46" s="290">
        <f t="shared" si="47"/>
        <v>1329.9699999999993</v>
      </c>
      <c r="X46" s="290">
        <f t="shared" si="48"/>
        <v>1378.2000000000007</v>
      </c>
      <c r="Y46" s="290">
        <f t="shared" si="49"/>
        <v>1430.5</v>
      </c>
      <c r="Z46" s="290">
        <f t="shared" si="50"/>
        <v>1479.0200000000004</v>
      </c>
      <c r="AA46" s="292">
        <f t="shared" si="51"/>
        <v>1526.5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442</v>
      </c>
      <c r="D47" s="317">
        <f t="shared" ca="1" si="32"/>
        <v>420</v>
      </c>
      <c r="E47" s="317">
        <f t="shared" ca="1" si="45"/>
        <v>450</v>
      </c>
      <c r="F47" s="317">
        <f t="shared" ca="1" si="33"/>
        <v>486</v>
      </c>
      <c r="G47" s="317">
        <f t="shared" ca="1" si="28"/>
        <v>499</v>
      </c>
      <c r="H47" s="317">
        <f t="shared" ca="1" si="29"/>
        <v>527</v>
      </c>
      <c r="I47" s="317">
        <f t="shared" ca="1" si="30"/>
        <v>556</v>
      </c>
      <c r="J47" s="322">
        <f t="shared" ca="1" si="31"/>
        <v>568</v>
      </c>
      <c r="K47" s="318">
        <f t="shared" si="34"/>
        <v>758.53000000000054</v>
      </c>
      <c r="L47" s="290">
        <f t="shared" si="35"/>
        <v>811.91000000000031</v>
      </c>
      <c r="M47" s="290">
        <f t="shared" si="36"/>
        <v>860.91000000000031</v>
      </c>
      <c r="N47" s="290">
        <f t="shared" si="37"/>
        <v>909.91000000000031</v>
      </c>
      <c r="O47" s="290">
        <f t="shared" si="38"/>
        <v>958.91000000000031</v>
      </c>
      <c r="P47" s="291">
        <f t="shared" si="39"/>
        <v>1007.9100000000003</v>
      </c>
      <c r="Q47" s="289">
        <f t="shared" si="40"/>
        <v>1044.7199999999996</v>
      </c>
      <c r="R47" s="289">
        <f t="shared" si="41"/>
        <v>1110.3999999999996</v>
      </c>
      <c r="S47" s="290">
        <f t="shared" si="42"/>
        <v>1159.6000000000004</v>
      </c>
      <c r="T47" s="290">
        <f t="shared" si="43"/>
        <v>1208.2899999999995</v>
      </c>
      <c r="U47" s="290">
        <f t="shared" si="44"/>
        <v>1257.5600000000011</v>
      </c>
      <c r="V47" s="290">
        <f t="shared" si="46"/>
        <v>1306.7300000000007</v>
      </c>
      <c r="W47" s="290">
        <f t="shared" si="47"/>
        <v>1355.2999999999993</v>
      </c>
      <c r="X47" s="290">
        <f t="shared" si="48"/>
        <v>1404.6000000000008</v>
      </c>
      <c r="Y47" s="290">
        <f t="shared" si="49"/>
        <v>1458</v>
      </c>
      <c r="Z47" s="290">
        <f t="shared" si="50"/>
        <v>1507.6900000000005</v>
      </c>
      <c r="AA47" s="292">
        <f t="shared" si="51"/>
        <v>1556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450</v>
      </c>
      <c r="D48" s="317">
        <f t="shared" ca="1" si="32"/>
        <v>427</v>
      </c>
      <c r="E48" s="317">
        <f t="shared" ca="1" si="45"/>
        <v>458</v>
      </c>
      <c r="F48" s="317">
        <f t="shared" ca="1" si="33"/>
        <v>495</v>
      </c>
      <c r="G48" s="317">
        <f t="shared" ca="1" si="28"/>
        <v>508</v>
      </c>
      <c r="H48" s="317">
        <f t="shared" ca="1" si="29"/>
        <v>537</v>
      </c>
      <c r="I48" s="317">
        <f t="shared" ca="1" si="30"/>
        <v>567</v>
      </c>
      <c r="J48" s="322">
        <f t="shared" ca="1" si="31"/>
        <v>579</v>
      </c>
      <c r="K48" s="318">
        <f t="shared" si="34"/>
        <v>771.62000000000057</v>
      </c>
      <c r="L48" s="290">
        <f t="shared" si="35"/>
        <v>826.14000000000033</v>
      </c>
      <c r="M48" s="290">
        <f t="shared" si="36"/>
        <v>876.14000000000033</v>
      </c>
      <c r="N48" s="290">
        <f t="shared" si="37"/>
        <v>926.14000000000033</v>
      </c>
      <c r="O48" s="290">
        <f t="shared" si="38"/>
        <v>976.14000000000033</v>
      </c>
      <c r="P48" s="291">
        <f t="shared" si="39"/>
        <v>1026.1400000000003</v>
      </c>
      <c r="Q48" s="289">
        <f t="shared" si="40"/>
        <v>1063.1399999999996</v>
      </c>
      <c r="R48" s="289">
        <f t="shared" si="41"/>
        <v>1130.7599999999995</v>
      </c>
      <c r="S48" s="290">
        <f t="shared" si="42"/>
        <v>1181.0000000000005</v>
      </c>
      <c r="T48" s="290">
        <f t="shared" si="43"/>
        <v>1230.6199999999994</v>
      </c>
      <c r="U48" s="290">
        <f t="shared" si="44"/>
        <v>1280.9400000000012</v>
      </c>
      <c r="V48" s="290">
        <f t="shared" si="46"/>
        <v>1331.1600000000008</v>
      </c>
      <c r="W48" s="290">
        <f t="shared" si="47"/>
        <v>1380.6299999999992</v>
      </c>
      <c r="X48" s="290">
        <f t="shared" si="48"/>
        <v>1431.0000000000009</v>
      </c>
      <c r="Y48" s="290">
        <f t="shared" si="49"/>
        <v>1485.5</v>
      </c>
      <c r="Z48" s="290">
        <f t="shared" si="50"/>
        <v>1536.3600000000006</v>
      </c>
      <c r="AA48" s="292">
        <f t="shared" si="51"/>
        <v>1585.5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458</v>
      </c>
      <c r="D49" s="317">
        <f t="shared" ca="1" si="32"/>
        <v>434</v>
      </c>
      <c r="E49" s="317">
        <f t="shared" ca="1" si="45"/>
        <v>466</v>
      </c>
      <c r="F49" s="317">
        <f t="shared" ca="1" si="33"/>
        <v>504</v>
      </c>
      <c r="G49" s="317">
        <f t="shared" ca="1" si="28"/>
        <v>517</v>
      </c>
      <c r="H49" s="317">
        <f t="shared" ca="1" si="29"/>
        <v>547</v>
      </c>
      <c r="I49" s="317">
        <f t="shared" ca="1" si="30"/>
        <v>578</v>
      </c>
      <c r="J49" s="322">
        <f t="shared" ca="1" si="31"/>
        <v>590</v>
      </c>
      <c r="K49" s="317">
        <f t="shared" si="34"/>
        <v>784.7100000000006</v>
      </c>
      <c r="L49" s="290">
        <f t="shared" si="35"/>
        <v>840.37000000000035</v>
      </c>
      <c r="M49" s="290">
        <f t="shared" si="36"/>
        <v>891.37000000000035</v>
      </c>
      <c r="N49" s="290">
        <f t="shared" si="37"/>
        <v>942.37000000000035</v>
      </c>
      <c r="O49" s="290">
        <f t="shared" si="38"/>
        <v>993.37000000000035</v>
      </c>
      <c r="P49" s="291">
        <f t="shared" si="39"/>
        <v>1044.3700000000003</v>
      </c>
      <c r="Q49" s="289">
        <f t="shared" si="40"/>
        <v>1081.5599999999997</v>
      </c>
      <c r="R49" s="289">
        <f t="shared" si="41"/>
        <v>1151.1199999999994</v>
      </c>
      <c r="S49" s="290">
        <f t="shared" si="42"/>
        <v>1202.4000000000005</v>
      </c>
      <c r="T49" s="290">
        <f t="shared" si="43"/>
        <v>1252.9499999999994</v>
      </c>
      <c r="U49" s="290">
        <f t="shared" si="44"/>
        <v>1304.3200000000013</v>
      </c>
      <c r="V49" s="290">
        <f t="shared" si="46"/>
        <v>1355.5900000000008</v>
      </c>
      <c r="W49" s="290">
        <f t="shared" si="47"/>
        <v>1405.9599999999991</v>
      </c>
      <c r="X49" s="290">
        <f t="shared" si="48"/>
        <v>1457.400000000001</v>
      </c>
      <c r="Y49" s="290">
        <f t="shared" si="49"/>
        <v>1513</v>
      </c>
      <c r="Z49" s="290">
        <f t="shared" si="50"/>
        <v>1565.0300000000007</v>
      </c>
      <c r="AA49" s="292">
        <f t="shared" si="51"/>
        <v>1615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466</v>
      </c>
      <c r="D50" s="330">
        <f t="shared" ca="1" si="32"/>
        <v>441</v>
      </c>
      <c r="E50" s="330">
        <f t="shared" ca="1" si="45"/>
        <v>474</v>
      </c>
      <c r="F50" s="330">
        <f t="shared" ca="1" si="33"/>
        <v>513</v>
      </c>
      <c r="G50" s="330">
        <f t="shared" ca="1" si="28"/>
        <v>526</v>
      </c>
      <c r="H50" s="330">
        <f t="shared" ca="1" si="29"/>
        <v>557</v>
      </c>
      <c r="I50" s="330">
        <f t="shared" ca="1" si="30"/>
        <v>589</v>
      </c>
      <c r="J50" s="331">
        <f t="shared" ca="1" si="31"/>
        <v>601</v>
      </c>
      <c r="K50" s="330">
        <f t="shared" si="34"/>
        <v>797.80000000000064</v>
      </c>
      <c r="L50" s="293">
        <f t="shared" si="35"/>
        <v>854.60000000000036</v>
      </c>
      <c r="M50" s="293">
        <f t="shared" si="36"/>
        <v>906.60000000000036</v>
      </c>
      <c r="N50" s="293">
        <f t="shared" si="37"/>
        <v>958.60000000000036</v>
      </c>
      <c r="O50" s="293">
        <f t="shared" si="38"/>
        <v>1010.6000000000004</v>
      </c>
      <c r="P50" s="294">
        <f t="shared" si="39"/>
        <v>1062.6000000000004</v>
      </c>
      <c r="Q50" s="295">
        <f t="shared" si="40"/>
        <v>1099.9799999999998</v>
      </c>
      <c r="R50" s="295">
        <f t="shared" si="41"/>
        <v>1171.4799999999993</v>
      </c>
      <c r="S50" s="293">
        <f t="shared" si="42"/>
        <v>1223.8000000000006</v>
      </c>
      <c r="T50" s="293">
        <f t="shared" si="43"/>
        <v>1275.2799999999993</v>
      </c>
      <c r="U50" s="293">
        <f t="shared" si="44"/>
        <v>1327.7000000000014</v>
      </c>
      <c r="V50" s="293">
        <f t="shared" si="46"/>
        <v>1380.0200000000009</v>
      </c>
      <c r="W50" s="293">
        <f t="shared" si="47"/>
        <v>1431.2899999999991</v>
      </c>
      <c r="X50" s="293">
        <f t="shared" si="48"/>
        <v>1483.8000000000011</v>
      </c>
      <c r="Y50" s="293">
        <f t="shared" si="49"/>
        <v>1540.5</v>
      </c>
      <c r="Z50" s="293">
        <f t="shared" si="50"/>
        <v>1593.7000000000007</v>
      </c>
      <c r="AA50" s="296">
        <f t="shared" si="51"/>
        <v>1644.5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297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18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27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28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6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344.4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390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327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19" t="s">
        <v>105</v>
      </c>
      <c r="AQ1" s="520"/>
      <c r="AR1" s="520" t="s">
        <v>106</v>
      </c>
      <c r="AS1" s="523"/>
      <c r="AV1" s="539" t="s">
        <v>120</v>
      </c>
      <c r="AW1" s="540"/>
      <c r="AX1" s="545" t="s">
        <v>121</v>
      </c>
      <c r="AY1" s="546"/>
      <c r="AZ1" s="546"/>
      <c r="BA1" s="546"/>
      <c r="BB1" s="546"/>
      <c r="BC1" s="546"/>
      <c r="BD1" s="546"/>
      <c r="BE1" s="546"/>
      <c r="BF1" s="547"/>
    </row>
    <row r="2" spans="6:69" ht="22.5" customHeight="1" thickBot="1" x14ac:dyDescent="0.35">
      <c r="F2" s="116"/>
      <c r="G2" s="117"/>
      <c r="H2" s="518"/>
      <c r="I2" s="51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21"/>
      <c r="AQ2" s="522"/>
      <c r="AR2" s="522"/>
      <c r="AS2" s="524"/>
      <c r="AV2" s="541"/>
      <c r="AW2" s="542"/>
      <c r="AX2" s="549">
        <v>5</v>
      </c>
      <c r="AY2" s="530">
        <v>10</v>
      </c>
      <c r="AZ2" s="530">
        <v>20</v>
      </c>
      <c r="BA2" s="530">
        <v>50</v>
      </c>
      <c r="BB2" s="530">
        <v>100</v>
      </c>
      <c r="BC2" s="530">
        <v>300</v>
      </c>
      <c r="BD2" s="530">
        <v>500</v>
      </c>
      <c r="BE2" s="530">
        <v>1000</v>
      </c>
      <c r="BF2" s="532" t="s">
        <v>127</v>
      </c>
    </row>
    <row r="3" spans="6:69" ht="19.5" thickBot="1" x14ac:dyDescent="0.35">
      <c r="F3" s="116"/>
      <c r="G3" s="117" t="s">
        <v>107</v>
      </c>
      <c r="H3" s="525">
        <f>Цена!E16</f>
        <v>8</v>
      </c>
      <c r="I3" s="526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27">
        <v>75</v>
      </c>
      <c r="AQ3" s="528"/>
      <c r="AR3" s="528">
        <v>0.105</v>
      </c>
      <c r="AS3" s="529"/>
      <c r="AV3" s="543"/>
      <c r="AW3" s="544"/>
      <c r="AX3" s="550"/>
      <c r="AY3" s="531"/>
      <c r="AZ3" s="531"/>
      <c r="BA3" s="531"/>
      <c r="BB3" s="531"/>
      <c r="BC3" s="531"/>
      <c r="BD3" s="531"/>
      <c r="BE3" s="531"/>
      <c r="BF3" s="533"/>
    </row>
    <row r="4" spans="6:69" x14ac:dyDescent="0.3">
      <c r="F4" s="116"/>
      <c r="G4" s="117" t="s">
        <v>109</v>
      </c>
      <c r="H4" s="558">
        <f>S18</f>
        <v>5.212350000000001E-2</v>
      </c>
      <c r="I4" s="558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187.64460000000003</v>
      </c>
      <c r="S4" s="121" t="s">
        <v>112</v>
      </c>
      <c r="T4" s="116"/>
      <c r="U4" s="116"/>
      <c r="V4" s="114"/>
      <c r="AA4" s="114"/>
      <c r="AP4" s="551">
        <v>70</v>
      </c>
      <c r="AQ4" s="552"/>
      <c r="AR4" s="552">
        <v>0.108</v>
      </c>
      <c r="AS4" s="557"/>
      <c r="AV4" s="559" t="s">
        <v>134</v>
      </c>
      <c r="AW4" s="560"/>
      <c r="AX4" s="563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37">
        <v>1.44</v>
      </c>
    </row>
    <row r="5" spans="6:69" x14ac:dyDescent="0.3">
      <c r="F5" s="116"/>
      <c r="G5" s="117" t="s">
        <v>113</v>
      </c>
      <c r="H5" s="534">
        <f>Цена!B16/1000</f>
        <v>0.65</v>
      </c>
      <c r="I5" s="53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51">
        <v>65</v>
      </c>
      <c r="AQ5" s="552"/>
      <c r="AR5" s="552">
        <v>0.104</v>
      </c>
      <c r="AS5" s="557"/>
      <c r="AV5" s="561"/>
      <c r="AW5" s="562"/>
      <c r="AX5" s="564"/>
      <c r="AY5" s="554"/>
      <c r="AZ5" s="554"/>
      <c r="BA5" s="554"/>
      <c r="BB5" s="554"/>
      <c r="BC5" s="554"/>
      <c r="BD5" s="554"/>
      <c r="BE5" s="554"/>
      <c r="BF5" s="538"/>
    </row>
    <row r="6" spans="6:69" x14ac:dyDescent="0.3">
      <c r="F6" s="116"/>
      <c r="G6" s="117" t="s">
        <v>115</v>
      </c>
      <c r="H6" s="534">
        <f>Цена!C16/1000</f>
        <v>0.6</v>
      </c>
      <c r="I6" s="53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51">
        <v>60</v>
      </c>
      <c r="AQ6" s="552"/>
      <c r="AR6" s="552">
        <v>0.1</v>
      </c>
      <c r="AS6" s="557"/>
      <c r="AV6" s="579" t="s">
        <v>138</v>
      </c>
      <c r="AW6" s="580"/>
      <c r="AX6" s="583">
        <v>0.38</v>
      </c>
      <c r="AY6" s="566">
        <v>0.45</v>
      </c>
      <c r="AZ6" s="566">
        <v>0.5</v>
      </c>
      <c r="BA6" s="566">
        <v>0.55000000000000004</v>
      </c>
      <c r="BB6" s="566">
        <v>0.59</v>
      </c>
      <c r="BC6" s="566">
        <v>0.62</v>
      </c>
      <c r="BD6" s="566">
        <v>0.66</v>
      </c>
      <c r="BE6" s="566">
        <v>0.69</v>
      </c>
      <c r="BF6" s="568">
        <v>0.71</v>
      </c>
    </row>
    <row r="7" spans="6:69" ht="19.5" thickBot="1" x14ac:dyDescent="0.35">
      <c r="F7" s="116"/>
      <c r="G7" s="117" t="s">
        <v>116</v>
      </c>
      <c r="H7" s="534">
        <f>H6-H8</f>
        <v>0.3</v>
      </c>
      <c r="I7" s="53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51">
        <v>55</v>
      </c>
      <c r="AQ7" s="552"/>
      <c r="AR7" s="552">
        <v>9.4E-2</v>
      </c>
      <c r="AS7" s="557"/>
      <c r="AV7" s="581"/>
      <c r="AW7" s="582"/>
      <c r="AX7" s="584"/>
      <c r="AY7" s="567"/>
      <c r="AZ7" s="567"/>
      <c r="BA7" s="567"/>
      <c r="BB7" s="567"/>
      <c r="BC7" s="567"/>
      <c r="BD7" s="567"/>
      <c r="BE7" s="567"/>
      <c r="BF7" s="569"/>
    </row>
    <row r="8" spans="6:69" ht="19.5" customHeight="1" thickBot="1" x14ac:dyDescent="0.35">
      <c r="F8" s="116"/>
      <c r="G8" s="122" t="s">
        <v>118</v>
      </c>
      <c r="H8" s="556">
        <f>IF(AND(H6&lt;=1,H6&gt;0.5),0.3,IF(H6&lt;=0.5,0.15,0.5))</f>
        <v>0.3</v>
      </c>
      <c r="I8" s="556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51">
        <v>50</v>
      </c>
      <c r="AQ8" s="552"/>
      <c r="AR8" s="552">
        <v>8.7999999999999995E-2</v>
      </c>
      <c r="AS8" s="557"/>
      <c r="AV8" s="570" t="s">
        <v>139</v>
      </c>
      <c r="AW8" s="571"/>
      <c r="AX8" s="571"/>
      <c r="AY8" s="571"/>
      <c r="AZ8" s="571"/>
      <c r="BA8" s="571"/>
      <c r="BB8" s="571"/>
      <c r="BC8" s="571"/>
      <c r="BD8" s="571"/>
      <c r="BE8" s="571"/>
      <c r="BF8" s="572"/>
    </row>
    <row r="9" spans="6:69" ht="21" customHeight="1" thickBot="1" x14ac:dyDescent="0.35">
      <c r="F9" s="116"/>
      <c r="G9" s="117" t="s">
        <v>122</v>
      </c>
      <c r="H9" s="548">
        <v>1</v>
      </c>
      <c r="I9" s="548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51">
        <v>45</v>
      </c>
      <c r="AQ9" s="552"/>
      <c r="AR9" s="552">
        <v>8.1000000000000003E-2</v>
      </c>
      <c r="AS9" s="557"/>
      <c r="AV9" s="573"/>
      <c r="AW9" s="574"/>
      <c r="AX9" s="574"/>
      <c r="AY9" s="574"/>
      <c r="AZ9" s="574"/>
      <c r="BA9" s="574"/>
      <c r="BB9" s="574"/>
      <c r="BC9" s="574"/>
      <c r="BD9" s="574"/>
      <c r="BE9" s="574"/>
      <c r="BF9" s="575"/>
    </row>
    <row r="10" spans="6:69" ht="20.25" customHeight="1" x14ac:dyDescent="0.3">
      <c r="F10" s="116"/>
      <c r="G10" s="117" t="s">
        <v>128</v>
      </c>
      <c r="H10" s="526">
        <v>0.7</v>
      </c>
      <c r="I10" s="526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51">
        <v>40</v>
      </c>
      <c r="AQ10" s="552"/>
      <c r="AR10" s="552">
        <v>7.3999999999999996E-2</v>
      </c>
      <c r="AS10" s="557"/>
      <c r="AV10" s="573"/>
      <c r="AW10" s="574"/>
      <c r="AX10" s="574"/>
      <c r="AY10" s="574"/>
      <c r="AZ10" s="574"/>
      <c r="BA10" s="574"/>
      <c r="BB10" s="574"/>
      <c r="BC10" s="574"/>
      <c r="BD10" s="574"/>
      <c r="BE10" s="574"/>
      <c r="BF10" s="575"/>
    </row>
    <row r="11" spans="6:69" ht="18.75" customHeight="1" x14ac:dyDescent="0.3">
      <c r="F11" s="116"/>
      <c r="G11" s="117" t="s">
        <v>131</v>
      </c>
      <c r="H11" s="526">
        <f>IF(H3&lt;=8,6,IF(OR(8&lt;H3,H3&lt;=16),8,IF(H3&gt;16,10,0)))</f>
        <v>6</v>
      </c>
      <c r="I11" s="526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51">
        <v>35</v>
      </c>
      <c r="AQ11" s="552"/>
      <c r="AR11" s="552">
        <v>6.6000000000000003E-2</v>
      </c>
      <c r="AS11" s="557"/>
      <c r="AV11" s="573"/>
      <c r="AW11" s="574"/>
      <c r="AX11" s="574"/>
      <c r="AY11" s="574"/>
      <c r="AZ11" s="574"/>
      <c r="BA11" s="574"/>
      <c r="BB11" s="574"/>
      <c r="BC11" s="574"/>
      <c r="BD11" s="574"/>
      <c r="BE11" s="574"/>
      <c r="BF11" s="575"/>
    </row>
    <row r="12" spans="6:69" ht="21" customHeight="1" thickBot="1" x14ac:dyDescent="0.35">
      <c r="F12" s="116"/>
      <c r="G12" s="117" t="s">
        <v>135</v>
      </c>
      <c r="H12" s="565">
        <v>2.7</v>
      </c>
      <c r="I12" s="565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35">
        <v>30</v>
      </c>
      <c r="AQ12" s="536"/>
      <c r="AR12" s="536">
        <v>5.6000000000000001E-2</v>
      </c>
      <c r="AS12" s="555"/>
      <c r="AV12" s="573"/>
      <c r="AW12" s="574"/>
      <c r="AX12" s="574"/>
      <c r="AY12" s="574"/>
      <c r="AZ12" s="574"/>
      <c r="BA12" s="574"/>
      <c r="BB12" s="574"/>
      <c r="BC12" s="574"/>
      <c r="BD12" s="574"/>
      <c r="BE12" s="574"/>
      <c r="BF12" s="575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76"/>
      <c r="AW13" s="577"/>
      <c r="AX13" s="577"/>
      <c r="AY13" s="577"/>
      <c r="AZ13" s="577"/>
      <c r="BA13" s="577"/>
      <c r="BB13" s="577"/>
      <c r="BC13" s="577"/>
      <c r="BD13" s="577"/>
      <c r="BE13" s="577"/>
      <c r="BF13" s="578"/>
    </row>
    <row r="14" spans="6:69" ht="22.5" customHeight="1" thickBot="1" x14ac:dyDescent="0.35">
      <c r="F14" s="114"/>
      <c r="G14" s="114"/>
      <c r="H14" s="592" t="s">
        <v>140</v>
      </c>
      <c r="I14" s="593"/>
      <c r="J14" s="593"/>
      <c r="K14" s="593"/>
      <c r="L14" s="593"/>
      <c r="M14" s="593"/>
      <c r="N14" s="594"/>
      <c r="O14" s="601" t="s">
        <v>141</v>
      </c>
      <c r="P14" s="602"/>
      <c r="Q14" s="602"/>
      <c r="R14" s="602"/>
      <c r="S14" s="602" t="s">
        <v>142</v>
      </c>
      <c r="T14" s="602"/>
      <c r="U14" s="602"/>
      <c r="V14" s="607"/>
      <c r="W14" s="610" t="s">
        <v>143</v>
      </c>
      <c r="X14" s="610"/>
      <c r="Y14" s="610"/>
      <c r="Z14" s="610"/>
      <c r="AA14" s="610"/>
      <c r="AB14" s="610"/>
      <c r="AC14" s="610"/>
      <c r="AD14" s="610"/>
      <c r="AE14" s="610"/>
      <c r="AF14" s="610"/>
      <c r="AG14" s="610"/>
      <c r="AH14" s="610"/>
      <c r="AI14" s="610"/>
      <c r="AJ14" s="610"/>
      <c r="AK14" s="610"/>
      <c r="AL14" s="610"/>
      <c r="AM14" s="610"/>
      <c r="AN14" s="610"/>
      <c r="AO14" s="610"/>
      <c r="AP14" s="610"/>
      <c r="AQ14" s="610"/>
      <c r="AR14" s="610"/>
      <c r="AS14" s="610"/>
      <c r="AT14" s="610"/>
      <c r="AU14" s="610"/>
      <c r="AV14" s="610"/>
      <c r="AW14" s="610"/>
      <c r="AX14" s="610"/>
      <c r="AY14" s="610"/>
      <c r="AZ14" s="610"/>
      <c r="BA14" s="610"/>
      <c r="BB14" s="610"/>
      <c r="BC14" s="610"/>
      <c r="BD14" s="610"/>
      <c r="BE14" s="610"/>
      <c r="BF14" s="610"/>
      <c r="BG14" s="610"/>
      <c r="BH14" s="610"/>
      <c r="BI14" s="610"/>
      <c r="BJ14" s="610"/>
      <c r="BK14" s="610"/>
      <c r="BL14" s="610"/>
      <c r="BM14" s="610"/>
      <c r="BN14" s="610"/>
      <c r="BO14" s="610"/>
      <c r="BP14" s="610"/>
      <c r="BQ14" s="611"/>
    </row>
    <row r="15" spans="6:69" ht="20.25" customHeight="1" x14ac:dyDescent="0.3">
      <c r="F15" s="114"/>
      <c r="G15" s="146"/>
      <c r="H15" s="595"/>
      <c r="I15" s="596"/>
      <c r="J15" s="596"/>
      <c r="K15" s="596"/>
      <c r="L15" s="596"/>
      <c r="M15" s="596"/>
      <c r="N15" s="597"/>
      <c r="O15" s="603"/>
      <c r="P15" s="604"/>
      <c r="Q15" s="604"/>
      <c r="R15" s="604"/>
      <c r="S15" s="604"/>
      <c r="T15" s="604"/>
      <c r="U15" s="604"/>
      <c r="V15" s="608"/>
      <c r="W15" s="612" t="s">
        <v>144</v>
      </c>
      <c r="X15" s="613"/>
      <c r="Y15" s="616">
        <v>70</v>
      </c>
      <c r="Z15" s="617"/>
      <c r="AA15" s="617"/>
      <c r="AB15" s="617"/>
      <c r="AC15" s="618"/>
      <c r="AD15" s="586">
        <v>65</v>
      </c>
      <c r="AE15" s="587"/>
      <c r="AF15" s="587"/>
      <c r="AG15" s="587"/>
      <c r="AH15" s="588"/>
      <c r="AI15" s="586">
        <v>60</v>
      </c>
      <c r="AJ15" s="587"/>
      <c r="AK15" s="587"/>
      <c r="AL15" s="587"/>
      <c r="AM15" s="588"/>
      <c r="AN15" s="586">
        <v>55</v>
      </c>
      <c r="AO15" s="587"/>
      <c r="AP15" s="587"/>
      <c r="AQ15" s="587"/>
      <c r="AR15" s="588"/>
      <c r="AS15" s="586">
        <v>50</v>
      </c>
      <c r="AT15" s="587"/>
      <c r="AU15" s="587"/>
      <c r="AV15" s="587"/>
      <c r="AW15" s="588"/>
      <c r="AX15" s="586">
        <v>45</v>
      </c>
      <c r="AY15" s="587"/>
      <c r="AZ15" s="587"/>
      <c r="BA15" s="587"/>
      <c r="BB15" s="588"/>
      <c r="BC15" s="586">
        <v>40</v>
      </c>
      <c r="BD15" s="587"/>
      <c r="BE15" s="587"/>
      <c r="BF15" s="587"/>
      <c r="BG15" s="588"/>
      <c r="BH15" s="586">
        <v>35</v>
      </c>
      <c r="BI15" s="587"/>
      <c r="BJ15" s="587"/>
      <c r="BK15" s="587"/>
      <c r="BL15" s="588"/>
      <c r="BM15" s="586">
        <v>30</v>
      </c>
      <c r="BN15" s="587"/>
      <c r="BO15" s="587"/>
      <c r="BP15" s="587"/>
      <c r="BQ15" s="588"/>
    </row>
    <row r="16" spans="6:69" ht="19.5" thickBot="1" x14ac:dyDescent="0.35">
      <c r="F16" s="114"/>
      <c r="G16" s="146"/>
      <c r="H16" s="598"/>
      <c r="I16" s="599"/>
      <c r="J16" s="599"/>
      <c r="K16" s="599"/>
      <c r="L16" s="599"/>
      <c r="M16" s="599"/>
      <c r="N16" s="600"/>
      <c r="O16" s="605"/>
      <c r="P16" s="606"/>
      <c r="Q16" s="606"/>
      <c r="R16" s="606"/>
      <c r="S16" s="606"/>
      <c r="T16" s="606"/>
      <c r="U16" s="606"/>
      <c r="V16" s="609"/>
      <c r="W16" s="614"/>
      <c r="X16" s="615"/>
      <c r="Y16" s="616"/>
      <c r="Z16" s="617"/>
      <c r="AA16" s="617"/>
      <c r="AB16" s="617"/>
      <c r="AC16" s="618"/>
      <c r="AD16" s="589"/>
      <c r="AE16" s="590"/>
      <c r="AF16" s="590"/>
      <c r="AG16" s="590"/>
      <c r="AH16" s="591"/>
      <c r="AI16" s="589"/>
      <c r="AJ16" s="590"/>
      <c r="AK16" s="590"/>
      <c r="AL16" s="590"/>
      <c r="AM16" s="591"/>
      <c r="AN16" s="589"/>
      <c r="AO16" s="590"/>
      <c r="AP16" s="590"/>
      <c r="AQ16" s="590"/>
      <c r="AR16" s="591"/>
      <c r="AS16" s="589"/>
      <c r="AT16" s="590"/>
      <c r="AU16" s="590"/>
      <c r="AV16" s="590"/>
      <c r="AW16" s="591"/>
      <c r="AX16" s="589"/>
      <c r="AY16" s="590"/>
      <c r="AZ16" s="590"/>
      <c r="BA16" s="590"/>
      <c r="BB16" s="591"/>
      <c r="BC16" s="589"/>
      <c r="BD16" s="590"/>
      <c r="BE16" s="590"/>
      <c r="BF16" s="590"/>
      <c r="BG16" s="591"/>
      <c r="BH16" s="589"/>
      <c r="BI16" s="590"/>
      <c r="BJ16" s="590"/>
      <c r="BK16" s="590"/>
      <c r="BL16" s="591"/>
      <c r="BM16" s="589"/>
      <c r="BN16" s="590"/>
      <c r="BO16" s="590"/>
      <c r="BP16" s="590"/>
      <c r="BQ16" s="591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8</v>
      </c>
      <c r="H18" s="162">
        <f>H5*1000</f>
        <v>650</v>
      </c>
      <c r="I18" s="163">
        <f>((((ROUNDUP((((H18/2)-30)-1.5-G18-80)/(H3+$H$11),0))*(H3+$H$11))+1.5)*2)+160</f>
        <v>583</v>
      </c>
      <c r="J18" s="163">
        <f>H18-I18</f>
        <v>67</v>
      </c>
      <c r="K18" s="163">
        <f>J18/2</f>
        <v>33.5</v>
      </c>
      <c r="L18" s="163">
        <f>((((((((ROUNDUP((((H18/2)-30)-1.5-H3-80)/(H3+$H$11),0)))))+1)*(H3+$H$11))+1.5)*2)+160</f>
        <v>611</v>
      </c>
      <c r="M18" s="163">
        <f>H18-L18</f>
        <v>39</v>
      </c>
      <c r="N18" s="164">
        <f>M18/2</f>
        <v>19.5</v>
      </c>
      <c r="O18" s="165">
        <f>IF(K18&gt;50,L18,I18)</f>
        <v>583</v>
      </c>
      <c r="P18" s="166">
        <f>(((((ROUNDUP((((H18/2)-30)-1.5-H3-80)/(H3+$H$11),0))))))*2</f>
        <v>30</v>
      </c>
      <c r="Q18" s="166">
        <f>P18-1</f>
        <v>29</v>
      </c>
      <c r="R18" s="167">
        <f>($H$6-$H$8-$AR$3)*((H3/1000)*(Q18+1)+0.003)</f>
        <v>4.7385000000000004E-2</v>
      </c>
      <c r="S18" s="168">
        <f>R18*T18</f>
        <v>5.212350000000001E-2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0.10574005351023243</v>
      </c>
      <c r="W18" s="171">
        <f>IF((0.15*$H$8*2*9.8/($H$12*($H$11/G18)^(4/3)*$H$10^2*U18))&gt;1,75,FLOOR(DEGREES(ASIN((0.15*$H$8*2*9.8/($H$12*($H$11/G18)^(4/3)*$H$10^2*U18)))),5))</f>
        <v>20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85" t="e">
        <f>#REF!/#REF!</f>
        <v>#REF!</v>
      </c>
      <c r="B20" s="585"/>
      <c r="C20" s="585"/>
      <c r="D20" s="585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  <c r="BB1" s="621"/>
      <c r="BC1" s="621"/>
      <c r="BD1" s="621"/>
      <c r="BE1" s="621"/>
      <c r="BF1" s="621"/>
      <c r="BG1" s="621"/>
      <c r="BH1" s="621"/>
      <c r="BI1" s="621"/>
      <c r="BJ1" s="621"/>
      <c r="BK1" s="621"/>
      <c r="BL1" s="621"/>
      <c r="BM1" s="621"/>
      <c r="BN1" s="621"/>
      <c r="BO1" s="621"/>
      <c r="BP1" s="621"/>
      <c r="BQ1" s="621"/>
      <c r="BR1" s="621"/>
      <c r="BS1" s="621"/>
      <c r="BT1" s="621"/>
      <c r="BU1" s="621"/>
      <c r="BV1" s="621"/>
      <c r="BW1" s="621"/>
      <c r="BX1" s="621"/>
      <c r="BY1" s="621"/>
      <c r="BZ1" s="621"/>
      <c r="CA1" s="621"/>
      <c r="CB1" s="621"/>
      <c r="CC1" s="621"/>
      <c r="CD1" s="621"/>
      <c r="CE1" s="621"/>
      <c r="CF1" s="621"/>
      <c r="CG1" s="621"/>
      <c r="CH1" s="621"/>
      <c r="CI1" s="621"/>
      <c r="CJ1" s="621"/>
      <c r="CK1" s="621"/>
      <c r="CL1" s="621"/>
      <c r="CM1" s="621"/>
      <c r="CN1" s="621"/>
      <c r="CO1" s="621"/>
      <c r="CP1" s="621"/>
      <c r="CQ1" s="621"/>
      <c r="CR1" s="621"/>
      <c r="CS1" s="621"/>
      <c r="CT1" s="621"/>
      <c r="CU1" s="621"/>
      <c r="CV1" s="621"/>
      <c r="CW1" s="621"/>
      <c r="CX1" s="621"/>
      <c r="CY1" s="621"/>
      <c r="CZ1" s="621"/>
      <c r="DA1" s="621"/>
      <c r="DB1" s="621"/>
      <c r="DC1" s="621"/>
      <c r="DD1" s="621"/>
      <c r="DE1" s="621"/>
      <c r="DF1" s="621"/>
      <c r="DG1" s="621"/>
      <c r="DH1" s="621"/>
      <c r="DI1" s="621"/>
      <c r="DJ1" s="621"/>
      <c r="DK1" s="621"/>
      <c r="DL1" s="621"/>
      <c r="DM1" s="621"/>
      <c r="DN1" s="621"/>
      <c r="DO1" s="621"/>
      <c r="DP1" s="621"/>
      <c r="DQ1" s="621"/>
      <c r="DR1" s="621"/>
      <c r="DS1" s="621"/>
      <c r="DT1" s="621"/>
      <c r="DU1" s="621"/>
      <c r="DV1" s="621"/>
      <c r="DW1" s="621"/>
      <c r="DX1" s="621"/>
      <c r="DY1" s="621"/>
      <c r="DZ1" s="621"/>
      <c r="EA1" s="621"/>
      <c r="EB1" s="621"/>
      <c r="EC1" s="621"/>
      <c r="ED1" s="621"/>
      <c r="EE1" s="621"/>
      <c r="EF1" s="621"/>
      <c r="EG1" s="621"/>
      <c r="EH1" s="621"/>
      <c r="EI1" s="621"/>
      <c r="EJ1" s="621"/>
      <c r="EK1" s="621"/>
      <c r="EL1" s="621"/>
      <c r="EM1" s="621"/>
      <c r="EN1" s="621"/>
      <c r="EO1" s="621"/>
      <c r="EP1" s="621"/>
      <c r="EQ1" s="621"/>
      <c r="ER1" s="621"/>
      <c r="ES1" s="621"/>
      <c r="ET1" s="621"/>
      <c r="EU1" s="621"/>
      <c r="EV1" s="621"/>
      <c r="EW1" s="621"/>
      <c r="EX1" s="621"/>
      <c r="EY1" s="621"/>
      <c r="EZ1" s="621"/>
      <c r="FA1" s="621"/>
      <c r="FB1" s="621"/>
      <c r="FC1" s="621"/>
      <c r="FD1" s="621"/>
      <c r="FE1" s="621"/>
      <c r="FF1" s="621"/>
      <c r="FG1" s="621"/>
      <c r="FH1" s="621"/>
      <c r="FI1" s="621"/>
      <c r="FJ1" s="621"/>
      <c r="FK1" s="621"/>
      <c r="FL1" s="621"/>
      <c r="FM1" s="621"/>
      <c r="FN1" s="621"/>
      <c r="FO1" s="621"/>
      <c r="FP1" s="621"/>
      <c r="FQ1" s="621"/>
      <c r="FR1" s="621"/>
      <c r="FS1" s="621"/>
      <c r="FT1" s="621"/>
      <c r="FU1" s="621"/>
      <c r="FV1" s="621"/>
      <c r="FW1" s="621"/>
      <c r="FX1" s="621"/>
      <c r="FY1" s="621"/>
      <c r="FZ1" s="621"/>
      <c r="GA1" s="621"/>
      <c r="GB1" s="621"/>
      <c r="GC1" s="621"/>
      <c r="GD1" s="621"/>
      <c r="GE1" s="621"/>
      <c r="GF1" s="621"/>
      <c r="GG1" s="621"/>
      <c r="GH1" s="621"/>
      <c r="GI1" s="621"/>
      <c r="GJ1" s="621"/>
      <c r="GK1" s="621"/>
      <c r="GL1" s="621"/>
      <c r="GM1" s="621"/>
      <c r="GN1" s="621"/>
      <c r="GO1" s="621"/>
      <c r="GP1" s="621"/>
      <c r="GQ1" s="621"/>
      <c r="GR1" s="621"/>
      <c r="GS1" s="621"/>
      <c r="GT1" s="621"/>
      <c r="GU1" s="621"/>
      <c r="GV1" s="621"/>
      <c r="GW1" s="621"/>
      <c r="GX1" s="621"/>
      <c r="GY1" s="621"/>
      <c r="GZ1" s="621"/>
      <c r="HA1" s="621"/>
      <c r="HB1" s="621"/>
      <c r="HC1" s="621"/>
      <c r="HD1" s="621"/>
      <c r="HE1" s="621"/>
      <c r="HF1" s="621"/>
      <c r="HG1" s="621"/>
      <c r="HH1" s="621"/>
      <c r="HI1" s="621"/>
      <c r="HJ1" s="621"/>
      <c r="HK1" s="621"/>
      <c r="HL1" s="621"/>
      <c r="HM1" s="621"/>
      <c r="HN1" s="621"/>
      <c r="HO1" s="621"/>
      <c r="HP1" s="621"/>
      <c r="HQ1" s="621"/>
      <c r="HR1" s="621"/>
      <c r="HS1" s="621"/>
      <c r="HT1" s="621"/>
      <c r="HU1" s="621"/>
      <c r="HV1" s="621"/>
      <c r="HW1" s="621"/>
      <c r="HX1" s="621"/>
      <c r="HY1" s="621"/>
      <c r="HZ1" s="621"/>
      <c r="IA1" s="621"/>
      <c r="IB1" s="621"/>
      <c r="IC1" s="621"/>
      <c r="ID1" s="621"/>
      <c r="IE1" s="621"/>
      <c r="IF1" s="621"/>
      <c r="IG1" s="621"/>
      <c r="IH1" s="621"/>
      <c r="II1" s="621"/>
      <c r="IJ1" s="621"/>
      <c r="IK1" s="621"/>
      <c r="IL1" s="621"/>
      <c r="IM1" s="621"/>
      <c r="IN1" s="621"/>
      <c r="IO1" s="621"/>
      <c r="IP1" s="621"/>
      <c r="IQ1" s="621"/>
      <c r="IR1" s="621"/>
      <c r="IS1" s="621"/>
      <c r="IT1" s="621"/>
    </row>
    <row r="2" spans="1:254" ht="13.5" thickBot="1" x14ac:dyDescent="0.25">
      <c r="A2" s="182" t="s">
        <v>85</v>
      </c>
      <c r="B2" s="242" t="s">
        <v>572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ООО Индуст КОС (8616) 10.02.22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8616 ООО Индуст КОС 10.02.22</v>
      </c>
      <c r="J3" s="622"/>
      <c r="K3" s="623"/>
      <c r="L3" s="624"/>
    </row>
    <row r="4" spans="1:254" x14ac:dyDescent="0.2">
      <c r="A4" s="182" t="s">
        <v>98</v>
      </c>
      <c r="B4" s="475" t="s">
        <v>573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650.600.1200.8</v>
      </c>
      <c r="J4" s="625"/>
      <c r="K4" s="626"/>
      <c r="L4" s="627"/>
    </row>
    <row r="5" spans="1:254" x14ac:dyDescent="0.2">
      <c r="A5" s="182" t="s">
        <v>168</v>
      </c>
      <c r="B5" s="475" t="s">
        <v>495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650.600.1200.8 (AISI 201; 0,37 кВт.; IP55; с ШУ и ВПУ)</v>
      </c>
      <c r="J5" s="625"/>
      <c r="K5" s="626"/>
      <c r="L5" s="627"/>
    </row>
    <row r="6" spans="1:254" x14ac:dyDescent="0.2">
      <c r="A6" s="182" t="s">
        <v>99</v>
      </c>
      <c r="B6" s="475" t="s">
        <v>574</v>
      </c>
      <c r="C6" s="243"/>
      <c r="D6" s="244"/>
      <c r="E6" s="181"/>
      <c r="F6" s="181"/>
      <c r="G6" s="181"/>
      <c r="H6" s="181"/>
      <c r="I6" s="181"/>
      <c r="J6" s="625"/>
      <c r="K6" s="626"/>
      <c r="L6" s="627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 t="s">
        <v>575</v>
      </c>
      <c r="C7" s="243"/>
      <c r="D7" s="244"/>
      <c r="E7" s="181"/>
      <c r="F7" s="181"/>
      <c r="G7" s="181"/>
      <c r="H7" s="181"/>
      <c r="I7" s="181"/>
      <c r="J7" s="625"/>
      <c r="K7" s="626"/>
      <c r="L7" s="627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>
        <v>0</v>
      </c>
      <c r="C8" s="243"/>
      <c r="D8" s="244"/>
      <c r="E8" s="181"/>
      <c r="F8" s="181"/>
      <c r="G8" s="181"/>
      <c r="H8" s="181"/>
      <c r="I8" s="181"/>
      <c r="J8" s="628"/>
      <c r="K8" s="629"/>
      <c r="L8" s="630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8616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576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516</v>
      </c>
      <c r="B11" s="475" t="s">
        <v>517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21"/>
      <c r="K13" s="621"/>
      <c r="L13" s="621"/>
      <c r="M13" s="621"/>
      <c r="N13" s="621"/>
      <c r="O13" s="621"/>
      <c r="P13" s="621"/>
      <c r="Q13" s="621"/>
      <c r="R13" s="621"/>
      <c r="S13" s="621"/>
      <c r="T13" s="621"/>
      <c r="U13" s="621"/>
      <c r="V13" s="621"/>
      <c r="W13" s="621"/>
      <c r="X13" s="621"/>
      <c r="Y13" s="621"/>
      <c r="Z13" s="621"/>
      <c r="AA13" s="621"/>
      <c r="AB13" s="621"/>
      <c r="AC13" s="621"/>
      <c r="AD13" s="621"/>
      <c r="AE13" s="621"/>
      <c r="AF13" s="621"/>
      <c r="AG13" s="621"/>
      <c r="AH13" s="621"/>
      <c r="AI13" s="621"/>
      <c r="AJ13" s="621"/>
      <c r="AK13" s="621"/>
      <c r="AL13" s="621"/>
      <c r="AM13" s="621"/>
      <c r="AN13" s="621"/>
      <c r="AO13" s="621"/>
      <c r="AP13" s="621"/>
      <c r="AQ13" s="621"/>
      <c r="AR13" s="621"/>
      <c r="AS13" s="621"/>
      <c r="AT13" s="621"/>
      <c r="AU13" s="621"/>
      <c r="AV13" s="621"/>
      <c r="AW13" s="621"/>
      <c r="AX13" s="621"/>
      <c r="AY13" s="621"/>
      <c r="AZ13" s="621"/>
      <c r="BA13" s="621"/>
      <c r="BB13" s="621"/>
      <c r="BC13" s="621"/>
      <c r="BD13" s="621"/>
      <c r="BE13" s="621"/>
      <c r="BF13" s="621"/>
      <c r="BG13" s="621"/>
      <c r="BH13" s="621"/>
      <c r="BI13" s="621"/>
      <c r="BJ13" s="621"/>
      <c r="BK13" s="621"/>
      <c r="BL13" s="621"/>
      <c r="BM13" s="621"/>
      <c r="BN13" s="621"/>
      <c r="BO13" s="621"/>
      <c r="BP13" s="621"/>
      <c r="BQ13" s="621"/>
      <c r="BR13" s="621"/>
      <c r="BS13" s="621"/>
      <c r="BT13" s="621"/>
      <c r="BU13" s="621"/>
      <c r="BV13" s="621"/>
      <c r="BW13" s="621"/>
      <c r="BX13" s="621"/>
      <c r="BY13" s="621"/>
      <c r="BZ13" s="621"/>
      <c r="CA13" s="621"/>
      <c r="CB13" s="621"/>
      <c r="CC13" s="621"/>
      <c r="CD13" s="621"/>
      <c r="CE13" s="621"/>
      <c r="CF13" s="621"/>
      <c r="CG13" s="621"/>
      <c r="CH13" s="621"/>
      <c r="CI13" s="621"/>
      <c r="CJ13" s="621"/>
      <c r="CK13" s="621"/>
      <c r="CL13" s="621"/>
      <c r="CM13" s="621"/>
      <c r="CN13" s="621"/>
      <c r="CO13" s="621"/>
      <c r="CP13" s="621"/>
      <c r="CQ13" s="621"/>
      <c r="CR13" s="621"/>
      <c r="CS13" s="621"/>
      <c r="CT13" s="621"/>
      <c r="CU13" s="621"/>
      <c r="CV13" s="621"/>
      <c r="CW13" s="621"/>
      <c r="CX13" s="621"/>
      <c r="CY13" s="621"/>
      <c r="CZ13" s="621"/>
      <c r="DA13" s="621"/>
      <c r="DB13" s="621"/>
      <c r="DC13" s="621"/>
      <c r="DD13" s="621"/>
      <c r="DE13" s="621"/>
      <c r="DF13" s="621"/>
      <c r="DG13" s="621"/>
      <c r="DH13" s="621"/>
      <c r="DI13" s="621"/>
      <c r="DJ13" s="621"/>
      <c r="DK13" s="621"/>
      <c r="DL13" s="621"/>
      <c r="DM13" s="621"/>
      <c r="DN13" s="621"/>
      <c r="DO13" s="621"/>
      <c r="DP13" s="621"/>
      <c r="DQ13" s="621"/>
      <c r="DR13" s="621"/>
      <c r="DS13" s="621"/>
      <c r="DT13" s="621"/>
      <c r="DU13" s="621"/>
      <c r="DV13" s="621"/>
      <c r="DW13" s="621"/>
      <c r="DX13" s="621"/>
      <c r="DY13" s="621"/>
      <c r="DZ13" s="621"/>
      <c r="EA13" s="621"/>
      <c r="EB13" s="621"/>
      <c r="EC13" s="621"/>
      <c r="ED13" s="621"/>
      <c r="EE13" s="621"/>
      <c r="EF13" s="621"/>
      <c r="EG13" s="621"/>
      <c r="EH13" s="621"/>
      <c r="EI13" s="621"/>
      <c r="EJ13" s="621"/>
      <c r="EK13" s="621"/>
      <c r="EL13" s="621"/>
      <c r="EM13" s="621"/>
      <c r="EN13" s="621"/>
      <c r="EO13" s="621"/>
      <c r="EP13" s="621"/>
      <c r="EQ13" s="621"/>
      <c r="ER13" s="621"/>
      <c r="ES13" s="621"/>
      <c r="ET13" s="621"/>
      <c r="EU13" s="621"/>
      <c r="EV13" s="621"/>
      <c r="EW13" s="621"/>
      <c r="EX13" s="621"/>
      <c r="EY13" s="621"/>
      <c r="EZ13" s="621"/>
      <c r="FA13" s="621"/>
      <c r="FB13" s="621"/>
      <c r="FC13" s="621"/>
      <c r="FD13" s="621"/>
      <c r="FE13" s="621"/>
      <c r="FF13" s="621"/>
      <c r="FG13" s="621"/>
      <c r="FH13" s="621"/>
      <c r="FI13" s="621"/>
      <c r="FJ13" s="621"/>
      <c r="FK13" s="621"/>
      <c r="FL13" s="621"/>
      <c r="FM13" s="621"/>
      <c r="FN13" s="621"/>
      <c r="FO13" s="621"/>
      <c r="FP13" s="621"/>
      <c r="FQ13" s="621"/>
      <c r="FR13" s="621"/>
      <c r="FS13" s="621"/>
      <c r="FT13" s="621"/>
      <c r="FU13" s="621"/>
      <c r="FV13" s="621"/>
      <c r="FW13" s="621"/>
      <c r="FX13" s="621"/>
      <c r="FY13" s="621"/>
      <c r="FZ13" s="621"/>
      <c r="GA13" s="621"/>
      <c r="GB13" s="621"/>
      <c r="GC13" s="621"/>
      <c r="GD13" s="621"/>
      <c r="GE13" s="621"/>
      <c r="GF13" s="621"/>
      <c r="GG13" s="621"/>
      <c r="GH13" s="621"/>
      <c r="GI13" s="621"/>
      <c r="GJ13" s="621"/>
      <c r="GK13" s="621"/>
      <c r="GL13" s="621"/>
      <c r="GM13" s="621"/>
      <c r="GN13" s="621"/>
      <c r="GO13" s="621"/>
      <c r="GP13" s="621"/>
      <c r="GQ13" s="621"/>
      <c r="GR13" s="621"/>
      <c r="GS13" s="621"/>
      <c r="GT13" s="621"/>
      <c r="GU13" s="621"/>
      <c r="GV13" s="621"/>
      <c r="GW13" s="621"/>
      <c r="GX13" s="621"/>
      <c r="GY13" s="621"/>
      <c r="GZ13" s="621"/>
      <c r="HA13" s="621"/>
      <c r="HB13" s="621"/>
      <c r="HC13" s="621"/>
      <c r="HD13" s="621"/>
      <c r="HE13" s="621"/>
      <c r="HF13" s="621"/>
      <c r="HG13" s="621"/>
      <c r="HH13" s="621"/>
      <c r="HI13" s="621"/>
      <c r="HJ13" s="621"/>
      <c r="HK13" s="621"/>
      <c r="HL13" s="621"/>
      <c r="HM13" s="621"/>
      <c r="HN13" s="621"/>
      <c r="HO13" s="621"/>
      <c r="HP13" s="621"/>
      <c r="HQ13" s="621"/>
      <c r="HR13" s="621"/>
      <c r="HS13" s="621"/>
      <c r="HT13" s="621"/>
      <c r="HU13" s="621"/>
      <c r="HV13" s="621"/>
      <c r="HW13" s="621"/>
      <c r="HX13" s="621"/>
      <c r="HY13" s="621"/>
      <c r="HZ13" s="621"/>
      <c r="IA13" s="621"/>
      <c r="IB13" s="621"/>
      <c r="IC13" s="621"/>
      <c r="ID13" s="621"/>
      <c r="IE13" s="621"/>
      <c r="IF13" s="621"/>
      <c r="IG13" s="621"/>
      <c r="IH13" s="621"/>
      <c r="II13" s="621"/>
      <c r="IJ13" s="621"/>
      <c r="IK13" s="621"/>
      <c r="IL13" s="621"/>
      <c r="IM13" s="621"/>
      <c r="IN13" s="621"/>
      <c r="IO13" s="621"/>
      <c r="IP13" s="621"/>
      <c r="IQ13" s="621"/>
      <c r="IR13" s="621"/>
      <c r="IS13" s="621"/>
      <c r="IT13" s="62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650</v>
      </c>
      <c r="C16" s="190">
        <v>600</v>
      </c>
      <c r="D16" s="191">
        <v>1200</v>
      </c>
      <c r="E16" s="190">
        <v>8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31" t="s">
        <v>97</v>
      </c>
      <c r="B18" s="633" t="s">
        <v>476</v>
      </c>
      <c r="C18" s="634"/>
      <c r="D18" s="460">
        <f ca="1">ROUNDUP(ТХ!D70,1)</f>
        <v>344.4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32"/>
      <c r="B19" s="635" t="s">
        <v>374</v>
      </c>
      <c r="C19" s="636"/>
      <c r="D19" s="211">
        <f ca="1">ТХ!D74</f>
        <v>390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31" t="s">
        <v>460</v>
      </c>
      <c r="B20" s="633" t="s">
        <v>396</v>
      </c>
      <c r="C20" s="634"/>
      <c r="D20" s="213">
        <f>CEILING((C16+D16+900)/SIN(75*PI()/180)/10,5)*10</f>
        <v>2800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37"/>
      <c r="B21" s="619" t="s">
        <v>394</v>
      </c>
      <c r="C21" s="620"/>
      <c r="D21" s="210">
        <f>D20-650</f>
        <v>2150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32"/>
      <c r="B22" s="635" t="s">
        <v>395</v>
      </c>
      <c r="C22" s="636"/>
      <c r="D22" s="217">
        <f>C16-IF(C16&lt;=1200,0,250)</f>
        <v>600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38"/>
      <c r="B23" s="619" t="s">
        <v>274</v>
      </c>
      <c r="C23" s="620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31" t="s">
        <v>196</v>
      </c>
      <c r="B24" s="633" t="s">
        <v>197</v>
      </c>
      <c r="C24" s="634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37"/>
      <c r="B25" s="619" t="s">
        <v>198</v>
      </c>
      <c r="C25" s="620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32"/>
      <c r="B26" s="619" t="s">
        <v>178</v>
      </c>
      <c r="C26" s="620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38"/>
      <c r="B27" s="640" t="s">
        <v>462</v>
      </c>
      <c r="C27" s="641"/>
      <c r="D27" s="473" t="s">
        <v>571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39"/>
      <c r="K30" s="639"/>
      <c r="L30" s="639"/>
      <c r="M30" s="639"/>
      <c r="N30" s="639"/>
      <c r="O30" s="639"/>
      <c r="P30" s="639"/>
      <c r="Q30" s="639"/>
      <c r="R30" s="639"/>
      <c r="S30" s="639"/>
      <c r="T30" s="639"/>
      <c r="U30" s="639"/>
      <c r="V30" s="639"/>
      <c r="W30" s="639"/>
      <c r="X30" s="639"/>
      <c r="Y30" s="639"/>
      <c r="Z30" s="639"/>
      <c r="AA30" s="639"/>
      <c r="AB30" s="639"/>
      <c r="AC30" s="639"/>
      <c r="AD30" s="639"/>
      <c r="AE30" s="639"/>
      <c r="AF30" s="639"/>
      <c r="AG30" s="639"/>
      <c r="AH30" s="639"/>
      <c r="AI30" s="639"/>
      <c r="AJ30" s="639"/>
      <c r="AK30" s="639"/>
      <c r="AL30" s="639"/>
      <c r="AM30" s="639"/>
      <c r="AN30" s="639"/>
      <c r="AO30" s="639"/>
      <c r="AP30" s="639"/>
      <c r="AQ30" s="639"/>
      <c r="AR30" s="639"/>
      <c r="AS30" s="639"/>
      <c r="AT30" s="639"/>
      <c r="AU30" s="639"/>
      <c r="AV30" s="639"/>
      <c r="AW30" s="639"/>
      <c r="AX30" s="639"/>
      <c r="AY30" s="639"/>
      <c r="AZ30" s="639"/>
      <c r="BA30" s="639"/>
      <c r="BB30" s="639"/>
      <c r="BC30" s="639"/>
      <c r="BD30" s="639"/>
      <c r="BE30" s="639"/>
      <c r="BF30" s="639"/>
      <c r="BG30" s="639"/>
      <c r="BH30" s="639"/>
      <c r="BI30" s="639"/>
      <c r="BJ30" s="639"/>
      <c r="BK30" s="639"/>
      <c r="BL30" s="639"/>
      <c r="BM30" s="639"/>
      <c r="BN30" s="639"/>
      <c r="BO30" s="639"/>
      <c r="BP30" s="639"/>
      <c r="BQ30" s="639"/>
      <c r="BR30" s="639"/>
      <c r="BS30" s="639"/>
      <c r="BT30" s="639"/>
      <c r="BU30" s="639"/>
      <c r="BV30" s="639"/>
      <c r="BW30" s="639"/>
      <c r="BX30" s="639"/>
      <c r="BY30" s="639"/>
      <c r="BZ30" s="639"/>
      <c r="CA30" s="639"/>
      <c r="CB30" s="639"/>
      <c r="CC30" s="639"/>
      <c r="CD30" s="639"/>
      <c r="CE30" s="639"/>
      <c r="CF30" s="639"/>
      <c r="CG30" s="639"/>
      <c r="CH30" s="639"/>
      <c r="CI30" s="639"/>
      <c r="CJ30" s="639"/>
      <c r="CK30" s="639"/>
      <c r="CL30" s="639"/>
      <c r="CM30" s="639"/>
      <c r="CN30" s="639"/>
      <c r="CO30" s="639"/>
      <c r="CP30" s="639"/>
      <c r="CQ30" s="639"/>
      <c r="CR30" s="639"/>
      <c r="CS30" s="639"/>
      <c r="CT30" s="639"/>
      <c r="CU30" s="639"/>
      <c r="CV30" s="639"/>
      <c r="CW30" s="639"/>
      <c r="CX30" s="639"/>
      <c r="CY30" s="639"/>
      <c r="CZ30" s="639"/>
      <c r="DA30" s="639"/>
      <c r="DB30" s="639"/>
      <c r="DC30" s="639"/>
      <c r="DD30" s="639"/>
      <c r="DE30" s="639"/>
      <c r="DF30" s="639"/>
      <c r="DG30" s="639"/>
      <c r="DH30" s="639"/>
      <c r="DI30" s="639"/>
      <c r="DJ30" s="639"/>
      <c r="DK30" s="639"/>
      <c r="DL30" s="639"/>
      <c r="DM30" s="639"/>
      <c r="DN30" s="639"/>
      <c r="DO30" s="639"/>
      <c r="DP30" s="639"/>
      <c r="DQ30" s="639"/>
      <c r="DR30" s="639"/>
      <c r="DS30" s="639"/>
      <c r="DT30" s="639"/>
      <c r="DU30" s="639"/>
      <c r="DV30" s="639"/>
      <c r="DW30" s="639"/>
      <c r="DX30" s="639"/>
      <c r="DY30" s="639"/>
      <c r="DZ30" s="639"/>
      <c r="EA30" s="639"/>
      <c r="EB30" s="639"/>
      <c r="EC30" s="639"/>
      <c r="ED30" s="639"/>
      <c r="EE30" s="639"/>
      <c r="EF30" s="639"/>
      <c r="EG30" s="639"/>
      <c r="EH30" s="639"/>
      <c r="EI30" s="639"/>
      <c r="EJ30" s="639"/>
      <c r="EK30" s="639"/>
      <c r="EL30" s="639"/>
      <c r="EM30" s="639"/>
      <c r="EN30" s="639"/>
      <c r="EO30" s="639"/>
      <c r="EP30" s="639"/>
      <c r="EQ30" s="639"/>
      <c r="ER30" s="639"/>
      <c r="ES30" s="639"/>
      <c r="ET30" s="639"/>
      <c r="EU30" s="639"/>
      <c r="EV30" s="639"/>
      <c r="EW30" s="639"/>
      <c r="EX30" s="639"/>
      <c r="EY30" s="639"/>
      <c r="EZ30" s="639"/>
      <c r="FA30" s="639"/>
      <c r="FB30" s="639"/>
      <c r="FC30" s="639"/>
      <c r="FD30" s="639"/>
      <c r="FE30" s="639"/>
      <c r="FF30" s="639"/>
      <c r="FG30" s="639"/>
      <c r="FH30" s="639"/>
      <c r="FI30" s="639"/>
      <c r="FJ30" s="639"/>
      <c r="FK30" s="639"/>
      <c r="FL30" s="639"/>
      <c r="FM30" s="639"/>
      <c r="FN30" s="639"/>
      <c r="FO30" s="639"/>
      <c r="FP30" s="639"/>
      <c r="FQ30" s="639"/>
      <c r="FR30" s="639"/>
      <c r="FS30" s="639"/>
      <c r="FT30" s="639"/>
      <c r="FU30" s="639"/>
      <c r="FV30" s="639"/>
      <c r="FW30" s="639"/>
      <c r="FX30" s="639"/>
      <c r="FY30" s="639"/>
      <c r="FZ30" s="639"/>
      <c r="GA30" s="639"/>
      <c r="GB30" s="639"/>
      <c r="GC30" s="639"/>
      <c r="GD30" s="639"/>
      <c r="GE30" s="639"/>
      <c r="GF30" s="639"/>
      <c r="GG30" s="639"/>
      <c r="GH30" s="639"/>
      <c r="GI30" s="639"/>
      <c r="GJ30" s="639"/>
      <c r="GK30" s="639"/>
      <c r="GL30" s="639"/>
      <c r="GM30" s="639"/>
      <c r="GN30" s="639"/>
      <c r="GO30" s="639"/>
      <c r="GP30" s="639"/>
      <c r="GQ30" s="639"/>
      <c r="GR30" s="639"/>
      <c r="GS30" s="639"/>
      <c r="GT30" s="639"/>
      <c r="GU30" s="639"/>
      <c r="GV30" s="639"/>
      <c r="GW30" s="639"/>
      <c r="GX30" s="639"/>
      <c r="GY30" s="639"/>
      <c r="GZ30" s="639"/>
      <c r="HA30" s="639"/>
      <c r="HB30" s="639"/>
      <c r="HC30" s="639"/>
      <c r="HD30" s="639"/>
      <c r="HE30" s="639"/>
      <c r="HF30" s="639"/>
      <c r="HG30" s="639"/>
      <c r="HH30" s="639"/>
      <c r="HI30" s="639"/>
      <c r="HJ30" s="639"/>
      <c r="HK30" s="639"/>
      <c r="HL30" s="639"/>
      <c r="HM30" s="639"/>
      <c r="HN30" s="639"/>
      <c r="HO30" s="639"/>
      <c r="HP30" s="639"/>
      <c r="HQ30" s="639"/>
      <c r="HR30" s="639"/>
      <c r="HS30" s="639"/>
      <c r="HT30" s="639"/>
      <c r="HU30" s="639"/>
      <c r="HV30" s="639"/>
      <c r="HW30" s="639"/>
      <c r="HX30" s="639"/>
      <c r="HY30" s="639"/>
      <c r="HZ30" s="639"/>
      <c r="IA30" s="639"/>
      <c r="IB30" s="639"/>
      <c r="IC30" s="639"/>
      <c r="ID30" s="639"/>
      <c r="IE30" s="639"/>
      <c r="IF30" s="639"/>
      <c r="IG30" s="639"/>
      <c r="IH30" s="639"/>
      <c r="II30" s="639"/>
      <c r="IJ30" s="639"/>
      <c r="IK30" s="639"/>
      <c r="IL30" s="639"/>
      <c r="IM30" s="639"/>
      <c r="IN30" s="639"/>
      <c r="IO30" s="639"/>
      <c r="IP30" s="639"/>
      <c r="IQ30" s="639"/>
      <c r="IR30" s="639"/>
      <c r="IS30" s="639"/>
      <c r="IT30" s="639"/>
    </row>
    <row r="31" spans="1:254" s="199" customFormat="1" ht="16.5" customHeight="1" thickBot="1" x14ac:dyDescent="0.4">
      <c r="A31" s="197"/>
      <c r="B31" s="197"/>
      <c r="C31" s="215">
        <f ca="1">SUM(C33:C36)</f>
        <v>228180.30000000002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206 н.ч.</v>
      </c>
      <c r="C33" s="209">
        <f>ФОТ!C37</f>
        <v>63575</v>
      </c>
    </row>
    <row r="34" spans="1:254" x14ac:dyDescent="0.2">
      <c r="A34" s="71" t="s">
        <v>177</v>
      </c>
      <c r="B34" s="110" t="str">
        <f ca="1">CONCATENATE(ROUNDUP(C34/Параметры!B3,0)," н.ч.")</f>
        <v>13 н.ч.</v>
      </c>
      <c r="C34" s="209">
        <f ca="1">ФОТ!C54</f>
        <v>3740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147265.30000000002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42"/>
      <c r="K38" s="642"/>
      <c r="L38" s="642"/>
      <c r="M38" s="642"/>
      <c r="N38" s="642"/>
      <c r="O38" s="642"/>
      <c r="P38" s="642"/>
      <c r="Q38" s="642"/>
      <c r="R38" s="642"/>
      <c r="S38" s="642"/>
      <c r="T38" s="642"/>
      <c r="U38" s="642"/>
      <c r="V38" s="642"/>
      <c r="W38" s="642"/>
      <c r="X38" s="642"/>
      <c r="Y38" s="642"/>
      <c r="Z38" s="642"/>
      <c r="AA38" s="642"/>
      <c r="AB38" s="642"/>
      <c r="AC38" s="642"/>
      <c r="AD38" s="642"/>
      <c r="AE38" s="642"/>
      <c r="AF38" s="642"/>
      <c r="AG38" s="642"/>
      <c r="AH38" s="642"/>
      <c r="AI38" s="642"/>
      <c r="AJ38" s="642"/>
      <c r="AK38" s="642"/>
      <c r="AL38" s="642"/>
      <c r="AM38" s="642"/>
      <c r="AN38" s="642"/>
      <c r="AO38" s="642"/>
      <c r="AP38" s="642"/>
      <c r="AQ38" s="642"/>
      <c r="AR38" s="642"/>
      <c r="AS38" s="642"/>
      <c r="AT38" s="642"/>
      <c r="AU38" s="642"/>
      <c r="AV38" s="642"/>
      <c r="AW38" s="642"/>
      <c r="AX38" s="642"/>
      <c r="AY38" s="642"/>
      <c r="AZ38" s="642"/>
      <c r="BA38" s="642"/>
      <c r="BB38" s="642"/>
      <c r="BC38" s="642"/>
      <c r="BD38" s="642"/>
      <c r="BE38" s="642"/>
      <c r="BF38" s="642"/>
      <c r="BG38" s="642"/>
      <c r="BH38" s="642"/>
      <c r="BI38" s="642"/>
      <c r="BJ38" s="642"/>
      <c r="BK38" s="642"/>
      <c r="BL38" s="642"/>
      <c r="BM38" s="642"/>
      <c r="BN38" s="642"/>
      <c r="BO38" s="642"/>
      <c r="BP38" s="642"/>
      <c r="BQ38" s="642"/>
      <c r="BR38" s="642"/>
      <c r="BS38" s="642"/>
      <c r="BT38" s="642"/>
      <c r="BU38" s="642"/>
      <c r="BV38" s="642"/>
      <c r="BW38" s="642"/>
      <c r="BX38" s="642"/>
      <c r="BY38" s="642"/>
      <c r="BZ38" s="642"/>
      <c r="CA38" s="642"/>
      <c r="CB38" s="642"/>
      <c r="CC38" s="642"/>
      <c r="CD38" s="642"/>
      <c r="CE38" s="642"/>
      <c r="CF38" s="642"/>
      <c r="CG38" s="642"/>
      <c r="CH38" s="642"/>
      <c r="CI38" s="642"/>
      <c r="CJ38" s="642"/>
      <c r="CK38" s="642"/>
      <c r="CL38" s="642"/>
      <c r="CM38" s="642"/>
      <c r="CN38" s="642"/>
      <c r="CO38" s="642"/>
      <c r="CP38" s="642"/>
      <c r="CQ38" s="642"/>
      <c r="CR38" s="642"/>
      <c r="CS38" s="642"/>
      <c r="CT38" s="642"/>
      <c r="CU38" s="642"/>
      <c r="CV38" s="642"/>
      <c r="CW38" s="642"/>
      <c r="CX38" s="642"/>
      <c r="CY38" s="642"/>
      <c r="CZ38" s="642"/>
      <c r="DA38" s="642"/>
      <c r="DB38" s="642"/>
      <c r="DC38" s="642"/>
      <c r="DD38" s="642"/>
      <c r="DE38" s="642"/>
      <c r="DF38" s="642"/>
      <c r="DG38" s="642"/>
      <c r="DH38" s="642"/>
      <c r="DI38" s="642"/>
      <c r="DJ38" s="642"/>
      <c r="DK38" s="642"/>
      <c r="DL38" s="642"/>
      <c r="DM38" s="642"/>
      <c r="DN38" s="642"/>
      <c r="DO38" s="642"/>
      <c r="DP38" s="642"/>
      <c r="DQ38" s="642"/>
      <c r="DR38" s="642"/>
      <c r="DS38" s="642"/>
      <c r="DT38" s="642"/>
      <c r="DU38" s="642"/>
      <c r="DV38" s="642"/>
      <c r="DW38" s="642"/>
      <c r="DX38" s="642"/>
      <c r="DY38" s="642"/>
      <c r="DZ38" s="642"/>
      <c r="EA38" s="642"/>
      <c r="EB38" s="642"/>
      <c r="EC38" s="642"/>
      <c r="ED38" s="642"/>
      <c r="EE38" s="642"/>
      <c r="EF38" s="642"/>
      <c r="EG38" s="642"/>
      <c r="EH38" s="642"/>
      <c r="EI38" s="642"/>
      <c r="EJ38" s="642"/>
      <c r="EK38" s="642"/>
      <c r="EL38" s="642"/>
      <c r="EM38" s="642"/>
      <c r="EN38" s="642"/>
      <c r="EO38" s="642"/>
      <c r="EP38" s="642"/>
      <c r="EQ38" s="642"/>
      <c r="ER38" s="642"/>
      <c r="ES38" s="642"/>
      <c r="ET38" s="642"/>
      <c r="EU38" s="642"/>
      <c r="EV38" s="642"/>
      <c r="EW38" s="642"/>
      <c r="EX38" s="642"/>
      <c r="EY38" s="642"/>
      <c r="EZ38" s="642"/>
      <c r="FA38" s="642"/>
      <c r="FB38" s="642"/>
      <c r="FC38" s="642"/>
      <c r="FD38" s="642"/>
      <c r="FE38" s="642"/>
      <c r="FF38" s="642"/>
      <c r="FG38" s="642"/>
      <c r="FH38" s="642"/>
      <c r="FI38" s="642"/>
      <c r="FJ38" s="642"/>
      <c r="FK38" s="642"/>
      <c r="FL38" s="642"/>
      <c r="FM38" s="642"/>
      <c r="FN38" s="642"/>
      <c r="FO38" s="642"/>
      <c r="FP38" s="642"/>
      <c r="FQ38" s="642"/>
      <c r="FR38" s="642"/>
      <c r="FS38" s="642"/>
      <c r="FT38" s="642"/>
      <c r="FU38" s="642"/>
      <c r="FV38" s="642"/>
      <c r="FW38" s="642"/>
      <c r="FX38" s="642"/>
      <c r="FY38" s="642"/>
      <c r="FZ38" s="642"/>
      <c r="GA38" s="642"/>
      <c r="GB38" s="642"/>
      <c r="GC38" s="642"/>
      <c r="GD38" s="642"/>
      <c r="GE38" s="642"/>
      <c r="GF38" s="642"/>
      <c r="GG38" s="642"/>
      <c r="GH38" s="642"/>
      <c r="GI38" s="642"/>
      <c r="GJ38" s="642"/>
      <c r="GK38" s="642"/>
      <c r="GL38" s="642"/>
      <c r="GM38" s="642"/>
      <c r="GN38" s="642"/>
      <c r="GO38" s="642"/>
      <c r="GP38" s="642"/>
      <c r="GQ38" s="642"/>
      <c r="GR38" s="642"/>
      <c r="GS38" s="642"/>
      <c r="GT38" s="642"/>
      <c r="GU38" s="642"/>
      <c r="GV38" s="642"/>
      <c r="GW38" s="642"/>
      <c r="GX38" s="642"/>
      <c r="GY38" s="642"/>
      <c r="GZ38" s="642"/>
      <c r="HA38" s="642"/>
      <c r="HB38" s="642"/>
      <c r="HC38" s="642"/>
      <c r="HD38" s="642"/>
      <c r="HE38" s="642"/>
      <c r="HF38" s="642"/>
      <c r="HG38" s="642"/>
      <c r="HH38" s="642"/>
      <c r="HI38" s="642"/>
      <c r="HJ38" s="642"/>
      <c r="HK38" s="642"/>
      <c r="HL38" s="642"/>
      <c r="HM38" s="642"/>
      <c r="HN38" s="642"/>
      <c r="HO38" s="642"/>
      <c r="HP38" s="642"/>
      <c r="HQ38" s="642"/>
      <c r="HR38" s="642"/>
      <c r="HS38" s="642"/>
      <c r="HT38" s="642"/>
      <c r="HU38" s="642"/>
      <c r="HV38" s="642"/>
      <c r="HW38" s="642"/>
      <c r="HX38" s="642"/>
      <c r="HY38" s="642"/>
      <c r="HZ38" s="642"/>
      <c r="IA38" s="642"/>
      <c r="IB38" s="642"/>
      <c r="IC38" s="642"/>
      <c r="ID38" s="642"/>
      <c r="IE38" s="642"/>
      <c r="IF38" s="642"/>
      <c r="IG38" s="642"/>
      <c r="IH38" s="642"/>
      <c r="II38" s="642"/>
      <c r="IJ38" s="642"/>
      <c r="IK38" s="642"/>
      <c r="IL38" s="642"/>
      <c r="IM38" s="642"/>
      <c r="IN38" s="642"/>
      <c r="IO38" s="642"/>
      <c r="IP38" s="642"/>
      <c r="IQ38" s="642"/>
      <c r="IR38" s="642"/>
      <c r="IS38" s="642"/>
      <c r="IT38" s="642"/>
    </row>
    <row r="39" spans="1:254" s="199" customFormat="1" ht="16.5" customHeight="1" thickBot="1" x14ac:dyDescent="0.4">
      <c r="A39" s="197"/>
      <c r="B39" s="197"/>
      <c r="C39" s="215">
        <f ca="1">SUM(C41:C47)</f>
        <v>339594.46666666667</v>
      </c>
      <c r="D39" s="215">
        <f ca="1">SUM(D41:D47)</f>
        <v>407513.36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84050</v>
      </c>
      <c r="D41" s="209">
        <f t="shared" ref="D41:D47" ca="1" si="0">C41*1.2</f>
        <v>100860</v>
      </c>
    </row>
    <row r="42" spans="1:254" x14ac:dyDescent="0.2">
      <c r="A42" t="str">
        <f>CONCATENATE("Цепи (",РГО!B7," м.п.)")</f>
        <v>Цепи (11 м.п.)</v>
      </c>
      <c r="B42" s="4"/>
      <c r="C42" s="209">
        <f ca="1">РГО!B8</f>
        <v>44275</v>
      </c>
      <c r="D42" s="209">
        <f t="shared" ca="1" si="0"/>
        <v>53130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9892</v>
      </c>
      <c r="D47" s="209">
        <f t="shared" ca="1" si="0"/>
        <v>11870.4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567775</v>
      </c>
      <c r="D49" s="214">
        <f ca="1">C49*1.2</f>
        <v>681330</v>
      </c>
      <c r="E49" s="202"/>
      <c r="F49" s="202"/>
      <c r="G49" s="202"/>
      <c r="H49" s="202"/>
      <c r="I49" s="202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21"/>
      <c r="AB49" s="621"/>
      <c r="AC49" s="621"/>
      <c r="AD49" s="621"/>
      <c r="AE49" s="621"/>
      <c r="AF49" s="621"/>
      <c r="AG49" s="621"/>
      <c r="AH49" s="621"/>
      <c r="AI49" s="621"/>
      <c r="AJ49" s="621"/>
      <c r="AK49" s="621"/>
      <c r="AL49" s="621"/>
      <c r="AM49" s="621"/>
      <c r="AN49" s="621"/>
      <c r="AO49" s="621"/>
      <c r="AP49" s="621"/>
      <c r="AQ49" s="621"/>
      <c r="AR49" s="621"/>
      <c r="AS49" s="621"/>
      <c r="AT49" s="621"/>
      <c r="AU49" s="621"/>
      <c r="AV49" s="621"/>
      <c r="AW49" s="621"/>
      <c r="AX49" s="621"/>
      <c r="AY49" s="621"/>
      <c r="AZ49" s="621"/>
      <c r="BA49" s="621"/>
      <c r="BB49" s="621"/>
      <c r="BC49" s="621"/>
      <c r="BD49" s="621"/>
      <c r="BE49" s="621"/>
      <c r="BF49" s="621"/>
      <c r="BG49" s="621"/>
      <c r="BH49" s="621"/>
      <c r="BI49" s="621"/>
      <c r="BJ49" s="621"/>
      <c r="BK49" s="621"/>
      <c r="BL49" s="621"/>
      <c r="BM49" s="621"/>
      <c r="BN49" s="621"/>
      <c r="BO49" s="621"/>
      <c r="BP49" s="621"/>
      <c r="BQ49" s="621"/>
      <c r="BR49" s="621"/>
      <c r="BS49" s="621"/>
      <c r="BT49" s="621"/>
      <c r="BU49" s="621"/>
      <c r="BV49" s="621"/>
      <c r="BW49" s="621"/>
      <c r="BX49" s="621"/>
      <c r="BY49" s="621"/>
      <c r="BZ49" s="621"/>
      <c r="CA49" s="621"/>
      <c r="CB49" s="621"/>
      <c r="CC49" s="621"/>
      <c r="CD49" s="621"/>
      <c r="CE49" s="621"/>
      <c r="CF49" s="621"/>
      <c r="CG49" s="621"/>
      <c r="CH49" s="621"/>
      <c r="CI49" s="621"/>
      <c r="CJ49" s="621"/>
      <c r="CK49" s="621"/>
      <c r="CL49" s="621"/>
      <c r="CM49" s="621"/>
      <c r="CN49" s="621"/>
      <c r="CO49" s="621"/>
      <c r="CP49" s="621"/>
      <c r="CQ49" s="621"/>
      <c r="CR49" s="621"/>
      <c r="CS49" s="621"/>
      <c r="CT49" s="621"/>
      <c r="CU49" s="621"/>
      <c r="CV49" s="621"/>
      <c r="CW49" s="621"/>
      <c r="CX49" s="621"/>
      <c r="CY49" s="621"/>
      <c r="CZ49" s="621"/>
      <c r="DA49" s="621"/>
      <c r="DB49" s="621"/>
      <c r="DC49" s="621"/>
      <c r="DD49" s="621"/>
      <c r="DE49" s="621"/>
      <c r="DF49" s="621"/>
      <c r="DG49" s="621"/>
      <c r="DH49" s="621"/>
      <c r="DI49" s="621"/>
      <c r="DJ49" s="621"/>
      <c r="DK49" s="621"/>
      <c r="DL49" s="621"/>
      <c r="DM49" s="621"/>
      <c r="DN49" s="621"/>
      <c r="DO49" s="621"/>
      <c r="DP49" s="621"/>
      <c r="DQ49" s="621"/>
      <c r="DR49" s="621"/>
      <c r="DS49" s="621"/>
      <c r="DT49" s="621"/>
      <c r="DU49" s="621"/>
      <c r="DV49" s="621"/>
      <c r="DW49" s="621"/>
      <c r="DX49" s="621"/>
      <c r="DY49" s="621"/>
      <c r="DZ49" s="621"/>
      <c r="EA49" s="621"/>
      <c r="EB49" s="621"/>
      <c r="EC49" s="621"/>
      <c r="ED49" s="621"/>
      <c r="EE49" s="621"/>
      <c r="EF49" s="621"/>
      <c r="EG49" s="621"/>
      <c r="EH49" s="621"/>
      <c r="EI49" s="621"/>
      <c r="EJ49" s="621"/>
      <c r="EK49" s="621"/>
      <c r="EL49" s="621"/>
      <c r="EM49" s="621"/>
      <c r="EN49" s="621"/>
      <c r="EO49" s="621"/>
      <c r="EP49" s="621"/>
      <c r="EQ49" s="621"/>
      <c r="ER49" s="621"/>
      <c r="ES49" s="621"/>
      <c r="ET49" s="621"/>
      <c r="EU49" s="621"/>
      <c r="EV49" s="621"/>
      <c r="EW49" s="621"/>
      <c r="EX49" s="621"/>
      <c r="EY49" s="621"/>
      <c r="EZ49" s="621"/>
      <c r="FA49" s="621"/>
      <c r="FB49" s="621"/>
      <c r="FC49" s="621"/>
      <c r="FD49" s="621"/>
      <c r="FE49" s="621"/>
      <c r="FF49" s="621"/>
      <c r="FG49" s="621"/>
      <c r="FH49" s="621"/>
      <c r="FI49" s="621"/>
      <c r="FJ49" s="621"/>
      <c r="FK49" s="621"/>
      <c r="FL49" s="621"/>
      <c r="FM49" s="621"/>
      <c r="FN49" s="621"/>
      <c r="FO49" s="621"/>
      <c r="FP49" s="621"/>
      <c r="FQ49" s="621"/>
      <c r="FR49" s="621"/>
      <c r="FS49" s="621"/>
      <c r="FT49" s="621"/>
      <c r="FU49" s="621"/>
      <c r="FV49" s="621"/>
      <c r="FW49" s="621"/>
      <c r="FX49" s="621"/>
      <c r="FY49" s="621"/>
      <c r="FZ49" s="621"/>
      <c r="GA49" s="621"/>
      <c r="GB49" s="621"/>
      <c r="GC49" s="621"/>
      <c r="GD49" s="621"/>
      <c r="GE49" s="621"/>
      <c r="GF49" s="621"/>
      <c r="GG49" s="621"/>
      <c r="GH49" s="621"/>
      <c r="GI49" s="621"/>
      <c r="GJ49" s="621"/>
      <c r="GK49" s="621"/>
      <c r="GL49" s="621"/>
      <c r="GM49" s="621"/>
      <c r="GN49" s="621"/>
      <c r="GO49" s="621"/>
      <c r="GP49" s="621"/>
      <c r="GQ49" s="621"/>
      <c r="GR49" s="621"/>
      <c r="GS49" s="621"/>
      <c r="GT49" s="621"/>
      <c r="GU49" s="621"/>
      <c r="GV49" s="621"/>
      <c r="GW49" s="621"/>
      <c r="GX49" s="621"/>
      <c r="GY49" s="621"/>
      <c r="GZ49" s="621"/>
      <c r="HA49" s="621"/>
      <c r="HB49" s="621"/>
      <c r="HC49" s="621"/>
      <c r="HD49" s="621"/>
      <c r="HE49" s="621"/>
      <c r="HF49" s="621"/>
      <c r="HG49" s="621"/>
      <c r="HH49" s="621"/>
      <c r="HI49" s="621"/>
      <c r="HJ49" s="621"/>
      <c r="HK49" s="621"/>
      <c r="HL49" s="621"/>
      <c r="HM49" s="621"/>
      <c r="HN49" s="621"/>
      <c r="HO49" s="621"/>
      <c r="HP49" s="621"/>
      <c r="HQ49" s="621"/>
      <c r="HR49" s="621"/>
      <c r="HS49" s="621"/>
      <c r="HT49" s="621"/>
      <c r="HU49" s="621"/>
      <c r="HV49" s="621"/>
      <c r="HW49" s="621"/>
      <c r="HX49" s="621"/>
      <c r="HY49" s="621"/>
      <c r="HZ49" s="621"/>
      <c r="IA49" s="621"/>
      <c r="IB49" s="621"/>
      <c r="IC49" s="621"/>
      <c r="ID49" s="621"/>
      <c r="IE49" s="621"/>
      <c r="IF49" s="621"/>
      <c r="IG49" s="621"/>
      <c r="IH49" s="621"/>
      <c r="II49" s="621"/>
      <c r="IJ49" s="621"/>
      <c r="IK49" s="621"/>
      <c r="IL49" s="621"/>
      <c r="IM49" s="621"/>
      <c r="IN49" s="621"/>
      <c r="IO49" s="621"/>
      <c r="IP49" s="621"/>
      <c r="IQ49" s="621"/>
      <c r="IR49" s="621"/>
      <c r="IS49" s="621"/>
      <c r="IT49" s="62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42"/>
      <c r="AB51" s="642"/>
      <c r="AC51" s="642"/>
      <c r="AD51" s="642"/>
      <c r="AE51" s="642"/>
      <c r="AF51" s="642"/>
      <c r="AG51" s="642"/>
      <c r="AH51" s="642"/>
      <c r="AI51" s="642"/>
      <c r="AJ51" s="642"/>
      <c r="AK51" s="642"/>
      <c r="AL51" s="642"/>
      <c r="AM51" s="642"/>
      <c r="AN51" s="642"/>
      <c r="AO51" s="642"/>
      <c r="AP51" s="642"/>
      <c r="AQ51" s="642"/>
      <c r="AR51" s="642"/>
      <c r="AS51" s="642"/>
      <c r="AT51" s="642"/>
      <c r="AU51" s="642"/>
      <c r="AV51" s="642"/>
      <c r="AW51" s="642"/>
      <c r="AX51" s="642"/>
      <c r="AY51" s="642"/>
      <c r="AZ51" s="642"/>
      <c r="BA51" s="642"/>
      <c r="BB51" s="642"/>
      <c r="BC51" s="642"/>
      <c r="BD51" s="642"/>
      <c r="BE51" s="642"/>
      <c r="BF51" s="642"/>
      <c r="BG51" s="642"/>
      <c r="BH51" s="642"/>
      <c r="BI51" s="642"/>
      <c r="BJ51" s="642"/>
      <c r="BK51" s="642"/>
      <c r="BL51" s="642"/>
      <c r="BM51" s="642"/>
      <c r="BN51" s="642"/>
      <c r="BO51" s="642"/>
      <c r="BP51" s="642"/>
      <c r="BQ51" s="642"/>
      <c r="BR51" s="642"/>
      <c r="BS51" s="642"/>
      <c r="BT51" s="642"/>
      <c r="BU51" s="642"/>
      <c r="BV51" s="642"/>
      <c r="BW51" s="642"/>
      <c r="BX51" s="642"/>
      <c r="BY51" s="642"/>
      <c r="BZ51" s="642"/>
      <c r="CA51" s="642"/>
      <c r="CB51" s="642"/>
      <c r="CC51" s="642"/>
      <c r="CD51" s="642"/>
      <c r="CE51" s="642"/>
      <c r="CF51" s="642"/>
      <c r="CG51" s="642"/>
      <c r="CH51" s="642"/>
      <c r="CI51" s="642"/>
      <c r="CJ51" s="642"/>
      <c r="CK51" s="642"/>
      <c r="CL51" s="642"/>
      <c r="CM51" s="642"/>
      <c r="CN51" s="642"/>
      <c r="CO51" s="642"/>
      <c r="CP51" s="642"/>
      <c r="CQ51" s="642"/>
      <c r="CR51" s="642"/>
      <c r="CS51" s="642"/>
      <c r="CT51" s="642"/>
      <c r="CU51" s="642"/>
      <c r="CV51" s="642"/>
      <c r="CW51" s="642"/>
      <c r="CX51" s="642"/>
      <c r="CY51" s="642"/>
      <c r="CZ51" s="642"/>
      <c r="DA51" s="642"/>
      <c r="DB51" s="642"/>
      <c r="DC51" s="642"/>
      <c r="DD51" s="642"/>
      <c r="DE51" s="642"/>
      <c r="DF51" s="642"/>
      <c r="DG51" s="642"/>
      <c r="DH51" s="642"/>
      <c r="DI51" s="642"/>
      <c r="DJ51" s="642"/>
      <c r="DK51" s="642"/>
      <c r="DL51" s="642"/>
      <c r="DM51" s="642"/>
      <c r="DN51" s="642"/>
      <c r="DO51" s="642"/>
      <c r="DP51" s="642"/>
      <c r="DQ51" s="642"/>
      <c r="DR51" s="642"/>
      <c r="DS51" s="642"/>
      <c r="DT51" s="642"/>
      <c r="DU51" s="642"/>
      <c r="DV51" s="642"/>
      <c r="DW51" s="642"/>
      <c r="DX51" s="642"/>
      <c r="DY51" s="642"/>
      <c r="DZ51" s="642"/>
      <c r="EA51" s="642"/>
      <c r="EB51" s="642"/>
      <c r="EC51" s="642"/>
      <c r="ED51" s="642"/>
      <c r="EE51" s="642"/>
      <c r="EF51" s="642"/>
      <c r="EG51" s="642"/>
      <c r="EH51" s="642"/>
      <c r="EI51" s="642"/>
      <c r="EJ51" s="642"/>
      <c r="EK51" s="642"/>
      <c r="EL51" s="642"/>
      <c r="EM51" s="642"/>
      <c r="EN51" s="642"/>
      <c r="EO51" s="642"/>
      <c r="EP51" s="642"/>
      <c r="EQ51" s="642"/>
      <c r="ER51" s="642"/>
      <c r="ES51" s="642"/>
      <c r="ET51" s="642"/>
      <c r="EU51" s="642"/>
      <c r="EV51" s="642"/>
      <c r="EW51" s="642"/>
      <c r="EX51" s="642"/>
      <c r="EY51" s="642"/>
      <c r="EZ51" s="642"/>
      <c r="FA51" s="642"/>
      <c r="FB51" s="642"/>
      <c r="FC51" s="642"/>
      <c r="FD51" s="642"/>
      <c r="FE51" s="642"/>
      <c r="FF51" s="642"/>
      <c r="FG51" s="642"/>
      <c r="FH51" s="642"/>
      <c r="FI51" s="642"/>
      <c r="FJ51" s="642"/>
      <c r="FK51" s="642"/>
      <c r="FL51" s="642"/>
      <c r="FM51" s="642"/>
      <c r="FN51" s="642"/>
      <c r="FO51" s="642"/>
      <c r="FP51" s="642"/>
      <c r="FQ51" s="642"/>
      <c r="FR51" s="642"/>
      <c r="FS51" s="642"/>
      <c r="FT51" s="642"/>
      <c r="FU51" s="642"/>
      <c r="FV51" s="642"/>
      <c r="FW51" s="642"/>
      <c r="FX51" s="642"/>
      <c r="FY51" s="642"/>
      <c r="FZ51" s="642"/>
      <c r="GA51" s="642"/>
      <c r="GB51" s="642"/>
      <c r="GC51" s="642"/>
      <c r="GD51" s="642"/>
      <c r="GE51" s="642"/>
      <c r="GF51" s="642"/>
      <c r="GG51" s="642"/>
      <c r="GH51" s="642"/>
      <c r="GI51" s="642"/>
      <c r="GJ51" s="642"/>
      <c r="GK51" s="642"/>
      <c r="GL51" s="642"/>
      <c r="GM51" s="642"/>
      <c r="GN51" s="642"/>
      <c r="GO51" s="642"/>
      <c r="GP51" s="642"/>
      <c r="GQ51" s="642"/>
      <c r="GR51" s="642"/>
      <c r="GS51" s="642"/>
      <c r="GT51" s="642"/>
      <c r="GU51" s="642"/>
      <c r="GV51" s="642"/>
      <c r="GW51" s="642"/>
      <c r="GX51" s="642"/>
      <c r="GY51" s="642"/>
      <c r="GZ51" s="642"/>
      <c r="HA51" s="642"/>
      <c r="HB51" s="642"/>
      <c r="HC51" s="642"/>
      <c r="HD51" s="642"/>
      <c r="HE51" s="642"/>
      <c r="HF51" s="642"/>
      <c r="HG51" s="642"/>
      <c r="HH51" s="642"/>
      <c r="HI51" s="642"/>
      <c r="HJ51" s="642"/>
      <c r="HK51" s="642"/>
      <c r="HL51" s="642"/>
      <c r="HM51" s="642"/>
      <c r="HN51" s="642"/>
      <c r="HO51" s="642"/>
      <c r="HP51" s="642"/>
      <c r="HQ51" s="642"/>
      <c r="HR51" s="642"/>
      <c r="HS51" s="642"/>
      <c r="HT51" s="642"/>
      <c r="HU51" s="642"/>
      <c r="HV51" s="642"/>
      <c r="HW51" s="642"/>
      <c r="HX51" s="642"/>
      <c r="HY51" s="642"/>
      <c r="HZ51" s="642"/>
      <c r="IA51" s="642"/>
      <c r="IB51" s="642"/>
      <c r="IC51" s="642"/>
      <c r="ID51" s="642"/>
      <c r="IE51" s="642"/>
      <c r="IF51" s="642"/>
      <c r="IG51" s="642"/>
      <c r="IH51" s="642"/>
      <c r="II51" s="642"/>
      <c r="IJ51" s="642"/>
      <c r="IK51" s="642"/>
      <c r="IL51" s="642"/>
      <c r="IM51" s="642"/>
      <c r="IN51" s="642"/>
      <c r="IO51" s="642"/>
      <c r="IP51" s="642"/>
      <c r="IQ51" s="642"/>
      <c r="IR51" s="642"/>
      <c r="IS51" s="642"/>
      <c r="IT51" s="642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1078773</v>
      </c>
      <c r="D53" s="222">
        <f ca="1">ROUNDUP(D49*B53,0)</f>
        <v>1294527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1078773</v>
      </c>
      <c r="D57" s="225">
        <f ca="1">D53+D55</f>
        <v>1294527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510998</v>
      </c>
      <c r="D58" s="233">
        <f ca="1">D57-D55-D49</f>
        <v>613197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1078773</v>
      </c>
      <c r="D62" s="241">
        <f ca="1">D57/(1-B60*(1+B61))</f>
        <v>1294527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1078773</v>
      </c>
      <c r="D64" s="205">
        <f ca="1">D62</f>
        <v>1294527</v>
      </c>
      <c r="F64" s="202"/>
      <c r="G64" s="202"/>
      <c r="H64" s="202"/>
      <c r="I64" s="202"/>
      <c r="J64" s="621"/>
      <c r="K64" s="621"/>
      <c r="L64" s="621"/>
      <c r="M64" s="621"/>
      <c r="N64" s="621"/>
      <c r="O64" s="621"/>
      <c r="P64" s="621"/>
      <c r="Q64" s="621"/>
      <c r="R64" s="621"/>
      <c r="S64" s="621"/>
      <c r="T64" s="621"/>
      <c r="U64" s="621"/>
      <c r="V64" s="621"/>
      <c r="W64" s="621"/>
      <c r="X64" s="621"/>
      <c r="Y64" s="621"/>
      <c r="Z64" s="621"/>
      <c r="AA64" s="621"/>
      <c r="AB64" s="621"/>
      <c r="AC64" s="621"/>
      <c r="AD64" s="621"/>
      <c r="AE64" s="621"/>
      <c r="AF64" s="621"/>
      <c r="AG64" s="621"/>
      <c r="AH64" s="621"/>
      <c r="AI64" s="621"/>
      <c r="AJ64" s="621"/>
      <c r="AK64" s="621"/>
      <c r="AL64" s="621"/>
      <c r="AM64" s="621"/>
      <c r="AN64" s="621"/>
      <c r="AO64" s="621"/>
      <c r="AP64" s="621"/>
      <c r="AQ64" s="621"/>
      <c r="AR64" s="621"/>
      <c r="AS64" s="621"/>
      <c r="AT64" s="621"/>
      <c r="AU64" s="621"/>
      <c r="AV64" s="621"/>
      <c r="AW64" s="621"/>
      <c r="AX64" s="621"/>
      <c r="AY64" s="621"/>
      <c r="AZ64" s="621"/>
      <c r="BA64" s="621"/>
      <c r="BB64" s="621"/>
      <c r="BC64" s="621"/>
      <c r="BD64" s="621"/>
      <c r="BE64" s="621"/>
      <c r="BF64" s="621"/>
      <c r="BG64" s="621"/>
      <c r="BH64" s="621"/>
      <c r="BI64" s="621"/>
      <c r="BJ64" s="621"/>
      <c r="BK64" s="621"/>
      <c r="BL64" s="621"/>
      <c r="BM64" s="621"/>
      <c r="BN64" s="621"/>
      <c r="BO64" s="621"/>
      <c r="BP64" s="621"/>
      <c r="BQ64" s="621"/>
      <c r="BR64" s="621"/>
      <c r="BS64" s="621"/>
      <c r="BT64" s="621"/>
      <c r="BU64" s="621"/>
      <c r="BV64" s="621"/>
      <c r="BW64" s="621"/>
      <c r="BX64" s="621"/>
      <c r="BY64" s="621"/>
      <c r="BZ64" s="621"/>
      <c r="CA64" s="621"/>
      <c r="CB64" s="621"/>
      <c r="CC64" s="621"/>
      <c r="CD64" s="621"/>
      <c r="CE64" s="621"/>
      <c r="CF64" s="621"/>
      <c r="CG64" s="621"/>
      <c r="CH64" s="621"/>
      <c r="CI64" s="621"/>
      <c r="CJ64" s="621"/>
      <c r="CK64" s="621"/>
      <c r="CL64" s="621"/>
      <c r="CM64" s="621"/>
      <c r="CN64" s="621"/>
      <c r="CO64" s="621"/>
      <c r="CP64" s="621"/>
      <c r="CQ64" s="621"/>
      <c r="CR64" s="621"/>
      <c r="CS64" s="621"/>
      <c r="CT64" s="621"/>
      <c r="CU64" s="621"/>
      <c r="CV64" s="621"/>
      <c r="CW64" s="621"/>
      <c r="CX64" s="621"/>
      <c r="CY64" s="621"/>
      <c r="CZ64" s="621"/>
      <c r="DA64" s="621"/>
      <c r="DB64" s="621"/>
      <c r="DC64" s="621"/>
      <c r="DD64" s="621"/>
      <c r="DE64" s="621"/>
      <c r="DF64" s="621"/>
      <c r="DG64" s="621"/>
      <c r="DH64" s="621"/>
      <c r="DI64" s="621"/>
      <c r="DJ64" s="621"/>
      <c r="DK64" s="621"/>
      <c r="DL64" s="621"/>
      <c r="DM64" s="621"/>
      <c r="DN64" s="621"/>
      <c r="DO64" s="621"/>
      <c r="DP64" s="621"/>
      <c r="DQ64" s="621"/>
      <c r="DR64" s="621"/>
      <c r="DS64" s="621"/>
      <c r="DT64" s="621"/>
      <c r="DU64" s="621"/>
      <c r="DV64" s="621"/>
      <c r="DW64" s="621"/>
      <c r="DX64" s="621"/>
      <c r="DY64" s="621"/>
      <c r="DZ64" s="621"/>
      <c r="EA64" s="621"/>
      <c r="EB64" s="621"/>
      <c r="EC64" s="621"/>
      <c r="ED64" s="621"/>
      <c r="EE64" s="621"/>
      <c r="EF64" s="621"/>
      <c r="EG64" s="621"/>
      <c r="EH64" s="621"/>
      <c r="EI64" s="621"/>
      <c r="EJ64" s="621"/>
      <c r="EK64" s="621"/>
      <c r="EL64" s="621"/>
      <c r="EM64" s="621"/>
      <c r="EN64" s="621"/>
      <c r="EO64" s="621"/>
      <c r="EP64" s="621"/>
      <c r="EQ64" s="621"/>
      <c r="ER64" s="621"/>
      <c r="ES64" s="621"/>
      <c r="ET64" s="621"/>
      <c r="EU64" s="621"/>
      <c r="EV64" s="621"/>
      <c r="EW64" s="621"/>
      <c r="EX64" s="621"/>
      <c r="EY64" s="621"/>
      <c r="EZ64" s="621"/>
      <c r="FA64" s="621"/>
      <c r="FB64" s="621"/>
      <c r="FC64" s="621"/>
      <c r="FD64" s="621"/>
      <c r="FE64" s="621"/>
      <c r="FF64" s="621"/>
      <c r="FG64" s="621"/>
      <c r="FH64" s="621"/>
      <c r="FI64" s="621"/>
      <c r="FJ64" s="621"/>
      <c r="FK64" s="621"/>
      <c r="FL64" s="621"/>
      <c r="FM64" s="621"/>
      <c r="FN64" s="621"/>
      <c r="FO64" s="621"/>
      <c r="FP64" s="621"/>
      <c r="FQ64" s="621"/>
      <c r="FR64" s="621"/>
      <c r="FS64" s="621"/>
      <c r="FT64" s="621"/>
      <c r="FU64" s="621"/>
      <c r="FV64" s="621"/>
      <c r="FW64" s="621"/>
      <c r="FX64" s="621"/>
      <c r="FY64" s="621"/>
      <c r="FZ64" s="621"/>
      <c r="GA64" s="621"/>
      <c r="GB64" s="621"/>
      <c r="GC64" s="621"/>
      <c r="GD64" s="621"/>
      <c r="GE64" s="621"/>
      <c r="GF64" s="621"/>
      <c r="GG64" s="621"/>
      <c r="GH64" s="621"/>
      <c r="GI64" s="621"/>
      <c r="GJ64" s="621"/>
      <c r="GK64" s="621"/>
      <c r="GL64" s="621"/>
      <c r="GM64" s="621"/>
      <c r="GN64" s="621"/>
      <c r="GO64" s="621"/>
      <c r="GP64" s="621"/>
      <c r="GQ64" s="621"/>
      <c r="GR64" s="621"/>
      <c r="GS64" s="621"/>
      <c r="GT64" s="621"/>
      <c r="GU64" s="621"/>
      <c r="GV64" s="621"/>
      <c r="GW64" s="621"/>
      <c r="GX64" s="621"/>
      <c r="GY64" s="621"/>
      <c r="GZ64" s="621"/>
      <c r="HA64" s="621"/>
      <c r="HB64" s="621"/>
      <c r="HC64" s="621"/>
      <c r="HD64" s="621"/>
      <c r="HE64" s="621"/>
      <c r="HF64" s="621"/>
      <c r="HG64" s="621"/>
      <c r="HH64" s="621"/>
      <c r="HI64" s="621"/>
      <c r="HJ64" s="621"/>
      <c r="HK64" s="621"/>
      <c r="HL64" s="621"/>
      <c r="HM64" s="621"/>
      <c r="HN64" s="621"/>
      <c r="HO64" s="621"/>
      <c r="HP64" s="621"/>
      <c r="HQ64" s="621"/>
      <c r="HR64" s="621"/>
      <c r="HS64" s="621"/>
      <c r="HT64" s="621"/>
      <c r="HU64" s="621"/>
      <c r="HV64" s="621"/>
      <c r="HW64" s="621"/>
      <c r="HX64" s="621"/>
      <c r="HY64" s="621"/>
      <c r="HZ64" s="621"/>
      <c r="IA64" s="621"/>
      <c r="IB64" s="621"/>
      <c r="IC64" s="621"/>
      <c r="ID64" s="621"/>
      <c r="IE64" s="621"/>
      <c r="IF64" s="621"/>
      <c r="IG64" s="621"/>
      <c r="IH64" s="621"/>
      <c r="II64" s="621"/>
      <c r="IJ64" s="621"/>
      <c r="IK64" s="621"/>
      <c r="IL64" s="621"/>
      <c r="IM64" s="621"/>
      <c r="IN64" s="621"/>
      <c r="IO64" s="621"/>
      <c r="IP64" s="621"/>
      <c r="IQ64" s="621"/>
      <c r="IR64" s="621"/>
      <c r="IS64" s="621"/>
      <c r="IT64" s="621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702" t="s">
        <v>88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4"/>
      <c r="P1" s="104"/>
    </row>
    <row r="2" spans="1:119" s="103" customFormat="1" ht="15" x14ac:dyDescent="0.2">
      <c r="A2" s="694" t="s">
        <v>187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43" t="s">
        <v>83</v>
      </c>
      <c r="T7" s="644"/>
      <c r="U7" s="644"/>
      <c r="V7" s="644"/>
      <c r="W7" s="644"/>
      <c r="X7" s="644"/>
      <c r="Y7" s="644"/>
      <c r="Z7" s="64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650</v>
      </c>
      <c r="D9" s="82">
        <f>IF(C9&lt;=750,ROUND(C9/50,0)*50,ROUND(C9/100,0)*100)</f>
        <v>650</v>
      </c>
      <c r="E9" s="672" t="s">
        <v>263</v>
      </c>
      <c r="F9" s="673"/>
      <c r="G9" s="673"/>
      <c r="H9" s="673"/>
      <c r="I9" s="673"/>
      <c r="J9" s="673"/>
      <c r="K9" s="673"/>
      <c r="L9" s="673"/>
      <c r="M9" s="673"/>
      <c r="N9" s="673"/>
      <c r="O9" s="674"/>
      <c r="P9" s="3"/>
      <c r="S9" s="282" t="s">
        <v>58</v>
      </c>
      <c r="T9" s="281" t="s">
        <v>59</v>
      </c>
      <c r="U9" s="280" t="s">
        <v>262</v>
      </c>
      <c r="V9" s="651" t="s">
        <v>16</v>
      </c>
      <c r="W9" s="651"/>
      <c r="X9" s="651"/>
      <c r="Y9" s="651"/>
      <c r="Z9" s="652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600</v>
      </c>
      <c r="D10" s="82">
        <f>CEILING(C10,100)</f>
        <v>600</v>
      </c>
      <c r="E10" s="672" t="s">
        <v>210</v>
      </c>
      <c r="F10" s="673"/>
      <c r="G10" s="673"/>
      <c r="H10" s="673"/>
      <c r="I10" s="673"/>
      <c r="J10" s="673"/>
      <c r="K10" s="673"/>
      <c r="L10" s="673"/>
      <c r="M10" s="673"/>
      <c r="N10" s="673"/>
      <c r="O10" s="674"/>
      <c r="P10" s="3"/>
      <c r="S10" s="279"/>
      <c r="T10" s="278" t="s">
        <v>60</v>
      </c>
      <c r="U10" s="277"/>
      <c r="V10" s="655"/>
      <c r="W10" s="656"/>
      <c r="X10" s="656"/>
      <c r="Y10" s="656"/>
      <c r="Z10" s="657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1200</v>
      </c>
      <c r="D11" s="83">
        <f>IF(AND(C11&gt;0,C11&lt;=850),850,IF(AND(C11&gt;850,C11&lt;=1200),1200,IF(AND(C11&gt;1200,C11=1500),1500,"Ннестандарт")))</f>
        <v>1200</v>
      </c>
      <c r="E11" s="672" t="s">
        <v>261</v>
      </c>
      <c r="F11" s="673"/>
      <c r="G11" s="673"/>
      <c r="H11" s="673"/>
      <c r="I11" s="673"/>
      <c r="J11" s="673"/>
      <c r="K11" s="673"/>
      <c r="L11" s="673"/>
      <c r="M11" s="673"/>
      <c r="N11" s="673"/>
      <c r="O11" s="674"/>
      <c r="P11" s="3"/>
      <c r="S11" s="276">
        <v>1</v>
      </c>
      <c r="T11" s="275" t="s">
        <v>61</v>
      </c>
      <c r="U11" s="274">
        <f>C30*C29+5</f>
        <v>133</v>
      </c>
      <c r="V11" s="653"/>
      <c r="W11" s="653"/>
      <c r="X11" s="653"/>
      <c r="Y11" s="653"/>
      <c r="Z11" s="654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8</v>
      </c>
      <c r="D12" s="84">
        <f>C12</f>
        <v>8</v>
      </c>
      <c r="E12" s="678" t="s">
        <v>21</v>
      </c>
      <c r="F12" s="679"/>
      <c r="G12" s="679"/>
      <c r="H12" s="679"/>
      <c r="I12" s="679"/>
      <c r="J12" s="679"/>
      <c r="K12" s="679"/>
      <c r="L12" s="679"/>
      <c r="M12" s="679"/>
      <c r="N12" s="679"/>
      <c r="O12" s="680"/>
      <c r="P12" s="1"/>
      <c r="S12" s="252">
        <v>2</v>
      </c>
      <c r="T12" s="255" t="s">
        <v>62</v>
      </c>
      <c r="U12" s="254">
        <v>1</v>
      </c>
      <c r="V12" s="649" t="s">
        <v>63</v>
      </c>
      <c r="W12" s="649"/>
      <c r="X12" s="649"/>
      <c r="Y12" s="649"/>
      <c r="Z12" s="650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300</v>
      </c>
      <c r="D13" s="87">
        <f>IF(C10&lt;=1200,C10,C10-250)</f>
        <v>600</v>
      </c>
      <c r="E13" s="675" t="s">
        <v>23</v>
      </c>
      <c r="F13" s="676"/>
      <c r="G13" s="676"/>
      <c r="H13" s="676"/>
      <c r="I13" s="676"/>
      <c r="J13" s="676"/>
      <c r="K13" s="676"/>
      <c r="L13" s="676"/>
      <c r="M13" s="676"/>
      <c r="N13" s="676"/>
      <c r="O13" s="677"/>
      <c r="P13" s="3"/>
      <c r="S13" s="252">
        <v>3</v>
      </c>
      <c r="T13" s="255" t="s">
        <v>260</v>
      </c>
      <c r="U13" s="254">
        <v>1</v>
      </c>
      <c r="V13" s="649" t="s">
        <v>64</v>
      </c>
      <c r="W13" s="649"/>
      <c r="X13" s="649"/>
      <c r="Y13" s="649"/>
      <c r="Z13" s="650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400</v>
      </c>
      <c r="E14" s="658" t="s">
        <v>26</v>
      </c>
      <c r="F14" s="574"/>
      <c r="G14" s="574"/>
      <c r="H14" s="574"/>
      <c r="I14" s="574"/>
      <c r="J14" s="574"/>
      <c r="K14" s="574"/>
      <c r="L14" s="574"/>
      <c r="M14" s="574"/>
      <c r="N14" s="574"/>
      <c r="O14" s="575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600</v>
      </c>
      <c r="E15" s="659"/>
      <c r="F15" s="660"/>
      <c r="G15" s="660"/>
      <c r="H15" s="660"/>
      <c r="I15" s="660"/>
      <c r="J15" s="660"/>
      <c r="K15" s="660"/>
      <c r="L15" s="660"/>
      <c r="M15" s="660"/>
      <c r="N15" s="660"/>
      <c r="O15" s="661"/>
      <c r="P15" s="3"/>
      <c r="S15" s="252">
        <v>5</v>
      </c>
      <c r="T15" s="255" t="s">
        <v>258</v>
      </c>
      <c r="U15" s="254">
        <v>1</v>
      </c>
      <c r="V15" s="646" t="s">
        <v>66</v>
      </c>
      <c r="W15" s="647"/>
      <c r="X15" s="647"/>
      <c r="Y15" s="647"/>
      <c r="Z15" s="648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69" t="s">
        <v>257</v>
      </c>
      <c r="F16" s="670"/>
      <c r="G16" s="670"/>
      <c r="H16" s="670"/>
      <c r="I16" s="670"/>
      <c r="J16" s="670"/>
      <c r="K16" s="670"/>
      <c r="L16" s="670"/>
      <c r="M16" s="670"/>
      <c r="N16" s="670"/>
      <c r="O16" s="671"/>
      <c r="P16" s="1"/>
      <c r="S16" s="252">
        <v>6</v>
      </c>
      <c r="T16" s="255" t="s">
        <v>256</v>
      </c>
      <c r="U16" s="254">
        <v>1</v>
      </c>
      <c r="V16" s="646" t="s">
        <v>67</v>
      </c>
      <c r="W16" s="647"/>
      <c r="X16" s="647"/>
      <c r="Y16" s="647"/>
      <c r="Z16" s="648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33</v>
      </c>
      <c r="E17" s="672" t="s">
        <v>30</v>
      </c>
      <c r="F17" s="673"/>
      <c r="G17" s="673"/>
      <c r="H17" s="673"/>
      <c r="I17" s="673"/>
      <c r="J17" s="673"/>
      <c r="K17" s="673"/>
      <c r="L17" s="673"/>
      <c r="M17" s="673"/>
      <c r="N17" s="673"/>
      <c r="O17" s="674"/>
      <c r="P17" s="3"/>
      <c r="S17" s="252">
        <v>7</v>
      </c>
      <c r="T17" s="255" t="s">
        <v>68</v>
      </c>
      <c r="U17" s="254">
        <v>2</v>
      </c>
      <c r="V17" s="646" t="s">
        <v>69</v>
      </c>
      <c r="W17" s="647"/>
      <c r="X17" s="647"/>
      <c r="Y17" s="647"/>
      <c r="Z17" s="648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6" t="s">
        <v>71</v>
      </c>
      <c r="W18" s="647"/>
      <c r="X18" s="647"/>
      <c r="Y18" s="647"/>
      <c r="Z18" s="648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96" t="s">
        <v>31</v>
      </c>
      <c r="G19" s="697"/>
      <c r="H19" s="697"/>
      <c r="I19" s="697"/>
      <c r="J19" s="697"/>
      <c r="K19" s="697"/>
      <c r="L19" s="697"/>
      <c r="M19" s="697"/>
      <c r="N19" s="697"/>
      <c r="O19" s="698"/>
      <c r="P19" s="248"/>
      <c r="S19" s="252">
        <v>9</v>
      </c>
      <c r="T19" s="255" t="s">
        <v>72</v>
      </c>
      <c r="U19" s="259">
        <f>C29</f>
        <v>4</v>
      </c>
      <c r="V19" s="646" t="s">
        <v>73</v>
      </c>
      <c r="W19" s="647"/>
      <c r="X19" s="647"/>
      <c r="Y19" s="647"/>
      <c r="Z19" s="648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99" t="s">
        <v>32</v>
      </c>
      <c r="G20" s="700"/>
      <c r="H20" s="700"/>
      <c r="I20" s="700"/>
      <c r="J20" s="700"/>
      <c r="K20" s="700"/>
      <c r="L20" s="700"/>
      <c r="M20" s="700"/>
      <c r="N20" s="700"/>
      <c r="O20" s="701"/>
      <c r="P20" s="29"/>
      <c r="S20" s="252">
        <v>10</v>
      </c>
      <c r="T20" s="255" t="s">
        <v>74</v>
      </c>
      <c r="U20" s="259">
        <f>C29</f>
        <v>4</v>
      </c>
      <c r="V20" s="646" t="s">
        <v>75</v>
      </c>
      <c r="W20" s="647"/>
      <c r="X20" s="647"/>
      <c r="Y20" s="647"/>
      <c r="Z20" s="648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91" t="s">
        <v>255</v>
      </c>
      <c r="G21" s="692"/>
      <c r="H21" s="692"/>
      <c r="I21" s="692"/>
      <c r="J21" s="692"/>
      <c r="K21" s="692"/>
      <c r="L21" s="692"/>
      <c r="M21" s="692"/>
      <c r="N21" s="692"/>
      <c r="O21" s="693"/>
      <c r="P21" s="32"/>
      <c r="S21" s="252">
        <v>11</v>
      </c>
      <c r="T21" s="253" t="s">
        <v>254</v>
      </c>
      <c r="U21" s="254">
        <v>1</v>
      </c>
      <c r="V21" s="646"/>
      <c r="W21" s="647"/>
      <c r="X21" s="647"/>
      <c r="Y21" s="647"/>
      <c r="Z21" s="648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33</v>
      </c>
      <c r="D22" s="35" t="s">
        <v>35</v>
      </c>
      <c r="E22" s="3"/>
      <c r="F22" s="664" t="s">
        <v>36</v>
      </c>
      <c r="G22" s="667" t="s">
        <v>253</v>
      </c>
      <c r="H22" s="662" t="s">
        <v>37</v>
      </c>
      <c r="I22" s="667" t="s">
        <v>38</v>
      </c>
      <c r="J22" s="662" t="s">
        <v>39</v>
      </c>
      <c r="K22" s="681" t="s">
        <v>40</v>
      </c>
      <c r="L22" s="682"/>
      <c r="M22" s="685" t="s">
        <v>84</v>
      </c>
      <c r="N22" s="687" t="s">
        <v>41</v>
      </c>
      <c r="O22" s="688"/>
      <c r="S22" s="252">
        <v>12</v>
      </c>
      <c r="T22" s="253" t="s">
        <v>252</v>
      </c>
      <c r="U22" s="254">
        <v>1</v>
      </c>
      <c r="V22" s="646"/>
      <c r="W22" s="647"/>
      <c r="X22" s="647"/>
      <c r="Y22" s="647"/>
      <c r="Z22" s="648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65"/>
      <c r="G23" s="668"/>
      <c r="H23" s="666"/>
      <c r="I23" s="668"/>
      <c r="J23" s="663"/>
      <c r="K23" s="683"/>
      <c r="L23" s="684"/>
      <c r="M23" s="686"/>
      <c r="N23" s="689"/>
      <c r="O23" s="690"/>
      <c r="S23" s="252">
        <v>13</v>
      </c>
      <c r="T23" s="253" t="s">
        <v>251</v>
      </c>
      <c r="U23" s="254">
        <v>3</v>
      </c>
      <c r="V23" s="646" t="s">
        <v>76</v>
      </c>
      <c r="W23" s="647"/>
      <c r="X23" s="647"/>
      <c r="Y23" s="647"/>
      <c r="Z23" s="648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215.5831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6"/>
      <c r="W24" s="647"/>
      <c r="X24" s="647"/>
      <c r="Y24" s="647"/>
      <c r="Z24" s="648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6"/>
      <c r="W25" s="647"/>
      <c r="X25" s="647"/>
      <c r="Y25" s="647"/>
      <c r="Z25" s="648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5.0766666666666662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705" t="s">
        <v>51</v>
      </c>
      <c r="O26" s="706"/>
      <c r="S26" s="252">
        <v>16</v>
      </c>
      <c r="T26" s="255" t="s">
        <v>248</v>
      </c>
      <c r="U26" s="254">
        <v>1</v>
      </c>
      <c r="V26" s="646" t="s">
        <v>77</v>
      </c>
      <c r="W26" s="647"/>
      <c r="X26" s="647"/>
      <c r="Y26" s="647"/>
      <c r="Z26" s="648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6" t="s">
        <v>78</v>
      </c>
      <c r="W27" s="647"/>
      <c r="X27" s="647"/>
      <c r="Y27" s="647"/>
      <c r="Z27" s="648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6" t="s">
        <v>79</v>
      </c>
      <c r="W28" s="647"/>
      <c r="X28" s="647"/>
      <c r="Y28" s="647"/>
      <c r="Z28" s="648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205.72889700000002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6" t="s">
        <v>79</v>
      </c>
      <c r="W29" s="647"/>
      <c r="X29" s="647"/>
      <c r="Y29" s="647"/>
      <c r="Z29" s="648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32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6" t="s">
        <v>81</v>
      </c>
      <c r="W30" s="647"/>
      <c r="X30" s="647"/>
      <c r="Y30" s="647"/>
      <c r="Z30" s="648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0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6"/>
      <c r="W31" s="647"/>
      <c r="X31" s="647"/>
      <c r="Y31" s="647"/>
      <c r="Z31" s="648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13.094933333333334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36</v>
      </c>
      <c r="V32" s="646"/>
      <c r="W32" s="647"/>
      <c r="X32" s="647"/>
      <c r="Y32" s="647"/>
      <c r="Z32" s="648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6"/>
      <c r="W33" s="647"/>
      <c r="X33" s="647"/>
      <c r="Y33" s="647"/>
      <c r="Z33" s="648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63570.229173000007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6"/>
      <c r="W34" s="647"/>
      <c r="X34" s="647"/>
      <c r="Y34" s="647"/>
      <c r="Z34" s="648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6"/>
      <c r="W35" s="647"/>
      <c r="X35" s="647"/>
      <c r="Y35" s="647"/>
      <c r="Z35" s="648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6"/>
      <c r="W36" s="647"/>
      <c r="X36" s="647"/>
      <c r="Y36" s="647"/>
      <c r="Z36" s="648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63575</v>
      </c>
      <c r="D37" s="102" t="s">
        <v>186</v>
      </c>
      <c r="S37" s="252">
        <v>27</v>
      </c>
      <c r="T37" s="253" t="s">
        <v>238</v>
      </c>
      <c r="U37" s="251">
        <v>2</v>
      </c>
      <c r="V37" s="646"/>
      <c r="W37" s="647"/>
      <c r="X37" s="647"/>
      <c r="Y37" s="647"/>
      <c r="Z37" s="648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6"/>
      <c r="W38" s="647"/>
      <c r="X38" s="647"/>
      <c r="Y38" s="647"/>
      <c r="Z38" s="648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94" t="s">
        <v>92</v>
      </c>
      <c r="B39" s="695"/>
      <c r="C39" s="695"/>
      <c r="D39" s="695"/>
      <c r="E39" s="695"/>
      <c r="F39" s="695"/>
      <c r="G39" s="695"/>
      <c r="H39" s="695"/>
      <c r="I39" s="695"/>
      <c r="J39" s="695"/>
      <c r="K39" s="695"/>
      <c r="L39" s="695"/>
      <c r="M39" s="695"/>
      <c r="N39" s="695"/>
      <c r="O39" s="695"/>
      <c r="S39" s="252">
        <v>29</v>
      </c>
      <c r="T39" s="253" t="s">
        <v>236</v>
      </c>
      <c r="U39" s="251">
        <v>4</v>
      </c>
      <c r="V39" s="646"/>
      <c r="W39" s="647"/>
      <c r="X39" s="647"/>
      <c r="Y39" s="647"/>
      <c r="Z39" s="648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6"/>
      <c r="W40" s="647"/>
      <c r="X40" s="647"/>
      <c r="Y40" s="647"/>
      <c r="Z40" s="648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6"/>
      <c r="W41" s="647"/>
      <c r="X41" s="647"/>
      <c r="Y41" s="647"/>
      <c r="Z41" s="648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6"/>
      <c r="W42" s="647"/>
      <c r="X42" s="647"/>
      <c r="Y42" s="647"/>
      <c r="Z42" s="648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6"/>
      <c r="W43" s="647"/>
      <c r="X43" s="647"/>
      <c r="Y43" s="647"/>
      <c r="Z43" s="648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6"/>
      <c r="W44" s="647"/>
      <c r="X44" s="647"/>
      <c r="Y44" s="647"/>
      <c r="Z44" s="648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6"/>
      <c r="W45" s="647"/>
      <c r="X45" s="647"/>
      <c r="Y45" s="647"/>
      <c r="Z45" s="648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6"/>
      <c r="W46" s="647"/>
      <c r="X46" s="647"/>
      <c r="Y46" s="647"/>
      <c r="Z46" s="648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94" t="s">
        <v>177</v>
      </c>
      <c r="B47" s="695"/>
      <c r="C47" s="695"/>
      <c r="D47" s="695"/>
      <c r="E47" s="695"/>
      <c r="F47" s="695"/>
      <c r="G47" s="695"/>
      <c r="H47" s="695"/>
      <c r="I47" s="695"/>
      <c r="J47" s="695"/>
      <c r="K47" s="695"/>
      <c r="L47" s="695"/>
      <c r="M47" s="695"/>
      <c r="N47" s="695"/>
      <c r="O47" s="695"/>
      <c r="S47" s="252">
        <v>29</v>
      </c>
      <c r="T47" s="253" t="s">
        <v>236</v>
      </c>
      <c r="U47" s="251">
        <v>4</v>
      </c>
      <c r="V47" s="646"/>
      <c r="W47" s="647"/>
      <c r="X47" s="647"/>
      <c r="Y47" s="647"/>
      <c r="Z47" s="648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344.4</v>
      </c>
      <c r="D48" s="102"/>
      <c r="S48" s="252"/>
      <c r="T48" s="253"/>
      <c r="U48" s="251"/>
      <c r="V48" s="646"/>
      <c r="W48" s="647"/>
      <c r="X48" s="647"/>
      <c r="Y48" s="647"/>
      <c r="Z48" s="648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11</v>
      </c>
      <c r="D51" s="102" t="s">
        <v>94</v>
      </c>
      <c r="S51" s="252">
        <v>30</v>
      </c>
      <c r="T51" s="253" t="s">
        <v>235</v>
      </c>
      <c r="U51" s="251">
        <v>2</v>
      </c>
      <c r="V51" s="646"/>
      <c r="W51" s="647"/>
      <c r="X51" s="647"/>
      <c r="Y51" s="647"/>
      <c r="Z51" s="648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6"/>
      <c r="W52" s="647"/>
      <c r="X52" s="647"/>
      <c r="Y52" s="647"/>
      <c r="Z52" s="648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6"/>
      <c r="W53" s="647"/>
      <c r="X53" s="647"/>
      <c r="Y53" s="647"/>
      <c r="Z53" s="648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3740</v>
      </c>
      <c r="D54" s="102" t="s">
        <v>186</v>
      </c>
      <c r="S54" s="252">
        <v>34</v>
      </c>
      <c r="T54" s="253" t="s">
        <v>231</v>
      </c>
      <c r="U54" s="251">
        <v>2</v>
      </c>
      <c r="V54" s="646"/>
      <c r="W54" s="647"/>
      <c r="X54" s="647"/>
      <c r="Y54" s="647"/>
      <c r="Z54" s="648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6"/>
      <c r="W55" s="647"/>
      <c r="X55" s="647"/>
      <c r="Y55" s="647"/>
      <c r="Z55" s="648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327</v>
      </c>
      <c r="D3" s="401" t="s">
        <v>17</v>
      </c>
      <c r="E3" s="404">
        <f>Цена!B16</f>
        <v>650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410</v>
      </c>
      <c r="D4" s="401" t="s">
        <v>18</v>
      </c>
      <c r="E4" s="404">
        <f>Цена!C16</f>
        <v>600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84050</v>
      </c>
      <c r="D5" s="401" t="s">
        <v>391</v>
      </c>
      <c r="E5" s="404">
        <f>Цена!D16</f>
        <v>1200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8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11</v>
      </c>
      <c r="D7" s="401" t="s">
        <v>396</v>
      </c>
      <c r="E7" s="408">
        <f>Цена!D20</f>
        <v>2800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44275</v>
      </c>
      <c r="D8" s="401" t="s">
        <v>397</v>
      </c>
      <c r="E8" s="408">
        <f>Цена!D21</f>
        <v>2150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600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213578.16666666666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650.600.1200.8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- 190 м3/ч.; прозор - 8 мм.; ширина канала - 650 мм.; глубина канала - 600 мм.; высота выгрузки отбросов - 1200 мм.; вес решетки в сборе - 390 кг.; привод - 0,37 кВт.; IP 55; 380 В; 50 Гц;  материал исполнения - AISI 201; в комплекте с ШУ и ВПУ.</v>
      </c>
      <c r="C2" s="110">
        <f ca="1">C11</f>
        <v>390</v>
      </c>
      <c r="D2" s="108">
        <f ca="1">C12</f>
        <v>0.37</v>
      </c>
      <c r="E2" s="108">
        <v>1</v>
      </c>
      <c r="F2" s="110">
        <f ca="1">MROUND(Цена!C49,100)</f>
        <v>567800</v>
      </c>
      <c r="G2" s="110">
        <f ca="1">F2*E2</f>
        <v>567800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650.600.1200.8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190</v>
      </c>
      <c r="D6" t="s">
        <v>112</v>
      </c>
      <c r="E6" t="str">
        <f>CONCATENATE(B6," ",C6," ",D6,".;")</f>
        <v>Максимальная производительность - 190 м3/ч.;</v>
      </c>
    </row>
    <row r="7" spans="1:8" x14ac:dyDescent="0.2">
      <c r="B7" s="186" t="s">
        <v>279</v>
      </c>
      <c r="C7" s="110">
        <f>Цена!E16</f>
        <v>8</v>
      </c>
      <c r="D7" t="s">
        <v>166</v>
      </c>
      <c r="E7" t="str">
        <f>CONCATENATE(B7," ",C7," ",D7,";")</f>
        <v>прозор - 8 мм.;</v>
      </c>
    </row>
    <row r="8" spans="1:8" x14ac:dyDescent="0.2">
      <c r="B8" s="186" t="s">
        <v>280</v>
      </c>
      <c r="C8" s="110">
        <f>Цена!B16</f>
        <v>650</v>
      </c>
      <c r="D8" t="s">
        <v>166</v>
      </c>
      <c r="E8" t="str">
        <f>CONCATENATE(B8," ",C8," ",D8,";")</f>
        <v>ширина канала - 650 мм.;</v>
      </c>
    </row>
    <row r="9" spans="1:8" x14ac:dyDescent="0.2">
      <c r="B9" s="186" t="s">
        <v>281</v>
      </c>
      <c r="C9" s="110">
        <f>Цена!C16</f>
        <v>600</v>
      </c>
      <c r="D9" t="s">
        <v>166</v>
      </c>
      <c r="E9" t="str">
        <f>CONCATENATE(B9," ",C9," ",D9,";")</f>
        <v>глубина канала - 600 мм.;</v>
      </c>
    </row>
    <row r="10" spans="1:8" x14ac:dyDescent="0.2">
      <c r="B10" s="186" t="s">
        <v>282</v>
      </c>
      <c r="C10" s="110">
        <f>Цена!D16</f>
        <v>1200</v>
      </c>
      <c r="D10" t="s">
        <v>166</v>
      </c>
      <c r="E10" t="str">
        <f>CONCATENATE(B10," ",C10," ",D10,";")</f>
        <v>высота выгрузки отбросов - 1200 мм.;</v>
      </c>
    </row>
    <row r="11" spans="1:8" x14ac:dyDescent="0.2">
      <c r="B11" s="186" t="s">
        <v>283</v>
      </c>
      <c r="C11" s="110">
        <f ca="1">Цена!D19</f>
        <v>390</v>
      </c>
      <c r="D11" t="s">
        <v>169</v>
      </c>
      <c r="E11" t="str">
        <f ca="1">CONCATENATE(B11," ",C11," ",D11,";")</f>
        <v>вес решетки в сборе - 390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8616</v>
      </c>
    </row>
    <row r="22" spans="2:15" x14ac:dyDescent="0.2">
      <c r="B22" s="186" t="s">
        <v>288</v>
      </c>
      <c r="C22" s="283"/>
      <c r="D22" s="283" t="str">
        <f>CONCATENATE("ТКП №",Цена!I3)</f>
        <v>ТКП №8616 ООО Индуст КОС 10.02.22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650.600.1200.8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8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650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600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1200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2120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190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390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>
        <f>Цена!B8</f>
        <v>0</v>
      </c>
      <c r="B101" s="474" t="str">
        <f>Цена!B10</f>
        <v/>
      </c>
      <c r="C101" s="110">
        <f ca="1">MROUND((Цена!C49-Спецификация!D101),5)</f>
        <v>418055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390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650.600.1200.8</v>
      </c>
      <c r="B118" s="481">
        <f ca="1">C101</f>
        <v>418055</v>
      </c>
      <c r="C118" s="482">
        <f>ROUNDUP(ФОТ!K29,0)</f>
        <v>206</v>
      </c>
      <c r="D118" s="482">
        <f ca="1">ФОТ!C51</f>
        <v>11</v>
      </c>
      <c r="E118" s="482">
        <f ca="1">IF(B118=0,0,(C118+D118)*Параметры!B3*(1+Параметры!B4))</f>
        <v>189089.46000000002</v>
      </c>
      <c r="F118" s="482">
        <f ca="1">B118-E118</f>
        <v>228965.53999999998</v>
      </c>
      <c r="G118" s="477" t="str">
        <f ca="1">CONCATENATE(A118," (",H101,"; ",G101," кВт.; ",F101,")")</f>
        <v>РТО 650.600.1200.8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567775</v>
      </c>
      <c r="C121" s="483">
        <f ca="1">SUM(C118:C119)</f>
        <v>246</v>
      </c>
      <c r="D121" s="483">
        <f ca="1">SUM(D118:D119)</f>
        <v>11</v>
      </c>
      <c r="E121" s="483">
        <f ca="1">SUM(E118:E119)</f>
        <v>227441.46000000002</v>
      </c>
      <c r="F121" s="483">
        <f ca="1">SUM(F118:F119)</f>
        <v>340333.54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workbookViewId="0">
      <selection sqref="A1:XFD1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8616</v>
      </c>
    </row>
    <row r="2" spans="1:3" x14ac:dyDescent="0.2">
      <c r="A2" s="503" t="s">
        <v>506</v>
      </c>
      <c r="B2" s="504" t="s">
        <v>507</v>
      </c>
      <c r="C2" s="499" t="str">
        <f>CONCATENATE(Цена!B6," ",Цена!B7)</f>
        <v>ООО Индуст КОС</v>
      </c>
    </row>
    <row r="3" spans="1:3" x14ac:dyDescent="0.2">
      <c r="A3" s="503" t="s">
        <v>509</v>
      </c>
      <c r="B3" s="504" t="s">
        <v>508</v>
      </c>
      <c r="C3" s="499" t="str">
        <f>Цена!B4</f>
        <v>Ахметшин Ю. М.</v>
      </c>
    </row>
    <row r="4" spans="1:3" x14ac:dyDescent="0.2">
      <c r="A4" s="503" t="s">
        <v>511</v>
      </c>
      <c r="B4" s="504" t="s">
        <v>510</v>
      </c>
      <c r="C4" s="499" t="str">
        <f>IF(Цена!B11="НПФ Экополимер","Хрьков","Москва")</f>
        <v>Москва</v>
      </c>
    </row>
    <row r="5" spans="1:3" x14ac:dyDescent="0.2">
      <c r="A5" s="503" t="s">
        <v>512</v>
      </c>
      <c r="B5" s="504" t="s">
        <v>513</v>
      </c>
      <c r="C5" s="499">
        <f ca="1">YEAR(TODAY())</f>
        <v>2022</v>
      </c>
    </row>
    <row r="6" spans="1:3" x14ac:dyDescent="0.2">
      <c r="A6" s="503" t="s">
        <v>514</v>
      </c>
      <c r="B6" s="504" t="s">
        <v>515</v>
      </c>
      <c r="C6" s="499" t="str">
        <f>Цена!B2</f>
        <v>10.02.2022</v>
      </c>
    </row>
    <row r="7" spans="1:3" x14ac:dyDescent="0.2">
      <c r="A7" s="503" t="s">
        <v>519</v>
      </c>
      <c r="B7" s="504" t="s">
        <v>518</v>
      </c>
      <c r="C7" s="499" t="str">
        <f>Цена!B11</f>
        <v>ТПП Экополимер</v>
      </c>
    </row>
    <row r="8" spans="1:3" x14ac:dyDescent="0.2">
      <c r="A8" s="503" t="s">
        <v>289</v>
      </c>
      <c r="B8" s="505" t="s">
        <v>525</v>
      </c>
      <c r="C8" s="500" t="str">
        <f>Цена!I4</f>
        <v>РТО 650.600.1200.8</v>
      </c>
    </row>
    <row r="9" spans="1:3" x14ac:dyDescent="0.2">
      <c r="A9" s="503"/>
      <c r="B9" s="505" t="s">
        <v>521</v>
      </c>
      <c r="C9" s="500" t="str">
        <f>C8</f>
        <v>РТО 650.600.1200.8</v>
      </c>
    </row>
    <row r="10" spans="1:3" x14ac:dyDescent="0.2">
      <c r="A10" s="503"/>
      <c r="B10" s="505" t="s">
        <v>520</v>
      </c>
      <c r="C10" s="500" t="str">
        <f>C8</f>
        <v>РТО 650.600.1200.8</v>
      </c>
    </row>
    <row r="11" spans="1:3" x14ac:dyDescent="0.2">
      <c r="A11" s="503"/>
      <c r="B11" s="505" t="s">
        <v>522</v>
      </c>
      <c r="C11" s="500" t="str">
        <f>C8</f>
        <v>РТО 650.600.1200.8</v>
      </c>
    </row>
    <row r="12" spans="1:3" x14ac:dyDescent="0.2">
      <c r="A12" s="503"/>
      <c r="B12" s="505" t="s">
        <v>523</v>
      </c>
      <c r="C12" s="500" t="str">
        <f>C8</f>
        <v>РТО 650.600.1200.8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524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8</v>
      </c>
    </row>
    <row r="16" spans="1:3" x14ac:dyDescent="0.2">
      <c r="A16" s="503" t="s">
        <v>292</v>
      </c>
      <c r="B16" s="504" t="s">
        <v>306</v>
      </c>
      <c r="C16" s="499">
        <f>Цена!B16</f>
        <v>650</v>
      </c>
    </row>
    <row r="17" spans="1:3" x14ac:dyDescent="0.2">
      <c r="A17" s="503" t="s">
        <v>293</v>
      </c>
      <c r="B17" s="504" t="s">
        <v>307</v>
      </c>
      <c r="C17" s="499">
        <f>Цена!C16</f>
        <v>600</v>
      </c>
    </row>
    <row r="18" spans="1:3" x14ac:dyDescent="0.2">
      <c r="A18" s="503" t="s">
        <v>294</v>
      </c>
      <c r="B18" s="504" t="s">
        <v>308</v>
      </c>
      <c r="C18" s="499">
        <f>Цена!D16</f>
        <v>1200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2120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505</v>
      </c>
      <c r="C21" s="500" t="str">
        <f ca="1">OFFSET(РГО!L79,MATCH(1,РГО!K80:K82,0),0,1,1)</f>
        <v>IP 55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55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190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390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526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528</v>
      </c>
      <c r="B31" s="506" t="s">
        <v>527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2022-02-10T09:05:32Z</dcterms:modified>
</cp:coreProperties>
</file>