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2" activeTab="7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D6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N27" i="6" s="1"/>
  <c r="N26" i="6" s="1"/>
  <c r="N25" i="6" s="1"/>
  <c r="N24" i="6" s="1"/>
  <c r="N23" i="6" s="1"/>
  <c r="N22" i="6" s="1"/>
  <c r="N21" i="6" s="1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K80" i="16"/>
  <c r="K81" i="16"/>
  <c r="K84" i="16"/>
  <c r="B79" i="16" s="1"/>
  <c r="K82" i="16" l="1"/>
  <c r="C21" i="18"/>
  <c r="D33" i="14"/>
  <c r="D42" i="14" s="1"/>
  <c r="D32" i="14"/>
  <c r="E10" i="14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Q12" i="16"/>
  <c r="D72" i="6"/>
  <c r="E4" i="6"/>
  <c r="F4" i="6" s="1"/>
  <c r="D39" i="14"/>
  <c r="P18" i="8"/>
  <c r="Q18" i="8" s="1"/>
  <c r="R18" i="8" s="1"/>
  <c r="S18" i="8" s="1"/>
  <c r="H4" i="8" s="1"/>
  <c r="R4" i="8" s="1"/>
  <c r="C6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34" i="14" l="1"/>
  <c r="C23" i="19"/>
  <c r="E6" i="14"/>
  <c r="D62" i="6"/>
  <c r="D68" i="6" s="1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l="1"/>
  <c r="D53" i="6"/>
  <c r="D54" i="6" s="1"/>
  <c r="C54" i="6"/>
  <c r="G53" i="6"/>
  <c r="G54" i="6" s="1"/>
  <c r="E53" i="6"/>
  <c r="E54" i="6" s="1"/>
  <c r="H53" i="6"/>
  <c r="H54" i="6" s="1"/>
  <c r="F53" i="6"/>
  <c r="F54" i="6" s="1"/>
  <c r="D63" i="6" s="1"/>
  <c r="D74" i="6" s="1"/>
  <c r="D19" i="12" s="1"/>
  <c r="C11" i="14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 l="1"/>
  <c r="G119" i="14"/>
  <c r="C19" i="19"/>
  <c r="C2" i="14"/>
  <c r="E11" i="14"/>
  <c r="B2" i="14" s="1"/>
  <c r="D36" i="14"/>
  <c r="C25" i="18"/>
  <c r="D70" i="6"/>
  <c r="D18" i="12" s="1"/>
  <c r="C48" i="13" s="1"/>
  <c r="C51" i="13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C54" i="13"/>
  <c r="C34" i="12" s="1"/>
  <c r="B34" i="12" s="1"/>
  <c r="D118" i="14"/>
  <c r="D121" i="14" s="1"/>
  <c r="C21" i="19"/>
  <c r="E101" i="14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C39" i="12" l="1"/>
  <c r="C49" i="12" s="1"/>
  <c r="D39" i="12"/>
  <c r="F2" i="14" l="1"/>
  <c r="G2" i="14" s="1"/>
  <c r="C101" i="14"/>
  <c r="B118" i="14" s="1"/>
  <c r="C20" i="19" s="1"/>
  <c r="D49" i="12"/>
  <c r="D53" i="12" s="1"/>
  <c r="D57" i="12" s="1"/>
  <c r="D58" i="12" s="1"/>
  <c r="C53" i="12"/>
  <c r="C57" i="12" s="1"/>
  <c r="C62" i="12" s="1"/>
  <c r="B121" i="14" l="1"/>
  <c r="D62" i="12"/>
  <c r="D64" i="12" s="1"/>
  <c r="E118" i="14"/>
  <c r="E121" i="14" s="1"/>
  <c r="C58" i="12"/>
  <c r="C60" i="12"/>
  <c r="C61" i="12" s="1"/>
  <c r="C64" i="12"/>
  <c r="D60" i="12" l="1"/>
  <c r="D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<sst xmlns="http://schemas.openxmlformats.org/spreadsheetml/2006/main" count="835" uniqueCount="577">
  <si>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</si>
  <si>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</si>
  <si>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</si>
  <si>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</si>
  <si>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</si>
  <si>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</si>
  <si>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</si>
  <si>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</si>
  <si>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</si>
  <si>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</si>
  <si>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</si>
  <si>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</si>
  <si>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</si>
  <si>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</si>
  <si>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</si>
  <si>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</si>
  <si>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</si>
  <si>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</si>
  <si>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</si>
  <si>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</si>
  <si>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</si>
  <si>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</si>
  <si>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</si>
  <si>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</si>
  <si>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</si>
  <si>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</si>
  <si>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</si>
  <si>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</si>
  <si>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</si>
  <si>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</si>
  <si>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</si>
  <si>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</si>
  <si>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</si>
  <si>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</si>
  <si>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</si>
  <si>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</si>
  <si>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</si>
  <si>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</si>
  <si>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</si>
  <si>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</si>
  <si>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</si>
  <si>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</si>
  <si>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</si>
  <si>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</si>
  <si>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</si>
  <si>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</si>
  <si>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</si>
  <si>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</si>
  <si>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</si>
  <si>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</si>
  <si>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</si>
  <si>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</si>
  <si>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</si>
  <si>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</si>
  <si>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</si>
  <si>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</si>
  <si>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</si>
  <si>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</si>
  <si>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</si>
  <si>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</si>
  <si>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</si>
  <si>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</si>
  <si>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</si>
  <si>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</si>
  <si>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</si>
  <si>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</si>
  <si>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</si>
  <si>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</si>
  <si>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</si>
  <si>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</si>
  <si>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</si>
  <si>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</si>
  <si>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</si>
  <si>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</si>
  <si>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</si>
  <si>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</si>
  <si>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</si>
  <si>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</si>
  <si>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</si>
  <si>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</si>
  <si>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</si>
  <si>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</si>
  <si>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</si>
  <si>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</si>
  <si>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</si>
  <si>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</si>
  <si>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</si>
  <si>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</si>
  <si>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</si>
  <si>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</si>
  <si>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</si>
  <si>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</si>
  <si>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</si>
  <si>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</si>
  <si>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</si>
  <si>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</si>
  <si>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</si>
  <si>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</si>
  <si>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</si>
  <si>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</si>
  <si>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</si>
  <si>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</si>
  <si>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</si>
  <si>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</si>
  <si>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</si>
  <si>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</si>
  <si>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</si>
  <si>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</si>
  <si>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</si>
  <si>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</si>
  <si>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</si>
  <si>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</si>
  <si>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</si>
  <si>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</si>
  <si>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</si>
  <si>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</si>
  <si>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</si>
  <si>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</si>
  <si>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</si>
  <si>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</si>
  <si>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</si>
  <si>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</si>
  <si>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</si>
  <si>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</si>
  <si>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</si>
  <si>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</si>
  <si>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</si>
  <si>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</si>
  <si>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</si>
  <si>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</si>
  <si>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</si>
  <si>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</si>
  <si>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</si>
  <si>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</si>
  <si>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</si>
  <si>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</si>
  <si>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</si>
  <si>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</si>
  <si>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</si>
  <si>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</si>
  <si>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</si>
  <si>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</si>
  <si>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</si>
  <si>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</si>
  <si>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</si>
  <si>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</si>
  <si>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</si>
  <si>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</si>
  <si>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</si>
  <si>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</si>
  <si>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</si>
  <si>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</si>
  <si>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</si>
  <si>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</si>
  <si>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</si>
  <si>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</si>
  <si>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</si>
  <si>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</si>
  <si>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</si>
  <si>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</si>
  <si>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</si>
  <si>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</si>
  <si>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</si>
  <si>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</si>
  <si>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</si>
  <si>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</si>
  <si>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</si>
  <si>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</si>
  <si>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</si>
  <si>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</si>
  <si>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</si>
  <si>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</si>
  <si>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</si>
  <si>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</si>
  <si>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</si>
  <si>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</si>
  <si>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</si>
  <si>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</si>
  <si>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</si>
  <si>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</si>
  <si>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</si>
  <si>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</si>
  <si>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</si>
  <si>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</si>
  <si>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</si>
  <si>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</si>
  <si>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</si>
  <si>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</si>
  <si>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</si>
  <si>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</si>
  <si>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</si>
  <si>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</si>
  <si>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</si>
  <si>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</si>
  <si>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</si>
  <si>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</si>
  <si>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</si>
  <si>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</si>
  <si>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</si>
  <si>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</si>
  <si>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</si>
  <si>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</si>
  <si>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</si>
  <si>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</si>
  <si>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</si>
  <si>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</si>
  <si>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</si>
  <si>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</si>
  <si>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</si>
  <si>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</si>
  <si>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</si>
  <si>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</si>
  <si>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</si>
  <si>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</si>
  <si>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</si>
  <si>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</si>
  <si>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</si>
  <si>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</si>
  <si>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</si>
  <si>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</si>
  <si>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</si>
  <si>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</si>
  <si>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</si>
  <si>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</si>
  <si>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</si>
  <si>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</si>
  <si>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</si>
  <si>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</si>
  <si>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</si>
  <si>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</si>
  <si>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</si>
  <si>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</si>
  <si>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</si>
  <si>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</si>
  <si>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</si>
  <si>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</si>
  <si>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</si>
  <si>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</si>
  <si>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</si>
  <si>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</si>
  <si>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</si>
  <si>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</si>
  <si>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</si>
  <si>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</si>
  <si>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</si>
  <si>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</si>
  <si>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</si>
  <si>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</si>
  <si>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</si>
  <si>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</si>
  <si>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</si>
  <si>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</si>
  <si>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</si>
  <si>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</si>
  <si>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</si>
  <si>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</si>
  <si>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</si>
  <si>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</si>
  <si>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</si>
  <si>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</si>
  <si>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</si>
  <si>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</si>
  <si>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</si>
  <si>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</si>
  <si>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</si>
  <si>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</si>
  <si>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</si>
  <si>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</si>
  <si>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</si>
  <si>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</si>
  <si>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</si>
  <si>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</si>
  <si>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</si>
  <si>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</si>
  <si>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</si>
  <si>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</si>
  <si>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</si>
  <si>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</si>
  <si>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</si>
  <si>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</si>
  <si>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</si>
  <si>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</si>
  <si>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</si>
  <si>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</si>
  <si>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</si>
  <si>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</si>
  <si>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</si>
  <si>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</si>
  <si>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</si>
  <si>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</si>
  <si>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</si>
  <si>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</si>
  <si>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</si>
  <si>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</si>
  <si>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</si>
  <si>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</si>
  <si>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</si>
  <si>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</si>
  <si>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</si>
  <si>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</si>
  <si>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</si>
  <si>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</si>
  <si>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</si>
  <si>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</si>
  <si>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</si>
  <si>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</si>
  <si>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</si>
  <si>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</si>
  <si>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</si>
  <si>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</si>
  <si>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</si>
  <si>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</si>
  <si>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</si>
  <si>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</si>
  <si>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</si>
  <si>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</si>
  <si>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</si>
  <si>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</si>
  <si>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</si>
  <si>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</si>
  <si>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</si>
  <si>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</si>
  <si>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</si>
  <si>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</si>
  <si>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</si>
  <si>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</si>
  <si>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</si>
  <si>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</si>
  <si>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</si>
  <si>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</si>
  <si>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</si>
  <si>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</si>
  <si>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</si>
  <si>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</si>
  <si>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</si>
  <si>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</si>
  <si>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</si>
  <si>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</si>
  <si>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</si>
  <si>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</si>
  <si>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</si>
  <si>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</si>
  <si>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</si>
  <si>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</si>
  <si>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</si>
  <si>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</si>
  <si>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</si>
  <si>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</si>
  <si>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</si>
  <si>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</si>
  <si>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</si>
  <si>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</si>
  <si>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</si>
  <si>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</si>
  <si>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</si>
  <si>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</si>
  <si>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</si>
  <si>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</si>
  <si>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</si>
  <si>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</si>
  <si>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</si>
  <si>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</si>
  <si>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</si>
  <si>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</si>
  <si>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</si>
  <si>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</si>
  <si>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</si>
  <si>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</si>
  <si>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</si>
  <si>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</si>
  <si>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</si>
  <si>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</si>
  <si>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</si>
  <si>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</si>
  <si>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</si>
  <si>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</si>
  <si>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</si>
  <si>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</si>
  <si>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</si>
  <si>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</si>
  <si>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</si>
  <si>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</si>
  <si>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</si>
  <si>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</si>
  <si>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</si>
  <si>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</si>
  <si>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</si>
  <si>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</si>
  <si>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</si>
  <si>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</si>
  <si>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</si>
  <si>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</si>
  <si>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</si>
  <si>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</si>
  <si>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</si>
  <si>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</si>
  <si>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</si>
  <si>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</si>
  <si>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</si>
  <si>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</si>
  <si>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</si>
  <si>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</si>
  <si>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</si>
  <si>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</si>
  <si>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</si>
  <si>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</si>
  <si>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</si>
  <si>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</si>
  <si>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</si>
  <si>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</si>
  <si>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</si>
  <si>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</si>
  <si>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</si>
  <si>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</si>
  <si>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</si>
  <si>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</si>
  <si>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</si>
  <si>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</si>
  <si>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</si>
  <si>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</si>
  <si>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</si>
  <si>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</si>
  <si>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</si>
  <si>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</si>
  <si>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</si>
  <si>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</si>
  <si>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</si>
  <si>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</si>
  <si>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</si>
  <si>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</si>
  <si>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</si>
  <si>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</si>
  <si>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</si>
  <si>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</si>
  <si>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</si>
  <si>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</si>
  <si>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</si>
  <si>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</si>
  <si>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</si>
  <si>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</si>
  <si>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</si>
  <si>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</si>
  <si>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</si>
  <si>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</si>
  <si>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</si>
  <si>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</si>
  <si>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</si>
  <si>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</si>
  <si>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</si>
  <si>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</si>
  <si>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</si>
  <si>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</si>
  <si>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</si>
  <si>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</si>
  <si>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</si>
  <si>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</si>
  <si>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</si>
  <si>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</si>
  <si>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</si>
  <si>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</si>
  <si>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</si>
  <si>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</si>
  <si>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</si>
  <si>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</si>
  <si>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</si>
  <si>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</si>
  <si>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</si>
  <si>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</si>
  <si>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</si>
  <si>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</si>
  <si>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</si>
  <si>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</si>
  <si>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</si>
  <si>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</si>
  <si>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</si>
  <si>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</si>
  <si>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</si>
  <si>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</si>
  <si>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</si>
  <si>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</si>
  <si>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</si>
  <si>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</si>
  <si>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</si>
  <si>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</si>
  <si>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</si>
  <si>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</si>
  <si>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</si>
  <si>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</si>
  <si>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</si>
  <si>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</si>
  <si>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</si>
  <si>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</si>
  <si>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</si>
  <si>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</si>
  <si>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</si>
  <si>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</si>
  <si>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</si>
  <si>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</si>
  <si>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</si>
  <si>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</si>
  <si>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</si>
  <si>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</si>
  <si>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</si>
  <si>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</si>
  <si>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</si>
  <si>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</si>
  <si>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</si>
  <si>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</si>
  <si>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</si>
  <si>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</si>
  <si>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</si>
  <si>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</si>
  <si>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</si>
  <si>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</si>
  <si>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</si>
  <si>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</si>
  <si>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</si>
  <si>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</si>
  <si>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</si>
  <si>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</si>
  <si>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</si>
  <si>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</si>
  <si>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</si>
  <si>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</si>
  <si>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</si>
  <si>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</si>
  <si>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</si>
  <si>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</si>
  <si>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</si>
  <si>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</si>
  <si>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</si>
  <si>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</si>
  <si>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</si>
  <si>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</si>
  <si>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</si>
  <si>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</si>
  <si>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</si>
  <si>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</si>
  <si>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</si>
  <si>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</si>
  <si>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</si>
  <si>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</si>
  <si>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</si>
  <si>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</si>
  <si>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</si>
  <si>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</si>
  <si>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</si>
  <si>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</si>
  <si>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</si>
  <si>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</si>
  <si>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</si>
  <si>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</si>
  <si>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</si>
  <si>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</si>
  <si>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</si>
  <si>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</si>
  <si>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</si>
  <si>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</si>
  <si>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</si>
  <si>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</si>
  <si>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</si>
  <si>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</si>
  <si>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</si>
  <si>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</si>
  <si>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</si>
  <si>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</si>
  <si>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</si>
  <si>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</si>
  <si>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</si>
  <si>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</si>
  <si>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10.02.2022</t>
  </si>
  <si>
    <t>Ахметшин Ю. М.</t>
  </si>
  <si>
    <t>Казахстан</t>
  </si>
  <si>
    <t>Каракалпак</t>
  </si>
  <si>
    <t>КОС</t>
  </si>
  <si>
    <t>Грабельное отделение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</si>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</sst>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10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  <xf numFmtId="3" fontId="0" fillId="8" borderId="1" xfId="0" applyNumberFormat="1" applyFill="1" applyBorder="1" applyAlignment="1">
      <alignment vertical="center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C31" sqref="C31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Каракалпак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КОС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Грабельное отделение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8618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8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550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600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1500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66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316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265120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557115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380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160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550.600.1500.8</v>
      </c>
    </row>
    <row r="25" spans="1:3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550.600.1500.8 (AISI 316;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</v>
      </c>
      <c r="F4">
        <f>E4+C4</f>
        <v>25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6</v>
      </c>
      <c r="F5">
        <f>E5+C5</f>
        <v>47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550.600.1500.8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550</v>
      </c>
      <c r="C16" s="65">
        <f>Цена!C16</f>
        <v>600</v>
      </c>
      <c r="D16" s="65">
        <f>Цена!D16</f>
        <v>1500</v>
      </c>
      <c r="E16" s="65">
        <f>Цена!E16</f>
        <v>8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234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252</v>
      </c>
      <c r="F21" s="327">
        <f ca="1">$F$23+OFFSET($AQ$56,MATCH($E$16,$AQ$57:$AQ$64,0),3,1,1)*(B21-$B$23)/100</f>
        <v>260</v>
      </c>
      <c r="G21" s="327">
        <f ca="1">$G$23+OFFSET($AQ$69,MATCH($E$16,$AQ$70:$AQ$77,0),3,1,1)*(B21-$B$23)/100</f>
        <v>270</v>
      </c>
      <c r="H21" s="327">
        <f ca="1">$H$24+OFFSET($AQ$80,MATCH($E$16,$AQ$81:$AQ$88,0),3,1,1)*(B21-$B$24)/100</f>
        <v>277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294</v>
      </c>
      <c r="K21" s="327">
        <f>K22-IF($E$16=6,14,IF($E$16=8,13,IF($E$16=10,13.5,IF($E$16=12,12.75,IF($E$16=14,12.25,IF($E$16=16,11.75,IF($E$16=20,11.75,IF($E$16=40,10,0))))))))</f>
        <v>430</v>
      </c>
      <c r="L21" s="327">
        <f>L22-IF($E$16=6,15.33,IF($E$16=8,14,IF($E$16=10,14.33,IF($E$16=12,14.33,IF($E$16=14,13.33,IF($E$16=16,12.67,IF($E$16=20,12.67,IF($E$16=40,10.67,0))))))))</f>
        <v>457</v>
      </c>
      <c r="M21" s="327">
        <f t="shared" ref="M21:M26" si="0">M22-IF($E$16=6,16.5,IF($E$16=8,15.5,IF($E$16=10,15.5,IF($E$16=12,15,IF($E$16=14,13.5,IF($E$16=16,13.5,IF($E$16=20,13.5,IF($E$16=40,11,0))))))))</f>
        <v>479</v>
      </c>
      <c r="N21" s="327">
        <f t="shared" ref="N21:N26" si="1">N22-($N$31-$N$30)</f>
        <v>505.38999999999987</v>
      </c>
      <c r="O21" s="327">
        <f t="shared" ref="O21:O27" si="2">O22-($O$31-$O$30)</f>
        <v>531.15999999999985</v>
      </c>
      <c r="P21" s="327">
        <f t="shared" ref="P21:P28" si="3">P22-($P$32-$P$31)</f>
        <v>533.92999999999984</v>
      </c>
      <c r="Q21" s="327">
        <f t="shared" ref="Q21:Q29" si="4">Q22-IF($E$16=6,21.25,IF($E$16=8,18.42,IF($E$16=10,18.83,IF($E$16=12,17.75,IF($E$16=14,16.67,IF($E$16=16,16,IF($E$16=20,16,IF($E$16=40,12.75,0))))))))</f>
        <v>565.80000000000041</v>
      </c>
      <c r="R21" s="327">
        <f t="shared" ref="R21:R29" si="5">R22-IF($E$16=6,22.36,IF($E$16=8,20.36,IF($E$16=10,20.82,IF($E$16=12,19.45,IF($E$16=14,18.27,IF($E$16=16,17.55,IF($E$16=20,17.36,IF($E$16=40,13.55,0))))))))</f>
        <v>581.03999999999985</v>
      </c>
      <c r="S21" s="327">
        <f t="shared" ref="S21:S29" si="6">S22-IF($E$16=6,23.1,IF($E$16=8,21.4,IF($E$16=10,21.8,IF($E$16=12,20.4,IF($E$16=14,19.3,IF($E$16=16,18.3,IF($E$16=20,18.3,IF($E$16=40,14,0))))))))</f>
        <v>603.20000000000027</v>
      </c>
      <c r="T21" s="327">
        <f t="shared" ref="T21:T29" si="7">T22-IF($E$16=6,24.89,IF($E$16=8,22.33,IF($E$16=10,22.89,IF($E$16=12,21.33,IF($E$16=14,20,IF($E$16=16,19.11,IF($E$16=20,19,IF($E$16=40,14.56,0))))))))</f>
        <v>627.70999999999947</v>
      </c>
      <c r="U21" s="327">
        <f t="shared" ref="U21:U29" si="8">U22-IF($E$16=6,25.88,IF($E$16=8,23.38,IF($E$16=10,24,IF($E$16=12,22.38,IF($E$16=14,21,IF($E$16=16,19.88,IF($E$16=20,19.75,IF($E$16=40,15,0))))))))</f>
        <v>649.68000000000006</v>
      </c>
      <c r="V21" s="327">
        <f t="shared" ref="V21:V29" si="9">V22-IF($E$16=6,27.29,IF($E$16=8,24.43,IF($E$16=10,25,IF($E$16=12,23.29,IF($E$16=14,21.71,IF($E$16=16,20.57,IF($E$16=20,20.71,IF($E$16=40,15.43,0))))))))</f>
        <v>671.55000000000075</v>
      </c>
      <c r="W21" s="327">
        <f t="shared" ref="W21:W29" si="10">W22-IF($E$16=6,28.33,IF($E$16=8,25.33,IF($E$16=10,26.17,IF($E$16=12,24.17,IF($E$16=14,22.67,IF($E$16=16,21.33,IF($E$16=20,21.33,IF($E$16=40,16,0))))))))</f>
        <v>696.71999999999969</v>
      </c>
      <c r="X21" s="327">
        <f t="shared" ref="X21:X29" si="11">X22-IF($E$16=6,29.4,IF($E$16=8,26.4,IF($E$16=10,27.2,IF($E$16=12,25.2,IF($E$16=14,23.6,IF($E$16=16,22.2,IF($E$16=20,22,IF($E$16=40,16.4,0))))))))</f>
        <v>718.19999999999982</v>
      </c>
      <c r="Y21" s="327">
        <f t="shared" ref="Y21:Y29" si="12">Y22-IF($E$16=6,31,IF($E$16=8,27.5,IF($E$16=10,28.25,IF($E$16=12,26.25,IF($E$16=14,24.25,IF($E$16=16,23,IF($E$16=20,23,IF($E$16=40,16.75,0))))))))</f>
        <v>743</v>
      </c>
      <c r="Z21" s="327">
        <f t="shared" ref="Z21:Z29" si="13">Z22-IF($E$16=6,35,IF($E$16=8,28.67,IF($E$16=10,29.33,IF($E$16=12,27,IF($E$16=14,25.33,IF($E$16=16,23.67,IF($E$16=20,23.67,IF($E$16=40,17.33,0))))))))</f>
        <v>762.26999999999975</v>
      </c>
      <c r="AA21" s="346">
        <f t="shared" ref="AA21:AA29" si="14">AA22-IF($E$16=6,33,IF($E$16=8,29.5,IF($E$16=10,30.5,IF($E$16=12,28,IF($E$16=14,26,IF($E$16=16,24.5,IF($E$16=20,24.5,IF($E$16=40,17.5,0))))))))</f>
        <v>789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242</v>
      </c>
      <c r="D22" s="313">
        <f ca="1">OFFSET($AQ$34,MATCH($E$16,$AQ$35:$AQ$42,0),1,1,1)</f>
        <v>251</v>
      </c>
      <c r="E22" s="313">
        <f ca="1">OFFSET($AQ$45,MATCH($E$16,$AQ$46:$AQ$53,0),1,1,1)</f>
        <v>260</v>
      </c>
      <c r="F22" s="317">
        <f ca="1">$F$23+OFFSET($AQ$56,MATCH($E$16,$AQ$57:$AQ$64,0),3,1,1)*(B22-$B$23)/100</f>
        <v>269</v>
      </c>
      <c r="G22" s="317">
        <f ca="1">$G$23+OFFSET($AQ$69,MATCH($E$16,$AQ$70:$AQ$77,0),3,1,1)*(B22-$B$23)/100</f>
        <v>279</v>
      </c>
      <c r="H22" s="317">
        <f ca="1">$H$24+OFFSET($AQ$80,MATCH($E$16,$AQ$81:$AQ$88,0),3,1,1)*(B22-$B$24)/100</f>
        <v>287</v>
      </c>
      <c r="I22" s="317">
        <f ca="1">$I$24+OFFSET($AQ$91,MATCH($E$16,$AQ$92:$AQ$99,0),3,1,1)*(B22-$B$24)/100</f>
        <v>295</v>
      </c>
      <c r="J22" s="322">
        <f ca="1">$J$25+OFFSET($AQ$102,MATCH($E$16,$AQ$103:$AQ$110,0),3,1,1)*(B22-$B$25)/100</f>
        <v>305</v>
      </c>
      <c r="K22" s="317">
        <f>K23-IF($E$16=6,14,IF($E$16=8,13,IF($E$16=10,13.5,IF($E$16=12,12.75,IF($E$16=14,12.25,IF($E$16=16,11.75,IF($E$16=20,11.75,IF($E$16=40,10,0))))))))</f>
        <v>443</v>
      </c>
      <c r="L22" s="317">
        <f>L23-IF($E$16=6,15.33,IF($E$16=8,14,IF($E$16=10,14.33,IF($E$16=12,14.33,IF($E$16=14,13.33,IF($E$16=16,12.67,IF($E$16=20,12.67,IF($E$16=40,10.67,0))))))))</f>
        <v>471</v>
      </c>
      <c r="M22" s="317">
        <f t="shared" si="0"/>
        <v>494.5</v>
      </c>
      <c r="N22" s="317">
        <f t="shared" si="1"/>
        <v>521.61999999999989</v>
      </c>
      <c r="O22" s="317">
        <f t="shared" si="2"/>
        <v>548.38999999999987</v>
      </c>
      <c r="P22" s="317">
        <f t="shared" si="3"/>
        <v>552.15999999999985</v>
      </c>
      <c r="Q22" s="317">
        <f t="shared" si="4"/>
        <v>584.22000000000037</v>
      </c>
      <c r="R22" s="317">
        <f t="shared" si="5"/>
        <v>601.39999999999986</v>
      </c>
      <c r="S22" s="317">
        <f t="shared" si="6"/>
        <v>624.60000000000025</v>
      </c>
      <c r="T22" s="317">
        <f t="shared" si="7"/>
        <v>650.03999999999951</v>
      </c>
      <c r="U22" s="317">
        <f t="shared" si="8"/>
        <v>673.06000000000006</v>
      </c>
      <c r="V22" s="317">
        <f t="shared" si="9"/>
        <v>695.9800000000007</v>
      </c>
      <c r="W22" s="317">
        <f t="shared" si="10"/>
        <v>722.04999999999973</v>
      </c>
      <c r="X22" s="317">
        <f t="shared" si="11"/>
        <v>744.5999999999998</v>
      </c>
      <c r="Y22" s="317">
        <f t="shared" si="12"/>
        <v>770.5</v>
      </c>
      <c r="Z22" s="317">
        <f t="shared" si="13"/>
        <v>790.93999999999971</v>
      </c>
      <c r="AA22" s="329">
        <f t="shared" si="14"/>
        <v>818.5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250</v>
      </c>
      <c r="D23" s="185">
        <f t="shared" ref="D23:D29" ca="1" si="16">$D$22+OFFSET($AQ$34,MATCH($E$16,$AQ$35:$AQ$42,0),3,1,1)*(B23-$B$22)/100</f>
        <v>258</v>
      </c>
      <c r="E23" s="185">
        <f t="shared" ref="E23:E29" ca="1" si="17">$E$22+OFFSET($AQ$45,MATCH($E$16,$AQ$46:$AQ$53,0),3,1,1)*(B23-$B$22)/100</f>
        <v>268</v>
      </c>
      <c r="F23" s="313">
        <f ca="1">OFFSET($AQ$56,MATCH($E$16,$AQ$57:$AQ$64,0),1,1,1)</f>
        <v>278</v>
      </c>
      <c r="G23" s="313">
        <f ca="1">OFFSET($AQ$69,MATCH($E$16,$AQ$70:$AQ$77,0),1,1,1)</f>
        <v>288</v>
      </c>
      <c r="H23" s="317">
        <f ca="1">$H$24+OFFSET($AQ$80,MATCH($E$16,$AQ$81:$AQ$88,0),3,1,1)*(B23-$B$24)/100</f>
        <v>297</v>
      </c>
      <c r="I23" s="317">
        <f ca="1">$I$24+OFFSET($AQ$91,MATCH($E$16,$AQ$92:$AQ$99,0),3,1,1)*(B23-$B$24)/100</f>
        <v>306</v>
      </c>
      <c r="J23" s="322">
        <f ca="1">$J$25+OFFSET($AQ$102,MATCH($E$16,$AQ$103:$AQ$110,0),3,1,1)*(B23-$B$25)/100</f>
        <v>316</v>
      </c>
      <c r="K23" s="317">
        <f>K24-IF($E$16=6,14,IF($E$16=8,13,IF($E$16=10,13.5,IF($E$16=12,12.75,IF($E$16=14,12.25,IF($E$16=16,11.75,IF($E$16=20,11.75,IF($E$16=40,10,0))))))))</f>
        <v>456</v>
      </c>
      <c r="L23" s="317">
        <f>L24-IF($E$16=6,15.33,IF($E$16=8,14,IF($E$16=10,14.33,IF($E$16=12,14.33,IF($E$16=14,13.33,IF($E$16=16,12.67,IF($E$16=20,12.67,IF($E$16=40,10.67,0))))))))</f>
        <v>485</v>
      </c>
      <c r="M23" s="317">
        <f t="shared" si="0"/>
        <v>510</v>
      </c>
      <c r="N23" s="317">
        <f t="shared" si="1"/>
        <v>537.84999999999991</v>
      </c>
      <c r="O23" s="317">
        <f t="shared" si="2"/>
        <v>565.61999999999989</v>
      </c>
      <c r="P23" s="317">
        <f t="shared" si="3"/>
        <v>570.38999999999987</v>
      </c>
      <c r="Q23" s="317">
        <f t="shared" si="4"/>
        <v>602.64000000000033</v>
      </c>
      <c r="R23" s="317">
        <f t="shared" si="5"/>
        <v>621.75999999999988</v>
      </c>
      <c r="S23" s="317">
        <f t="shared" si="6"/>
        <v>646.00000000000023</v>
      </c>
      <c r="T23" s="317">
        <f t="shared" si="7"/>
        <v>672.36999999999955</v>
      </c>
      <c r="U23" s="317">
        <f t="shared" si="8"/>
        <v>696.44</v>
      </c>
      <c r="V23" s="317">
        <f t="shared" si="9"/>
        <v>720.41000000000065</v>
      </c>
      <c r="W23" s="317">
        <f t="shared" si="10"/>
        <v>747.37999999999977</v>
      </c>
      <c r="X23" s="317">
        <f t="shared" si="11"/>
        <v>770.99999999999977</v>
      </c>
      <c r="Y23" s="317">
        <f t="shared" si="12"/>
        <v>798</v>
      </c>
      <c r="Z23" s="317">
        <f t="shared" si="13"/>
        <v>819.60999999999967</v>
      </c>
      <c r="AA23" s="329">
        <f t="shared" si="14"/>
        <v>848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258</v>
      </c>
      <c r="D24" s="185">
        <f t="shared" ca="1" si="16"/>
        <v>265</v>
      </c>
      <c r="E24" s="185">
        <f t="shared" ca="1" si="17"/>
        <v>276</v>
      </c>
      <c r="F24" s="185">
        <f t="shared" ref="F24:F29" ca="1" si="18">$F$23+OFFSET($AQ$56,MATCH($E$16,$AQ$57:$AQ$64,0),3,1,1)*(B24-$B$23)/100</f>
        <v>287</v>
      </c>
      <c r="G24" s="185">
        <f t="shared" ref="G24:G29" ca="1" si="19">$G$23+OFFSET($AQ$69,MATCH($E$16,$AQ$70:$AQ$77,0),3,1,1)*(B24-$B$23)/100</f>
        <v>297</v>
      </c>
      <c r="H24" s="313">
        <f ca="1">OFFSET($AQ$80,MATCH($E$16,$AQ$81:$AQ$88,0),1,1,1)</f>
        <v>307</v>
      </c>
      <c r="I24" s="313">
        <f ca="1">OFFSET($AQ$91,MATCH($E$16,$AQ$92:$AQ$99,0),1,1,1)</f>
        <v>317</v>
      </c>
      <c r="J24" s="322">
        <f ca="1">$J$25+OFFSET($AQ$102,MATCH($E$16,$AQ$103:$AQ$110,0),3,1,1)*(B24-$B$25)/100</f>
        <v>327</v>
      </c>
      <c r="K24" s="317">
        <f>K25-IF($E$16=6,14,IF($E$16=8,13,IF($E$16=10,13.5,IF($E$16=12,12.75,IF($E$16=14,12.25,IF($E$16=16,11.75,IF($E$16=20,11.75,IF($E$16=40,10,0))))))))</f>
        <v>469</v>
      </c>
      <c r="L24" s="317">
        <f>L25-IF($E$16=6,15.33,IF($E$16=8,14,IF($E$16=10,14.33,IF($E$16=12,14.33,IF($E$16=14,13.33,IF($E$16=16,12.67,IF($E$16=20,12.67,IF($E$16=40,10.67,0))))))))</f>
        <v>499</v>
      </c>
      <c r="M24" s="317">
        <f t="shared" si="0"/>
        <v>525.5</v>
      </c>
      <c r="N24" s="317">
        <f t="shared" si="1"/>
        <v>554.07999999999993</v>
      </c>
      <c r="O24" s="317">
        <f t="shared" si="2"/>
        <v>582.84999999999991</v>
      </c>
      <c r="P24" s="317">
        <f t="shared" si="3"/>
        <v>588.61999999999989</v>
      </c>
      <c r="Q24" s="317">
        <f t="shared" si="4"/>
        <v>621.06000000000029</v>
      </c>
      <c r="R24" s="317">
        <f t="shared" si="5"/>
        <v>642.11999999999989</v>
      </c>
      <c r="S24" s="317">
        <f t="shared" si="6"/>
        <v>667.4000000000002</v>
      </c>
      <c r="T24" s="317">
        <f t="shared" si="7"/>
        <v>694.69999999999959</v>
      </c>
      <c r="U24" s="317">
        <f t="shared" si="8"/>
        <v>719.82</v>
      </c>
      <c r="V24" s="317">
        <f t="shared" si="9"/>
        <v>744.8400000000006</v>
      </c>
      <c r="W24" s="317">
        <f t="shared" si="10"/>
        <v>772.70999999999981</v>
      </c>
      <c r="X24" s="317">
        <f t="shared" si="11"/>
        <v>797.39999999999975</v>
      </c>
      <c r="Y24" s="317">
        <f t="shared" si="12"/>
        <v>825.5</v>
      </c>
      <c r="Z24" s="317">
        <f t="shared" si="13"/>
        <v>848.27999999999963</v>
      </c>
      <c r="AA24" s="329">
        <f t="shared" si="14"/>
        <v>877.5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266</v>
      </c>
      <c r="D25" s="185">
        <f t="shared" ca="1" si="16"/>
        <v>272</v>
      </c>
      <c r="E25" s="185">
        <f t="shared" ca="1" si="17"/>
        <v>284</v>
      </c>
      <c r="F25" s="185">
        <f t="shared" ca="1" si="18"/>
        <v>296</v>
      </c>
      <c r="G25" s="185">
        <f t="shared" ca="1" si="19"/>
        <v>306</v>
      </c>
      <c r="H25" s="185">
        <f ca="1">$H$24+OFFSET($AQ$80,MATCH($E$16,$AQ$81:$AQ$88,0),3,1,1)*(B25-$B$24)/100</f>
        <v>317</v>
      </c>
      <c r="I25" s="185">
        <f ca="1">$I$24+OFFSET($AQ$91,MATCH($E$16,$AQ$92:$AQ$99,0),3,1,1)*(B25-$B$24)/100</f>
        <v>328</v>
      </c>
      <c r="J25" s="319">
        <f ca="1">OFFSET($AQ$102,MATCH($E$16,$AQ$103:$AQ$110,0),1,1,1)</f>
        <v>338</v>
      </c>
      <c r="K25" s="284">
        <f>IF($E$16=6,487,IF($E$16=8,482,IF($E$16=10,480,IF($E$16=12,474,IF($E$16=14,468,IF($E$16=16,464,IF($E$16=20,463,IF($E$16=40,443,0))))))))</f>
        <v>482</v>
      </c>
      <c r="L25" s="317">
        <f>L26-IF($E$16=6,15.33,IF($E$16=8,14,IF($E$16=10,14.33,IF($E$16=12,14.33,IF($E$16=14,13.33,IF($E$16=16,12.67,IF($E$16=20,12.67,IF($E$16=40,10.67,0))))))))</f>
        <v>513</v>
      </c>
      <c r="M25" s="317">
        <f t="shared" si="0"/>
        <v>541</v>
      </c>
      <c r="N25" s="317">
        <f t="shared" si="1"/>
        <v>570.30999999999995</v>
      </c>
      <c r="O25" s="317">
        <f t="shared" si="2"/>
        <v>600.07999999999993</v>
      </c>
      <c r="P25" s="317">
        <f t="shared" si="3"/>
        <v>606.84999999999991</v>
      </c>
      <c r="Q25" s="317">
        <f t="shared" si="4"/>
        <v>639.48000000000025</v>
      </c>
      <c r="R25" s="317">
        <f t="shared" si="5"/>
        <v>662.4799999999999</v>
      </c>
      <c r="S25" s="317">
        <f t="shared" si="6"/>
        <v>688.80000000000018</v>
      </c>
      <c r="T25" s="317">
        <f t="shared" si="7"/>
        <v>717.02999999999963</v>
      </c>
      <c r="U25" s="317">
        <f t="shared" si="8"/>
        <v>743.2</v>
      </c>
      <c r="V25" s="317">
        <f t="shared" si="9"/>
        <v>769.27000000000055</v>
      </c>
      <c r="W25" s="317">
        <f t="shared" si="10"/>
        <v>798.03999999999985</v>
      </c>
      <c r="X25" s="317">
        <f t="shared" si="11"/>
        <v>823.79999999999973</v>
      </c>
      <c r="Y25" s="317">
        <f t="shared" si="12"/>
        <v>853</v>
      </c>
      <c r="Z25" s="317">
        <f t="shared" si="13"/>
        <v>876.94999999999959</v>
      </c>
      <c r="AA25" s="329">
        <f t="shared" si="14"/>
        <v>907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274</v>
      </c>
      <c r="D26" s="185">
        <f t="shared" ca="1" si="16"/>
        <v>279</v>
      </c>
      <c r="E26" s="185">
        <f t="shared" ca="1" si="17"/>
        <v>292</v>
      </c>
      <c r="F26" s="185">
        <f t="shared" ca="1" si="18"/>
        <v>305</v>
      </c>
      <c r="G26" s="185">
        <f t="shared" ca="1" si="19"/>
        <v>315</v>
      </c>
      <c r="H26" s="185">
        <f ca="1">$H$24+OFFSET($AQ$80,MATCH($E$16,$AQ$81:$AQ$88,0),3,1,1)*(B26-$B$24)/100</f>
        <v>327</v>
      </c>
      <c r="I26" s="185">
        <f ca="1">$I$24+OFFSET($AQ$91,MATCH($E$16,$AQ$92:$AQ$99,0),3,1,1)*(B26-$B$24)/100</f>
        <v>339</v>
      </c>
      <c r="J26" s="320">
        <f ca="1">$J$25+OFFSET($AQ$102,MATCH($E$16,$AQ$103:$AQ$110,0),3,1,1)*(B26-$B$25)/100</f>
        <v>349</v>
      </c>
      <c r="K26" s="284">
        <f>K25+IF($E$16=6,14,IF($E$16=8,13,IF($E$16=10,13.5,IF($E$16=12,12.75,IF($E$16=14,12.25,IF($E$16=16,11.75,IF($E$16=20,11.75,IF($E$16=40,10,0))))))))</f>
        <v>495</v>
      </c>
      <c r="L26" s="185">
        <f>IF($E$16=6,532,IF($E$16=8,527,IF($E$16=10,525,IF($E$16=12,516,IF($E$16=14,509,IF($E$16=16,505,IF($E$16=20,500,IF($E$16=40,479,0))))))))</f>
        <v>527</v>
      </c>
      <c r="M26" s="317">
        <f t="shared" si="0"/>
        <v>556.5</v>
      </c>
      <c r="N26" s="317">
        <f t="shared" si="1"/>
        <v>586.54</v>
      </c>
      <c r="O26" s="317">
        <f t="shared" si="2"/>
        <v>617.30999999999995</v>
      </c>
      <c r="P26" s="317">
        <f t="shared" si="3"/>
        <v>625.07999999999993</v>
      </c>
      <c r="Q26" s="317">
        <f t="shared" si="4"/>
        <v>657.9000000000002</v>
      </c>
      <c r="R26" s="317">
        <f t="shared" si="5"/>
        <v>682.83999999999992</v>
      </c>
      <c r="S26" s="317">
        <f t="shared" si="6"/>
        <v>710.20000000000016</v>
      </c>
      <c r="T26" s="317">
        <f t="shared" si="7"/>
        <v>739.35999999999967</v>
      </c>
      <c r="U26" s="317">
        <f t="shared" si="8"/>
        <v>766.58</v>
      </c>
      <c r="V26" s="317">
        <f t="shared" si="9"/>
        <v>793.7000000000005</v>
      </c>
      <c r="W26" s="317">
        <f t="shared" si="10"/>
        <v>823.36999999999989</v>
      </c>
      <c r="X26" s="317">
        <f t="shared" si="11"/>
        <v>850.1999999999997</v>
      </c>
      <c r="Y26" s="317">
        <f t="shared" si="12"/>
        <v>880.5</v>
      </c>
      <c r="Z26" s="317">
        <f t="shared" si="13"/>
        <v>905.61999999999955</v>
      </c>
      <c r="AA26" s="329">
        <f t="shared" si="14"/>
        <v>936.5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282</v>
      </c>
      <c r="D27" s="185">
        <f t="shared" ca="1" si="16"/>
        <v>286</v>
      </c>
      <c r="E27" s="185">
        <f t="shared" ca="1" si="17"/>
        <v>300</v>
      </c>
      <c r="F27" s="185">
        <f t="shared" ca="1" si="18"/>
        <v>314</v>
      </c>
      <c r="G27" s="185">
        <f t="shared" ca="1" si="19"/>
        <v>324</v>
      </c>
      <c r="H27" s="185">
        <f ca="1">$H$24+OFFSET($AQ$80,MATCH($E$16,$AQ$81:$AQ$88,0),3,1,1)*(B27-$B$24)/100</f>
        <v>337</v>
      </c>
      <c r="I27" s="185">
        <f ca="1">$I$24+OFFSET($AQ$91,MATCH($E$16,$AQ$92:$AQ$99,0),3,1,1)*(B27-$B$24)/100</f>
        <v>350</v>
      </c>
      <c r="J27" s="320">
        <f ca="1">$J$25+OFFSET($AQ$102,MATCH($E$16,$AQ$103:$AQ$110,0),3,1,1)*(B27-$B$25)/100</f>
        <v>360</v>
      </c>
      <c r="K27" s="284">
        <f>K26+IF($E$16=6,14,IF($E$16=8,13,IF($E$16=10,13.5,IF($E$16=12,12.75,IF($E$16=14,12.25,IF($E$16=16,11.75,IF($E$16=20,11.75,IF($E$16=40,10,0))))))))</f>
        <v>508</v>
      </c>
      <c r="L27" s="185">
        <f>L26+IF($E$16=6,15.33,IF($E$16=8,14,IF($E$16=10,14.33,IF($E$16=12,14.33,IF($E$16=14,13.33,IF($E$16=16,12.67,IF($E$16=20,12.67,IF($E$16=40,10.67,0))))))))</f>
        <v>541</v>
      </c>
      <c r="M27" s="185">
        <f>IF($E$16=6,581,IF($E$16=8,572,IF($E$16=10,569,IF($E$16=12,559,IF($E$16=14,550,IF($E$16=16,545,IF($E$16=20,539,IF($E$16=40,510,0))))))))</f>
        <v>572</v>
      </c>
      <c r="N27" s="317">
        <f>N28-($N$31-$N$30)</f>
        <v>602.77</v>
      </c>
      <c r="O27" s="317">
        <f t="shared" si="2"/>
        <v>634.54</v>
      </c>
      <c r="P27" s="317">
        <f t="shared" si="3"/>
        <v>643.30999999999995</v>
      </c>
      <c r="Q27" s="317">
        <f t="shared" si="4"/>
        <v>676.32000000000016</v>
      </c>
      <c r="R27" s="317">
        <f t="shared" si="5"/>
        <v>703.19999999999993</v>
      </c>
      <c r="S27" s="317">
        <f t="shared" si="6"/>
        <v>731.60000000000014</v>
      </c>
      <c r="T27" s="317">
        <f t="shared" si="7"/>
        <v>761.68999999999971</v>
      </c>
      <c r="U27" s="317">
        <f t="shared" si="8"/>
        <v>789.96</v>
      </c>
      <c r="V27" s="317">
        <f t="shared" si="9"/>
        <v>818.13000000000045</v>
      </c>
      <c r="W27" s="317">
        <f t="shared" si="10"/>
        <v>848.69999999999993</v>
      </c>
      <c r="X27" s="317">
        <f t="shared" si="11"/>
        <v>876.59999999999968</v>
      </c>
      <c r="Y27" s="317">
        <f t="shared" si="12"/>
        <v>908</v>
      </c>
      <c r="Z27" s="317">
        <f t="shared" si="13"/>
        <v>934.28999999999951</v>
      </c>
      <c r="AA27" s="329">
        <f t="shared" si="14"/>
        <v>966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290</v>
      </c>
      <c r="D28" s="185">
        <f t="shared" ca="1" si="16"/>
        <v>293</v>
      </c>
      <c r="E28" s="185">
        <f t="shared" ca="1" si="17"/>
        <v>308</v>
      </c>
      <c r="F28" s="185">
        <f t="shared" ca="1" si="18"/>
        <v>323</v>
      </c>
      <c r="G28" s="185">
        <f t="shared" ca="1" si="19"/>
        <v>333</v>
      </c>
      <c r="H28" s="185">
        <f ca="1">$H$24+OFFSET($AQ$80,MATCH($E$16,$AQ$81:$AQ$88,0),3,1,1)*(B28-$B$24)/100</f>
        <v>347</v>
      </c>
      <c r="I28" s="185">
        <f ca="1">$I$24+OFFSET($AQ$91,MATCH($E$16,$AQ$92:$AQ$99,0),3,1,1)*(B28-$B$24)/100</f>
        <v>361</v>
      </c>
      <c r="J28" s="320">
        <f ca="1">$J$25+OFFSET($AQ$102,MATCH($E$16,$AQ$103:$AQ$110,0),3,1,1)*(B28-$B$25)/100</f>
        <v>371</v>
      </c>
      <c r="K28" s="284">
        <f>K27+IF($E$16=6,14,IF($E$16=8,13,IF($E$16=10,13.5,IF($E$16=12,12.75,IF($E$16=14,12.25,IF($E$16=16,11.75,IF($E$16=20,11.75,IF($E$16=40,10,0))))))))</f>
        <v>521</v>
      </c>
      <c r="L28" s="185">
        <f>L27+IF($E$16=6,15.33,IF($E$16=8,14,IF($E$16=10,14.33,IF($E$16=12,14.33,IF($E$16=14,13.33,IF($E$16=16,12.67,IF($E$16=20,12.67,IF($E$16=40,10.67,0))))))))</f>
        <v>555</v>
      </c>
      <c r="M28" s="185">
        <f>M27+IF($E$16=6,16.5,IF($E$16=8,15.5,IF($E$16=10,15.5,IF($E$16=12,15,IF($E$16=14,13.5,IF($E$16=16,13.5,IF($E$16=20,13.5,IF($E$16=40,11,0))))))))</f>
        <v>587.5</v>
      </c>
      <c r="N28" s="185">
        <f>IF($E$16=6,630,IF($E$16=8,619,IF($E$16=10,618,IF($E$16=12,605,IF($E$16=14,594,IF($E$16=16,586,IF($E$16=20,583,IF($E$16=40,548,0))))))))</f>
        <v>619</v>
      </c>
      <c r="O28" s="317">
        <f>O29-($O$31-$O$30)</f>
        <v>651.77</v>
      </c>
      <c r="P28" s="317">
        <f t="shared" si="3"/>
        <v>661.54</v>
      </c>
      <c r="Q28" s="317">
        <f t="shared" si="4"/>
        <v>694.74000000000012</v>
      </c>
      <c r="R28" s="317">
        <f t="shared" si="5"/>
        <v>723.56</v>
      </c>
      <c r="S28" s="317">
        <f t="shared" si="6"/>
        <v>753.00000000000011</v>
      </c>
      <c r="T28" s="317">
        <f t="shared" si="7"/>
        <v>784.01999999999975</v>
      </c>
      <c r="U28" s="317">
        <f t="shared" si="8"/>
        <v>813.34</v>
      </c>
      <c r="V28" s="317">
        <f t="shared" si="9"/>
        <v>842.5600000000004</v>
      </c>
      <c r="W28" s="317">
        <f t="shared" si="10"/>
        <v>874.03</v>
      </c>
      <c r="X28" s="317">
        <f t="shared" si="11"/>
        <v>902.99999999999966</v>
      </c>
      <c r="Y28" s="317">
        <f t="shared" si="12"/>
        <v>935.5</v>
      </c>
      <c r="Z28" s="317">
        <f t="shared" si="13"/>
        <v>962.95999999999947</v>
      </c>
      <c r="AA28" s="329">
        <f t="shared" si="14"/>
        <v>995.5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298</v>
      </c>
      <c r="D29" s="321">
        <f t="shared" ca="1" si="16"/>
        <v>300</v>
      </c>
      <c r="E29" s="321">
        <f t="shared" ca="1" si="17"/>
        <v>316</v>
      </c>
      <c r="F29" s="321">
        <f t="shared" ca="1" si="18"/>
        <v>332</v>
      </c>
      <c r="G29" s="321">
        <f t="shared" ca="1" si="19"/>
        <v>342</v>
      </c>
      <c r="H29" s="321">
        <f ca="1">$H$24+OFFSET($AQ$80,MATCH($E$16,$AQ$81:$AQ$88,0),3,1,1)*(B29-$B$24)/100</f>
        <v>357</v>
      </c>
      <c r="I29" s="321">
        <f ca="1">$I$24+OFFSET($AQ$91,MATCH($E$16,$AQ$92:$AQ$99,0),3,1,1)*(B29-$B$24)/100</f>
        <v>372</v>
      </c>
      <c r="J29" s="336">
        <f ca="1">$J$25+OFFSET($AQ$102,MATCH($E$16,$AQ$103:$AQ$110,0),3,1,1)*(B29-$B$25)/100</f>
        <v>382</v>
      </c>
      <c r="K29" s="337">
        <f>K28+IF($E$16=6,14,IF($E$16=8,13,IF($E$16=10,13.5,IF($E$16=12,12.75,IF($E$16=14,12.25,IF($E$16=16,11.75,IF($E$16=20,11.75,IF($E$16=40,10,0))))))))</f>
        <v>534</v>
      </c>
      <c r="L29" s="321">
        <f>L28+IF($E$16=6,15.33,IF($E$16=8,14,IF($E$16=10,14.33,IF($E$16=12,14.33,IF($E$16=14,13.33,IF($E$16=16,12.67,IF($E$16=20,12.67,IF($E$16=40,10.67,0))))))))</f>
        <v>569</v>
      </c>
      <c r="M29" s="321">
        <f>M28+IF($E$16=6,16.5,IF($E$16=8,15.5,IF($E$16=10,15.5,IF($E$16=12,15,IF($E$16=14,13.5,IF($E$16=16,13.5,IF($E$16=20,13.5,IF($E$16=40,11,0))))))))</f>
        <v>603</v>
      </c>
      <c r="N29" s="321">
        <f>IF($E$16=6,648,IF($E$16=8,636,IF($E$16=10,634,IF($E$16=12,620,IF($E$16=14,609,IF($E$16=16,601,IF($E$16=20,597,IF($E$16=40,560,0))))))))</f>
        <v>636</v>
      </c>
      <c r="O29" s="321">
        <f>IF($E$16=6,665,IF($E$16=8,669,IF($E$16=10,666,IF($E$16=12,652,IF($E$16=14,641,IF($E$16=16,630,IF($E$16=20,625,IF($E$16=40,584,0))))))))</f>
        <v>669</v>
      </c>
      <c r="P29" s="317">
        <f>P30-($P$32-$P$31)</f>
        <v>679.77</v>
      </c>
      <c r="Q29" s="317">
        <f t="shared" si="4"/>
        <v>713.16000000000008</v>
      </c>
      <c r="R29" s="317">
        <f t="shared" si="5"/>
        <v>743.92</v>
      </c>
      <c r="S29" s="317">
        <f t="shared" si="6"/>
        <v>774.40000000000009</v>
      </c>
      <c r="T29" s="317">
        <f t="shared" si="7"/>
        <v>806.3499999999998</v>
      </c>
      <c r="U29" s="317">
        <f t="shared" si="8"/>
        <v>836.72</v>
      </c>
      <c r="V29" s="317">
        <f t="shared" si="9"/>
        <v>866.99000000000035</v>
      </c>
      <c r="W29" s="317">
        <f t="shared" si="10"/>
        <v>899.36</v>
      </c>
      <c r="X29" s="317">
        <f t="shared" si="11"/>
        <v>929.39999999999964</v>
      </c>
      <c r="Y29" s="317">
        <f t="shared" si="12"/>
        <v>963</v>
      </c>
      <c r="Z29" s="317">
        <f t="shared" si="13"/>
        <v>991.62999999999943</v>
      </c>
      <c r="AA29" s="329">
        <f t="shared" si="14"/>
        <v>1025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306</v>
      </c>
      <c r="D30" s="315">
        <f ca="1">OFFSET($AQ$34,MATCH($E$16,$AQ$35:$AQ$42,0),2,1,1)</f>
        <v>301</v>
      </c>
      <c r="E30" s="314">
        <f ca="1">OFFSET($AQ$45,MATCH($E$16,$AQ$46:$AQ$53,0),2,1,1)</f>
        <v>314</v>
      </c>
      <c r="F30" s="314">
        <f ca="1">OFFSET($AQ$56,MATCH($E$16,$AQ$57:$AQ$64,0),2,1,1)</f>
        <v>333</v>
      </c>
      <c r="G30" s="314">
        <f ca="1">OFFSET($AQ$69,MATCH($E$16,$AQ$70:$AQ$77,0),2,1,1)</f>
        <v>346</v>
      </c>
      <c r="H30" s="314">
        <f ca="1">OFFSET($AQ$80,MATCH($E$16,$AQ$81:$AQ$88,0),2,1,1)</f>
        <v>357</v>
      </c>
      <c r="I30" s="314">
        <f ca="1">OFFSET($AQ$91,MATCH($E$16,$AQ$92:$AQ$99,0),2,1,1)</f>
        <v>369</v>
      </c>
      <c r="J30" s="314">
        <f ca="1">OFFSET($AQ$102,MATCH($E$16,$AQ$103:$AQ$110,0),2,1,1)</f>
        <v>381</v>
      </c>
      <c r="K30" s="316">
        <f>IF($E$16=6,544,IF($E$16=8,536,IF($E$16=10,535,IF($E$16=12,528,IF($E$16=14,520,IF($E$16=16,515,IF($E$16=20,514,IF($E$16=40,490,0))))))))</f>
        <v>536</v>
      </c>
      <c r="L30" s="183">
        <f>IF($E$16=6,577,IF($E$16=8,570,IF($E$16=10,569,IF($E$16=12,559,IF($E$16=14,551,IF($E$16=16,546,IF($E$16=20,541,IF($E$16=40,517,0))))))))</f>
        <v>570</v>
      </c>
      <c r="M30" s="183">
        <f>IF($E$16=6,612,IF($E$16=8,602,IF($E$16=10,599,IF($E$16=12,589,IF($E$16=14,579,IF($E$16=16,574,IF($E$16=20,569,IF($E$16=40,538,0))))))))</f>
        <v>602</v>
      </c>
      <c r="N30" s="183">
        <f>IF($E$16=6,645,IF($E$16=8,634,IF($E$16=10,632,IF($E$16=12,620,IF($E$16=14,610,IF($E$16=16,602,IF($E$16=20,599,IF($E$16=40,565,0))))))))</f>
        <v>634</v>
      </c>
      <c r="O30" s="183">
        <f>IF($E$16=6,677,IF($E$16=8,666,IF($E$16=10,663,IF($E$16=12,650,IF($E$16=14,640,IF($E$16=16,630,IF($E$16=20,626,IF($E$16=40,589,0))))))))</f>
        <v>666</v>
      </c>
      <c r="P30" s="183">
        <f>IF($E$16=6,712,IF($E$16=8,698,IF($E$16=10,696,IF($E$16=12,681,IF($E$16=14,668,IF($E$16=16,658,IF($E$16=20,656,IF($E$16=40,614,0))))))))</f>
        <v>698</v>
      </c>
      <c r="Q30" s="323">
        <f>Q31-IF($E$16=6,21.25,IF($E$16=8,18.42,IF($E$16=10,18.83,IF($E$16=12,17.75,IF($E$16=14,16.67,IF($E$16=16,16,IF($E$16=20,16,IF($E$16=40,12.75,0))))))))</f>
        <v>731.58</v>
      </c>
      <c r="R30" s="323">
        <f>R31-IF($E$16=6,22.36,IF($E$16=8,20.36,IF($E$16=10,20.82,IF($E$16=12,19.45,IF($E$16=14,18.27,IF($E$16=16,17.55,IF($E$16=20,17.36,IF($E$16=40,13.55,0))))))))</f>
        <v>764.28</v>
      </c>
      <c r="S30" s="323">
        <f>S31-IF($E$16=6,23.1,IF($E$16=8,21.4,IF($E$16=10,21.8,IF($E$16=12,20.4,IF($E$16=14,19.3,IF($E$16=16,18.3,IF($E$16=20,18.3,IF($E$16=40,14,0))))))))</f>
        <v>795.80000000000007</v>
      </c>
      <c r="T30" s="323">
        <f>T31-IF($E$16=6,24.89,IF($E$16=8,22.33,IF($E$16=10,22.89,IF($E$16=12,21.33,IF($E$16=14,20,IF($E$16=16,19.11,IF($E$16=20,19,IF($E$16=40,14.56,0))))))))</f>
        <v>828.67999999999984</v>
      </c>
      <c r="U30" s="323">
        <f>U31-IF($E$16=6,25.88,IF($E$16=8,23.38,IF($E$16=10,24,IF($E$16=12,22.38,IF($E$16=14,21,IF($E$16=16,19.88,IF($E$16=20,19.75,IF($E$16=40,15,0))))))))</f>
        <v>860.1</v>
      </c>
      <c r="V30" s="323">
        <f t="shared" ref="V30:V35" si="20">V31-IF($E$16=6,27.29,IF($E$16=8,24.43,IF($E$16=10,25,IF($E$16=12,23.29,IF($E$16=14,21.71,IF($E$16=16,20.57,IF($E$16=20,20.71,IF($E$16=40,15.43,0))))))))</f>
        <v>891.4200000000003</v>
      </c>
      <c r="W30" s="323">
        <f t="shared" ref="W30:W35" si="21">W31-IF($E$16=6,28.33,IF($E$16=8,25.33,IF($E$16=10,26.17,IF($E$16=12,24.17,IF($E$16=14,22.67,IF($E$16=16,21.33,IF($E$16=20,21.33,IF($E$16=40,16,0))))))))</f>
        <v>924.69</v>
      </c>
      <c r="X30" s="323">
        <f t="shared" ref="X30:X36" si="22">X31-IF($E$16=6,29.4,IF($E$16=8,26.4,IF($E$16=10,27.2,IF($E$16=12,25.2,IF($E$16=14,23.6,IF($E$16=16,22.2,IF($E$16=20,22,IF($E$16=40,16.4,0))))))))</f>
        <v>955.79999999999961</v>
      </c>
      <c r="Y30" s="323">
        <f t="shared" ref="Y30:Y37" si="23">Y31-IF($E$16=6,31,IF($E$16=8,27.5,IF($E$16=10,28.25,IF($E$16=12,26.25,IF($E$16=14,24.25,IF($E$16=16,23,IF($E$16=20,23,IF($E$16=40,16.75,0))))))))</f>
        <v>990.5</v>
      </c>
      <c r="Z30" s="323">
        <f t="shared" ref="Z30:Z38" si="24">Z31-IF($E$16=6,35,IF($E$16=8,28.67,IF($E$16=10,29.33,IF($E$16=12,27,IF($E$16=14,25.33,IF($E$16=16,23.67,IF($E$16=20,23.67,IF($E$16=40,17.33,0))))))))</f>
        <v>1020.2999999999994</v>
      </c>
      <c r="AA30" s="338">
        <f t="shared" ref="AA30:AA39" si="25">AA31-IF($E$16=6,33,IF($E$16=8,29.5,IF($E$16=10,30.5,IF($E$16=12,28,IF($E$16=14,26,IF($E$16=16,24.5,IF($E$16=20,24.5,IF($E$16=40,17.5,0))))))))</f>
        <v>1054.5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314</v>
      </c>
      <c r="D31" s="316">
        <f ca="1">$D$30+OFFSET($AQ$34,MATCH($E$16,$AQ$35:$AQ$42,0),3,1,1)*(B31-$B$30)/100</f>
        <v>308</v>
      </c>
      <c r="E31" s="184">
        <f t="shared" ref="E31:E37" ca="1" si="27">$E$30+OFFSET($AQ$45,MATCH($E$16,$AQ$46:$AQ$53,0),3,1,1)*(B31-$B$30)/100</f>
        <v>322</v>
      </c>
      <c r="F31" s="184">
        <f ca="1">$F$30+OFFSET($AQ$56,MATCH($E$16,$AQ$57:$AQ$64,0),3,1,1)*(B31-$B$30)/100</f>
        <v>342</v>
      </c>
      <c r="G31" s="184">
        <f t="shared" ref="G31:G50" ca="1" si="28">$G$30+OFFSET($AQ$69,MATCH($E$16,$AQ$70:$AQ$77,0),3,1,1)*(B31-$B$30)/100</f>
        <v>355</v>
      </c>
      <c r="H31" s="184">
        <f t="shared" ref="H31:H50" ca="1" si="29">$H$30+OFFSET($AQ$80,MATCH($E$16,$AQ$81:$AQ$88,0),3,1,1)*(B31-$B$30)/100</f>
        <v>367</v>
      </c>
      <c r="I31" s="184">
        <f t="shared" ref="I31:I50" ca="1" si="30">$I$30+OFFSET($AQ$91,MATCH($E$16,$AQ$92:$AQ$99,0),3,1,1)*(B31-$B$30)/100</f>
        <v>380</v>
      </c>
      <c r="J31" s="183">
        <f t="shared" ref="J31:J50" ca="1" si="31">$J$30+OFFSET($AQ$102,MATCH($E$16,$AQ$103:$AQ$110,0),3,1,1)*(B31-$B$30)/100</f>
        <v>392</v>
      </c>
      <c r="K31" s="286">
        <f>K30+IF($E$16=6,14.09,IF($E$16=8,13.09,IF($E$16=10,13.36,IF($E$16=12,12.73,IF($E$16=14,12.18,IF($E$16=16,11.82,IF($E$16=20,11.91,IF($E$16=40,9.91,0))))))))</f>
        <v>549.09</v>
      </c>
      <c r="L31" s="184">
        <f>L30+IF($E$16=6,15.23,IF($E$16=8,14.23,IF($E$16=10,14.46,IF($E$16=12,13.69,IF($E$16=14,13.15,IF($E$16=16,12.77,IF($E$16=20,12.62,IF($E$16=40,10.69,0))))))))</f>
        <v>584.23</v>
      </c>
      <c r="M31" s="184">
        <f>M30+IF($E$16=6,16.62,IF($E$16=8,15.23,IF($E$16=10,15.46,IF($E$16=12,14.69,IF($E$16=14,13.92,IF($E$16=16,13.54,IF($E$16=20,13.23,IF($E$16=40,10.92,0))))))))</f>
        <v>617.23</v>
      </c>
      <c r="N31" s="184">
        <f>N30+IF($E$16=6,17.62,IF($E$16=8,16.23,IF($E$16=10,16.62,IF($E$16=12,15.62,IF($E$16=14,14.85,IF($E$16=16,14.31,IF($E$16=20,14.23,IF($E$16=40,11.69,0))))))))</f>
        <v>650.23</v>
      </c>
      <c r="O31" s="184">
        <f>O30+IF($E$16=6,17.5408,IF($E$16=8,17.23,IF($E$16=10,17.54,IF($E$16=12,16.62,IF($E$16=14,15.85,IF($E$16=16,15.08,IF($E$16=20,14.92,IF($E$16=40,12.15,0))))))))</f>
        <v>683.23</v>
      </c>
      <c r="P31" s="184">
        <f>P30+IF($E$16=6,20.08,IF($E$16=8,18.23,IF($E$16=10,18.69,IF($E$16=12,17.54,IF($E$16=14,16.62,IF($E$16=16,15.85,IF($E$16=20,15.92,IF($E$16=40,12.54,0))))))))</f>
        <v>716.23</v>
      </c>
      <c r="Q31" s="183">
        <f>IF($E$16=6,766,IF($E$16=8,750,IF($E$16=10,746,IF($E$16=12,730,IF($E$16=14,714,IF($E$16=16,703,IF($E$16=20,700,IF($E$16=40,651,0))))))))</f>
        <v>750</v>
      </c>
      <c r="R31" s="317">
        <f>R32-IF($E$16=6,22.36,IF($E$16=8,20.36,IF($E$16=10,20.82,IF($E$16=12,19.45,IF($E$16=14,18.27,IF($E$16=16,17.55,IF($E$16=20,17.36,IF($E$16=40,13.55,0))))))))</f>
        <v>784.64</v>
      </c>
      <c r="S31" s="317">
        <f>S32-IF($E$16=6,23.1,IF($E$16=8,21.4,IF($E$16=10,21.8,IF($E$16=12,20.4,IF($E$16=14,19.3,IF($E$16=16,18.3,IF($E$16=20,18.3,IF($E$16=40,14,0))))))))</f>
        <v>817.2</v>
      </c>
      <c r="T31" s="317">
        <f>T32-IF($E$16=6,24.89,IF($E$16=8,22.33,IF($E$16=10,22.89,IF($E$16=12,21.33,IF($E$16=14,20,IF($E$16=16,19.11,IF($E$16=20,19,IF($E$16=40,14.56,0))))))))</f>
        <v>851.00999999999988</v>
      </c>
      <c r="U31" s="317">
        <f>U32-IF($E$16=6,25.88,IF($E$16=8,23.38,IF($E$16=10,24,IF($E$16=12,22.38,IF($E$16=14,21,IF($E$16=16,19.88,IF($E$16=20,19.75,IF($E$16=40,15,0))))))))</f>
        <v>883.48</v>
      </c>
      <c r="V31" s="317">
        <f t="shared" si="20"/>
        <v>915.85000000000025</v>
      </c>
      <c r="W31" s="317">
        <f t="shared" si="21"/>
        <v>950.0200000000001</v>
      </c>
      <c r="X31" s="317">
        <f t="shared" si="22"/>
        <v>982.19999999999959</v>
      </c>
      <c r="Y31" s="317">
        <f t="shared" si="23"/>
        <v>1018</v>
      </c>
      <c r="Z31" s="317">
        <f t="shared" si="24"/>
        <v>1048.9699999999993</v>
      </c>
      <c r="AA31" s="329">
        <f t="shared" si="25"/>
        <v>1084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322</v>
      </c>
      <c r="D32" s="316">
        <f t="shared" ref="D32:D50" ca="1" si="32">$D$30+OFFSET($AQ$34,MATCH($E$16,$AQ$35:$AQ$42,0),3,1,1)*(B32-$B$30)/100</f>
        <v>315</v>
      </c>
      <c r="E32" s="184">
        <f t="shared" ca="1" si="27"/>
        <v>330</v>
      </c>
      <c r="F32" s="184">
        <f t="shared" ref="F32:F50" ca="1" si="33">$F$30+OFFSET($AQ$56,MATCH($E$16,$AQ$57:$AQ$64,0),3,1,1)*(B32-$B$30)/100</f>
        <v>351</v>
      </c>
      <c r="G32" s="184">
        <f t="shared" ca="1" si="28"/>
        <v>364</v>
      </c>
      <c r="H32" s="184">
        <f t="shared" ca="1" si="29"/>
        <v>377</v>
      </c>
      <c r="I32" s="184">
        <f t="shared" ca="1" si="30"/>
        <v>391</v>
      </c>
      <c r="J32" s="183">
        <f t="shared" ca="1" si="31"/>
        <v>403</v>
      </c>
      <c r="K32" s="286">
        <f t="shared" ref="K32:K50" si="34">K31+IF($E$16=6,14.09,IF($E$16=8,13.09,IF($E$16=10,13.36,IF($E$16=12,12.73,IF($E$16=14,12.18,IF($E$16=16,11.82,IF($E$16=20,11.91,IF($E$16=40,9.91,0))))))))</f>
        <v>562.18000000000006</v>
      </c>
      <c r="L32" s="184">
        <f t="shared" ref="L32:L50" si="35">L31+IF($E$16=6,15.23,IF($E$16=8,14.23,IF($E$16=10,14.46,IF($E$16=12,13.69,IF($E$16=14,13.15,IF($E$16=16,12.77,IF($E$16=20,12.62,IF($E$16=40,10.69,0))))))))</f>
        <v>598.46</v>
      </c>
      <c r="M32" s="184">
        <f t="shared" ref="M32:M50" si="36">M31+IF($E$16=6,16.62,IF($E$16=8,15.23,IF($E$16=10,15.46,IF($E$16=12,14.69,IF($E$16=14,13.92,IF($E$16=16,13.54,IF($E$16=20,13.23,IF($E$16=40,10.92,0))))))))</f>
        <v>632.46</v>
      </c>
      <c r="N32" s="184">
        <f t="shared" ref="N32:N50" si="37">N31+IF($E$16=6,17.62,IF($E$16=8,16.23,IF($E$16=10,16.62,IF($E$16=12,15.62,IF($E$16=14,14.85,IF($E$16=16,14.31,IF($E$16=20,14.23,IF($E$16=40,11.69,0))))))))</f>
        <v>666.46</v>
      </c>
      <c r="O32" s="184">
        <f t="shared" ref="O32:O50" si="38">O31+IF($E$16=6,17.5408,IF($E$16=8,17.23,IF($E$16=10,17.54,IF($E$16=12,16.62,IF($E$16=14,15.85,IF($E$16=16,15.08,IF($E$16=20,14.92,IF($E$16=40,12.15,0))))))))</f>
        <v>700.46</v>
      </c>
      <c r="P32" s="184">
        <f t="shared" ref="P32:P50" si="39">P31+IF($E$16=6,20.08,IF($E$16=8,18.23,IF($E$16=10,18.69,IF($E$16=12,17.54,IF($E$16=14,16.62,IF($E$16=16,15.85,IF($E$16=20,15.92,IF($E$16=40,12.54,0))))))))</f>
        <v>734.46</v>
      </c>
      <c r="Q32" s="184">
        <f>Q31+IF($E$16=6,21.25,IF($E$16=8,18.42,IF($E$16=10,18.83,IF($E$16=12,17.75,IF($E$16=14,16.67,IF($E$16=16,16,IF($E$16=20,16,IF($E$16=40,12.75,0))))))))</f>
        <v>768.42</v>
      </c>
      <c r="R32" s="183">
        <f>IF($E$16=6,823,IF($E$16=8,805,IF($E$16=10,801,IF($E$16=12,781,IF($E$16=14,764,IF($E$16=16,752,IF($E$16=20,745,IF($E$16=40,689,0))))))))</f>
        <v>805</v>
      </c>
      <c r="S32" s="317">
        <f>S33-IF($E$16=6,23.1,IF($E$16=8,21.4,IF($E$16=10,21.8,IF($E$16=12,20.4,IF($E$16=14,19.3,IF($E$16=16,18.3,IF($E$16=20,18.3,IF($E$16=40,14,0))))))))</f>
        <v>838.6</v>
      </c>
      <c r="T32" s="317">
        <f>T33-IF($E$16=6,24.89,IF($E$16=8,22.33,IF($E$16=10,22.89,IF($E$16=12,21.33,IF($E$16=14,20,IF($E$16=16,19.11,IF($E$16=20,19,IF($E$16=40,14.56,0))))))))</f>
        <v>873.33999999999992</v>
      </c>
      <c r="U32" s="317">
        <f>U33-IF($E$16=6,25.88,IF($E$16=8,23.38,IF($E$16=10,24,IF($E$16=12,22.38,IF($E$16=14,21,IF($E$16=16,19.88,IF($E$16=20,19.75,IF($E$16=40,15,0))))))))</f>
        <v>906.86</v>
      </c>
      <c r="V32" s="317">
        <f t="shared" si="20"/>
        <v>940.2800000000002</v>
      </c>
      <c r="W32" s="317">
        <f t="shared" si="21"/>
        <v>975.35000000000014</v>
      </c>
      <c r="X32" s="317">
        <f t="shared" si="22"/>
        <v>1008.5999999999996</v>
      </c>
      <c r="Y32" s="317">
        <f t="shared" si="23"/>
        <v>1045.5</v>
      </c>
      <c r="Z32" s="317">
        <f t="shared" si="24"/>
        <v>1077.6399999999994</v>
      </c>
      <c r="AA32" s="329">
        <f t="shared" si="25"/>
        <v>1113.5</v>
      </c>
    </row>
    <row r="33" spans="1:52" x14ac:dyDescent="0.2">
      <c r="A33" s="513"/>
      <c r="B33" s="7">
        <v>1600</v>
      </c>
      <c r="C33" s="350">
        <f t="shared" ca="1" si="26"/>
        <v>330</v>
      </c>
      <c r="D33" s="316">
        <f t="shared" ca="1" si="32"/>
        <v>322</v>
      </c>
      <c r="E33" s="184">
        <f t="shared" ca="1" si="27"/>
        <v>338</v>
      </c>
      <c r="F33" s="184">
        <f t="shared" ca="1" si="33"/>
        <v>360</v>
      </c>
      <c r="G33" s="184">
        <f t="shared" ca="1" si="28"/>
        <v>373</v>
      </c>
      <c r="H33" s="184">
        <f t="shared" ca="1" si="29"/>
        <v>387</v>
      </c>
      <c r="I33" s="184">
        <f t="shared" ca="1" si="30"/>
        <v>402</v>
      </c>
      <c r="J33" s="183">
        <f t="shared" ca="1" si="31"/>
        <v>414</v>
      </c>
      <c r="K33" s="286">
        <f t="shared" si="34"/>
        <v>575.2700000000001</v>
      </c>
      <c r="L33" s="184">
        <f t="shared" si="35"/>
        <v>612.69000000000005</v>
      </c>
      <c r="M33" s="184">
        <f t="shared" si="36"/>
        <v>647.69000000000005</v>
      </c>
      <c r="N33" s="184">
        <f t="shared" si="37"/>
        <v>682.69</v>
      </c>
      <c r="O33" s="184">
        <f t="shared" si="38"/>
        <v>717.69</v>
      </c>
      <c r="P33" s="184">
        <f t="shared" si="39"/>
        <v>752.69</v>
      </c>
      <c r="Q33" s="184">
        <f t="shared" ref="Q33:Q50" si="40">Q32+IF($E$16=6,21.25,IF($E$16=8,18.42,IF($E$16=10,18.83,IF($E$16=12,17.75,IF($E$16=14,16.67,IF($E$16=16,16,IF($E$16=20,16,IF($E$16=40,12.75,0))))))))</f>
        <v>786.83999999999992</v>
      </c>
      <c r="R33" s="184">
        <f>R32+IF($E$16=6,22.36,IF($E$16=8,20.36,IF($E$16=10,20.82,IF($E$16=12,19.45,IF($E$16=14,18.27,IF($E$16=16,17.55,IF($E$16=20,17.36,IF($E$16=40,13.55,0))))))))</f>
        <v>825.36</v>
      </c>
      <c r="S33" s="183">
        <f>IF($E$16=6,889,IF($E$16=8,860,IF($E$16=10,855,IF($E$16=12,834,IF($E$16=14,815,IF($E$16=16,800,IF($E$16=20,795,IF($E$16=40,728,0))))))))</f>
        <v>860</v>
      </c>
      <c r="T33" s="317">
        <f>T34-IF($E$16=6,24.89,IF($E$16=8,22.33,IF($E$16=10,22.89,IF($E$16=12,21.33,IF($E$16=14,20,IF($E$16=16,19.11,IF($E$16=20,19,IF($E$16=40,14.56,0))))))))</f>
        <v>895.67</v>
      </c>
      <c r="U33" s="317">
        <f>U34-IF($E$16=6,25.88,IF($E$16=8,23.38,IF($E$16=10,24,IF($E$16=12,22.38,IF($E$16=14,21,IF($E$16=16,19.88,IF($E$16=20,19.75,IF($E$16=40,15,0))))))))</f>
        <v>930.24</v>
      </c>
      <c r="V33" s="317">
        <f t="shared" si="20"/>
        <v>964.71000000000015</v>
      </c>
      <c r="W33" s="317">
        <f t="shared" si="21"/>
        <v>1000.6800000000002</v>
      </c>
      <c r="X33" s="317">
        <f t="shared" si="22"/>
        <v>1034.9999999999995</v>
      </c>
      <c r="Y33" s="317">
        <f t="shared" si="23"/>
        <v>1073</v>
      </c>
      <c r="Z33" s="317">
        <f t="shared" si="24"/>
        <v>1106.3099999999995</v>
      </c>
      <c r="AA33" s="329">
        <f t="shared" si="25"/>
        <v>1143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338</v>
      </c>
      <c r="D34" s="317">
        <f t="shared" ca="1" si="32"/>
        <v>329</v>
      </c>
      <c r="E34" s="184">
        <f t="shared" ca="1" si="27"/>
        <v>346</v>
      </c>
      <c r="F34" s="184">
        <f t="shared" ca="1" si="33"/>
        <v>369</v>
      </c>
      <c r="G34" s="184">
        <f t="shared" ca="1" si="28"/>
        <v>382</v>
      </c>
      <c r="H34" s="184">
        <f t="shared" ca="1" si="29"/>
        <v>397</v>
      </c>
      <c r="I34" s="184">
        <f t="shared" ca="1" si="30"/>
        <v>413</v>
      </c>
      <c r="J34" s="183">
        <f t="shared" ca="1" si="31"/>
        <v>425</v>
      </c>
      <c r="K34" s="286">
        <f t="shared" si="34"/>
        <v>588.36000000000013</v>
      </c>
      <c r="L34" s="184">
        <f t="shared" si="35"/>
        <v>626.92000000000007</v>
      </c>
      <c r="M34" s="184">
        <f t="shared" si="36"/>
        <v>662.92000000000007</v>
      </c>
      <c r="N34" s="184">
        <f t="shared" si="37"/>
        <v>698.92000000000007</v>
      </c>
      <c r="O34" s="184">
        <f t="shared" si="38"/>
        <v>734.92000000000007</v>
      </c>
      <c r="P34" s="184">
        <f t="shared" si="39"/>
        <v>770.92000000000007</v>
      </c>
      <c r="Q34" s="184">
        <f t="shared" si="40"/>
        <v>805.25999999999988</v>
      </c>
      <c r="R34" s="184">
        <f t="shared" ref="R34:R50" si="41">R33+IF($E$16=6,22.36,IF($E$16=8,20.36,IF($E$16=10,20.82,IF($E$16=12,19.45,IF($E$16=14,18.27,IF($E$16=16,17.55,IF($E$16=20,17.36,IF($E$16=40,13.55,0))))))))</f>
        <v>845.72</v>
      </c>
      <c r="S34" s="183">
        <f>S33+IF($E$16=6,23.1,IF($E$16=8,21.4,IF($E$16=10,21.8,IF($E$16=12,20.4,IF($E$16=14,19.3,IF($E$16=16,18.3,IF($E$16=20,18.3,IF($E$16=40,14,0))))))))</f>
        <v>881.4</v>
      </c>
      <c r="T34" s="183">
        <f>IF($E$16=6,944,IF($E$16=8,918,IF($E$16=10,915,IF($E$16=12,889,IF($E$16=14,866,IF($E$16=16,849,IF($E$16=20,844,IF($E$16=40,768,0))))))))</f>
        <v>918</v>
      </c>
      <c r="U34" s="317">
        <f>U35-IF($E$16=6,25.88,IF($E$16=8,23.38,IF($E$16=10,24,IF($E$16=12,22.38,IF($E$16=14,21,IF($E$16=16,19.88,IF($E$16=20,19.75,IF($E$16=40,15,0))))))))</f>
        <v>953.62</v>
      </c>
      <c r="V34" s="317">
        <f t="shared" si="20"/>
        <v>989.1400000000001</v>
      </c>
      <c r="W34" s="317">
        <f t="shared" si="21"/>
        <v>1026.0100000000002</v>
      </c>
      <c r="X34" s="317">
        <f t="shared" si="22"/>
        <v>1061.3999999999996</v>
      </c>
      <c r="Y34" s="317">
        <f t="shared" si="23"/>
        <v>1100.5</v>
      </c>
      <c r="Z34" s="317">
        <f t="shared" si="24"/>
        <v>1134.9799999999996</v>
      </c>
      <c r="AA34" s="329">
        <f t="shared" si="25"/>
        <v>1172.5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346</v>
      </c>
      <c r="D35" s="317">
        <f t="shared" ca="1" si="32"/>
        <v>336</v>
      </c>
      <c r="E35" s="184">
        <f t="shared" ca="1" si="27"/>
        <v>354</v>
      </c>
      <c r="F35" s="184">
        <f t="shared" ca="1" si="33"/>
        <v>378</v>
      </c>
      <c r="G35" s="184">
        <f t="shared" ca="1" si="28"/>
        <v>391</v>
      </c>
      <c r="H35" s="184">
        <f t="shared" ca="1" si="29"/>
        <v>407</v>
      </c>
      <c r="I35" s="184">
        <f t="shared" ca="1" si="30"/>
        <v>424</v>
      </c>
      <c r="J35" s="183">
        <f t="shared" ca="1" si="31"/>
        <v>436</v>
      </c>
      <c r="K35" s="286">
        <f t="shared" si="34"/>
        <v>601.45000000000016</v>
      </c>
      <c r="L35" s="184">
        <f t="shared" si="35"/>
        <v>641.15000000000009</v>
      </c>
      <c r="M35" s="184">
        <f t="shared" si="36"/>
        <v>678.15000000000009</v>
      </c>
      <c r="N35" s="184">
        <f t="shared" si="37"/>
        <v>715.15000000000009</v>
      </c>
      <c r="O35" s="184">
        <f t="shared" si="38"/>
        <v>752.15000000000009</v>
      </c>
      <c r="P35" s="184">
        <f t="shared" si="39"/>
        <v>789.15000000000009</v>
      </c>
      <c r="Q35" s="184">
        <f t="shared" si="40"/>
        <v>823.67999999999984</v>
      </c>
      <c r="R35" s="184">
        <f t="shared" si="41"/>
        <v>866.08</v>
      </c>
      <c r="S35" s="183">
        <f t="shared" ref="S35:S50" si="42">S34+IF($E$16=6,23.1,IF($E$16=8,21.4,IF($E$16=10,21.8,IF($E$16=12,20.4,IF($E$16=14,19.3,IF($E$16=16,18.3,IF($E$16=20,18.3,IF($E$16=40,14,0))))))))</f>
        <v>902.8</v>
      </c>
      <c r="T35" s="183">
        <f>T34+IF($E$16=6,24.89,IF($E$16=8,22.33,IF($E$16=10,22.89,IF($E$16=12,21.33,IF($E$16=14,20,IF($E$16=16,19.11,IF($E$16=20,19,IF($E$16=40,14.56,0))))))))</f>
        <v>940.33</v>
      </c>
      <c r="U35" s="183">
        <f>IF($E$16=6,1008,IF($E$16=8,977,IF($E$16=10,977,IF($E$16=12,945,IF($E$16=14,921,IF($E$16=16,900,IF($E$16=20,893,IF($E$16=40,809,0))))))))</f>
        <v>977</v>
      </c>
      <c r="V35" s="317">
        <f t="shared" si="20"/>
        <v>1013.57</v>
      </c>
      <c r="W35" s="317">
        <f t="shared" si="21"/>
        <v>1051.3400000000001</v>
      </c>
      <c r="X35" s="317">
        <f t="shared" si="22"/>
        <v>1087.7999999999997</v>
      </c>
      <c r="Y35" s="317">
        <f t="shared" si="23"/>
        <v>1128</v>
      </c>
      <c r="Z35" s="317">
        <f t="shared" si="24"/>
        <v>1163.6499999999996</v>
      </c>
      <c r="AA35" s="329">
        <f t="shared" si="25"/>
        <v>1202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354</v>
      </c>
      <c r="D36" s="317">
        <f t="shared" ca="1" si="32"/>
        <v>343</v>
      </c>
      <c r="E36" s="184">
        <f t="shared" ca="1" si="27"/>
        <v>362</v>
      </c>
      <c r="F36" s="184">
        <f t="shared" ca="1" si="33"/>
        <v>387</v>
      </c>
      <c r="G36" s="184">
        <f t="shared" ca="1" si="28"/>
        <v>400</v>
      </c>
      <c r="H36" s="184">
        <f t="shared" ca="1" si="29"/>
        <v>417</v>
      </c>
      <c r="I36" s="184">
        <f t="shared" ca="1" si="30"/>
        <v>435</v>
      </c>
      <c r="J36" s="183">
        <f t="shared" ca="1" si="31"/>
        <v>447</v>
      </c>
      <c r="K36" s="286">
        <f t="shared" si="34"/>
        <v>614.54000000000019</v>
      </c>
      <c r="L36" s="184">
        <f t="shared" si="35"/>
        <v>655.38000000000011</v>
      </c>
      <c r="M36" s="184">
        <f t="shared" si="36"/>
        <v>693.38000000000011</v>
      </c>
      <c r="N36" s="184">
        <f t="shared" si="37"/>
        <v>731.38000000000011</v>
      </c>
      <c r="O36" s="184">
        <f t="shared" si="38"/>
        <v>769.38000000000011</v>
      </c>
      <c r="P36" s="184">
        <f t="shared" si="39"/>
        <v>807.38000000000011</v>
      </c>
      <c r="Q36" s="184">
        <f t="shared" si="40"/>
        <v>842.0999999999998</v>
      </c>
      <c r="R36" s="184">
        <f t="shared" si="41"/>
        <v>886.44</v>
      </c>
      <c r="S36" s="183">
        <f t="shared" si="42"/>
        <v>924.19999999999993</v>
      </c>
      <c r="T36" s="183">
        <f t="shared" ref="T36:T50" si="43">T35+IF($E$16=6,24.89,IF($E$16=8,22.33,IF($E$16=10,22.89,IF($E$16=12,21.33,IF($E$16=14,20,IF($E$16=16,19.11,IF($E$16=20,19,IF($E$16=40,14.56,0))))))))</f>
        <v>962.66000000000008</v>
      </c>
      <c r="U36" s="183">
        <f>U35+IF($E$16=6,25.88,IF($E$16=8,23.38,IF($E$16=10,24,IF($E$16=12,22.38,IF($E$16=14,21,IF($E$16=16,19.88,IF($E$16=20,19.75,IF($E$16=40,15,0))))))))</f>
        <v>1000.38</v>
      </c>
      <c r="V36" s="183">
        <f>IF($E$16=6,1076,IF($E$16=8,1038,IF($E$16=10,1037,IF($E$16=12,1004,IF($E$16=14,975,IF($E$16=16,953,IF($E$16=20,949,IF($E$16=40,851,0))))))))</f>
        <v>1038</v>
      </c>
      <c r="W36" s="317">
        <f>W37-IF($E$16=6,28.33,IF($E$16=8,25.33,IF($E$16=10,26.17,IF($E$16=12,24.17,IF($E$16=14,22.67,IF($E$16=16,21.33,IF($E$16=20,21.33,IF($E$16=40,16,0))))))))</f>
        <v>1076.67</v>
      </c>
      <c r="X36" s="317">
        <f t="shared" si="22"/>
        <v>1114.1999999999998</v>
      </c>
      <c r="Y36" s="317">
        <f t="shared" si="23"/>
        <v>1155.5</v>
      </c>
      <c r="Z36" s="317">
        <f t="shared" si="24"/>
        <v>1192.3199999999997</v>
      </c>
      <c r="AA36" s="329">
        <f t="shared" si="25"/>
        <v>1231.5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362</v>
      </c>
      <c r="D37" s="317">
        <f t="shared" ca="1" si="32"/>
        <v>350</v>
      </c>
      <c r="E37" s="317">
        <f t="shared" ca="1" si="27"/>
        <v>370</v>
      </c>
      <c r="F37" s="184">
        <f t="shared" ca="1" si="33"/>
        <v>396</v>
      </c>
      <c r="G37" s="184">
        <f t="shared" ca="1" si="28"/>
        <v>409</v>
      </c>
      <c r="H37" s="184">
        <f t="shared" ca="1" si="29"/>
        <v>427</v>
      </c>
      <c r="I37" s="184">
        <f t="shared" ca="1" si="30"/>
        <v>446</v>
      </c>
      <c r="J37" s="183">
        <f t="shared" ca="1" si="31"/>
        <v>458</v>
      </c>
      <c r="K37" s="286">
        <f t="shared" si="34"/>
        <v>627.63000000000022</v>
      </c>
      <c r="L37" s="184">
        <f t="shared" si="35"/>
        <v>669.61000000000013</v>
      </c>
      <c r="M37" s="184">
        <f t="shared" si="36"/>
        <v>708.61000000000013</v>
      </c>
      <c r="N37" s="184">
        <f t="shared" si="37"/>
        <v>747.61000000000013</v>
      </c>
      <c r="O37" s="184">
        <f t="shared" si="38"/>
        <v>786.61000000000013</v>
      </c>
      <c r="P37" s="184">
        <f t="shared" si="39"/>
        <v>825.61000000000013</v>
      </c>
      <c r="Q37" s="184">
        <f t="shared" si="40"/>
        <v>860.51999999999975</v>
      </c>
      <c r="R37" s="184">
        <f t="shared" si="41"/>
        <v>906.80000000000007</v>
      </c>
      <c r="S37" s="183">
        <f t="shared" si="42"/>
        <v>945.59999999999991</v>
      </c>
      <c r="T37" s="183">
        <f t="shared" si="43"/>
        <v>984.99000000000012</v>
      </c>
      <c r="U37" s="183">
        <f t="shared" ref="U37:U50" si="44">U36+IF($E$16=6,25.88,IF($E$16=8,23.38,IF($E$16=10,24,IF($E$16=12,22.38,IF($E$16=14,21,IF($E$16=16,19.88,IF($E$16=20,19.75,IF($E$16=40,15,0))))))))</f>
        <v>1023.76</v>
      </c>
      <c r="V37" s="183">
        <f>V36+IF($E$16=6,27.29,IF($E$16=8,24.43,IF($E$16=10,25,IF($E$16=12,23.29,IF($E$16=14,21.71,IF($E$16=16,20.57,IF($E$16=20,20.71,IF($E$16=40,15.43,0))))))))</f>
        <v>1062.43</v>
      </c>
      <c r="W37" s="183">
        <f>IF($E$16=6,1144,IF($E$16=8,1102,IF($E$16=10,1103,IF($E$16=12,1065,IF($E$16=14,1034,IF($E$16=16,1007,IF($E$16=20,1002,IF($E$16=40,894,0))))))))</f>
        <v>1102</v>
      </c>
      <c r="X37" s="317">
        <f>X38-IF($E$16=6,29.4,IF($E$16=8,26.4,IF($E$16=10,27.2,IF($E$16=12,25.2,IF($E$16=14,23.6,IF($E$16=16,22.2,IF($E$16=20,22,IF($E$16=40,16.4,0))))))))</f>
        <v>1140.5999999999999</v>
      </c>
      <c r="Y37" s="317">
        <f t="shared" si="23"/>
        <v>1183</v>
      </c>
      <c r="Z37" s="317">
        <f t="shared" si="24"/>
        <v>1220.9899999999998</v>
      </c>
      <c r="AA37" s="329">
        <f t="shared" si="25"/>
        <v>1261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370</v>
      </c>
      <c r="D38" s="317">
        <f t="shared" ca="1" si="32"/>
        <v>357</v>
      </c>
      <c r="E38" s="317">
        <f t="shared" ref="E38:E50" ca="1" si="45">$E$30+OFFSET($AQ$45,MATCH($E$16,$AQ$46:$AQ$53,0),3,1,1)*(B38-$B$30)/100</f>
        <v>378</v>
      </c>
      <c r="F38" s="184">
        <f t="shared" ca="1" si="33"/>
        <v>405</v>
      </c>
      <c r="G38" s="184">
        <f t="shared" ca="1" si="28"/>
        <v>418</v>
      </c>
      <c r="H38" s="184">
        <f t="shared" ca="1" si="29"/>
        <v>437</v>
      </c>
      <c r="I38" s="184">
        <f t="shared" ca="1" si="30"/>
        <v>457</v>
      </c>
      <c r="J38" s="183">
        <f t="shared" ca="1" si="31"/>
        <v>469</v>
      </c>
      <c r="K38" s="286">
        <f t="shared" si="34"/>
        <v>640.72000000000025</v>
      </c>
      <c r="L38" s="184">
        <f t="shared" si="35"/>
        <v>683.84000000000015</v>
      </c>
      <c r="M38" s="184">
        <f t="shared" si="36"/>
        <v>723.84000000000015</v>
      </c>
      <c r="N38" s="184">
        <f t="shared" si="37"/>
        <v>763.84000000000015</v>
      </c>
      <c r="O38" s="184">
        <f t="shared" si="38"/>
        <v>803.84000000000015</v>
      </c>
      <c r="P38" s="184">
        <f t="shared" si="39"/>
        <v>843.84000000000015</v>
      </c>
      <c r="Q38" s="184">
        <f t="shared" si="40"/>
        <v>878.93999999999971</v>
      </c>
      <c r="R38" s="184">
        <f t="shared" si="41"/>
        <v>927.16000000000008</v>
      </c>
      <c r="S38" s="183">
        <f t="shared" si="42"/>
        <v>966.99999999999989</v>
      </c>
      <c r="T38" s="183">
        <f t="shared" si="43"/>
        <v>1007.3200000000002</v>
      </c>
      <c r="U38" s="183">
        <f t="shared" si="44"/>
        <v>1047.1400000000001</v>
      </c>
      <c r="V38" s="183">
        <f t="shared" ref="V38:V50" si="46">V37+IF($E$16=6,27.29,IF($E$16=8,24.43,IF($E$16=10,25,IF($E$16=12,23.29,IF($E$16=14,21.71,IF($E$16=16,20.57,IF($E$16=20,20.71,IF($E$16=40,15.43,0))))))))</f>
        <v>1086.8600000000001</v>
      </c>
      <c r="W38" s="183">
        <f>W37+IF($E$16=6,28.33,IF($E$16=8,25.33,IF($E$16=10,26.17,IF($E$16=12,24.17,IF($E$16=14,22.67,IF($E$16=16,21.33,IF($E$16=20,21.33,IF($E$16=40,16,0))))))))</f>
        <v>1127.33</v>
      </c>
      <c r="X38" s="183">
        <f>IF($E$16=6,1215,IF($E$16=8,1167,IF($E$16=10,1167,IF($E$16=12,1127,IF($E$16=14,1095,IF($E$16=16,1067,IF($E$16=20,1057,IF($E$16=40,938,0))))))))</f>
        <v>1167</v>
      </c>
      <c r="Y38" s="317">
        <f>Y39-IF($E$16=6,31,IF($E$16=8,27.5,IF($E$16=10,28.25,IF($E$16=12,26.25,IF($E$16=14,24.25,IF($E$16=16,23,IF($E$16=20,23,IF($E$16=40,16.75,0))))))))</f>
        <v>1210.5</v>
      </c>
      <c r="Z38" s="317">
        <f t="shared" si="24"/>
        <v>1249.6599999999999</v>
      </c>
      <c r="AA38" s="329">
        <f t="shared" si="25"/>
        <v>1290.5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378</v>
      </c>
      <c r="D39" s="317">
        <f t="shared" ca="1" si="32"/>
        <v>364</v>
      </c>
      <c r="E39" s="317">
        <f t="shared" ca="1" si="45"/>
        <v>386</v>
      </c>
      <c r="F39" s="317">
        <f t="shared" ca="1" si="33"/>
        <v>414</v>
      </c>
      <c r="G39" s="184">
        <f t="shared" ca="1" si="28"/>
        <v>427</v>
      </c>
      <c r="H39" s="184">
        <f t="shared" ca="1" si="29"/>
        <v>447</v>
      </c>
      <c r="I39" s="184">
        <f t="shared" ca="1" si="30"/>
        <v>468</v>
      </c>
      <c r="J39" s="183">
        <f t="shared" ca="1" si="31"/>
        <v>480</v>
      </c>
      <c r="K39" s="286">
        <f t="shared" si="34"/>
        <v>653.81000000000029</v>
      </c>
      <c r="L39" s="184">
        <f t="shared" si="35"/>
        <v>698.07000000000016</v>
      </c>
      <c r="M39" s="184">
        <f t="shared" si="36"/>
        <v>739.07000000000016</v>
      </c>
      <c r="N39" s="184">
        <f t="shared" si="37"/>
        <v>780.07000000000016</v>
      </c>
      <c r="O39" s="184">
        <f t="shared" si="38"/>
        <v>821.07000000000016</v>
      </c>
      <c r="P39" s="184">
        <f t="shared" si="39"/>
        <v>862.07000000000016</v>
      </c>
      <c r="Q39" s="184">
        <f t="shared" si="40"/>
        <v>897.35999999999967</v>
      </c>
      <c r="R39" s="184">
        <f t="shared" si="41"/>
        <v>947.5200000000001</v>
      </c>
      <c r="S39" s="183">
        <f t="shared" si="42"/>
        <v>988.39999999999986</v>
      </c>
      <c r="T39" s="183">
        <f t="shared" si="43"/>
        <v>1029.6500000000001</v>
      </c>
      <c r="U39" s="183">
        <f t="shared" si="44"/>
        <v>1070.5200000000002</v>
      </c>
      <c r="V39" s="183">
        <f t="shared" si="46"/>
        <v>1111.2900000000002</v>
      </c>
      <c r="W39" s="183">
        <f t="shared" ref="W39:W50" si="47">W38+IF($E$16=6,28.33,IF($E$16=8,25.33,IF($E$16=10,26.17,IF($E$16=12,24.17,IF($E$16=14,22.67,IF($E$16=16,21.33,IF($E$16=20,21.33,IF($E$16=40,16,0))))))))</f>
        <v>1152.6599999999999</v>
      </c>
      <c r="X39" s="183">
        <f>X38+IF($E$16=6,29.4,IF($E$16=8,26.4,IF($E$16=10,27.2,IF($E$16=12,25.2,IF($E$16=14,23.6,IF($E$16=16,22.2,IF($E$16=20,22,IF($E$16=40,16.4,0))))))))</f>
        <v>1193.4000000000001</v>
      </c>
      <c r="Y39" s="183">
        <f>IF($E$16=6,1290,IF($E$16=8,1238,IF($E$16=10,1238,IF($E$16=12,1191,IF($E$16=14,1154,IF($E$16=16,1124,IF($E$16=20,1117,IF($E$16=40,983,0))))))))</f>
        <v>1238</v>
      </c>
      <c r="Z39" s="317">
        <f>Z40-IF($E$16=6,35,IF($E$16=8,28.67,IF($E$16=10,29.33,IF($E$16=12,27,IF($E$16=14,25.33,IF($E$16=16,23.67,IF($E$16=20,23.67,IF($E$16=40,17.33,0))))))))</f>
        <v>1278.33</v>
      </c>
      <c r="AA39" s="329">
        <f t="shared" si="25"/>
        <v>1320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386</v>
      </c>
      <c r="D40" s="317">
        <f t="shared" ca="1" si="32"/>
        <v>371</v>
      </c>
      <c r="E40" s="317">
        <f t="shared" ca="1" si="45"/>
        <v>394</v>
      </c>
      <c r="F40" s="317">
        <f t="shared" ca="1" si="33"/>
        <v>423</v>
      </c>
      <c r="G40" s="184">
        <f t="shared" ca="1" si="28"/>
        <v>436</v>
      </c>
      <c r="H40" s="184">
        <f t="shared" ca="1" si="29"/>
        <v>457</v>
      </c>
      <c r="I40" s="184">
        <f t="shared" ca="1" si="30"/>
        <v>479</v>
      </c>
      <c r="J40" s="183">
        <f t="shared" ca="1" si="31"/>
        <v>491</v>
      </c>
      <c r="K40" s="286">
        <f t="shared" si="34"/>
        <v>666.90000000000032</v>
      </c>
      <c r="L40" s="184">
        <f t="shared" si="35"/>
        <v>712.30000000000018</v>
      </c>
      <c r="M40" s="184">
        <f t="shared" si="36"/>
        <v>754.30000000000018</v>
      </c>
      <c r="N40" s="184">
        <f t="shared" si="37"/>
        <v>796.30000000000018</v>
      </c>
      <c r="O40" s="184">
        <f t="shared" si="38"/>
        <v>838.30000000000018</v>
      </c>
      <c r="P40" s="184">
        <f t="shared" si="39"/>
        <v>880.30000000000018</v>
      </c>
      <c r="Q40" s="184">
        <f t="shared" si="40"/>
        <v>915.77999999999963</v>
      </c>
      <c r="R40" s="184">
        <f t="shared" si="41"/>
        <v>967.88000000000011</v>
      </c>
      <c r="S40" s="183">
        <f t="shared" si="42"/>
        <v>1009.7999999999998</v>
      </c>
      <c r="T40" s="183">
        <f t="shared" si="43"/>
        <v>1051.98</v>
      </c>
      <c r="U40" s="183">
        <f t="shared" si="44"/>
        <v>1093.9000000000003</v>
      </c>
      <c r="V40" s="183">
        <f t="shared" si="46"/>
        <v>1135.7200000000003</v>
      </c>
      <c r="W40" s="183">
        <f t="shared" si="47"/>
        <v>1177.9899999999998</v>
      </c>
      <c r="X40" s="183">
        <f>X39+IF($E$16=6,29.4,IF($E$16=8,26.4,IF($E$16=10,27.2,IF($E$16=12,25.2,IF($E$16=14,23.6,IF($E$16=16,22.2,IF($E$16=20,22,IF($E$16=40,16.4,0))))))))</f>
        <v>1219.8000000000002</v>
      </c>
      <c r="Y40" s="183">
        <f>Y39+IF($E$16=6,31,IF($E$16=8,27.5,IF($E$16=10,28.25,IF($E$16=12,26.25,IF($E$16=14,24.25,IF($E$16=16,23,IF($E$16=20,23,IF($E$16=40,16.75,0))))))))</f>
        <v>1265.5</v>
      </c>
      <c r="Z40" s="183">
        <f>IF($E$16=6,1356,IF($E$16=8,1307,IF($E$16=10,1306,IF($E$16=12,1258,IF($E$16=14,1218,IF($E$16=16,1183,IF($E$16=20,1175,IF($E$16=40,1029,0))))))))</f>
        <v>1307</v>
      </c>
      <c r="AA40" s="329">
        <f>AA41-IF($E$16=6,33,IF($E$16=8,29.5,IF($E$16=10,30.5,IF($E$16=12,28,IF($E$16=14,26,IF($E$16=16,24.5,IF($E$16=20,24.5,IF($E$16=40,17.5,0))))))))</f>
        <v>1349.5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394</v>
      </c>
      <c r="D41" s="317">
        <f t="shared" ca="1" si="32"/>
        <v>378</v>
      </c>
      <c r="E41" s="317">
        <f t="shared" ca="1" si="45"/>
        <v>402</v>
      </c>
      <c r="F41" s="317">
        <f t="shared" ca="1" si="33"/>
        <v>432</v>
      </c>
      <c r="G41" s="317">
        <f t="shared" ca="1" si="28"/>
        <v>445</v>
      </c>
      <c r="H41" s="184">
        <f t="shared" ca="1" si="29"/>
        <v>467</v>
      </c>
      <c r="I41" s="184">
        <f t="shared" ca="1" si="30"/>
        <v>490</v>
      </c>
      <c r="J41" s="183">
        <f t="shared" ca="1" si="31"/>
        <v>502</v>
      </c>
      <c r="K41" s="316">
        <f t="shared" si="34"/>
        <v>679.99000000000035</v>
      </c>
      <c r="L41" s="287">
        <f t="shared" si="35"/>
        <v>726.5300000000002</v>
      </c>
      <c r="M41" s="287">
        <f t="shared" si="36"/>
        <v>769.5300000000002</v>
      </c>
      <c r="N41" s="287">
        <f t="shared" si="37"/>
        <v>812.5300000000002</v>
      </c>
      <c r="O41" s="287">
        <f t="shared" si="38"/>
        <v>855.5300000000002</v>
      </c>
      <c r="P41" s="184">
        <f t="shared" si="39"/>
        <v>898.5300000000002</v>
      </c>
      <c r="Q41" s="184">
        <f t="shared" si="40"/>
        <v>934.19999999999959</v>
      </c>
      <c r="R41" s="184">
        <f t="shared" si="41"/>
        <v>988.24000000000012</v>
      </c>
      <c r="S41" s="183">
        <f t="shared" si="42"/>
        <v>1031.1999999999998</v>
      </c>
      <c r="T41" s="183">
        <f t="shared" si="43"/>
        <v>1074.31</v>
      </c>
      <c r="U41" s="183">
        <f t="shared" si="44"/>
        <v>1117.2800000000004</v>
      </c>
      <c r="V41" s="183">
        <f t="shared" si="46"/>
        <v>1160.1500000000003</v>
      </c>
      <c r="W41" s="183">
        <f t="shared" si="47"/>
        <v>1203.3199999999997</v>
      </c>
      <c r="X41" s="183">
        <f>X40+IF($E$16=6,29.4,IF($E$16=8,26.4,IF($E$16=10,27.2,IF($E$16=12,25.2,IF($E$16=14,23.6,IF($E$16=16,22.2,IF($E$16=20,22,IF($E$16=40,16.4,0))))))))</f>
        <v>1246.2000000000003</v>
      </c>
      <c r="Y41" s="183">
        <f>Y40+IF($E$16=6,31,IF($E$16=8,27.5,IF($E$16=10,28.25,IF($E$16=12,26.25,IF($E$16=14,24.25,IF($E$16=16,23,IF($E$16=20,23,IF($E$16=40,16.75,0))))))))</f>
        <v>1293</v>
      </c>
      <c r="Z41" s="183">
        <f>Z40+IF($E$16=6,35,IF($E$16=8,28.67,IF($E$16=10,29.33,IF($E$16=12,27,IF($E$16=14,25.33,IF($E$16=16,23.67,IF($E$16=20,23.67,IF($E$16=40,17.33,0))))))))</f>
        <v>1335.67</v>
      </c>
      <c r="AA41" s="288">
        <f>IF($E$16=6,1408,IF($E$16=8,1379,IF($E$16=10,1381,IF($E$16=12,1326,IF($E$16=14,1280,IF($E$16=16,1243,IF($E$16=20,1233,IF($E$16=40,1070,0))))))))</f>
        <v>1379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402</v>
      </c>
      <c r="D42" s="317">
        <f t="shared" ca="1" si="32"/>
        <v>385</v>
      </c>
      <c r="E42" s="317">
        <f t="shared" ca="1" si="45"/>
        <v>410</v>
      </c>
      <c r="F42" s="317">
        <f t="shared" ca="1" si="33"/>
        <v>441</v>
      </c>
      <c r="G42" s="317">
        <f t="shared" ca="1" si="28"/>
        <v>454</v>
      </c>
      <c r="H42" s="184">
        <f t="shared" ca="1" si="29"/>
        <v>477</v>
      </c>
      <c r="I42" s="184">
        <f t="shared" ca="1" si="30"/>
        <v>501</v>
      </c>
      <c r="J42" s="183">
        <f t="shared" ca="1" si="31"/>
        <v>513</v>
      </c>
      <c r="K42" s="316">
        <f t="shared" si="34"/>
        <v>693.08000000000038</v>
      </c>
      <c r="L42" s="183">
        <f t="shared" si="35"/>
        <v>740.76000000000022</v>
      </c>
      <c r="M42" s="183">
        <f t="shared" si="36"/>
        <v>784.76000000000022</v>
      </c>
      <c r="N42" s="183">
        <f t="shared" si="37"/>
        <v>828.76000000000022</v>
      </c>
      <c r="O42" s="183">
        <f t="shared" si="38"/>
        <v>872.76000000000022</v>
      </c>
      <c r="P42" s="286">
        <f t="shared" si="39"/>
        <v>916.76000000000022</v>
      </c>
      <c r="Q42" s="184">
        <f t="shared" si="40"/>
        <v>952.61999999999955</v>
      </c>
      <c r="R42" s="184">
        <f t="shared" si="41"/>
        <v>1008.6000000000001</v>
      </c>
      <c r="S42" s="183">
        <f t="shared" si="42"/>
        <v>1052.5999999999999</v>
      </c>
      <c r="T42" s="183">
        <f t="shared" si="43"/>
        <v>1096.6399999999999</v>
      </c>
      <c r="U42" s="183">
        <f t="shared" si="44"/>
        <v>1140.6600000000005</v>
      </c>
      <c r="V42" s="183">
        <f t="shared" si="46"/>
        <v>1184.5800000000004</v>
      </c>
      <c r="W42" s="183">
        <f t="shared" si="47"/>
        <v>1228.6499999999996</v>
      </c>
      <c r="X42" s="183">
        <f>X41+IF($E$16=6,29.4,IF($E$16=8,26.4,IF($E$16=10,27.2,IF($E$16=12,25.2,IF($E$16=14,23.6,IF($E$16=16,22.2,IF($E$16=20,22,IF($E$16=40,16.4,0))))))))</f>
        <v>1272.6000000000004</v>
      </c>
      <c r="Y42" s="183">
        <f>Y41+IF($E$16=6,31,IF($E$16=8,27.5,IF($E$16=10,28.25,IF($E$16=12,26.25,IF($E$16=14,24.25,IF($E$16=16,23,IF($E$16=20,23,IF($E$16=40,16.75,0))))))))</f>
        <v>1320.5</v>
      </c>
      <c r="Z42" s="183">
        <f>Z41+IF($E$16=6,35,IF($E$16=8,28.67,IF($E$16=10,29.33,IF($E$16=12,27,IF($E$16=14,25.33,IF($E$16=16,23.67,IF($E$16=20,23.67,IF($E$16=40,17.33,0))))))))</f>
        <v>1364.3400000000001</v>
      </c>
      <c r="AA42" s="288">
        <f>AA41+IF($E$16=6,33,IF($E$16=8,29.5,IF($E$16=10,30.5,IF($E$16=12,28,IF($E$16=14,26,IF($E$16=16,24.5,IF($E$16=20,24.5,IF($E$16=40,17.5,0))))))))</f>
        <v>1408.5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410</v>
      </c>
      <c r="D43" s="317">
        <f t="shared" ca="1" si="32"/>
        <v>392</v>
      </c>
      <c r="E43" s="317">
        <f t="shared" ca="1" si="45"/>
        <v>418</v>
      </c>
      <c r="F43" s="317">
        <f t="shared" ca="1" si="33"/>
        <v>450</v>
      </c>
      <c r="G43" s="317">
        <f t="shared" ca="1" si="28"/>
        <v>463</v>
      </c>
      <c r="H43" s="317">
        <f t="shared" ca="1" si="29"/>
        <v>487</v>
      </c>
      <c r="I43" s="287">
        <f t="shared" ca="1" si="30"/>
        <v>512</v>
      </c>
      <c r="J43" s="332">
        <f t="shared" ca="1" si="31"/>
        <v>524</v>
      </c>
      <c r="K43" s="333">
        <f t="shared" si="34"/>
        <v>706.17000000000041</v>
      </c>
      <c r="L43" s="332">
        <f t="shared" si="35"/>
        <v>754.99000000000024</v>
      </c>
      <c r="M43" s="332">
        <f t="shared" si="36"/>
        <v>799.99000000000024</v>
      </c>
      <c r="N43" s="332">
        <f t="shared" si="37"/>
        <v>844.99000000000024</v>
      </c>
      <c r="O43" s="332">
        <f t="shared" si="38"/>
        <v>889.99000000000024</v>
      </c>
      <c r="P43" s="334">
        <f t="shared" si="39"/>
        <v>934.99000000000024</v>
      </c>
      <c r="Q43" s="287">
        <f t="shared" si="40"/>
        <v>971.03999999999951</v>
      </c>
      <c r="R43" s="287">
        <f t="shared" si="41"/>
        <v>1028.96</v>
      </c>
      <c r="S43" s="332">
        <f t="shared" si="42"/>
        <v>1074</v>
      </c>
      <c r="T43" s="332">
        <f t="shared" si="43"/>
        <v>1118.9699999999998</v>
      </c>
      <c r="U43" s="332">
        <f t="shared" si="44"/>
        <v>1164.0400000000006</v>
      </c>
      <c r="V43" s="332">
        <f t="shared" si="46"/>
        <v>1209.0100000000004</v>
      </c>
      <c r="W43" s="332">
        <f t="shared" si="47"/>
        <v>1253.9799999999996</v>
      </c>
      <c r="X43" s="332">
        <f>X42+IF($E$16=6,29.4,IF($E$16=8,26.4,IF($E$16=10,27.2,IF($E$16=12,25.2,IF($E$16=14,23.6,IF($E$16=16,22.2,IF($E$16=20,22,IF($E$16=40,16.4,0))))))))</f>
        <v>1299.0000000000005</v>
      </c>
      <c r="Y43" s="332">
        <f>Y42+IF($E$16=6,31,IF($E$16=8,27.5,IF($E$16=10,28.25,IF($E$16=12,26.25,IF($E$16=14,24.25,IF($E$16=16,23,IF($E$16=20,23,IF($E$16=40,16.75,0))))))))</f>
        <v>1348</v>
      </c>
      <c r="Z43" s="332">
        <f>Z42+IF($E$16=6,35,IF($E$16=8,28.67,IF($E$16=10,29.33,IF($E$16=12,27,IF($E$16=14,25.33,IF($E$16=16,23.67,IF($E$16=20,23.67,IF($E$16=40,17.33,0))))))))</f>
        <v>1393.0100000000002</v>
      </c>
      <c r="AA43" s="335">
        <f>AA42+IF($E$16=6,33,IF($E$16=8,29.5,IF($E$16=10,30.5,IF($E$16=12,28,IF($E$16=14,26,IF($E$16=16,24.5,IF($E$16=20,24.5,IF($E$16=40,17.5,0))))))))</f>
        <v>1438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418</v>
      </c>
      <c r="D44" s="323">
        <f t="shared" ca="1" si="32"/>
        <v>399</v>
      </c>
      <c r="E44" s="323">
        <f t="shared" ca="1" si="45"/>
        <v>426</v>
      </c>
      <c r="F44" s="323">
        <f t="shared" ca="1" si="33"/>
        <v>459</v>
      </c>
      <c r="G44" s="323">
        <f t="shared" ca="1" si="28"/>
        <v>472</v>
      </c>
      <c r="H44" s="323">
        <f t="shared" ca="1" si="29"/>
        <v>497</v>
      </c>
      <c r="I44" s="289">
        <f t="shared" ca="1" si="30"/>
        <v>523</v>
      </c>
      <c r="J44" s="290">
        <f t="shared" ca="1" si="31"/>
        <v>535</v>
      </c>
      <c r="K44" s="318">
        <f t="shared" si="34"/>
        <v>719.26000000000045</v>
      </c>
      <c r="L44" s="290">
        <f t="shared" si="35"/>
        <v>769.22000000000025</v>
      </c>
      <c r="M44" s="290">
        <f t="shared" si="36"/>
        <v>815.22000000000025</v>
      </c>
      <c r="N44" s="290">
        <f t="shared" si="37"/>
        <v>861.22000000000025</v>
      </c>
      <c r="O44" s="290">
        <f t="shared" si="38"/>
        <v>907.22000000000025</v>
      </c>
      <c r="P44" s="291">
        <f t="shared" si="39"/>
        <v>953.22000000000025</v>
      </c>
      <c r="Q44" s="289">
        <f t="shared" si="40"/>
        <v>989.45999999999947</v>
      </c>
      <c r="R44" s="289">
        <f t="shared" si="41"/>
        <v>1049.32</v>
      </c>
      <c r="S44" s="290">
        <f t="shared" si="42"/>
        <v>1095.4000000000001</v>
      </c>
      <c r="T44" s="290">
        <f t="shared" si="43"/>
        <v>1141.2999999999997</v>
      </c>
      <c r="U44" s="290">
        <f t="shared" si="44"/>
        <v>1187.4200000000008</v>
      </c>
      <c r="V44" s="290">
        <f t="shared" si="46"/>
        <v>1233.4400000000005</v>
      </c>
      <c r="W44" s="290">
        <f t="shared" si="47"/>
        <v>1279.3099999999995</v>
      </c>
      <c r="X44" s="290">
        <f t="shared" ref="X44:X50" si="48">X43+IF($E$16=6,29.4,IF($E$16=8,26.4,IF($E$16=10,27.2,IF($E$16=12,25.2,IF($E$16=14,23.6,IF($E$16=16,22.2,IF($E$16=20,22,IF($E$16=40,16.4,0))))))))</f>
        <v>1325.4000000000005</v>
      </c>
      <c r="Y44" s="290">
        <f t="shared" ref="Y44:Y50" si="49">Y43+IF($E$16=6,31,IF($E$16=8,27.5,IF($E$16=10,28.25,IF($E$16=12,26.25,IF($E$16=14,24.25,IF($E$16=16,23,IF($E$16=20,23,IF($E$16=40,16.75,0))))))))</f>
        <v>1375.5</v>
      </c>
      <c r="Z44" s="290">
        <f t="shared" ref="Z44:Z50" si="50">Z43+IF($E$16=6,35,IF($E$16=8,28.67,IF($E$16=10,29.33,IF($E$16=12,27,IF($E$16=14,25.33,IF($E$16=16,23.67,IF($E$16=20,23.67,IF($E$16=40,17.33,0))))))))</f>
        <v>1421.6800000000003</v>
      </c>
      <c r="AA44" s="292">
        <f t="shared" ref="AA44:AA50" si="51">AA43+IF($E$16=6,33,IF($E$16=8,29.5,IF($E$16=10,30.5,IF($E$16=12,28,IF($E$16=14,26,IF($E$16=16,24.5,IF($E$16=20,24.5,IF($E$16=40,17.5,0))))))))</f>
        <v>1467.5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426</v>
      </c>
      <c r="D45" s="317">
        <f t="shared" ca="1" si="32"/>
        <v>406</v>
      </c>
      <c r="E45" s="317">
        <f t="shared" ca="1" si="45"/>
        <v>434</v>
      </c>
      <c r="F45" s="317">
        <f t="shared" ca="1" si="33"/>
        <v>468</v>
      </c>
      <c r="G45" s="317">
        <f t="shared" ca="1" si="28"/>
        <v>481</v>
      </c>
      <c r="H45" s="317">
        <f t="shared" ca="1" si="29"/>
        <v>507</v>
      </c>
      <c r="I45" s="317">
        <f t="shared" ca="1" si="30"/>
        <v>534</v>
      </c>
      <c r="J45" s="290">
        <f t="shared" ca="1" si="31"/>
        <v>546</v>
      </c>
      <c r="K45" s="318">
        <f t="shared" si="34"/>
        <v>732.35000000000048</v>
      </c>
      <c r="L45" s="290">
        <f t="shared" si="35"/>
        <v>783.45000000000027</v>
      </c>
      <c r="M45" s="290">
        <f t="shared" si="36"/>
        <v>830.45000000000027</v>
      </c>
      <c r="N45" s="290">
        <f t="shared" si="37"/>
        <v>877.45000000000027</v>
      </c>
      <c r="O45" s="290">
        <f t="shared" si="38"/>
        <v>924.45000000000027</v>
      </c>
      <c r="P45" s="291">
        <f t="shared" si="39"/>
        <v>971.45000000000027</v>
      </c>
      <c r="Q45" s="289">
        <f t="shared" si="40"/>
        <v>1007.8799999999994</v>
      </c>
      <c r="R45" s="289">
        <f t="shared" si="41"/>
        <v>1069.6799999999998</v>
      </c>
      <c r="S45" s="290">
        <f t="shared" si="42"/>
        <v>1116.8000000000002</v>
      </c>
      <c r="T45" s="290">
        <f t="shared" si="43"/>
        <v>1163.6299999999997</v>
      </c>
      <c r="U45" s="290">
        <f t="shared" si="44"/>
        <v>1210.8000000000009</v>
      </c>
      <c r="V45" s="290">
        <f t="shared" si="46"/>
        <v>1257.8700000000006</v>
      </c>
      <c r="W45" s="290">
        <f t="shared" si="47"/>
        <v>1304.6399999999994</v>
      </c>
      <c r="X45" s="290">
        <f t="shared" si="48"/>
        <v>1351.8000000000006</v>
      </c>
      <c r="Y45" s="290">
        <f t="shared" si="49"/>
        <v>1403</v>
      </c>
      <c r="Z45" s="290">
        <f t="shared" si="50"/>
        <v>1450.3500000000004</v>
      </c>
      <c r="AA45" s="292">
        <f t="shared" si="51"/>
        <v>1497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434</v>
      </c>
      <c r="D46" s="317">
        <f t="shared" ca="1" si="32"/>
        <v>413</v>
      </c>
      <c r="E46" s="317">
        <f t="shared" ca="1" si="45"/>
        <v>442</v>
      </c>
      <c r="F46" s="317">
        <f t="shared" ca="1" si="33"/>
        <v>477</v>
      </c>
      <c r="G46" s="317">
        <f t="shared" ca="1" si="28"/>
        <v>490</v>
      </c>
      <c r="H46" s="317">
        <f t="shared" ca="1" si="29"/>
        <v>517</v>
      </c>
      <c r="I46" s="317">
        <f t="shared" ca="1" si="30"/>
        <v>545</v>
      </c>
      <c r="J46" s="290">
        <f t="shared" ca="1" si="31"/>
        <v>557</v>
      </c>
      <c r="K46" s="318">
        <f t="shared" si="34"/>
        <v>745.44000000000051</v>
      </c>
      <c r="L46" s="290">
        <f t="shared" si="35"/>
        <v>797.68000000000029</v>
      </c>
      <c r="M46" s="290">
        <f t="shared" si="36"/>
        <v>845.68000000000029</v>
      </c>
      <c r="N46" s="290">
        <f t="shared" si="37"/>
        <v>893.68000000000029</v>
      </c>
      <c r="O46" s="290">
        <f t="shared" si="38"/>
        <v>941.68000000000029</v>
      </c>
      <c r="P46" s="291">
        <f t="shared" si="39"/>
        <v>989.68000000000029</v>
      </c>
      <c r="Q46" s="289">
        <f t="shared" si="40"/>
        <v>1026.2999999999995</v>
      </c>
      <c r="R46" s="289">
        <f t="shared" si="41"/>
        <v>1090.0399999999997</v>
      </c>
      <c r="S46" s="290">
        <f t="shared" si="42"/>
        <v>1138.2000000000003</v>
      </c>
      <c r="T46" s="290">
        <f t="shared" si="43"/>
        <v>1185.9599999999996</v>
      </c>
      <c r="U46" s="290">
        <f t="shared" si="44"/>
        <v>1234.180000000001</v>
      </c>
      <c r="V46" s="290">
        <f t="shared" si="46"/>
        <v>1282.3000000000006</v>
      </c>
      <c r="W46" s="290">
        <f t="shared" si="47"/>
        <v>1329.9699999999993</v>
      </c>
      <c r="X46" s="290">
        <f t="shared" si="48"/>
        <v>1378.2000000000007</v>
      </c>
      <c r="Y46" s="290">
        <f t="shared" si="49"/>
        <v>1430.5</v>
      </c>
      <c r="Z46" s="290">
        <f t="shared" si="50"/>
        <v>1479.0200000000004</v>
      </c>
      <c r="AA46" s="292">
        <f t="shared" si="51"/>
        <v>1526.5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442</v>
      </c>
      <c r="D47" s="317">
        <f t="shared" ca="1" si="32"/>
        <v>420</v>
      </c>
      <c r="E47" s="317">
        <f t="shared" ca="1" si="45"/>
        <v>450</v>
      </c>
      <c r="F47" s="317">
        <f t="shared" ca="1" si="33"/>
        <v>486</v>
      </c>
      <c r="G47" s="317">
        <f t="shared" ca="1" si="28"/>
        <v>499</v>
      </c>
      <c r="H47" s="317">
        <f t="shared" ca="1" si="29"/>
        <v>527</v>
      </c>
      <c r="I47" s="317">
        <f t="shared" ca="1" si="30"/>
        <v>556</v>
      </c>
      <c r="J47" s="322">
        <f t="shared" ca="1" si="31"/>
        <v>568</v>
      </c>
      <c r="K47" s="318">
        <f t="shared" si="34"/>
        <v>758.53000000000054</v>
      </c>
      <c r="L47" s="290">
        <f t="shared" si="35"/>
        <v>811.91000000000031</v>
      </c>
      <c r="M47" s="290">
        <f t="shared" si="36"/>
        <v>860.91000000000031</v>
      </c>
      <c r="N47" s="290">
        <f t="shared" si="37"/>
        <v>909.91000000000031</v>
      </c>
      <c r="O47" s="290">
        <f t="shared" si="38"/>
        <v>958.91000000000031</v>
      </c>
      <c r="P47" s="291">
        <f t="shared" si="39"/>
        <v>1007.9100000000003</v>
      </c>
      <c r="Q47" s="289">
        <f t="shared" si="40"/>
        <v>1044.7199999999996</v>
      </c>
      <c r="R47" s="289">
        <f t="shared" si="41"/>
        <v>1110.3999999999996</v>
      </c>
      <c r="S47" s="290">
        <f t="shared" si="42"/>
        <v>1159.6000000000004</v>
      </c>
      <c r="T47" s="290">
        <f t="shared" si="43"/>
        <v>1208.2899999999995</v>
      </c>
      <c r="U47" s="290">
        <f t="shared" si="44"/>
        <v>1257.5600000000011</v>
      </c>
      <c r="V47" s="290">
        <f t="shared" si="46"/>
        <v>1306.7300000000007</v>
      </c>
      <c r="W47" s="290">
        <f t="shared" si="47"/>
        <v>1355.2999999999993</v>
      </c>
      <c r="X47" s="290">
        <f t="shared" si="48"/>
        <v>1404.6000000000008</v>
      </c>
      <c r="Y47" s="290">
        <f t="shared" si="49"/>
        <v>1458</v>
      </c>
      <c r="Z47" s="290">
        <f t="shared" si="50"/>
        <v>1507.6900000000005</v>
      </c>
      <c r="AA47" s="292">
        <f t="shared" si="51"/>
        <v>1556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450</v>
      </c>
      <c r="D48" s="317">
        <f t="shared" ca="1" si="32"/>
        <v>427</v>
      </c>
      <c r="E48" s="317">
        <f t="shared" ca="1" si="45"/>
        <v>458</v>
      </c>
      <c r="F48" s="317">
        <f t="shared" ca="1" si="33"/>
        <v>495</v>
      </c>
      <c r="G48" s="317">
        <f t="shared" ca="1" si="28"/>
        <v>508</v>
      </c>
      <c r="H48" s="317">
        <f t="shared" ca="1" si="29"/>
        <v>537</v>
      </c>
      <c r="I48" s="317">
        <f t="shared" ca="1" si="30"/>
        <v>567</v>
      </c>
      <c r="J48" s="322">
        <f t="shared" ca="1" si="31"/>
        <v>579</v>
      </c>
      <c r="K48" s="318">
        <f t="shared" si="34"/>
        <v>771.62000000000057</v>
      </c>
      <c r="L48" s="290">
        <f t="shared" si="35"/>
        <v>826.14000000000033</v>
      </c>
      <c r="M48" s="290">
        <f t="shared" si="36"/>
        <v>876.14000000000033</v>
      </c>
      <c r="N48" s="290">
        <f t="shared" si="37"/>
        <v>926.14000000000033</v>
      </c>
      <c r="O48" s="290">
        <f t="shared" si="38"/>
        <v>976.14000000000033</v>
      </c>
      <c r="P48" s="291">
        <f t="shared" si="39"/>
        <v>1026.1400000000003</v>
      </c>
      <c r="Q48" s="289">
        <f t="shared" si="40"/>
        <v>1063.1399999999996</v>
      </c>
      <c r="R48" s="289">
        <f t="shared" si="41"/>
        <v>1130.7599999999995</v>
      </c>
      <c r="S48" s="290">
        <f t="shared" si="42"/>
        <v>1181.0000000000005</v>
      </c>
      <c r="T48" s="290">
        <f t="shared" si="43"/>
        <v>1230.6199999999994</v>
      </c>
      <c r="U48" s="290">
        <f t="shared" si="44"/>
        <v>1280.9400000000012</v>
      </c>
      <c r="V48" s="290">
        <f t="shared" si="46"/>
        <v>1331.1600000000008</v>
      </c>
      <c r="W48" s="290">
        <f t="shared" si="47"/>
        <v>1380.6299999999992</v>
      </c>
      <c r="X48" s="290">
        <f t="shared" si="48"/>
        <v>1431.0000000000009</v>
      </c>
      <c r="Y48" s="290">
        <f t="shared" si="49"/>
        <v>1485.5</v>
      </c>
      <c r="Z48" s="290">
        <f t="shared" si="50"/>
        <v>1536.3600000000006</v>
      </c>
      <c r="AA48" s="292">
        <f t="shared" si="51"/>
        <v>1585.5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458</v>
      </c>
      <c r="D49" s="317">
        <f t="shared" ca="1" si="32"/>
        <v>434</v>
      </c>
      <c r="E49" s="317">
        <f t="shared" ca="1" si="45"/>
        <v>466</v>
      </c>
      <c r="F49" s="317">
        <f t="shared" ca="1" si="33"/>
        <v>504</v>
      </c>
      <c r="G49" s="317">
        <f t="shared" ca="1" si="28"/>
        <v>517</v>
      </c>
      <c r="H49" s="317">
        <f t="shared" ca="1" si="29"/>
        <v>547</v>
      </c>
      <c r="I49" s="317">
        <f t="shared" ca="1" si="30"/>
        <v>578</v>
      </c>
      <c r="J49" s="322">
        <f t="shared" ca="1" si="31"/>
        <v>590</v>
      </c>
      <c r="K49" s="317">
        <f t="shared" si="34"/>
        <v>784.7100000000006</v>
      </c>
      <c r="L49" s="290">
        <f t="shared" si="35"/>
        <v>840.37000000000035</v>
      </c>
      <c r="M49" s="290">
        <f t="shared" si="36"/>
        <v>891.37000000000035</v>
      </c>
      <c r="N49" s="290">
        <f t="shared" si="37"/>
        <v>942.37000000000035</v>
      </c>
      <c r="O49" s="290">
        <f t="shared" si="38"/>
        <v>993.37000000000035</v>
      </c>
      <c r="P49" s="291">
        <f t="shared" si="39"/>
        <v>1044.3700000000003</v>
      </c>
      <c r="Q49" s="289">
        <f t="shared" si="40"/>
        <v>1081.5599999999997</v>
      </c>
      <c r="R49" s="289">
        <f t="shared" si="41"/>
        <v>1151.1199999999994</v>
      </c>
      <c r="S49" s="290">
        <f t="shared" si="42"/>
        <v>1202.4000000000005</v>
      </c>
      <c r="T49" s="290">
        <f t="shared" si="43"/>
        <v>1252.9499999999994</v>
      </c>
      <c r="U49" s="290">
        <f t="shared" si="44"/>
        <v>1304.3200000000013</v>
      </c>
      <c r="V49" s="290">
        <f t="shared" si="46"/>
        <v>1355.5900000000008</v>
      </c>
      <c r="W49" s="290">
        <f t="shared" si="47"/>
        <v>1405.9599999999991</v>
      </c>
      <c r="X49" s="290">
        <f t="shared" si="48"/>
        <v>1457.400000000001</v>
      </c>
      <c r="Y49" s="290">
        <f t="shared" si="49"/>
        <v>1513</v>
      </c>
      <c r="Z49" s="290">
        <f t="shared" si="50"/>
        <v>1565.0300000000007</v>
      </c>
      <c r="AA49" s="292">
        <f t="shared" si="51"/>
        <v>1615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466</v>
      </c>
      <c r="D50" s="330">
        <f t="shared" ca="1" si="32"/>
        <v>441</v>
      </c>
      <c r="E50" s="330">
        <f t="shared" ca="1" si="45"/>
        <v>474</v>
      </c>
      <c r="F50" s="330">
        <f t="shared" ca="1" si="33"/>
        <v>513</v>
      </c>
      <c r="G50" s="330">
        <f t="shared" ca="1" si="28"/>
        <v>526</v>
      </c>
      <c r="H50" s="330">
        <f t="shared" ca="1" si="29"/>
        <v>557</v>
      </c>
      <c r="I50" s="330">
        <f t="shared" ca="1" si="30"/>
        <v>589</v>
      </c>
      <c r="J50" s="331">
        <f t="shared" ca="1" si="31"/>
        <v>601</v>
      </c>
      <c r="K50" s="330">
        <f t="shared" si="34"/>
        <v>797.80000000000064</v>
      </c>
      <c r="L50" s="293">
        <f t="shared" si="35"/>
        <v>854.60000000000036</v>
      </c>
      <c r="M50" s="293">
        <f t="shared" si="36"/>
        <v>906.60000000000036</v>
      </c>
      <c r="N50" s="293">
        <f t="shared" si="37"/>
        <v>958.60000000000036</v>
      </c>
      <c r="O50" s="293">
        <f t="shared" si="38"/>
        <v>1010.6000000000004</v>
      </c>
      <c r="P50" s="294">
        <f t="shared" si="39"/>
        <v>1062.6000000000004</v>
      </c>
      <c r="Q50" s="295">
        <f t="shared" si="40"/>
        <v>1099.9799999999998</v>
      </c>
      <c r="R50" s="295">
        <f t="shared" si="41"/>
        <v>1171.4799999999993</v>
      </c>
      <c r="S50" s="293">
        <f t="shared" si="42"/>
        <v>1223.8000000000006</v>
      </c>
      <c r="T50" s="293">
        <f t="shared" si="43"/>
        <v>1275.2799999999993</v>
      </c>
      <c r="U50" s="293">
        <f t="shared" si="44"/>
        <v>1327.7000000000014</v>
      </c>
      <c r="V50" s="293">
        <f t="shared" si="46"/>
        <v>1380.0200000000009</v>
      </c>
      <c r="W50" s="293">
        <f t="shared" si="47"/>
        <v>1431.2899999999991</v>
      </c>
      <c r="X50" s="293">
        <f t="shared" si="48"/>
        <v>1483.8000000000011</v>
      </c>
      <c r="Y50" s="293">
        <f t="shared" si="49"/>
        <v>1540.5</v>
      </c>
      <c r="Z50" s="293">
        <f t="shared" si="50"/>
        <v>1593.7000000000007</v>
      </c>
      <c r="AA50" s="296">
        <f t="shared" si="51"/>
        <v>1644.5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278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47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342.4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380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320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8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4.1827500000000004E-2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150.57900000000001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0.55000000000000004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0.6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0.3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0.3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8</v>
      </c>
      <c r="H18" s="162">
        <f>H5*1000</f>
        <v>550</v>
      </c>
      <c r="I18" s="163">
        <f>((((ROUNDUP((((H18/2)-30)-1.5-G18-80)/(H3+$H$11),0))*(H3+$H$11))+1.5)*2)+160</f>
        <v>499</v>
      </c>
      <c r="J18" s="163">
        <f>H18-I18</f>
        <v>51</v>
      </c>
      <c r="K18" s="163">
        <f>J18/2</f>
        <v>25.5</v>
      </c>
      <c r="L18" s="163">
        <f>((((((((ROUNDUP((((H18/2)-30)-1.5-H3-80)/(H3+$H$11),0)))))+1)*(H3+$H$11))+1.5)*2)+160</f>
        <v>527</v>
      </c>
      <c r="M18" s="163">
        <f>H18-L18</f>
        <v>23</v>
      </c>
      <c r="N18" s="164">
        <f>M18/2</f>
        <v>11.5</v>
      </c>
      <c r="O18" s="165">
        <f>IF(K18&gt;50,L18,I18)</f>
        <v>499</v>
      </c>
      <c r="P18" s="166">
        <f>(((((ROUNDUP((((H18/2)-30)-1.5-H3-80)/(H3+$H$11),0))))))*2</f>
        <v>24</v>
      </c>
      <c r="Q18" s="166">
        <f>P18-1</f>
        <v>23</v>
      </c>
      <c r="R18" s="167">
        <f>($H$6-$H$8-$AR$3)*((H3/1000)*(Q18+1)+0.003)</f>
        <v>3.8025000000000003E-2</v>
      </c>
      <c r="S18" s="168">
        <f>R18*T18</f>
        <v>4.1827500000000004E-2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0.10574005351023243</v>
      </c>
      <c r="W18" s="171">
        <f>IF((0.15*$H$8*2*9.8/($H$12*($H$11/G18)^(4/3)*$H$10^2*U18))&gt;1,75,FLOOR(DEGREES(ASIN((0.15*$H$8*2*9.8/($H$12*($H$11/G18)^(4/3)*$H$10^2*U18)))),5))</f>
        <v>20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opLeftCell="A13" zoomScaleNormal="100" workbookViewId="0">
      <selection activeCell="C46" sqref="C46:D4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Каракалпак КОС (8618) 10.02.22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8618 Каракалпак КОС 10.02.22</v>
      </c>
      <c r="J3" s="634"/>
      <c r="K3" s="635"/>
      <c r="L3" s="636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550.600.1500.8</v>
      </c>
      <c r="J4" s="637"/>
      <c r="K4" s="638"/>
      <c r="L4" s="639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550.600.1500.8 (AISI 316; 0,37 кВт.; IP66; с ШУ и ВПУ)</v>
      </c>
      <c r="J5" s="637"/>
      <c r="K5" s="638"/>
      <c r="L5" s="639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575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8618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550</v>
      </c>
      <c r="C16" s="190">
        <v>600</v>
      </c>
      <c r="D16" s="191">
        <v>1500</v>
      </c>
      <c r="E16" s="190">
        <v>8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342.4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380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3150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2500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600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463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228955.80000000002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207 н.ч.</v>
      </c>
      <c r="C33" s="209">
        <f>ФОТ!C37</f>
        <v>63850</v>
      </c>
    </row>
    <row r="34" spans="1:254" x14ac:dyDescent="0.2">
      <c r="A34" s="71" t="s">
        <v>177</v>
      </c>
      <c r="B34" s="110" t="str">
        <f ca="1">CONCATENATE(ROUNDUP(C34/Параметры!B3,0)," н.ч.")</f>
        <v>13 н.ч.</v>
      </c>
      <c r="C34" s="209">
        <f ca="1">ФОТ!C54</f>
        <v>3740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147765.80000000002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593279.76666666672</v>
      </c>
      <c r="D39" s="215">
        <f ca="1">SUM(D41:D47)</f>
        <v>711935.72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156000</v>
      </c>
      <c r="D41" s="209">
        <f t="shared" ref="D41:D47" ca="1" si="0">C41*1.2</f>
        <v>187200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99554</v>
      </c>
      <c r="D42" s="209">
        <f t="shared" ca="1" si="0"/>
        <v>119464.79999999999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709">
        <f ca="1">IF(D26="Да",РГО!B86,0)*2</f>
        <v>220162.6</v>
      </c>
      <c r="D46" s="709">
        <f t="shared" ca="1" si="0"/>
        <v>264195.12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17280</v>
      </c>
      <c r="D47" s="209">
        <f t="shared" ca="1" si="0"/>
        <v>20736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822236</v>
      </c>
      <c r="D49" s="214">
        <f ca="1">C49*1.2</f>
        <v>986683.2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1562249</v>
      </c>
      <c r="D53" s="222">
        <f ca="1">ROUNDUP(D49*B53,0)</f>
        <v>1874699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1562249</v>
      </c>
      <c r="D57" s="225">
        <f ca="1">D53+D55</f>
        <v>1874699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740013</v>
      </c>
      <c r="D58" s="233">
        <f ca="1">D57-D55-D49</f>
        <v>888015.8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1562249</v>
      </c>
      <c r="D62" s="241">
        <f ca="1">D57/(1-B60*(1+B61))</f>
        <v>1874699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1562249</v>
      </c>
      <c r="D64" s="205">
        <f ca="1">D62</f>
        <v>1874699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550</v>
      </c>
      <c r="D9" s="82">
        <f>IF(C9&lt;=750,ROUND(C9/50,0)*50,ROUND(C9/100,0)*100)</f>
        <v>550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600</v>
      </c>
      <c r="D10" s="82">
        <f>CEILING(C10,100)</f>
        <v>600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105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8</v>
      </c>
      <c r="D12" s="84">
        <f>C12</f>
        <v>8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300</v>
      </c>
      <c r="D13" s="87">
        <f>IF(C10&lt;=1200,C10,C10-250)</f>
        <v>600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400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600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26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26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220.41550000000001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4.12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206.62231833333334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25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10.740833333333335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29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63846.296365000002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63850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342.4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3740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320</v>
      </c>
      <c r="D3" s="401" t="s">
        <v>17</v>
      </c>
      <c r="E3" s="404">
        <f>Цена!B16</f>
        <v>550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400</v>
      </c>
      <c r="D4" s="401" t="s">
        <v>18</v>
      </c>
      <c r="E4" s="404">
        <f>Цена!C16</f>
        <v>600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156000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8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13</v>
      </c>
      <c r="D7" s="401" t="s">
        <v>396</v>
      </c>
      <c r="E7" s="408">
        <f>Цена!D20</f>
        <v>3150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99554</v>
      </c>
      <c r="D8" s="401" t="s">
        <v>397</v>
      </c>
      <c r="E8" s="408">
        <f>Цена!D21</f>
        <v>2500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600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316</v>
      </c>
      <c r="F11" s="401">
        <f ca="1">OFFSET(I3,MATCH(E11,I4:I7,0),1,1,1)</f>
        <v>390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347837.16666666669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abSelected="1" topLeftCell="A97" workbookViewId="0">
      <selection activeCell="E119" sqref="E119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550.600.1500.8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- 160 м3/ч.; прозор - 8 мм.; ширина канала - 550 мм.; глубина канала - 600 мм.; высота выгрузки отбросов - 1500 мм.; вес решетки в сборе - 380 кг.; привод - 0,37 кВт.; IP 66; 380 В; 50 Гц;  материал исполнения - AISI 316; в комплекте с ШУ и ВПУ.</v>
      </c>
      <c r="C2" s="110">
        <f ca="1">C11</f>
        <v>380</v>
      </c>
      <c r="D2" s="108">
        <f ca="1">C12</f>
        <v>0.37</v>
      </c>
      <c r="E2" s="108">
        <v>1</v>
      </c>
      <c r="F2" s="110">
        <f ca="1">MROUND(Цена!C49,100)</f>
        <v>822200</v>
      </c>
      <c r="G2" s="110">
        <f ca="1">F2*E2</f>
        <v>822200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550.600.1500.8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160</v>
      </c>
      <c r="D6" t="s">
        <v>112</v>
      </c>
      <c r="E6" t="str">
        <f>CONCATENATE(B6," ",C6," ",D6,".;")</f>
        <v>Максимальная производительность - 160 м3/ч.;</v>
      </c>
    </row>
    <row r="7" spans="1:8" x14ac:dyDescent="0.2">
      <c r="B7" s="186" t="s">
        <v>279</v>
      </c>
      <c r="C7" s="110">
        <f>Цена!E16</f>
        <v>8</v>
      </c>
      <c r="D7" t="s">
        <v>166</v>
      </c>
      <c r="E7" t="str">
        <f>CONCATENATE(B7," ",C7," ",D7,";")</f>
        <v>прозор - 8 мм.;</v>
      </c>
    </row>
    <row r="8" spans="1:8" x14ac:dyDescent="0.2">
      <c r="B8" s="186" t="s">
        <v>280</v>
      </c>
      <c r="C8" s="110">
        <f>Цена!B16</f>
        <v>550</v>
      </c>
      <c r="D8" t="s">
        <v>166</v>
      </c>
      <c r="E8" t="str">
        <f>CONCATENATE(B8," ",C8," ",D8,";")</f>
        <v>ширина канала - 550 мм.;</v>
      </c>
    </row>
    <row r="9" spans="1:8" x14ac:dyDescent="0.2">
      <c r="B9" s="186" t="s">
        <v>281</v>
      </c>
      <c r="C9" s="110">
        <f>Цена!C16</f>
        <v>600</v>
      </c>
      <c r="D9" t="s">
        <v>166</v>
      </c>
      <c r="E9" t="str">
        <f>CONCATENATE(B9," ",C9," ",D9,";")</f>
        <v>глубина канала - 600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380</v>
      </c>
      <c r="D11" t="s">
        <v>169</v>
      </c>
      <c r="E11" t="str">
        <f ca="1">CONCATENATE(B11," ",C11," ",D11,";")</f>
        <v>вес решетки в сборе - 380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8618</v>
      </c>
    </row>
    <row r="22" spans="2:15" x14ac:dyDescent="0.2">
      <c r="B22" s="186" t="s">
        <v>288</v>
      </c>
      <c r="C22" s="283"/>
      <c r="D22" s="283" t="str">
        <f>CONCATENATE("ТКП №",Цена!I3)</f>
        <v>ТКП №8618 Каракалпак КОС 10.02.22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550.600.1500.8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8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550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600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160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380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316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Грабельное отделение</v>
      </c>
      <c r="B101" s="474" t="str">
        <f>Цена!B10</f>
        <v/>
      </c>
      <c r="C101" s="110">
        <f ca="1">MROUND((Цена!C49-Спецификация!D101),5)</f>
        <v>557115</v>
      </c>
      <c r="D101" s="110">
        <f ca="1">IF(Цена!D26="Нет",0,MROUND((Цена!C46*(1+Цена!B47))+Цена!C35*(1+Цена!B36),5))</f>
        <v>265120</v>
      </c>
      <c r="E101" s="110">
        <f ca="1">Спецификация!C2</f>
        <v>380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550.600.1500.8</v>
      </c>
      <c r="B118" s="481">
        <f ca="1">C101</f>
        <v>557115</v>
      </c>
      <c r="C118" s="482">
        <f>ROUNDUP(ФОТ!K29,0)</f>
        <v>207</v>
      </c>
      <c r="D118" s="482">
        <f ca="1">ФОТ!C51</f>
        <v>11</v>
      </c>
      <c r="E118" s="482">
        <f ca="1">IF(B118=0,0,(C118+D118)*Параметры!B3*(1+Параметры!B4))</f>
        <v>189960.84000000003</v>
      </c>
      <c r="F118" s="482">
        <f ca="1">B118-E118</f>
        <v>367154.16</v>
      </c>
      <c r="G118" s="477" t="str">
        <f ca="1">CONCATENATE(A118," (",H101,"; ",G101," кВт.; ",F101,")")</f>
        <v>РТО 550.600.1500.8 (AISI 316;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265120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226768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822235</v>
      </c>
      <c r="C121" s="483">
        <f ca="1">SUM(C118:C119)</f>
        <v>247</v>
      </c>
      <c r="D121" s="483">
        <f ca="1">SUM(D118:D119)</f>
        <v>11</v>
      </c>
      <c r="E121" s="483">
        <f ca="1">SUM(E118:E119)</f>
        <v>228312.84000000003</v>
      </c>
      <c r="F121" s="483">
        <f ca="1">SUM(F118:F119)</f>
        <v>593922.15999999992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8618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Каракалпак КОС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10.02.2022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550.600.1500.8</v>
      </c>
    </row>
    <row r="9" spans="1:3" x14ac:dyDescent="0.2">
      <c r="A9" s="503"/>
      <c r="B9" s="505" t="s">
        <v>520</v>
      </c>
      <c r="C9" s="500" t="str">
        <f>C8</f>
        <v>РТО 550.600.1500.8</v>
      </c>
    </row>
    <row r="10" spans="1:3" x14ac:dyDescent="0.2">
      <c r="A10" s="503"/>
      <c r="B10" s="505" t="s">
        <v>519</v>
      </c>
      <c r="C10" s="500" t="str">
        <f>C8</f>
        <v>РТО 550.600.1500.8</v>
      </c>
    </row>
    <row r="11" spans="1:3" x14ac:dyDescent="0.2">
      <c r="A11" s="503"/>
      <c r="B11" s="505" t="s">
        <v>521</v>
      </c>
      <c r="C11" s="500" t="str">
        <f>C8</f>
        <v>РТО 550.600.1500.8</v>
      </c>
    </row>
    <row r="12" spans="1:3" x14ac:dyDescent="0.2">
      <c r="A12" s="503"/>
      <c r="B12" s="505" t="s">
        <v>522</v>
      </c>
      <c r="C12" s="500" t="str">
        <f>C8</f>
        <v>РТО 550.600.1500.8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8</v>
      </c>
    </row>
    <row r="16" spans="1:3" x14ac:dyDescent="0.2">
      <c r="A16" s="503" t="s">
        <v>292</v>
      </c>
      <c r="B16" s="504" t="s">
        <v>306</v>
      </c>
      <c r="C16" s="499">
        <f>Цена!B16</f>
        <v>550</v>
      </c>
    </row>
    <row r="17" spans="1:3" x14ac:dyDescent="0.2">
      <c r="A17" s="503" t="s">
        <v>293</v>
      </c>
      <c r="B17" s="504" t="s">
        <v>307</v>
      </c>
      <c r="C17" s="499">
        <f>Цена!C16</f>
        <v>600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160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380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316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2022-02-10T09:08:41Z</dcterms:modified>
</cp:coreProperties>
</file>