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 s="1"/>
  <c r="B11" i="16"/>
  <c r="E16" i="6"/>
  <c r="F23" i="6" s="1"/>
  <c r="F21" i="6" s="1"/>
  <c r="B16" i="6"/>
  <c r="E5" i="6" s="1"/>
  <c r="F5" i="6" s="1"/>
  <c r="E4" i="6"/>
  <c r="F4" i="6" s="1"/>
  <c r="C16" i="6"/>
  <c r="D72" i="6" s="1"/>
  <c r="C10" i="13"/>
  <c r="C13" i="13" s="1"/>
  <c r="D14" i="13" s="1"/>
  <c r="D16" i="6"/>
  <c r="E79" i="16"/>
  <c r="K85" i="16"/>
  <c r="E15" i="16"/>
  <c r="E80" i="16" s="1"/>
  <c r="C9" i="13"/>
  <c r="D9" i="13" s="1"/>
  <c r="C12" i="13"/>
  <c r="D12" i="13" s="1"/>
  <c r="C11" i="13"/>
  <c r="D11" i="13" s="1"/>
  <c r="C40" i="13"/>
  <c r="C43" i="13" s="1"/>
  <c r="C45" i="13" s="1"/>
  <c r="C35" i="12" s="1"/>
  <c r="B35" i="12" s="1"/>
  <c r="D20" i="12"/>
  <c r="D21" i="12" s="1"/>
  <c r="E8" i="16" s="1"/>
  <c r="B7" i="16" s="1"/>
  <c r="E7" i="16"/>
  <c r="E11" i="16"/>
  <c r="E3" i="16"/>
  <c r="E4" i="16"/>
  <c r="H101" i="14"/>
  <c r="F101" i="14"/>
  <c r="B101" i="14"/>
  <c r="A101" i="14"/>
  <c r="A16" i="12"/>
  <c r="I4" i="12" s="1"/>
  <c r="B36" i="12"/>
  <c r="C55" i="12"/>
  <c r="B47" i="12"/>
  <c r="E78" i="16"/>
  <c r="B78" i="16"/>
  <c r="C15" i="14"/>
  <c r="D40" i="14" s="1"/>
  <c r="C14" i="14"/>
  <c r="E14" i="14"/>
  <c r="C13" i="14"/>
  <c r="C22" i="18" s="1"/>
  <c r="C30" i="18" s="1"/>
  <c r="C10" i="14"/>
  <c r="D30" i="14" s="1"/>
  <c r="C9" i="14"/>
  <c r="D31" i="14" s="1"/>
  <c r="E9" i="14"/>
  <c r="C8" i="14"/>
  <c r="E8" i="14" s="1"/>
  <c r="C7" i="14"/>
  <c r="E7" i="14" s="1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M27" i="6"/>
  <c r="M28" i="6" s="1"/>
  <c r="O30" i="6"/>
  <c r="O31" i="6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9" i="6"/>
  <c r="D37" i="14"/>
  <c r="K86" i="16"/>
  <c r="I30" i="6"/>
  <c r="I42" i="6" s="1"/>
  <c r="K25" i="6"/>
  <c r="R32" i="6"/>
  <c r="Z40" i="6"/>
  <c r="Z41" i="6"/>
  <c r="Z42" i="6" s="1"/>
  <c r="Z43" i="6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1" i="6"/>
  <c r="Q32" i="6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A16" i="6"/>
  <c r="U35" i="6"/>
  <c r="V36" i="6"/>
  <c r="V35" i="6" s="1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/>
  <c r="K32" i="6" s="1"/>
  <c r="K33" i="6" s="1"/>
  <c r="K34" i="6" s="1"/>
  <c r="K35" i="6" s="1"/>
  <c r="K36" i="6" s="1"/>
  <c r="K37" i="6" s="1"/>
  <c r="K38" i="6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Q33" i="6"/>
  <c r="Q34" i="6" s="1"/>
  <c r="Q35" i="6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L28" i="6"/>
  <c r="L29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/>
  <c r="X41" i="6" s="1"/>
  <c r="X42" i="6"/>
  <c r="X43" i="6" s="1"/>
  <c r="X44" i="6" s="1"/>
  <c r="X45" i="6" s="1"/>
  <c r="X46" i="6" s="1"/>
  <c r="X47" i="6" s="1"/>
  <c r="X48" i="6" s="1"/>
  <c r="X49" i="6" s="1"/>
  <c r="X50" i="6" s="1"/>
  <c r="G18" i="8"/>
  <c r="V18" i="8" s="1"/>
  <c r="H11" i="8"/>
  <c r="F11" i="16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T35" i="6"/>
  <c r="T36" i="6"/>
  <c r="T37" i="6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/>
  <c r="K22" i="6" s="1"/>
  <c r="K21" i="6"/>
  <c r="K26" i="6"/>
  <c r="K27" i="6" s="1"/>
  <c r="K28" i="6" s="1"/>
  <c r="K29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M29" i="6"/>
  <c r="M26" i="6"/>
  <c r="M25" i="6"/>
  <c r="M24" i="6" s="1"/>
  <c r="M23" i="6" s="1"/>
  <c r="M22" i="6" s="1"/>
  <c r="M21" i="6" s="1"/>
  <c r="C31" i="13"/>
  <c r="K80" i="16"/>
  <c r="K81" i="16"/>
  <c r="K84" i="16"/>
  <c r="B79" i="16" s="1"/>
  <c r="D32" i="14" l="1"/>
  <c r="K82" i="16"/>
  <c r="C21" i="18"/>
  <c r="D33" i="14"/>
  <c r="D42" i="14" s="1"/>
  <c r="E10" i="14"/>
  <c r="D64" i="6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O28" i="6"/>
  <c r="O27" i="6" s="1"/>
  <c r="O26" i="6" s="1"/>
  <c r="O25" i="6" s="1"/>
  <c r="O24" i="6" s="1"/>
  <c r="O23" i="6" s="1"/>
  <c r="O22" i="6" s="1"/>
  <c r="O21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I18" i="8"/>
  <c r="J18" i="8" s="1"/>
  <c r="K18" i="8" s="1"/>
  <c r="O18" i="8" s="1"/>
  <c r="L18" i="8"/>
  <c r="M18" i="8" s="1"/>
  <c r="N18" i="8" s="1"/>
  <c r="Q12" i="16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6" i="13" s="1"/>
  <c r="D17" i="13" s="1"/>
  <c r="D10" i="13"/>
  <c r="C29" i="13" s="1"/>
  <c r="C24" i="19"/>
  <c r="C8" i="18"/>
  <c r="A5" i="14"/>
  <c r="A2" i="14" s="1"/>
  <c r="A118" i="14" s="1"/>
  <c r="K26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K24" i="13" l="1"/>
  <c r="E6" i="14"/>
  <c r="D62" i="6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68" i="6" l="1"/>
  <c r="D53" i="6"/>
  <c r="D54" i="6" s="1"/>
  <c r="C54" i="6"/>
  <c r="G53" i="6"/>
  <c r="G54" i="6" s="1"/>
  <c r="D63" i="6" s="1"/>
  <c r="D70" i="6" s="1"/>
  <c r="D18" i="12" s="1"/>
  <c r="C48" i="13" s="1"/>
  <c r="C51" i="13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C54" i="13" l="1"/>
  <c r="C34" i="12" s="1"/>
  <c r="B34" i="12" s="1"/>
  <c r="D118" i="14"/>
  <c r="D121" i="14" s="1"/>
  <c r="D75" i="6"/>
  <c r="B3" i="16" s="1"/>
  <c r="B4" i="16" s="1"/>
  <c r="B5" i="16" s="1"/>
  <c r="D74" i="6"/>
  <c r="D19" i="12" s="1"/>
  <c r="C11" i="14" s="1"/>
  <c r="C22" i="19"/>
  <c r="C25" i="19" s="1"/>
  <c r="G101" i="14"/>
  <c r="G118" i="14" s="1"/>
  <c r="D35" i="14"/>
  <c r="K29" i="13"/>
  <c r="E119" i="14"/>
  <c r="F119" i="14" s="1"/>
  <c r="C41" i="12" l="1"/>
  <c r="B13" i="16"/>
  <c r="D36" i="14"/>
  <c r="C2" i="14"/>
  <c r="E11" i="14"/>
  <c r="B2" i="14" s="1"/>
  <c r="C25" i="18"/>
  <c r="C118" i="14"/>
  <c r="C121" i="14" s="1"/>
  <c r="K34" i="13"/>
  <c r="C37" i="13" s="1"/>
  <c r="C33" i="12" s="1"/>
  <c r="C21" i="19" l="1"/>
  <c r="E101" i="14"/>
  <c r="C47" i="12"/>
  <c r="D47" i="12" s="1"/>
  <c r="D41" i="12"/>
  <c r="B33" i="12"/>
  <c r="C36" i="12"/>
  <c r="C31" i="12" s="1"/>
  <c r="D39" i="12" l="1"/>
  <c r="C39" i="12"/>
  <c r="C49" i="12" s="1"/>
  <c r="F2" i="14" l="1"/>
  <c r="G2" i="14" s="1"/>
  <c r="C101" i="14"/>
  <c r="B118" i="14" s="1"/>
  <c r="C20" i="19" s="1"/>
  <c r="D49" i="12"/>
  <c r="D53" i="12" s="1"/>
  <c r="D57" i="12" s="1"/>
  <c r="D58" i="12" s="1"/>
  <c r="C53" i="12"/>
  <c r="C57" i="12" s="1"/>
  <c r="C62" i="12" s="1"/>
  <c r="E118" i="14" l="1"/>
  <c r="E121" i="14" s="1"/>
  <c r="B121" i="14"/>
  <c r="D62" i="12"/>
  <c r="D64" i="12" s="1"/>
  <c r="C58" i="12"/>
  <c r="C60" i="12"/>
  <c r="C61" i="12" s="1"/>
  <c r="C64" i="12"/>
  <c r="F118" i="14" l="1"/>
  <c r="F121" i="14" s="1"/>
  <c r="D60" i="12"/>
  <c r="D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<sst xmlns="http://schemas.openxmlformats.org/spreadsheetml/2006/main" count="835" uniqueCount="578">
  <si>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</si>
  <si>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</si>
  <si>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</si>
  <si>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</si>
  <si>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</si>
  <si>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</si>
  <si>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</si>
  <si>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</si>
  <si>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</si>
  <si>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</si>
  <si>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</si>
  <si>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</si>
  <si>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</si>
  <si>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</si>
  <si>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</si>
  <si>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</si>
  <si>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</si>
  <si>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</si>
  <si>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</si>
  <si>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</si>
  <si>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</si>
  <si>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</si>
  <si>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</si>
  <si>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</si>
  <si>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</si>
  <si>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</si>
  <si>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</si>
  <si>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</si>
  <si>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</si>
  <si>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</si>
  <si>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</si>
  <si>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</si>
  <si>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</si>
  <si>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</si>
  <si>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</si>
  <si>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</si>
  <si>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</si>
  <si>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</si>
  <si>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</si>
  <si>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</si>
  <si>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</si>
  <si>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</si>
  <si>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</si>
  <si>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</si>
  <si>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</si>
  <si>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</si>
  <si>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</si>
  <si>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</si>
  <si>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</si>
  <si>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</si>
  <si>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</si>
  <si>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</si>
  <si>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</si>
  <si>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</si>
  <si>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</si>
  <si>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</si>
  <si>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</si>
  <si>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</si>
  <si>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</si>
  <si>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</si>
  <si>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</si>
  <si>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</si>
  <si>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</si>
  <si>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</si>
  <si>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</si>
  <si>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</si>
  <si>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</si>
  <si>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</si>
  <si>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</si>
  <si>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</si>
  <si>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</si>
  <si>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</si>
  <si>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</si>
  <si>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</si>
  <si>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</si>
  <si>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</si>
  <si>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</si>
  <si>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</si>
  <si>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</si>
  <si>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</si>
  <si>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</si>
  <si>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</si>
  <si>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</si>
  <si>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</si>
  <si>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</si>
  <si>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</si>
  <si>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</si>
  <si>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</si>
  <si>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</si>
  <si>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</si>
  <si>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</si>
  <si>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</si>
  <si>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</si>
  <si>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</si>
  <si>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</si>
  <si>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</si>
  <si>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</si>
  <si>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</si>
  <si>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</si>
  <si>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</si>
  <si>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</si>
  <si>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</si>
  <si>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</si>
  <si>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</si>
  <si>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</si>
  <si>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</si>
  <si>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</si>
  <si>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</si>
  <si>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</si>
  <si>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</si>
  <si>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</si>
  <si>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</si>
  <si>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</si>
  <si>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</si>
  <si>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</si>
  <si>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</si>
  <si>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</si>
  <si>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</si>
  <si>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</si>
  <si>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</si>
  <si>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</si>
  <si>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</si>
  <si>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</si>
  <si>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</si>
  <si>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</si>
  <si>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</si>
  <si>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</si>
  <si>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</si>
  <si>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</si>
  <si>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</si>
  <si>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</si>
  <si>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</si>
  <si>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</si>
  <si>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</si>
  <si>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</si>
  <si>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</si>
  <si>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</si>
  <si>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</si>
  <si>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</si>
  <si>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</si>
  <si>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</si>
  <si>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</si>
  <si>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</si>
  <si>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</si>
  <si>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</si>
  <si>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</si>
  <si>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</si>
  <si>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</si>
  <si>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</si>
  <si>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</si>
  <si>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</si>
  <si>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</si>
  <si>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</si>
  <si>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</si>
  <si>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</si>
  <si>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</si>
  <si>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</si>
  <si>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</si>
  <si>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</si>
  <si>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</si>
  <si>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</si>
  <si>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</si>
  <si>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</si>
  <si>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</si>
  <si>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</si>
  <si>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</si>
  <si>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</si>
  <si>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</si>
  <si>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</si>
  <si>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</si>
  <si>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</si>
  <si>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</si>
  <si>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</si>
  <si>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</si>
  <si>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</si>
  <si>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</si>
  <si>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</si>
  <si>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</si>
  <si>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</si>
  <si>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</si>
  <si>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</si>
  <si>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</si>
  <si>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</si>
  <si>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</si>
  <si>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</si>
  <si>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</si>
  <si>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</si>
  <si>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</si>
  <si>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</si>
  <si>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</si>
  <si>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</si>
  <si>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</si>
  <si>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</si>
  <si>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</si>
  <si>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</si>
  <si>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</si>
  <si>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</si>
  <si>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</si>
  <si>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</si>
  <si>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</si>
  <si>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</si>
  <si>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</si>
  <si>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</si>
  <si>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</si>
  <si>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</si>
  <si>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</si>
  <si>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</si>
  <si>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</si>
  <si>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</si>
  <si>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</si>
  <si>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</si>
  <si>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</si>
  <si>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</si>
  <si>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</si>
  <si>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</si>
  <si>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</si>
  <si>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</si>
  <si>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</si>
  <si>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</si>
  <si>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</si>
  <si>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</si>
  <si>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</si>
  <si>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</si>
  <si>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</si>
  <si>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</si>
  <si>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</si>
  <si>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</si>
  <si>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</si>
  <si>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</si>
  <si>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</si>
  <si>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</si>
  <si>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</si>
  <si>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</si>
  <si>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</si>
  <si>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</si>
  <si>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</si>
  <si>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</si>
  <si>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</si>
  <si>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</si>
  <si>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</si>
  <si>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</si>
  <si>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</si>
  <si>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</si>
  <si>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</si>
  <si>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</si>
  <si>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</si>
  <si>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</si>
  <si>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</si>
  <si>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</si>
  <si>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</si>
  <si>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</si>
  <si>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</si>
  <si>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</si>
  <si>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</si>
  <si>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</si>
  <si>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</si>
  <si>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</si>
  <si>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</si>
  <si>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</si>
  <si>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</si>
  <si>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</si>
  <si>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</si>
  <si>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</si>
  <si>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</si>
  <si>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</si>
  <si>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</si>
  <si>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</si>
  <si>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</si>
  <si>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</si>
  <si>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</si>
  <si>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</si>
  <si>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</si>
  <si>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</si>
  <si>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</si>
  <si>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</si>
  <si>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</si>
  <si>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</si>
  <si>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</si>
  <si>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</si>
  <si>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</si>
  <si>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</si>
  <si>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</si>
  <si>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</si>
  <si>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</si>
  <si>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</si>
  <si>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</si>
  <si>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</si>
  <si>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</si>
  <si>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</si>
  <si>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</si>
  <si>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</si>
  <si>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</si>
  <si>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</si>
  <si>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</si>
  <si>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</si>
  <si>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</si>
  <si>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</si>
  <si>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</si>
  <si>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</si>
  <si>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</si>
  <si>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</si>
  <si>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</si>
  <si>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</si>
  <si>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</si>
  <si>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</si>
  <si>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</si>
  <si>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</si>
  <si>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</si>
  <si>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</si>
  <si>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</si>
  <si>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</si>
  <si>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</si>
  <si>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</si>
  <si>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</si>
  <si>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</si>
  <si>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</si>
  <si>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</si>
  <si>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</si>
  <si>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</si>
  <si>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</si>
  <si>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</si>
  <si>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</si>
  <si>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</si>
  <si>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</si>
  <si>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</si>
  <si>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</si>
  <si>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</si>
  <si>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</si>
  <si>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</si>
  <si>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</si>
  <si>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</si>
  <si>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</si>
  <si>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</si>
  <si>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</si>
  <si>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</si>
  <si>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</si>
  <si>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</si>
  <si>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</si>
  <si>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</si>
  <si>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</si>
  <si>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</si>
  <si>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</si>
  <si>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</si>
  <si>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</si>
  <si>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</si>
  <si>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</si>
  <si>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</si>
  <si>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</si>
  <si>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</si>
  <si>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</si>
  <si>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</si>
  <si>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</si>
  <si>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</si>
  <si>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</si>
  <si>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</si>
  <si>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</si>
  <si>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</si>
  <si>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</si>
  <si>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</si>
  <si>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</si>
  <si>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</si>
  <si>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</si>
  <si>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</si>
  <si>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</si>
  <si>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</si>
  <si>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</si>
  <si>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</si>
  <si>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</si>
  <si>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</si>
  <si>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</si>
  <si>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</si>
  <si>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</si>
  <si>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</si>
  <si>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</si>
  <si>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</si>
  <si>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</si>
  <si>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</si>
  <si>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</si>
  <si>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</si>
  <si>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</si>
  <si>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</si>
  <si>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</si>
  <si>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</si>
  <si>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</si>
  <si>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</si>
  <si>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</si>
  <si>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</si>
  <si>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</si>
  <si>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</si>
  <si>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</si>
  <si>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</si>
  <si>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</si>
  <si>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</si>
  <si>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</si>
  <si>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</si>
  <si>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</si>
  <si>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</si>
  <si>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</si>
  <si>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</si>
  <si>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</si>
  <si>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</si>
  <si>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</si>
  <si>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</si>
  <si>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</si>
  <si>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</si>
  <si>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</si>
  <si>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</si>
  <si>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</si>
  <si>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</si>
  <si>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</si>
  <si>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</si>
  <si>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</si>
  <si>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</si>
  <si>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</si>
  <si>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</si>
  <si>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</si>
  <si>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</si>
  <si>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</si>
  <si>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</si>
  <si>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</si>
  <si>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</si>
  <si>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</si>
  <si>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</si>
  <si>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</si>
  <si>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</si>
  <si>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</si>
  <si>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</si>
  <si>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</si>
  <si>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</si>
  <si>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</si>
  <si>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</si>
  <si>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</si>
  <si>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</si>
  <si>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</si>
  <si>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</si>
  <si>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</si>
  <si>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</si>
  <si>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</si>
  <si>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</si>
  <si>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</si>
  <si>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</si>
  <si>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</si>
  <si>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</si>
  <si>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</si>
  <si>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</si>
  <si>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</si>
  <si>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</si>
  <si>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</si>
  <si>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</si>
  <si>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</si>
  <si>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</si>
  <si>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</si>
  <si>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</si>
  <si>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</si>
  <si>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</si>
  <si>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</si>
  <si>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</si>
  <si>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</si>
  <si>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</si>
  <si>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</si>
  <si>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</si>
  <si>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</si>
  <si>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</si>
  <si>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</si>
  <si>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</si>
  <si>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</si>
  <si>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</si>
  <si>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</si>
  <si>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</si>
  <si>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</si>
  <si>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</si>
  <si>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</si>
  <si>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</si>
  <si>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</si>
  <si>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</si>
  <si>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</si>
  <si>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</si>
  <si>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</si>
  <si>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</si>
  <si>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</si>
  <si>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</si>
  <si>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</si>
  <si>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</si>
  <si>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</si>
  <si>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</si>
  <si>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</si>
  <si>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</si>
  <si>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</si>
  <si>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</si>
  <si>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</si>
  <si>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</si>
  <si>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</si>
  <si>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</si>
  <si>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</si>
  <si>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</si>
  <si>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>Россия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</si>
  <si>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</si>
  <si>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</si>
  <si>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</si>
  <si>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</si>
  <si>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</si>
  <si>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</si>
  <si>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</si>
  <si>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</si>
  <si>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</si>
  <si>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</si>
  <si>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</si>
  <si>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</si>
  <si>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</si>
  <si>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</si>
  <si>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</si>
  <si>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</si>
  <si>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</si>
  <si>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</si>
  <si>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</si>
  <si>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</si>
  <si>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</si>
  <si>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</si>
  <si>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</si>
  <si>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</si>
  <si>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</si>
  <si>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</si>
  <si>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</si>
  <si>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</si>
  <si>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</si>
  <si>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</si>
  <si>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</si>
  <si>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</si>
  <si>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</si>
  <si>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</si>
  <si>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</si>
  <si>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</si>
  <si>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</si>
  <si>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</si>
  <si>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</si>
  <si>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</si>
  <si>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</si>
  <si>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</si>
  <si>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</si>
  <si>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</si>
  <si>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</si>
  <si>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</si>
  <si>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</si>
  <si>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</si>
  <si>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</si>
  <si>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</si>
  <si>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</si>
  <si>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</si>
  <si>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</si>
  <si>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</si>
  <si>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</si>
  <si>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</si>
  <si>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</si>
  <si>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</si>
  <si>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</si>
  <si>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</si>
  <si>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</si>
  <si>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</si>
  <si>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</si>
  <si>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</si>
  <si>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</si>
  <si>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</si>
  <si>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</si>
  <si>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</si>
  <si>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</si>
  <si>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</si>
  <si>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</si>
  <si>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</si>
  <si>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</si>
  <si>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</si>
  <si>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</si>
  <si>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</si>
  <si>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15.02.2022</t>
  </si>
  <si>
    <t>Ахметшин Ю. М.</t>
  </si>
  <si>
    <t>Кашира</t>
  </si>
  <si>
    <t>Pepsico</t>
  </si>
  <si>
    <t>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</si>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</sst>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497</v>
      </c>
      <c r="C1" s="477" t="s">
        <v>498</v>
      </c>
    </row>
    <row r="2" spans="1:3" ht="30" x14ac:dyDescent="0.25">
      <c r="A2" s="492">
        <v>44565</v>
      </c>
      <c r="B2" s="497" t="s">
        <v>499</v>
      </c>
      <c r="C2" s="495" t="s">
        <v>500</v>
      </c>
    </row>
    <row r="3" spans="1:3" ht="30" x14ac:dyDescent="0.25">
      <c r="A3" s="496">
        <v>44579</v>
      </c>
      <c r="B3" s="497" t="s">
        <v>501</v>
      </c>
      <c r="C3" s="497" t="s">
        <v>502</v>
      </c>
    </row>
    <row r="4" spans="1:3" ht="30" x14ac:dyDescent="0.25">
      <c r="A4" s="496">
        <v>44579</v>
      </c>
      <c r="B4" s="497" t="s">
        <v>504</v>
      </c>
      <c r="C4" s="495" t="s">
        <v>503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569</v>
      </c>
      <c r="B1" s="504" t="s">
        <v>570</v>
      </c>
      <c r="C1" s="499">
        <v>2</v>
      </c>
    </row>
    <row r="2" spans="1:3" s="71" customFormat="1" x14ac:dyDescent="0.2">
      <c r="A2" s="503" t="s">
        <v>566</v>
      </c>
      <c r="B2" s="504" t="s">
        <v>565</v>
      </c>
      <c r="C2" s="499">
        <v>1</v>
      </c>
    </row>
    <row r="3" spans="1:3" s="71" customFormat="1" x14ac:dyDescent="0.2">
      <c r="A3" s="503" t="s">
        <v>98</v>
      </c>
      <c r="B3" s="504" t="s">
        <v>529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530</v>
      </c>
      <c r="C4" s="499" t="str">
        <f>Цена!B5</f>
        <v>Россия</v>
      </c>
    </row>
    <row r="5" spans="1:3" s="71" customFormat="1" x14ac:dyDescent="0.2">
      <c r="A5" s="503" t="s">
        <v>551</v>
      </c>
      <c r="B5" s="504" t="s">
        <v>531</v>
      </c>
      <c r="C5" s="499" t="str">
        <f>Цена!B6</f>
        <v>Кашира</v>
      </c>
    </row>
    <row r="6" spans="1:3" s="71" customFormat="1" x14ac:dyDescent="0.2">
      <c r="A6" s="503" t="s">
        <v>100</v>
      </c>
      <c r="B6" s="504" t="s">
        <v>532</v>
      </c>
      <c r="C6" s="499" t="str">
        <f>Цена!B7</f>
        <v>Pepsico</v>
      </c>
    </row>
    <row r="7" spans="1:3" s="71" customFormat="1" x14ac:dyDescent="0.2">
      <c r="A7" s="503" t="s">
        <v>182</v>
      </c>
      <c r="B7" s="504" t="s">
        <v>533</v>
      </c>
      <c r="C7" s="499" t="str">
        <f>Цена!B10</f>
        <v/>
      </c>
    </row>
    <row r="8" spans="1:3" s="71" customFormat="1" x14ac:dyDescent="0.2">
      <c r="A8" s="503" t="s">
        <v>552</v>
      </c>
      <c r="B8" s="504" t="s">
        <v>534</v>
      </c>
      <c r="C8" s="499" t="str">
        <f>Цена!B11</f>
        <v>ТПП Экополимер</v>
      </c>
    </row>
    <row r="9" spans="1:3" s="71" customFormat="1" x14ac:dyDescent="0.2">
      <c r="A9" s="503" t="s">
        <v>553</v>
      </c>
      <c r="B9" s="504" t="s">
        <v>535</v>
      </c>
      <c r="C9" s="499" t="str">
        <f>Цена!B8</f>
        <v>0</v>
      </c>
    </row>
    <row r="10" spans="1:3" s="71" customFormat="1" x14ac:dyDescent="0.2">
      <c r="A10" s="503" t="s">
        <v>554</v>
      </c>
      <c r="B10" s="504" t="s">
        <v>536</v>
      </c>
      <c r="C10" s="499">
        <f>Цена!B9</f>
        <v>8632</v>
      </c>
    </row>
    <row r="11" spans="1:3" s="71" customFormat="1" x14ac:dyDescent="0.2">
      <c r="A11" s="503" t="s">
        <v>91</v>
      </c>
      <c r="B11" s="504" t="s">
        <v>537</v>
      </c>
      <c r="C11" s="499">
        <f>Цена!E16</f>
        <v>12</v>
      </c>
    </row>
    <row r="12" spans="1:3" s="71" customFormat="1" x14ac:dyDescent="0.2">
      <c r="A12" s="503" t="s">
        <v>17</v>
      </c>
      <c r="B12" s="504" t="s">
        <v>538</v>
      </c>
      <c r="C12" s="499">
        <f>Цена!B16</f>
        <v>600</v>
      </c>
    </row>
    <row r="13" spans="1:3" s="71" customFormat="1" x14ac:dyDescent="0.2">
      <c r="A13" s="503" t="s">
        <v>18</v>
      </c>
      <c r="B13" s="504" t="s">
        <v>539</v>
      </c>
      <c r="C13" s="499">
        <f>Цена!C16</f>
        <v>800</v>
      </c>
    </row>
    <row r="14" spans="1:3" s="71" customFormat="1" x14ac:dyDescent="0.2">
      <c r="A14" s="503" t="s">
        <v>555</v>
      </c>
      <c r="B14" s="504" t="s">
        <v>540</v>
      </c>
      <c r="C14" s="499">
        <f>Цена!D16</f>
        <v>1500</v>
      </c>
    </row>
    <row r="15" spans="1:3" s="71" customFormat="1" x14ac:dyDescent="0.2">
      <c r="A15" s="503" t="s">
        <v>556</v>
      </c>
      <c r="B15" s="504" t="s">
        <v>541</v>
      </c>
      <c r="C15" s="499" t="str">
        <f>CONCATENATE("IP ",Цена!D25)</f>
        <v>IP 66</v>
      </c>
    </row>
    <row r="16" spans="1:3" s="71" customFormat="1" x14ac:dyDescent="0.2">
      <c r="A16" s="503" t="s">
        <v>557</v>
      </c>
      <c r="B16" s="504" t="s">
        <v>542</v>
      </c>
      <c r="C16" s="499" t="str">
        <f>Цена!D24</f>
        <v>AISI 201</v>
      </c>
    </row>
    <row r="17" spans="1:3" s="71" customFormat="1" x14ac:dyDescent="0.2">
      <c r="A17" s="503" t="s">
        <v>558</v>
      </c>
      <c r="B17" s="504" t="s">
        <v>543</v>
      </c>
      <c r="C17" s="499" t="str">
        <f>Цена!D26</f>
        <v>Да</v>
      </c>
    </row>
    <row r="18" spans="1:3" s="71" customFormat="1" x14ac:dyDescent="0.2">
      <c r="A18" s="503" t="s">
        <v>559</v>
      </c>
      <c r="B18" s="504" t="s">
        <v>544</v>
      </c>
      <c r="C18" s="499" t="str">
        <f>Цена!D27</f>
        <v>ModBus RTU</v>
      </c>
    </row>
    <row r="19" spans="1:3" s="71" customFormat="1" x14ac:dyDescent="0.2">
      <c r="A19" s="503" t="s">
        <v>560</v>
      </c>
      <c r="B19" s="504" t="s">
        <v>545</v>
      </c>
      <c r="C19" s="499">
        <f ca="1">Спецификация!B119</f>
        <v>151735</v>
      </c>
    </row>
    <row r="20" spans="1:3" s="71" customFormat="1" x14ac:dyDescent="0.2">
      <c r="A20" s="503" t="s">
        <v>561</v>
      </c>
      <c r="B20" s="504" t="s">
        <v>546</v>
      </c>
      <c r="C20" s="499">
        <f ca="1">Спецификация!B118</f>
        <v>443885</v>
      </c>
    </row>
    <row r="21" spans="1:3" s="71" customFormat="1" x14ac:dyDescent="0.2">
      <c r="A21" s="503" t="s">
        <v>562</v>
      </c>
      <c r="B21" s="504" t="s">
        <v>547</v>
      </c>
      <c r="C21" s="499">
        <f ca="1">Спецификация!C2</f>
        <v>410</v>
      </c>
    </row>
    <row r="22" spans="1:3" s="71" customFormat="1" x14ac:dyDescent="0.2">
      <c r="A22" s="503" t="s">
        <v>563</v>
      </c>
      <c r="B22" s="504" t="s">
        <v>548</v>
      </c>
      <c r="C22" s="508">
        <f ca="1">Спецификация!D2</f>
        <v>0.37</v>
      </c>
    </row>
    <row r="23" spans="1:3" s="71" customFormat="1" x14ac:dyDescent="0.2">
      <c r="A23" s="503" t="s">
        <v>564</v>
      </c>
      <c r="B23" s="504" t="s">
        <v>549</v>
      </c>
      <c r="C23" s="499">
        <f>Спецификация!C6</f>
        <v>350</v>
      </c>
    </row>
    <row r="24" spans="1:3" s="71" customFormat="1" x14ac:dyDescent="0.2">
      <c r="A24" s="503" t="s">
        <v>268</v>
      </c>
      <c r="B24" s="504" t="s">
        <v>550</v>
      </c>
      <c r="C24" s="499" t="str">
        <f>Цена!I4</f>
        <v>РТО 600.800.1500.12</v>
      </c>
    </row>
    <row r="25" spans="1:3" ht="25.5" x14ac:dyDescent="0.2">
      <c r="A25" s="503" t="s">
        <v>568</v>
      </c>
      <c r="B25" s="504" t="s">
        <v>567</v>
      </c>
      <c r="C25" s="499" t="str">
        <f ca="1">CONCATENATE(C24," (",C16,"; ",C22," кВт.; ",C15,"; ",IF(C17="Да","с ШУ и ВПУ","без ШУ"),")")</f>
        <v>РТО 600.800.1500.12 (AISI 201; 0,37 кВт.; IP 66;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496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4</v>
      </c>
      <c r="F4">
        <f>E4+C4</f>
        <v>26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8</v>
      </c>
      <c r="F5">
        <f>E5+C5</f>
        <v>49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600.800.1500.12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600</v>
      </c>
      <c r="C16" s="65">
        <f>Цена!C16</f>
        <v>800</v>
      </c>
      <c r="D16" s="65">
        <f>Цена!D16</f>
        <v>1500</v>
      </c>
      <c r="E16" s="65">
        <f>Цена!E16</f>
        <v>12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233</v>
      </c>
      <c r="D21" s="326">
        <f ca="1">$D$22+OFFSET($AQ$34,MATCH($E$16,$AQ$35:$AQ$42,0),3,1,1)*(B21-$B$22)/100</f>
        <v>242</v>
      </c>
      <c r="E21" s="327">
        <f ca="1">$E$22+OFFSET($AQ$45,MATCH($E$16,$AQ$46:$AQ$53,0),3,1,1)*(B21-$B$22)/100</f>
        <v>250</v>
      </c>
      <c r="F21" s="327">
        <f ca="1">$F$23+OFFSET($AQ$56,MATCH($E$16,$AQ$57:$AQ$64,0),3,1,1)*(B21-$B$23)/100</f>
        <v>257</v>
      </c>
      <c r="G21" s="327">
        <f ca="1">$G$23+OFFSET($AQ$69,MATCH($E$16,$AQ$70:$AQ$77,0),3,1,1)*(B21-$B$23)/100</f>
        <v>267</v>
      </c>
      <c r="H21" s="327">
        <f ca="1">$H$24+OFFSET($AQ$80,MATCH($E$16,$AQ$81:$AQ$88,0),3,1,1)*(B21-$B$24)/100</f>
        <v>273</v>
      </c>
      <c r="I21" s="327">
        <f ca="1">$I$24+OFFSET($AQ$91,MATCH($E$16,$AQ$92:$AQ$99,0),3,1,1)*(B21-$B$24)/100</f>
        <v>284</v>
      </c>
      <c r="J21" s="328">
        <f ca="1">$J$25+OFFSET($AQ$102,MATCH($E$16,$AQ$103:$AQ$110,0),3,1,1)*(B21-$B$25)/100</f>
        <v>289</v>
      </c>
      <c r="K21" s="327">
        <f>K22-IF($E$16=6,14,IF($E$16=8,13,IF($E$16=10,13.5,IF($E$16=12,12.75,IF($E$16=14,12.25,IF($E$16=16,11.75,IF($E$16=20,11.75,IF($E$16=40,10,0))))))))</f>
        <v>423</v>
      </c>
      <c r="L21" s="327">
        <f>L22-IF($E$16=6,15.33,IF($E$16=8,14,IF($E$16=10,14.33,IF($E$16=12,14.33,IF($E$16=14,13.33,IF($E$16=16,12.67,IF($E$16=20,12.67,IF($E$16=40,10.67,0))))))))</f>
        <v>444.35000000000008</v>
      </c>
      <c r="M21" s="327">
        <f t="shared" ref="M21:M26" si="0">M22-IF($E$16=6,16.5,IF($E$16=8,15.5,IF($E$16=10,15.5,IF($E$16=12,15,IF($E$16=14,13.5,IF($E$16=16,13.5,IF($E$16=20,13.5,IF($E$16=40,11,0))))))))</f>
        <v>469</v>
      </c>
      <c r="N21" s="327">
        <f t="shared" ref="N21:N26" si="1">N22-($N$31-$N$30)</f>
        <v>495.65999999999997</v>
      </c>
      <c r="O21" s="327">
        <f t="shared" ref="O21:O27" si="2">O22-($O$31-$O$30)</f>
        <v>519.04</v>
      </c>
      <c r="P21" s="327">
        <f t="shared" ref="P21:P28" si="3">P22-($P$32-$P$31)</f>
        <v>523.14000000000033</v>
      </c>
      <c r="Q21" s="327">
        <f t="shared" ref="Q21:Q29" si="4">Q22-IF($E$16=6,21.25,IF($E$16=8,18.42,IF($E$16=10,18.83,IF($E$16=12,17.75,IF($E$16=14,16.67,IF($E$16=16,16,IF($E$16=20,16,IF($E$16=40,12.75,0))))))))</f>
        <v>552.5</v>
      </c>
      <c r="R21" s="327">
        <f t="shared" ref="R21:R29" si="5">R22-IF($E$16=6,22.36,IF($E$16=8,20.36,IF($E$16=10,20.82,IF($E$16=12,19.45,IF($E$16=14,18.27,IF($E$16=16,17.55,IF($E$16=20,17.36,IF($E$16=40,13.55,0))))))))</f>
        <v>567.0499999999995</v>
      </c>
      <c r="S21" s="327">
        <f t="shared" ref="S21:S29" si="6">S22-IF($E$16=6,23.1,IF($E$16=8,21.4,IF($E$16=10,21.8,IF($E$16=12,20.4,IF($E$16=14,19.3,IF($E$16=16,18.3,IF($E$16=20,18.3,IF($E$16=40,14,0))))))))</f>
        <v>589.20000000000027</v>
      </c>
      <c r="T21" s="327">
        <f t="shared" ref="T21:T29" si="7">T22-IF($E$16=6,24.89,IF($E$16=8,22.33,IF($E$16=10,22.89,IF($E$16=12,21.33,IF($E$16=14,20,IF($E$16=16,19.11,IF($E$16=20,19,IF($E$16=40,14.56,0))))))))</f>
        <v>611.70999999999947</v>
      </c>
      <c r="U21" s="327">
        <f t="shared" ref="U21:U29" si="8">U22-IF($E$16=6,25.88,IF($E$16=8,23.38,IF($E$16=10,24,IF($E$16=12,22.38,IF($E$16=14,21,IF($E$16=16,19.88,IF($E$16=20,19.75,IF($E$16=40,15,0))))))))</f>
        <v>631.68000000000006</v>
      </c>
      <c r="V21" s="327">
        <f t="shared" ref="V21:V29" si="9">V22-IF($E$16=6,27.29,IF($E$16=8,24.43,IF($E$16=10,25,IF($E$16=12,23.29,IF($E$16=14,21.71,IF($E$16=16,20.57,IF($E$16=20,20.71,IF($E$16=40,15.43,0))))))))</f>
        <v>654.65000000000055</v>
      </c>
      <c r="W21" s="327">
        <f t="shared" ref="W21:W29" si="10">W22-IF($E$16=6,28.33,IF($E$16=8,25.33,IF($E$16=10,26.17,IF($E$16=12,24.17,IF($E$16=14,22.67,IF($E$16=16,21.33,IF($E$16=20,21.33,IF($E$16=40,16,0))))))))</f>
        <v>678.28000000000054</v>
      </c>
      <c r="X21" s="327">
        <f t="shared" ref="X21:X29" si="11">X22-IF($E$16=6,29.4,IF($E$16=8,26.4,IF($E$16=10,27.2,IF($E$16=12,25.2,IF($E$16=14,23.6,IF($E$16=16,22.2,IF($E$16=20,22,IF($E$16=40,16.4,0))))))))</f>
        <v>698.59999999999923</v>
      </c>
      <c r="Y21" s="327">
        <f t="shared" ref="Y21:Y29" si="12">Y22-IF($E$16=6,31,IF($E$16=8,27.5,IF($E$16=10,28.25,IF($E$16=12,26.25,IF($E$16=14,24.25,IF($E$16=16,23,IF($E$16=20,23,IF($E$16=40,16.75,0))))))))</f>
        <v>718.5</v>
      </c>
      <c r="Z21" s="327">
        <f t="shared" ref="Z21:Z29" si="13">Z22-IF($E$16=6,35,IF($E$16=8,28.67,IF($E$16=10,29.33,IF($E$16=12,27,IF($E$16=14,25.33,IF($E$16=16,23.67,IF($E$16=20,23.67,IF($E$16=40,17.33,0))))))))</f>
        <v>745</v>
      </c>
      <c r="AA21" s="346">
        <f t="shared" ref="AA21:AA29" si="14">AA22-IF($E$16=6,33,IF($E$16=8,29.5,IF($E$16=10,30.5,IF($E$16=12,28,IF($E$16=14,26,IF($E$16=16,24.5,IF($E$16=20,24.5,IF($E$16=40,17.5,0))))))))</f>
        <v>766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241</v>
      </c>
      <c r="D22" s="313">
        <f ca="1">OFFSET($AQ$34,MATCH($E$16,$AQ$35:$AQ$42,0),1,1,1)</f>
        <v>249</v>
      </c>
      <c r="E22" s="313">
        <f ca="1">OFFSET($AQ$45,MATCH($E$16,$AQ$46:$AQ$53,0),1,1,1)</f>
        <v>258</v>
      </c>
      <c r="F22" s="317">
        <f ca="1">$F$23+OFFSET($AQ$56,MATCH($E$16,$AQ$57:$AQ$64,0),3,1,1)*(B22-$B$23)/100</f>
        <v>266</v>
      </c>
      <c r="G22" s="317">
        <f ca="1">$G$23+OFFSET($AQ$69,MATCH($E$16,$AQ$70:$AQ$77,0),3,1,1)*(B22-$B$23)/100</f>
        <v>276</v>
      </c>
      <c r="H22" s="317">
        <f ca="1">$H$24+OFFSET($AQ$80,MATCH($E$16,$AQ$81:$AQ$88,0),3,1,1)*(B22-$B$24)/100</f>
        <v>283</v>
      </c>
      <c r="I22" s="317">
        <f ca="1">$I$24+OFFSET($AQ$91,MATCH($E$16,$AQ$92:$AQ$99,0),3,1,1)*(B22-$B$24)/100</f>
        <v>294</v>
      </c>
      <c r="J22" s="322">
        <f ca="1">$J$25+OFFSET($AQ$102,MATCH($E$16,$AQ$103:$AQ$110,0),3,1,1)*(B22-$B$25)/100</f>
        <v>300</v>
      </c>
      <c r="K22" s="317">
        <f>K23-IF($E$16=6,14,IF($E$16=8,13,IF($E$16=10,13.5,IF($E$16=12,12.75,IF($E$16=14,12.25,IF($E$16=16,11.75,IF($E$16=20,11.75,IF($E$16=40,10,0))))))))</f>
        <v>435.75</v>
      </c>
      <c r="L22" s="317">
        <f>L23-IF($E$16=6,15.33,IF($E$16=8,14,IF($E$16=10,14.33,IF($E$16=12,14.33,IF($E$16=14,13.33,IF($E$16=16,12.67,IF($E$16=20,12.67,IF($E$16=40,10.67,0))))))))</f>
        <v>458.68000000000006</v>
      </c>
      <c r="M22" s="317">
        <f t="shared" si="0"/>
        <v>484</v>
      </c>
      <c r="N22" s="317">
        <f t="shared" si="1"/>
        <v>511.28</v>
      </c>
      <c r="O22" s="317">
        <f t="shared" si="2"/>
        <v>535.66</v>
      </c>
      <c r="P22" s="317">
        <f t="shared" si="3"/>
        <v>540.68000000000029</v>
      </c>
      <c r="Q22" s="317">
        <f t="shared" si="4"/>
        <v>570.25</v>
      </c>
      <c r="R22" s="317">
        <f t="shared" si="5"/>
        <v>586.49999999999955</v>
      </c>
      <c r="S22" s="317">
        <f t="shared" si="6"/>
        <v>609.60000000000025</v>
      </c>
      <c r="T22" s="317">
        <f t="shared" si="7"/>
        <v>633.03999999999951</v>
      </c>
      <c r="U22" s="317">
        <f t="shared" si="8"/>
        <v>654.06000000000006</v>
      </c>
      <c r="V22" s="317">
        <f t="shared" si="9"/>
        <v>677.94000000000051</v>
      </c>
      <c r="W22" s="317">
        <f t="shared" si="10"/>
        <v>702.4500000000005</v>
      </c>
      <c r="X22" s="317">
        <f t="shared" si="11"/>
        <v>723.79999999999927</v>
      </c>
      <c r="Y22" s="317">
        <f t="shared" si="12"/>
        <v>744.75</v>
      </c>
      <c r="Z22" s="317">
        <f t="shared" si="13"/>
        <v>772</v>
      </c>
      <c r="AA22" s="329">
        <f t="shared" si="14"/>
        <v>794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249</v>
      </c>
      <c r="D23" s="185">
        <f t="shared" ref="D23:D29" ca="1" si="16">$D$22+OFFSET($AQ$34,MATCH($E$16,$AQ$35:$AQ$42,0),3,1,1)*(B23-$B$22)/100</f>
        <v>256</v>
      </c>
      <c r="E23" s="185">
        <f t="shared" ref="E23:E29" ca="1" si="17">$E$22+OFFSET($AQ$45,MATCH($E$16,$AQ$46:$AQ$53,0),3,1,1)*(B23-$B$22)/100</f>
        <v>266</v>
      </c>
      <c r="F23" s="313">
        <f ca="1">OFFSET($AQ$56,MATCH($E$16,$AQ$57:$AQ$64,0),1,1,1)</f>
        <v>275</v>
      </c>
      <c r="G23" s="313">
        <f ca="1">OFFSET($AQ$69,MATCH($E$16,$AQ$70:$AQ$77,0),1,1,1)</f>
        <v>285</v>
      </c>
      <c r="H23" s="317">
        <f ca="1">$H$24+OFFSET($AQ$80,MATCH($E$16,$AQ$81:$AQ$88,0),3,1,1)*(B23-$B$24)/100</f>
        <v>293</v>
      </c>
      <c r="I23" s="317">
        <f ca="1">$I$24+OFFSET($AQ$91,MATCH($E$16,$AQ$92:$AQ$99,0),3,1,1)*(B23-$B$24)/100</f>
        <v>304</v>
      </c>
      <c r="J23" s="322">
        <f ca="1">$J$25+OFFSET($AQ$102,MATCH($E$16,$AQ$103:$AQ$110,0),3,1,1)*(B23-$B$25)/100</f>
        <v>311</v>
      </c>
      <c r="K23" s="317">
        <f>K24-IF($E$16=6,14,IF($E$16=8,13,IF($E$16=10,13.5,IF($E$16=12,12.75,IF($E$16=14,12.25,IF($E$16=16,11.75,IF($E$16=20,11.75,IF($E$16=40,10,0))))))))</f>
        <v>448.5</v>
      </c>
      <c r="L23" s="317">
        <f>L24-IF($E$16=6,15.33,IF($E$16=8,14,IF($E$16=10,14.33,IF($E$16=12,14.33,IF($E$16=14,13.33,IF($E$16=16,12.67,IF($E$16=20,12.67,IF($E$16=40,10.67,0))))))))</f>
        <v>473.01000000000005</v>
      </c>
      <c r="M23" s="317">
        <f t="shared" si="0"/>
        <v>499</v>
      </c>
      <c r="N23" s="317">
        <f t="shared" si="1"/>
        <v>526.9</v>
      </c>
      <c r="O23" s="317">
        <f t="shared" si="2"/>
        <v>552.28</v>
      </c>
      <c r="P23" s="317">
        <f t="shared" si="3"/>
        <v>558.22000000000025</v>
      </c>
      <c r="Q23" s="317">
        <f t="shared" si="4"/>
        <v>588</v>
      </c>
      <c r="R23" s="317">
        <f t="shared" si="5"/>
        <v>605.94999999999959</v>
      </c>
      <c r="S23" s="317">
        <f t="shared" si="6"/>
        <v>630.00000000000023</v>
      </c>
      <c r="T23" s="317">
        <f t="shared" si="7"/>
        <v>654.36999999999955</v>
      </c>
      <c r="U23" s="317">
        <f t="shared" si="8"/>
        <v>676.44</v>
      </c>
      <c r="V23" s="317">
        <f t="shared" si="9"/>
        <v>701.23000000000047</v>
      </c>
      <c r="W23" s="317">
        <f t="shared" si="10"/>
        <v>726.62000000000046</v>
      </c>
      <c r="X23" s="317">
        <f t="shared" si="11"/>
        <v>748.99999999999932</v>
      </c>
      <c r="Y23" s="317">
        <f t="shared" si="12"/>
        <v>771</v>
      </c>
      <c r="Z23" s="317">
        <f t="shared" si="13"/>
        <v>799</v>
      </c>
      <c r="AA23" s="329">
        <f t="shared" si="14"/>
        <v>822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257</v>
      </c>
      <c r="D24" s="185">
        <f t="shared" ca="1" si="16"/>
        <v>263</v>
      </c>
      <c r="E24" s="185">
        <f t="shared" ca="1" si="17"/>
        <v>274</v>
      </c>
      <c r="F24" s="185">
        <f t="shared" ref="F24:F29" ca="1" si="18">$F$23+OFFSET($AQ$56,MATCH($E$16,$AQ$57:$AQ$64,0),3,1,1)*(B24-$B$23)/100</f>
        <v>284</v>
      </c>
      <c r="G24" s="185">
        <f t="shared" ref="G24:G29" ca="1" si="19">$G$23+OFFSET($AQ$69,MATCH($E$16,$AQ$70:$AQ$77,0),3,1,1)*(B24-$B$23)/100</f>
        <v>294</v>
      </c>
      <c r="H24" s="313">
        <f ca="1">OFFSET($AQ$80,MATCH($E$16,$AQ$81:$AQ$88,0),1,1,1)</f>
        <v>303</v>
      </c>
      <c r="I24" s="313">
        <f ca="1">OFFSET($AQ$91,MATCH($E$16,$AQ$92:$AQ$99,0),1,1,1)</f>
        <v>314</v>
      </c>
      <c r="J24" s="322">
        <f ca="1">$J$25+OFFSET($AQ$102,MATCH($E$16,$AQ$103:$AQ$110,0),3,1,1)*(B24-$B$25)/100</f>
        <v>322</v>
      </c>
      <c r="K24" s="317">
        <f>K25-IF($E$16=6,14,IF($E$16=8,13,IF($E$16=10,13.5,IF($E$16=12,12.75,IF($E$16=14,12.25,IF($E$16=16,11.75,IF($E$16=20,11.75,IF($E$16=40,10,0))))))))</f>
        <v>461.25</v>
      </c>
      <c r="L24" s="317">
        <f>L25-IF($E$16=6,15.33,IF($E$16=8,14,IF($E$16=10,14.33,IF($E$16=12,14.33,IF($E$16=14,13.33,IF($E$16=16,12.67,IF($E$16=20,12.67,IF($E$16=40,10.67,0))))))))</f>
        <v>487.34000000000003</v>
      </c>
      <c r="M24" s="317">
        <f t="shared" si="0"/>
        <v>514</v>
      </c>
      <c r="N24" s="317">
        <f t="shared" si="1"/>
        <v>542.52</v>
      </c>
      <c r="O24" s="317">
        <f t="shared" si="2"/>
        <v>568.9</v>
      </c>
      <c r="P24" s="317">
        <f t="shared" si="3"/>
        <v>575.76000000000022</v>
      </c>
      <c r="Q24" s="317">
        <f t="shared" si="4"/>
        <v>605.75</v>
      </c>
      <c r="R24" s="317">
        <f t="shared" si="5"/>
        <v>625.39999999999964</v>
      </c>
      <c r="S24" s="317">
        <f t="shared" si="6"/>
        <v>650.4000000000002</v>
      </c>
      <c r="T24" s="317">
        <f t="shared" si="7"/>
        <v>675.69999999999959</v>
      </c>
      <c r="U24" s="317">
        <f t="shared" si="8"/>
        <v>698.82</v>
      </c>
      <c r="V24" s="317">
        <f t="shared" si="9"/>
        <v>724.52000000000044</v>
      </c>
      <c r="W24" s="317">
        <f t="shared" si="10"/>
        <v>750.79000000000042</v>
      </c>
      <c r="X24" s="317">
        <f t="shared" si="11"/>
        <v>774.19999999999936</v>
      </c>
      <c r="Y24" s="317">
        <f t="shared" si="12"/>
        <v>797.25</v>
      </c>
      <c r="Z24" s="317">
        <f t="shared" si="13"/>
        <v>826</v>
      </c>
      <c r="AA24" s="329">
        <f t="shared" si="14"/>
        <v>850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265</v>
      </c>
      <c r="D25" s="185">
        <f t="shared" ca="1" si="16"/>
        <v>270</v>
      </c>
      <c r="E25" s="185">
        <f t="shared" ca="1" si="17"/>
        <v>282</v>
      </c>
      <c r="F25" s="185">
        <f t="shared" ca="1" si="18"/>
        <v>293</v>
      </c>
      <c r="G25" s="185">
        <f t="shared" ca="1" si="19"/>
        <v>303</v>
      </c>
      <c r="H25" s="185">
        <f ca="1">$H$24+OFFSET($AQ$80,MATCH($E$16,$AQ$81:$AQ$88,0),3,1,1)*(B25-$B$24)/100</f>
        <v>313</v>
      </c>
      <c r="I25" s="185">
        <f ca="1">$I$24+OFFSET($AQ$91,MATCH($E$16,$AQ$92:$AQ$99,0),3,1,1)*(B25-$B$24)/100</f>
        <v>324</v>
      </c>
      <c r="J25" s="319">
        <f ca="1">OFFSET($AQ$102,MATCH($E$16,$AQ$103:$AQ$110,0),1,1,1)</f>
        <v>333</v>
      </c>
      <c r="K25" s="284">
        <f>IF($E$16=6,487,IF($E$16=8,482,IF($E$16=10,480,IF($E$16=12,474,IF($E$16=14,468,IF($E$16=16,464,IF($E$16=20,463,IF($E$16=40,443,0))))))))</f>
        <v>474</v>
      </c>
      <c r="L25" s="317">
        <f>L26-IF($E$16=6,15.33,IF($E$16=8,14,IF($E$16=10,14.33,IF($E$16=12,14.33,IF($E$16=14,13.33,IF($E$16=16,12.67,IF($E$16=20,12.67,IF($E$16=40,10.67,0))))))))</f>
        <v>501.67</v>
      </c>
      <c r="M25" s="317">
        <f t="shared" si="0"/>
        <v>529</v>
      </c>
      <c r="N25" s="317">
        <f t="shared" si="1"/>
        <v>558.14</v>
      </c>
      <c r="O25" s="317">
        <f t="shared" si="2"/>
        <v>585.52</v>
      </c>
      <c r="P25" s="317">
        <f t="shared" si="3"/>
        <v>593.30000000000018</v>
      </c>
      <c r="Q25" s="317">
        <f t="shared" si="4"/>
        <v>623.5</v>
      </c>
      <c r="R25" s="317">
        <f t="shared" si="5"/>
        <v>644.84999999999968</v>
      </c>
      <c r="S25" s="317">
        <f t="shared" si="6"/>
        <v>670.80000000000018</v>
      </c>
      <c r="T25" s="317">
        <f t="shared" si="7"/>
        <v>697.02999999999963</v>
      </c>
      <c r="U25" s="317">
        <f t="shared" si="8"/>
        <v>721.2</v>
      </c>
      <c r="V25" s="317">
        <f t="shared" si="9"/>
        <v>747.8100000000004</v>
      </c>
      <c r="W25" s="317">
        <f t="shared" si="10"/>
        <v>774.96000000000038</v>
      </c>
      <c r="X25" s="317">
        <f t="shared" si="11"/>
        <v>799.39999999999941</v>
      </c>
      <c r="Y25" s="317">
        <f t="shared" si="12"/>
        <v>823.5</v>
      </c>
      <c r="Z25" s="317">
        <f t="shared" si="13"/>
        <v>853</v>
      </c>
      <c r="AA25" s="329">
        <f t="shared" si="14"/>
        <v>878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273</v>
      </c>
      <c r="D26" s="185">
        <f t="shared" ca="1" si="16"/>
        <v>277</v>
      </c>
      <c r="E26" s="185">
        <f t="shared" ca="1" si="17"/>
        <v>290</v>
      </c>
      <c r="F26" s="185">
        <f t="shared" ca="1" si="18"/>
        <v>302</v>
      </c>
      <c r="G26" s="185">
        <f t="shared" ca="1" si="19"/>
        <v>312</v>
      </c>
      <c r="H26" s="185">
        <f ca="1">$H$24+OFFSET($AQ$80,MATCH($E$16,$AQ$81:$AQ$88,0),3,1,1)*(B26-$B$24)/100</f>
        <v>323</v>
      </c>
      <c r="I26" s="185">
        <f ca="1">$I$24+OFFSET($AQ$91,MATCH($E$16,$AQ$92:$AQ$99,0),3,1,1)*(B26-$B$24)/100</f>
        <v>334</v>
      </c>
      <c r="J26" s="320">
        <f ca="1">$J$25+OFFSET($AQ$102,MATCH($E$16,$AQ$103:$AQ$110,0),3,1,1)*(B26-$B$25)/100</f>
        <v>344</v>
      </c>
      <c r="K26" s="284">
        <f>K25+IF($E$16=6,14,IF($E$16=8,13,IF($E$16=10,13.5,IF($E$16=12,12.75,IF($E$16=14,12.25,IF($E$16=16,11.75,IF($E$16=20,11.75,IF($E$16=40,10,0))))))))</f>
        <v>486.75</v>
      </c>
      <c r="L26" s="185">
        <f>IF($E$16=6,532,IF($E$16=8,527,IF($E$16=10,525,IF($E$16=12,516,IF($E$16=14,509,IF($E$16=16,505,IF($E$16=20,500,IF($E$16=40,479,0))))))))</f>
        <v>516</v>
      </c>
      <c r="M26" s="317">
        <f t="shared" si="0"/>
        <v>544</v>
      </c>
      <c r="N26" s="317">
        <f t="shared" si="1"/>
        <v>573.76</v>
      </c>
      <c r="O26" s="317">
        <f t="shared" si="2"/>
        <v>602.14</v>
      </c>
      <c r="P26" s="317">
        <f t="shared" si="3"/>
        <v>610.84000000000015</v>
      </c>
      <c r="Q26" s="317">
        <f t="shared" si="4"/>
        <v>641.25</v>
      </c>
      <c r="R26" s="317">
        <f t="shared" si="5"/>
        <v>664.29999999999973</v>
      </c>
      <c r="S26" s="317">
        <f t="shared" si="6"/>
        <v>691.20000000000016</v>
      </c>
      <c r="T26" s="317">
        <f t="shared" si="7"/>
        <v>718.35999999999967</v>
      </c>
      <c r="U26" s="317">
        <f t="shared" si="8"/>
        <v>743.58</v>
      </c>
      <c r="V26" s="317">
        <f t="shared" si="9"/>
        <v>771.10000000000036</v>
      </c>
      <c r="W26" s="317">
        <f t="shared" si="10"/>
        <v>799.13000000000034</v>
      </c>
      <c r="X26" s="317">
        <f t="shared" si="11"/>
        <v>824.59999999999945</v>
      </c>
      <c r="Y26" s="317">
        <f t="shared" si="12"/>
        <v>849.75</v>
      </c>
      <c r="Z26" s="317">
        <f t="shared" si="13"/>
        <v>880</v>
      </c>
      <c r="AA26" s="329">
        <f t="shared" si="14"/>
        <v>906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281</v>
      </c>
      <c r="D27" s="185">
        <f t="shared" ca="1" si="16"/>
        <v>284</v>
      </c>
      <c r="E27" s="185">
        <f t="shared" ca="1" si="17"/>
        <v>298</v>
      </c>
      <c r="F27" s="185">
        <f t="shared" ca="1" si="18"/>
        <v>311</v>
      </c>
      <c r="G27" s="185">
        <f t="shared" ca="1" si="19"/>
        <v>321</v>
      </c>
      <c r="H27" s="185">
        <f ca="1">$H$24+OFFSET($AQ$80,MATCH($E$16,$AQ$81:$AQ$88,0),3,1,1)*(B27-$B$24)/100</f>
        <v>333</v>
      </c>
      <c r="I27" s="185">
        <f ca="1">$I$24+OFFSET($AQ$91,MATCH($E$16,$AQ$92:$AQ$99,0),3,1,1)*(B27-$B$24)/100</f>
        <v>344</v>
      </c>
      <c r="J27" s="320">
        <f ca="1">$J$25+OFFSET($AQ$102,MATCH($E$16,$AQ$103:$AQ$110,0),3,1,1)*(B27-$B$25)/100</f>
        <v>355</v>
      </c>
      <c r="K27" s="284">
        <f>K26+IF($E$16=6,14,IF($E$16=8,13,IF($E$16=10,13.5,IF($E$16=12,12.75,IF($E$16=14,12.25,IF($E$16=16,11.75,IF($E$16=20,11.75,IF($E$16=40,10,0))))))))</f>
        <v>499.5</v>
      </c>
      <c r="L27" s="185">
        <f>L26+IF($E$16=6,15.33,IF($E$16=8,14,IF($E$16=10,14.33,IF($E$16=12,14.33,IF($E$16=14,13.33,IF($E$16=16,12.67,IF($E$16=20,12.67,IF($E$16=40,10.67,0))))))))</f>
        <v>530.33000000000004</v>
      </c>
      <c r="M27" s="185">
        <f>IF($E$16=6,581,IF($E$16=8,572,IF($E$16=10,569,IF($E$16=12,559,IF($E$16=14,550,IF($E$16=16,545,IF($E$16=20,539,IF($E$16=40,510,0))))))))</f>
        <v>559</v>
      </c>
      <c r="N27" s="317">
        <f>N28-($N$31-$N$30)</f>
        <v>589.38</v>
      </c>
      <c r="O27" s="317">
        <f t="shared" si="2"/>
        <v>618.76</v>
      </c>
      <c r="P27" s="317">
        <f t="shared" si="3"/>
        <v>628.38000000000011</v>
      </c>
      <c r="Q27" s="317">
        <f t="shared" si="4"/>
        <v>659</v>
      </c>
      <c r="R27" s="317">
        <f t="shared" si="5"/>
        <v>683.74999999999977</v>
      </c>
      <c r="S27" s="317">
        <f t="shared" si="6"/>
        <v>711.60000000000014</v>
      </c>
      <c r="T27" s="317">
        <f t="shared" si="7"/>
        <v>739.68999999999971</v>
      </c>
      <c r="U27" s="317">
        <f t="shared" si="8"/>
        <v>765.96</v>
      </c>
      <c r="V27" s="317">
        <f t="shared" si="9"/>
        <v>794.39000000000033</v>
      </c>
      <c r="W27" s="317">
        <f t="shared" si="10"/>
        <v>823.3000000000003</v>
      </c>
      <c r="X27" s="317">
        <f t="shared" si="11"/>
        <v>849.7999999999995</v>
      </c>
      <c r="Y27" s="317">
        <f t="shared" si="12"/>
        <v>876</v>
      </c>
      <c r="Z27" s="317">
        <f t="shared" si="13"/>
        <v>907</v>
      </c>
      <c r="AA27" s="329">
        <f t="shared" si="14"/>
        <v>934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289</v>
      </c>
      <c r="D28" s="185">
        <f t="shared" ca="1" si="16"/>
        <v>291</v>
      </c>
      <c r="E28" s="185">
        <f t="shared" ca="1" si="17"/>
        <v>306</v>
      </c>
      <c r="F28" s="185">
        <f t="shared" ca="1" si="18"/>
        <v>320</v>
      </c>
      <c r="G28" s="185">
        <f t="shared" ca="1" si="19"/>
        <v>330</v>
      </c>
      <c r="H28" s="185">
        <f ca="1">$H$24+OFFSET($AQ$80,MATCH($E$16,$AQ$81:$AQ$88,0),3,1,1)*(B28-$B$24)/100</f>
        <v>343</v>
      </c>
      <c r="I28" s="185">
        <f ca="1">$I$24+OFFSET($AQ$91,MATCH($E$16,$AQ$92:$AQ$99,0),3,1,1)*(B28-$B$24)/100</f>
        <v>354</v>
      </c>
      <c r="J28" s="320">
        <f ca="1">$J$25+OFFSET($AQ$102,MATCH($E$16,$AQ$103:$AQ$110,0),3,1,1)*(B28-$B$25)/100</f>
        <v>366</v>
      </c>
      <c r="K28" s="284">
        <f>K27+IF($E$16=6,14,IF($E$16=8,13,IF($E$16=10,13.5,IF($E$16=12,12.75,IF($E$16=14,12.25,IF($E$16=16,11.75,IF($E$16=20,11.75,IF($E$16=40,10,0))))))))</f>
        <v>512.25</v>
      </c>
      <c r="L28" s="185">
        <f>L27+IF($E$16=6,15.33,IF($E$16=8,14,IF($E$16=10,14.33,IF($E$16=12,14.33,IF($E$16=14,13.33,IF($E$16=16,12.67,IF($E$16=20,12.67,IF($E$16=40,10.67,0))))))))</f>
        <v>544.66000000000008</v>
      </c>
      <c r="M28" s="185">
        <f>M27+IF($E$16=6,16.5,IF($E$16=8,15.5,IF($E$16=10,15.5,IF($E$16=12,15,IF($E$16=14,13.5,IF($E$16=16,13.5,IF($E$16=20,13.5,IF($E$16=40,11,0))))))))</f>
        <v>574</v>
      </c>
      <c r="N28" s="185">
        <f>IF($E$16=6,630,IF($E$16=8,619,IF($E$16=10,618,IF($E$16=12,605,IF($E$16=14,594,IF($E$16=16,586,IF($E$16=20,583,IF($E$16=40,548,0))))))))</f>
        <v>605</v>
      </c>
      <c r="O28" s="317">
        <f>O29-($O$31-$O$30)</f>
        <v>635.38</v>
      </c>
      <c r="P28" s="317">
        <f t="shared" si="3"/>
        <v>645.92000000000007</v>
      </c>
      <c r="Q28" s="317">
        <f t="shared" si="4"/>
        <v>676.75</v>
      </c>
      <c r="R28" s="317">
        <f t="shared" si="5"/>
        <v>703.19999999999982</v>
      </c>
      <c r="S28" s="317">
        <f t="shared" si="6"/>
        <v>732.00000000000011</v>
      </c>
      <c r="T28" s="317">
        <f t="shared" si="7"/>
        <v>761.01999999999975</v>
      </c>
      <c r="U28" s="317">
        <f t="shared" si="8"/>
        <v>788.34</v>
      </c>
      <c r="V28" s="317">
        <f t="shared" si="9"/>
        <v>817.68000000000029</v>
      </c>
      <c r="W28" s="317">
        <f t="shared" si="10"/>
        <v>847.47000000000025</v>
      </c>
      <c r="X28" s="317">
        <f t="shared" si="11"/>
        <v>874.99999999999955</v>
      </c>
      <c r="Y28" s="317">
        <f t="shared" si="12"/>
        <v>902.25</v>
      </c>
      <c r="Z28" s="317">
        <f t="shared" si="13"/>
        <v>934</v>
      </c>
      <c r="AA28" s="329">
        <f t="shared" si="14"/>
        <v>962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297</v>
      </c>
      <c r="D29" s="321">
        <f t="shared" ca="1" si="16"/>
        <v>298</v>
      </c>
      <c r="E29" s="321">
        <f t="shared" ca="1" si="17"/>
        <v>314</v>
      </c>
      <c r="F29" s="321">
        <f t="shared" ca="1" si="18"/>
        <v>329</v>
      </c>
      <c r="G29" s="321">
        <f t="shared" ca="1" si="19"/>
        <v>339</v>
      </c>
      <c r="H29" s="321">
        <f ca="1">$H$24+OFFSET($AQ$80,MATCH($E$16,$AQ$81:$AQ$88,0),3,1,1)*(B29-$B$24)/100</f>
        <v>353</v>
      </c>
      <c r="I29" s="321">
        <f ca="1">$I$24+OFFSET($AQ$91,MATCH($E$16,$AQ$92:$AQ$99,0),3,1,1)*(B29-$B$24)/100</f>
        <v>364</v>
      </c>
      <c r="J29" s="336">
        <f ca="1">$J$25+OFFSET($AQ$102,MATCH($E$16,$AQ$103:$AQ$110,0),3,1,1)*(B29-$B$25)/100</f>
        <v>377</v>
      </c>
      <c r="K29" s="337">
        <f>K28+IF($E$16=6,14,IF($E$16=8,13,IF($E$16=10,13.5,IF($E$16=12,12.75,IF($E$16=14,12.25,IF($E$16=16,11.75,IF($E$16=20,11.75,IF($E$16=40,10,0))))))))</f>
        <v>525</v>
      </c>
      <c r="L29" s="321">
        <f>L28+IF($E$16=6,15.33,IF($E$16=8,14,IF($E$16=10,14.33,IF($E$16=12,14.33,IF($E$16=14,13.33,IF($E$16=16,12.67,IF($E$16=20,12.67,IF($E$16=40,10.67,0))))))))</f>
        <v>558.99000000000012</v>
      </c>
      <c r="M29" s="321">
        <f>M28+IF($E$16=6,16.5,IF($E$16=8,15.5,IF($E$16=10,15.5,IF($E$16=12,15,IF($E$16=14,13.5,IF($E$16=16,13.5,IF($E$16=20,13.5,IF($E$16=40,11,0))))))))</f>
        <v>589</v>
      </c>
      <c r="N29" s="321">
        <f>IF($E$16=6,648,IF($E$16=8,636,IF($E$16=10,634,IF($E$16=12,620,IF($E$16=14,609,IF($E$16=16,601,IF($E$16=20,597,IF($E$16=40,560,0))))))))</f>
        <v>620</v>
      </c>
      <c r="O29" s="321">
        <f>IF($E$16=6,665,IF($E$16=8,669,IF($E$16=10,666,IF($E$16=12,652,IF($E$16=14,641,IF($E$16=16,630,IF($E$16=20,625,IF($E$16=40,584,0))))))))</f>
        <v>652</v>
      </c>
      <c r="P29" s="317">
        <f>P30-($P$32-$P$31)</f>
        <v>663.46</v>
      </c>
      <c r="Q29" s="317">
        <f t="shared" si="4"/>
        <v>694.5</v>
      </c>
      <c r="R29" s="317">
        <f t="shared" si="5"/>
        <v>722.64999999999986</v>
      </c>
      <c r="S29" s="317">
        <f t="shared" si="6"/>
        <v>752.40000000000009</v>
      </c>
      <c r="T29" s="317">
        <f t="shared" si="7"/>
        <v>782.3499999999998</v>
      </c>
      <c r="U29" s="317">
        <f t="shared" si="8"/>
        <v>810.72</v>
      </c>
      <c r="V29" s="317">
        <f t="shared" si="9"/>
        <v>840.97000000000025</v>
      </c>
      <c r="W29" s="317">
        <f t="shared" si="10"/>
        <v>871.64000000000021</v>
      </c>
      <c r="X29" s="317">
        <f t="shared" si="11"/>
        <v>900.19999999999959</v>
      </c>
      <c r="Y29" s="317">
        <f t="shared" si="12"/>
        <v>928.5</v>
      </c>
      <c r="Z29" s="317">
        <f t="shared" si="13"/>
        <v>961</v>
      </c>
      <c r="AA29" s="329">
        <f t="shared" si="14"/>
        <v>990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305</v>
      </c>
      <c r="D30" s="315">
        <f ca="1">OFFSET($AQ$34,MATCH($E$16,$AQ$35:$AQ$42,0),2,1,1)</f>
        <v>298</v>
      </c>
      <c r="E30" s="314">
        <f ca="1">OFFSET($AQ$45,MATCH($E$16,$AQ$46:$AQ$53,0),2,1,1)</f>
        <v>311</v>
      </c>
      <c r="F30" s="314">
        <f ca="1">OFFSET($AQ$56,MATCH($E$16,$AQ$57:$AQ$64,0),2,1,1)</f>
        <v>329</v>
      </c>
      <c r="G30" s="314">
        <f ca="1">OFFSET($AQ$69,MATCH($E$16,$AQ$70:$AQ$77,0),2,1,1)</f>
        <v>342</v>
      </c>
      <c r="H30" s="314">
        <f ca="1">OFFSET($AQ$80,MATCH($E$16,$AQ$81:$AQ$88,0),2,1,1)</f>
        <v>353</v>
      </c>
      <c r="I30" s="314">
        <f ca="1">OFFSET($AQ$91,MATCH($E$16,$AQ$92:$AQ$99,0),2,1,1)</f>
        <v>365</v>
      </c>
      <c r="J30" s="314">
        <f ca="1">OFFSET($AQ$102,MATCH($E$16,$AQ$103:$AQ$110,0),2,1,1)</f>
        <v>376</v>
      </c>
      <c r="K30" s="316">
        <f>IF($E$16=6,544,IF($E$16=8,536,IF($E$16=10,535,IF($E$16=12,528,IF($E$16=14,520,IF($E$16=16,515,IF($E$16=20,514,IF($E$16=40,490,0))))))))</f>
        <v>528</v>
      </c>
      <c r="L30" s="183">
        <f>IF($E$16=6,577,IF($E$16=8,570,IF($E$16=10,569,IF($E$16=12,559,IF($E$16=14,551,IF($E$16=16,546,IF($E$16=20,541,IF($E$16=40,517,0))))))))</f>
        <v>559</v>
      </c>
      <c r="M30" s="183">
        <f>IF($E$16=6,612,IF($E$16=8,602,IF($E$16=10,599,IF($E$16=12,589,IF($E$16=14,579,IF($E$16=16,574,IF($E$16=20,569,IF($E$16=40,538,0))))))))</f>
        <v>589</v>
      </c>
      <c r="N30" s="183">
        <f>IF($E$16=6,645,IF($E$16=8,634,IF($E$16=10,632,IF($E$16=12,620,IF($E$16=14,610,IF($E$16=16,602,IF($E$16=20,599,IF($E$16=40,565,0))))))))</f>
        <v>620</v>
      </c>
      <c r="O30" s="183">
        <f>IF($E$16=6,677,IF($E$16=8,666,IF($E$16=10,663,IF($E$16=12,650,IF($E$16=14,640,IF($E$16=16,630,IF($E$16=20,626,IF($E$16=40,589,0))))))))</f>
        <v>650</v>
      </c>
      <c r="P30" s="183">
        <f>IF($E$16=6,712,IF($E$16=8,698,IF($E$16=10,696,IF($E$16=12,681,IF($E$16=14,668,IF($E$16=16,658,IF($E$16=20,656,IF($E$16=40,614,0))))))))</f>
        <v>681</v>
      </c>
      <c r="Q30" s="323">
        <f>Q31-IF($E$16=6,21.25,IF($E$16=8,18.42,IF($E$16=10,18.83,IF($E$16=12,17.75,IF($E$16=14,16.67,IF($E$16=16,16,IF($E$16=20,16,IF($E$16=40,12.75,0))))))))</f>
        <v>712.25</v>
      </c>
      <c r="R30" s="323">
        <f>R31-IF($E$16=6,22.36,IF($E$16=8,20.36,IF($E$16=10,20.82,IF($E$16=12,19.45,IF($E$16=14,18.27,IF($E$16=16,17.55,IF($E$16=20,17.36,IF($E$16=40,13.55,0))))))))</f>
        <v>742.09999999999991</v>
      </c>
      <c r="S30" s="323">
        <f>S31-IF($E$16=6,23.1,IF($E$16=8,21.4,IF($E$16=10,21.8,IF($E$16=12,20.4,IF($E$16=14,19.3,IF($E$16=16,18.3,IF($E$16=20,18.3,IF($E$16=40,14,0))))))))</f>
        <v>772.80000000000007</v>
      </c>
      <c r="T30" s="323">
        <f>T31-IF($E$16=6,24.89,IF($E$16=8,22.33,IF($E$16=10,22.89,IF($E$16=12,21.33,IF($E$16=14,20,IF($E$16=16,19.11,IF($E$16=20,19,IF($E$16=40,14.56,0))))))))</f>
        <v>803.67999999999984</v>
      </c>
      <c r="U30" s="323">
        <f>U31-IF($E$16=6,25.88,IF($E$16=8,23.38,IF($E$16=10,24,IF($E$16=12,22.38,IF($E$16=14,21,IF($E$16=16,19.88,IF($E$16=20,19.75,IF($E$16=40,15,0))))))))</f>
        <v>833.1</v>
      </c>
      <c r="V30" s="323">
        <f t="shared" ref="V30:V35" si="20">V31-IF($E$16=6,27.29,IF($E$16=8,24.43,IF($E$16=10,25,IF($E$16=12,23.29,IF($E$16=14,21.71,IF($E$16=16,20.57,IF($E$16=20,20.71,IF($E$16=40,15.43,0))))))))</f>
        <v>864.26000000000022</v>
      </c>
      <c r="W30" s="323">
        <f t="shared" ref="W30:W35" si="21">W31-IF($E$16=6,28.33,IF($E$16=8,25.33,IF($E$16=10,26.17,IF($E$16=12,24.17,IF($E$16=14,22.67,IF($E$16=16,21.33,IF($E$16=20,21.33,IF($E$16=40,16,0))))))))</f>
        <v>895.81000000000017</v>
      </c>
      <c r="X30" s="323">
        <f t="shared" ref="X30:X36" si="22">X31-IF($E$16=6,29.4,IF($E$16=8,26.4,IF($E$16=10,27.2,IF($E$16=12,25.2,IF($E$16=14,23.6,IF($E$16=16,22.2,IF($E$16=20,22,IF($E$16=40,16.4,0))))))))</f>
        <v>925.39999999999964</v>
      </c>
      <c r="Y30" s="323">
        <f t="shared" ref="Y30:Y37" si="23">Y31-IF($E$16=6,31,IF($E$16=8,27.5,IF($E$16=10,28.25,IF($E$16=12,26.25,IF($E$16=14,24.25,IF($E$16=16,23,IF($E$16=20,23,IF($E$16=40,16.75,0))))))))</f>
        <v>954.75</v>
      </c>
      <c r="Z30" s="323">
        <f t="shared" ref="Z30:Z38" si="24">Z31-IF($E$16=6,35,IF($E$16=8,28.67,IF($E$16=10,29.33,IF($E$16=12,27,IF($E$16=14,25.33,IF($E$16=16,23.67,IF($E$16=20,23.67,IF($E$16=40,17.33,0))))))))</f>
        <v>988</v>
      </c>
      <c r="AA30" s="338">
        <f t="shared" ref="AA30:AA39" si="25">AA31-IF($E$16=6,33,IF($E$16=8,29.5,IF($E$16=10,30.5,IF($E$16=12,28,IF($E$16=14,26,IF($E$16=16,24.5,IF($E$16=20,24.5,IF($E$16=40,17.5,0))))))))</f>
        <v>1018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313</v>
      </c>
      <c r="D31" s="316">
        <f ca="1">$D$30+OFFSET($AQ$34,MATCH($E$16,$AQ$35:$AQ$42,0),3,1,1)*(B31-$B$30)/100</f>
        <v>305</v>
      </c>
      <c r="E31" s="184">
        <f t="shared" ref="E31:E37" ca="1" si="27">$E$30+OFFSET($AQ$45,MATCH($E$16,$AQ$46:$AQ$53,0),3,1,1)*(B31-$B$30)/100</f>
        <v>319</v>
      </c>
      <c r="F31" s="184">
        <f ca="1">$F$30+OFFSET($AQ$56,MATCH($E$16,$AQ$57:$AQ$64,0),3,1,1)*(B31-$B$30)/100</f>
        <v>338</v>
      </c>
      <c r="G31" s="184">
        <f t="shared" ref="G31:G50" ca="1" si="28">$G$30+OFFSET($AQ$69,MATCH($E$16,$AQ$70:$AQ$77,0),3,1,1)*(B31-$B$30)/100</f>
        <v>351</v>
      </c>
      <c r="H31" s="184">
        <f t="shared" ref="H31:H50" ca="1" si="29">$H$30+OFFSET($AQ$80,MATCH($E$16,$AQ$81:$AQ$88,0),3,1,1)*(B31-$B$30)/100</f>
        <v>363</v>
      </c>
      <c r="I31" s="184">
        <f t="shared" ref="I31:I50" ca="1" si="30">$I$30+OFFSET($AQ$91,MATCH($E$16,$AQ$92:$AQ$99,0),3,1,1)*(B31-$B$30)/100</f>
        <v>375</v>
      </c>
      <c r="J31" s="183">
        <f t="shared" ref="J31:J50" ca="1" si="31">$J$30+OFFSET($AQ$102,MATCH($E$16,$AQ$103:$AQ$110,0),3,1,1)*(B31-$B$30)/100</f>
        <v>387</v>
      </c>
      <c r="K31" s="286">
        <f>K30+IF($E$16=6,14.09,IF($E$16=8,13.09,IF($E$16=10,13.36,IF($E$16=12,12.73,IF($E$16=14,12.18,IF($E$16=16,11.82,IF($E$16=20,11.91,IF($E$16=40,9.91,0))))))))</f>
        <v>540.73</v>
      </c>
      <c r="L31" s="184">
        <f>L30+IF($E$16=6,15.23,IF($E$16=8,14.23,IF($E$16=10,14.46,IF($E$16=12,13.69,IF($E$16=14,13.15,IF($E$16=16,12.77,IF($E$16=20,12.62,IF($E$16=40,10.69,0))))))))</f>
        <v>572.69000000000005</v>
      </c>
      <c r="M31" s="184">
        <f>M30+IF($E$16=6,16.62,IF($E$16=8,15.23,IF($E$16=10,15.46,IF($E$16=12,14.69,IF($E$16=14,13.92,IF($E$16=16,13.54,IF($E$16=20,13.23,IF($E$16=40,10.92,0))))))))</f>
        <v>603.69000000000005</v>
      </c>
      <c r="N31" s="184">
        <f>N30+IF($E$16=6,17.62,IF($E$16=8,16.23,IF($E$16=10,16.62,IF($E$16=12,15.62,IF($E$16=14,14.85,IF($E$16=16,14.31,IF($E$16=20,14.23,IF($E$16=40,11.69,0))))))))</f>
        <v>635.62</v>
      </c>
      <c r="O31" s="184">
        <f>O30+IF($E$16=6,17.5408,IF($E$16=8,17.23,IF($E$16=10,17.54,IF($E$16=12,16.62,IF($E$16=14,15.85,IF($E$16=16,15.08,IF($E$16=20,14.92,IF($E$16=40,12.15,0))))))))</f>
        <v>666.62</v>
      </c>
      <c r="P31" s="184">
        <f>P30+IF($E$16=6,20.08,IF($E$16=8,18.23,IF($E$16=10,18.69,IF($E$16=12,17.54,IF($E$16=14,16.62,IF($E$16=16,15.85,IF($E$16=20,15.92,IF($E$16=40,12.54,0))))))))</f>
        <v>698.54</v>
      </c>
      <c r="Q31" s="183">
        <f>IF($E$16=6,766,IF($E$16=8,750,IF($E$16=10,746,IF($E$16=12,730,IF($E$16=14,714,IF($E$16=16,703,IF($E$16=20,700,IF($E$16=40,651,0))))))))</f>
        <v>730</v>
      </c>
      <c r="R31" s="317">
        <f>R32-IF($E$16=6,22.36,IF($E$16=8,20.36,IF($E$16=10,20.82,IF($E$16=12,19.45,IF($E$16=14,18.27,IF($E$16=16,17.55,IF($E$16=20,17.36,IF($E$16=40,13.55,0))))))))</f>
        <v>761.55</v>
      </c>
      <c r="S31" s="317">
        <f>S32-IF($E$16=6,23.1,IF($E$16=8,21.4,IF($E$16=10,21.8,IF($E$16=12,20.4,IF($E$16=14,19.3,IF($E$16=16,18.3,IF($E$16=20,18.3,IF($E$16=40,14,0))))))))</f>
        <v>793.2</v>
      </c>
      <c r="T31" s="317">
        <f>T32-IF($E$16=6,24.89,IF($E$16=8,22.33,IF($E$16=10,22.89,IF($E$16=12,21.33,IF($E$16=14,20,IF($E$16=16,19.11,IF($E$16=20,19,IF($E$16=40,14.56,0))))))))</f>
        <v>825.00999999999988</v>
      </c>
      <c r="U31" s="317">
        <f>U32-IF($E$16=6,25.88,IF($E$16=8,23.38,IF($E$16=10,24,IF($E$16=12,22.38,IF($E$16=14,21,IF($E$16=16,19.88,IF($E$16=20,19.75,IF($E$16=40,15,0))))))))</f>
        <v>855.48</v>
      </c>
      <c r="V31" s="317">
        <f t="shared" si="20"/>
        <v>887.55000000000018</v>
      </c>
      <c r="W31" s="317">
        <f t="shared" si="21"/>
        <v>919.98000000000013</v>
      </c>
      <c r="X31" s="317">
        <f t="shared" si="22"/>
        <v>950.59999999999968</v>
      </c>
      <c r="Y31" s="317">
        <f t="shared" si="23"/>
        <v>981</v>
      </c>
      <c r="Z31" s="317">
        <f t="shared" si="24"/>
        <v>1015</v>
      </c>
      <c r="AA31" s="329">
        <f t="shared" si="25"/>
        <v>1046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321</v>
      </c>
      <c r="D32" s="316">
        <f t="shared" ref="D32:D50" ca="1" si="32">$D$30+OFFSET($AQ$34,MATCH($E$16,$AQ$35:$AQ$42,0),3,1,1)*(B32-$B$30)/100</f>
        <v>312</v>
      </c>
      <c r="E32" s="184">
        <f t="shared" ca="1" si="27"/>
        <v>327</v>
      </c>
      <c r="F32" s="184">
        <f t="shared" ref="F32:F50" ca="1" si="33">$F$30+OFFSET($AQ$56,MATCH($E$16,$AQ$57:$AQ$64,0),3,1,1)*(B32-$B$30)/100</f>
        <v>347</v>
      </c>
      <c r="G32" s="184">
        <f t="shared" ca="1" si="28"/>
        <v>360</v>
      </c>
      <c r="H32" s="184">
        <f t="shared" ca="1" si="29"/>
        <v>373</v>
      </c>
      <c r="I32" s="184">
        <f t="shared" ca="1" si="30"/>
        <v>385</v>
      </c>
      <c r="J32" s="183">
        <f t="shared" ca="1" si="31"/>
        <v>398</v>
      </c>
      <c r="K32" s="286">
        <f t="shared" ref="K32:K50" si="34">K31+IF($E$16=6,14.09,IF($E$16=8,13.09,IF($E$16=10,13.36,IF($E$16=12,12.73,IF($E$16=14,12.18,IF($E$16=16,11.82,IF($E$16=20,11.91,IF($E$16=40,9.91,0))))))))</f>
        <v>553.46</v>
      </c>
      <c r="L32" s="184">
        <f t="shared" ref="L32:L50" si="35">L31+IF($E$16=6,15.23,IF($E$16=8,14.23,IF($E$16=10,14.46,IF($E$16=12,13.69,IF($E$16=14,13.15,IF($E$16=16,12.77,IF($E$16=20,12.62,IF($E$16=40,10.69,0))))))))</f>
        <v>586.38000000000011</v>
      </c>
      <c r="M32" s="184">
        <f t="shared" ref="M32:M50" si="36">M31+IF($E$16=6,16.62,IF($E$16=8,15.23,IF($E$16=10,15.46,IF($E$16=12,14.69,IF($E$16=14,13.92,IF($E$16=16,13.54,IF($E$16=20,13.23,IF($E$16=40,10.92,0))))))))</f>
        <v>618.38000000000011</v>
      </c>
      <c r="N32" s="184">
        <f t="shared" ref="N32:N50" si="37">N31+IF($E$16=6,17.62,IF($E$16=8,16.23,IF($E$16=10,16.62,IF($E$16=12,15.62,IF($E$16=14,14.85,IF($E$16=16,14.31,IF($E$16=20,14.23,IF($E$16=40,11.69,0))))))))</f>
        <v>651.24</v>
      </c>
      <c r="O32" s="184">
        <f t="shared" ref="O32:O50" si="38">O31+IF($E$16=6,17.5408,IF($E$16=8,17.23,IF($E$16=10,17.54,IF($E$16=12,16.62,IF($E$16=14,15.85,IF($E$16=16,15.08,IF($E$16=20,14.92,IF($E$16=40,12.15,0))))))))</f>
        <v>683.24</v>
      </c>
      <c r="P32" s="184">
        <f t="shared" ref="P32:P50" si="39">P31+IF($E$16=6,20.08,IF($E$16=8,18.23,IF($E$16=10,18.69,IF($E$16=12,17.54,IF($E$16=14,16.62,IF($E$16=16,15.85,IF($E$16=20,15.92,IF($E$16=40,12.54,0))))))))</f>
        <v>716.07999999999993</v>
      </c>
      <c r="Q32" s="184">
        <f>Q31+IF($E$16=6,21.25,IF($E$16=8,18.42,IF($E$16=10,18.83,IF($E$16=12,17.75,IF($E$16=14,16.67,IF($E$16=16,16,IF($E$16=20,16,IF($E$16=40,12.75,0))))))))</f>
        <v>747.75</v>
      </c>
      <c r="R32" s="183">
        <f>IF($E$16=6,823,IF($E$16=8,805,IF($E$16=10,801,IF($E$16=12,781,IF($E$16=14,764,IF($E$16=16,752,IF($E$16=20,745,IF($E$16=40,689,0))))))))</f>
        <v>781</v>
      </c>
      <c r="S32" s="317">
        <f>S33-IF($E$16=6,23.1,IF($E$16=8,21.4,IF($E$16=10,21.8,IF($E$16=12,20.4,IF($E$16=14,19.3,IF($E$16=16,18.3,IF($E$16=20,18.3,IF($E$16=40,14,0))))))))</f>
        <v>813.6</v>
      </c>
      <c r="T32" s="317">
        <f>T33-IF($E$16=6,24.89,IF($E$16=8,22.33,IF($E$16=10,22.89,IF($E$16=12,21.33,IF($E$16=14,20,IF($E$16=16,19.11,IF($E$16=20,19,IF($E$16=40,14.56,0))))))))</f>
        <v>846.33999999999992</v>
      </c>
      <c r="U32" s="317">
        <f>U33-IF($E$16=6,25.88,IF($E$16=8,23.38,IF($E$16=10,24,IF($E$16=12,22.38,IF($E$16=14,21,IF($E$16=16,19.88,IF($E$16=20,19.75,IF($E$16=40,15,0))))))))</f>
        <v>877.86</v>
      </c>
      <c r="V32" s="317">
        <f t="shared" si="20"/>
        <v>910.84000000000015</v>
      </c>
      <c r="W32" s="317">
        <f t="shared" si="21"/>
        <v>944.15000000000009</v>
      </c>
      <c r="X32" s="317">
        <f t="shared" si="22"/>
        <v>975.79999999999973</v>
      </c>
      <c r="Y32" s="317">
        <f t="shared" si="23"/>
        <v>1007.25</v>
      </c>
      <c r="Z32" s="317">
        <f t="shared" si="24"/>
        <v>1042</v>
      </c>
      <c r="AA32" s="329">
        <f t="shared" si="25"/>
        <v>1074</v>
      </c>
    </row>
    <row r="33" spans="1:52" x14ac:dyDescent="0.2">
      <c r="A33" s="513"/>
      <c r="B33" s="7">
        <v>1600</v>
      </c>
      <c r="C33" s="350">
        <f t="shared" ca="1" si="26"/>
        <v>329</v>
      </c>
      <c r="D33" s="316">
        <f t="shared" ca="1" si="32"/>
        <v>319</v>
      </c>
      <c r="E33" s="184">
        <f t="shared" ca="1" si="27"/>
        <v>335</v>
      </c>
      <c r="F33" s="184">
        <f t="shared" ca="1" si="33"/>
        <v>356</v>
      </c>
      <c r="G33" s="184">
        <f t="shared" ca="1" si="28"/>
        <v>369</v>
      </c>
      <c r="H33" s="184">
        <f t="shared" ca="1" si="29"/>
        <v>383</v>
      </c>
      <c r="I33" s="184">
        <f t="shared" ca="1" si="30"/>
        <v>395</v>
      </c>
      <c r="J33" s="183">
        <f t="shared" ca="1" si="31"/>
        <v>409</v>
      </c>
      <c r="K33" s="286">
        <f t="shared" si="34"/>
        <v>566.19000000000005</v>
      </c>
      <c r="L33" s="184">
        <f t="shared" si="35"/>
        <v>600.07000000000016</v>
      </c>
      <c r="M33" s="184">
        <f t="shared" si="36"/>
        <v>633.07000000000016</v>
      </c>
      <c r="N33" s="184">
        <f t="shared" si="37"/>
        <v>666.86</v>
      </c>
      <c r="O33" s="184">
        <f t="shared" si="38"/>
        <v>699.86</v>
      </c>
      <c r="P33" s="184">
        <f t="shared" si="39"/>
        <v>733.61999999999989</v>
      </c>
      <c r="Q33" s="184">
        <f t="shared" ref="Q33:Q50" si="40">Q32+IF($E$16=6,21.25,IF($E$16=8,18.42,IF($E$16=10,18.83,IF($E$16=12,17.75,IF($E$16=14,16.67,IF($E$16=16,16,IF($E$16=20,16,IF($E$16=40,12.75,0))))))))</f>
        <v>765.5</v>
      </c>
      <c r="R33" s="184">
        <f>R32+IF($E$16=6,22.36,IF($E$16=8,20.36,IF($E$16=10,20.82,IF($E$16=12,19.45,IF($E$16=14,18.27,IF($E$16=16,17.55,IF($E$16=20,17.36,IF($E$16=40,13.55,0))))))))</f>
        <v>800.45</v>
      </c>
      <c r="S33" s="183">
        <f>IF($E$16=6,889,IF($E$16=8,860,IF($E$16=10,855,IF($E$16=12,834,IF($E$16=14,815,IF($E$16=16,800,IF($E$16=20,795,IF($E$16=40,728,0))))))))</f>
        <v>834</v>
      </c>
      <c r="T33" s="317">
        <f>T34-IF($E$16=6,24.89,IF($E$16=8,22.33,IF($E$16=10,22.89,IF($E$16=12,21.33,IF($E$16=14,20,IF($E$16=16,19.11,IF($E$16=20,19,IF($E$16=40,14.56,0))))))))</f>
        <v>867.67</v>
      </c>
      <c r="U33" s="317">
        <f>U34-IF($E$16=6,25.88,IF($E$16=8,23.38,IF($E$16=10,24,IF($E$16=12,22.38,IF($E$16=14,21,IF($E$16=16,19.88,IF($E$16=20,19.75,IF($E$16=40,15,0))))))))</f>
        <v>900.24</v>
      </c>
      <c r="V33" s="317">
        <f t="shared" si="20"/>
        <v>934.13000000000011</v>
      </c>
      <c r="W33" s="317">
        <f t="shared" si="21"/>
        <v>968.32</v>
      </c>
      <c r="X33" s="317">
        <f t="shared" si="22"/>
        <v>1000.9999999999998</v>
      </c>
      <c r="Y33" s="317">
        <f t="shared" si="23"/>
        <v>1033.5</v>
      </c>
      <c r="Z33" s="317">
        <f t="shared" si="24"/>
        <v>1069</v>
      </c>
      <c r="AA33" s="329">
        <f t="shared" si="25"/>
        <v>1102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337</v>
      </c>
      <c r="D34" s="317">
        <f t="shared" ca="1" si="32"/>
        <v>326</v>
      </c>
      <c r="E34" s="184">
        <f t="shared" ca="1" si="27"/>
        <v>343</v>
      </c>
      <c r="F34" s="184">
        <f t="shared" ca="1" si="33"/>
        <v>365</v>
      </c>
      <c r="G34" s="184">
        <f t="shared" ca="1" si="28"/>
        <v>378</v>
      </c>
      <c r="H34" s="184">
        <f t="shared" ca="1" si="29"/>
        <v>393</v>
      </c>
      <c r="I34" s="184">
        <f t="shared" ca="1" si="30"/>
        <v>405</v>
      </c>
      <c r="J34" s="183">
        <f t="shared" ca="1" si="31"/>
        <v>420</v>
      </c>
      <c r="K34" s="286">
        <f t="shared" si="34"/>
        <v>578.92000000000007</v>
      </c>
      <c r="L34" s="184">
        <f t="shared" si="35"/>
        <v>613.76000000000022</v>
      </c>
      <c r="M34" s="184">
        <f t="shared" si="36"/>
        <v>647.76000000000022</v>
      </c>
      <c r="N34" s="184">
        <f t="shared" si="37"/>
        <v>682.48</v>
      </c>
      <c r="O34" s="184">
        <f t="shared" si="38"/>
        <v>716.48</v>
      </c>
      <c r="P34" s="184">
        <f t="shared" si="39"/>
        <v>751.15999999999985</v>
      </c>
      <c r="Q34" s="184">
        <f t="shared" si="40"/>
        <v>783.25</v>
      </c>
      <c r="R34" s="184">
        <f t="shared" ref="R34:R50" si="41">R33+IF($E$16=6,22.36,IF($E$16=8,20.36,IF($E$16=10,20.82,IF($E$16=12,19.45,IF($E$16=14,18.27,IF($E$16=16,17.55,IF($E$16=20,17.36,IF($E$16=40,13.55,0))))))))</f>
        <v>819.90000000000009</v>
      </c>
      <c r="S34" s="183">
        <f>S33+IF($E$16=6,23.1,IF($E$16=8,21.4,IF($E$16=10,21.8,IF($E$16=12,20.4,IF($E$16=14,19.3,IF($E$16=16,18.3,IF($E$16=20,18.3,IF($E$16=40,14,0))))))))</f>
        <v>854.4</v>
      </c>
      <c r="T34" s="183">
        <f>IF($E$16=6,944,IF($E$16=8,918,IF($E$16=10,915,IF($E$16=12,889,IF($E$16=14,866,IF($E$16=16,849,IF($E$16=20,844,IF($E$16=40,768,0))))))))</f>
        <v>889</v>
      </c>
      <c r="U34" s="317">
        <f>U35-IF($E$16=6,25.88,IF($E$16=8,23.38,IF($E$16=10,24,IF($E$16=12,22.38,IF($E$16=14,21,IF($E$16=16,19.88,IF($E$16=20,19.75,IF($E$16=40,15,0))))))))</f>
        <v>922.62</v>
      </c>
      <c r="V34" s="317">
        <f t="shared" si="20"/>
        <v>957.42000000000007</v>
      </c>
      <c r="W34" s="317">
        <f t="shared" si="21"/>
        <v>992.49</v>
      </c>
      <c r="X34" s="317">
        <f t="shared" si="22"/>
        <v>1026.1999999999998</v>
      </c>
      <c r="Y34" s="317">
        <f t="shared" si="23"/>
        <v>1059.75</v>
      </c>
      <c r="Z34" s="317">
        <f t="shared" si="24"/>
        <v>1096</v>
      </c>
      <c r="AA34" s="329">
        <f t="shared" si="25"/>
        <v>1130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345</v>
      </c>
      <c r="D35" s="317">
        <f t="shared" ca="1" si="32"/>
        <v>333</v>
      </c>
      <c r="E35" s="184">
        <f t="shared" ca="1" si="27"/>
        <v>351</v>
      </c>
      <c r="F35" s="184">
        <f t="shared" ca="1" si="33"/>
        <v>374</v>
      </c>
      <c r="G35" s="184">
        <f t="shared" ca="1" si="28"/>
        <v>387</v>
      </c>
      <c r="H35" s="184">
        <f t="shared" ca="1" si="29"/>
        <v>403</v>
      </c>
      <c r="I35" s="184">
        <f t="shared" ca="1" si="30"/>
        <v>415</v>
      </c>
      <c r="J35" s="183">
        <f t="shared" ca="1" si="31"/>
        <v>431</v>
      </c>
      <c r="K35" s="286">
        <f t="shared" si="34"/>
        <v>591.65000000000009</v>
      </c>
      <c r="L35" s="184">
        <f t="shared" si="35"/>
        <v>627.45000000000027</v>
      </c>
      <c r="M35" s="184">
        <f t="shared" si="36"/>
        <v>662.45000000000027</v>
      </c>
      <c r="N35" s="184">
        <f t="shared" si="37"/>
        <v>698.1</v>
      </c>
      <c r="O35" s="184">
        <f t="shared" si="38"/>
        <v>733.1</v>
      </c>
      <c r="P35" s="184">
        <f t="shared" si="39"/>
        <v>768.69999999999982</v>
      </c>
      <c r="Q35" s="184">
        <f t="shared" si="40"/>
        <v>801</v>
      </c>
      <c r="R35" s="184">
        <f t="shared" si="41"/>
        <v>839.35000000000014</v>
      </c>
      <c r="S35" s="183">
        <f t="shared" ref="S35:S50" si="42">S34+IF($E$16=6,23.1,IF($E$16=8,21.4,IF($E$16=10,21.8,IF($E$16=12,20.4,IF($E$16=14,19.3,IF($E$16=16,18.3,IF($E$16=20,18.3,IF($E$16=40,14,0))))))))</f>
        <v>874.8</v>
      </c>
      <c r="T35" s="183">
        <f>T34+IF($E$16=6,24.89,IF($E$16=8,22.33,IF($E$16=10,22.89,IF($E$16=12,21.33,IF($E$16=14,20,IF($E$16=16,19.11,IF($E$16=20,19,IF($E$16=40,14.56,0))))))))</f>
        <v>910.33</v>
      </c>
      <c r="U35" s="183">
        <f>IF($E$16=6,1008,IF($E$16=8,977,IF($E$16=10,977,IF($E$16=12,945,IF($E$16=14,921,IF($E$16=16,900,IF($E$16=20,893,IF($E$16=40,809,0))))))))</f>
        <v>945</v>
      </c>
      <c r="V35" s="317">
        <f t="shared" si="20"/>
        <v>980.71</v>
      </c>
      <c r="W35" s="317">
        <f t="shared" si="21"/>
        <v>1016.66</v>
      </c>
      <c r="X35" s="317">
        <f t="shared" si="22"/>
        <v>1051.3999999999999</v>
      </c>
      <c r="Y35" s="317">
        <f t="shared" si="23"/>
        <v>1086</v>
      </c>
      <c r="Z35" s="317">
        <f t="shared" si="24"/>
        <v>1123</v>
      </c>
      <c r="AA35" s="329">
        <f t="shared" si="25"/>
        <v>1158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353</v>
      </c>
      <c r="D36" s="317">
        <f t="shared" ca="1" si="32"/>
        <v>340</v>
      </c>
      <c r="E36" s="184">
        <f t="shared" ca="1" si="27"/>
        <v>359</v>
      </c>
      <c r="F36" s="184">
        <f t="shared" ca="1" si="33"/>
        <v>383</v>
      </c>
      <c r="G36" s="184">
        <f t="shared" ca="1" si="28"/>
        <v>396</v>
      </c>
      <c r="H36" s="184">
        <f t="shared" ca="1" si="29"/>
        <v>413</v>
      </c>
      <c r="I36" s="184">
        <f t="shared" ca="1" si="30"/>
        <v>425</v>
      </c>
      <c r="J36" s="183">
        <f t="shared" ca="1" si="31"/>
        <v>442</v>
      </c>
      <c r="K36" s="286">
        <f t="shared" si="34"/>
        <v>604.38000000000011</v>
      </c>
      <c r="L36" s="184">
        <f t="shared" si="35"/>
        <v>641.14000000000033</v>
      </c>
      <c r="M36" s="184">
        <f t="shared" si="36"/>
        <v>677.14000000000033</v>
      </c>
      <c r="N36" s="184">
        <f t="shared" si="37"/>
        <v>713.72</v>
      </c>
      <c r="O36" s="184">
        <f t="shared" si="38"/>
        <v>749.72</v>
      </c>
      <c r="P36" s="184">
        <f t="shared" si="39"/>
        <v>786.23999999999978</v>
      </c>
      <c r="Q36" s="184">
        <f t="shared" si="40"/>
        <v>818.75</v>
      </c>
      <c r="R36" s="184">
        <f t="shared" si="41"/>
        <v>858.80000000000018</v>
      </c>
      <c r="S36" s="183">
        <f t="shared" si="42"/>
        <v>895.19999999999993</v>
      </c>
      <c r="T36" s="183">
        <f t="shared" ref="T36:T50" si="43">T35+IF($E$16=6,24.89,IF($E$16=8,22.33,IF($E$16=10,22.89,IF($E$16=12,21.33,IF($E$16=14,20,IF($E$16=16,19.11,IF($E$16=20,19,IF($E$16=40,14.56,0))))))))</f>
        <v>931.66000000000008</v>
      </c>
      <c r="U36" s="183">
        <f>U35+IF($E$16=6,25.88,IF($E$16=8,23.38,IF($E$16=10,24,IF($E$16=12,22.38,IF($E$16=14,21,IF($E$16=16,19.88,IF($E$16=20,19.75,IF($E$16=40,15,0))))))))</f>
        <v>967.38</v>
      </c>
      <c r="V36" s="183">
        <f>IF($E$16=6,1076,IF($E$16=8,1038,IF($E$16=10,1037,IF($E$16=12,1004,IF($E$16=14,975,IF($E$16=16,953,IF($E$16=20,949,IF($E$16=40,851,0))))))))</f>
        <v>1004</v>
      </c>
      <c r="W36" s="317">
        <f>W37-IF($E$16=6,28.33,IF($E$16=8,25.33,IF($E$16=10,26.17,IF($E$16=12,24.17,IF($E$16=14,22.67,IF($E$16=16,21.33,IF($E$16=20,21.33,IF($E$16=40,16,0))))))))</f>
        <v>1040.83</v>
      </c>
      <c r="X36" s="317">
        <f t="shared" si="22"/>
        <v>1076.5999999999999</v>
      </c>
      <c r="Y36" s="317">
        <f t="shared" si="23"/>
        <v>1112.25</v>
      </c>
      <c r="Z36" s="317">
        <f t="shared" si="24"/>
        <v>1150</v>
      </c>
      <c r="AA36" s="329">
        <f t="shared" si="25"/>
        <v>1186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361</v>
      </c>
      <c r="D37" s="317">
        <f t="shared" ca="1" si="32"/>
        <v>347</v>
      </c>
      <c r="E37" s="317">
        <f t="shared" ca="1" si="27"/>
        <v>367</v>
      </c>
      <c r="F37" s="184">
        <f t="shared" ca="1" si="33"/>
        <v>392</v>
      </c>
      <c r="G37" s="184">
        <f t="shared" ca="1" si="28"/>
        <v>405</v>
      </c>
      <c r="H37" s="184">
        <f t="shared" ca="1" si="29"/>
        <v>423</v>
      </c>
      <c r="I37" s="184">
        <f t="shared" ca="1" si="30"/>
        <v>435</v>
      </c>
      <c r="J37" s="183">
        <f t="shared" ca="1" si="31"/>
        <v>453</v>
      </c>
      <c r="K37" s="286">
        <f t="shared" si="34"/>
        <v>617.11000000000013</v>
      </c>
      <c r="L37" s="184">
        <f t="shared" si="35"/>
        <v>654.83000000000038</v>
      </c>
      <c r="M37" s="184">
        <f t="shared" si="36"/>
        <v>691.83000000000038</v>
      </c>
      <c r="N37" s="184">
        <f t="shared" si="37"/>
        <v>729.34</v>
      </c>
      <c r="O37" s="184">
        <f t="shared" si="38"/>
        <v>766.34</v>
      </c>
      <c r="P37" s="184">
        <f t="shared" si="39"/>
        <v>803.77999999999975</v>
      </c>
      <c r="Q37" s="184">
        <f t="shared" si="40"/>
        <v>836.5</v>
      </c>
      <c r="R37" s="184">
        <f t="shared" si="41"/>
        <v>878.25000000000023</v>
      </c>
      <c r="S37" s="183">
        <f t="shared" si="42"/>
        <v>915.59999999999991</v>
      </c>
      <c r="T37" s="183">
        <f t="shared" si="43"/>
        <v>952.99000000000012</v>
      </c>
      <c r="U37" s="183">
        <f t="shared" ref="U37:U50" si="44">U36+IF($E$16=6,25.88,IF($E$16=8,23.38,IF($E$16=10,24,IF($E$16=12,22.38,IF($E$16=14,21,IF($E$16=16,19.88,IF($E$16=20,19.75,IF($E$16=40,15,0))))))))</f>
        <v>989.76</v>
      </c>
      <c r="V37" s="183">
        <f>V36+IF($E$16=6,27.29,IF($E$16=8,24.43,IF($E$16=10,25,IF($E$16=12,23.29,IF($E$16=14,21.71,IF($E$16=16,20.57,IF($E$16=20,20.71,IF($E$16=40,15.43,0))))))))</f>
        <v>1027.29</v>
      </c>
      <c r="W37" s="183">
        <f>IF($E$16=6,1144,IF($E$16=8,1102,IF($E$16=10,1103,IF($E$16=12,1065,IF($E$16=14,1034,IF($E$16=16,1007,IF($E$16=20,1002,IF($E$16=40,894,0))))))))</f>
        <v>1065</v>
      </c>
      <c r="X37" s="317">
        <f>X38-IF($E$16=6,29.4,IF($E$16=8,26.4,IF($E$16=10,27.2,IF($E$16=12,25.2,IF($E$16=14,23.6,IF($E$16=16,22.2,IF($E$16=20,22,IF($E$16=40,16.4,0))))))))</f>
        <v>1101.8</v>
      </c>
      <c r="Y37" s="317">
        <f t="shared" si="23"/>
        <v>1138.5</v>
      </c>
      <c r="Z37" s="317">
        <f t="shared" si="24"/>
        <v>1177</v>
      </c>
      <c r="AA37" s="329">
        <f t="shared" si="25"/>
        <v>1214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369</v>
      </c>
      <c r="D38" s="317">
        <f t="shared" ca="1" si="32"/>
        <v>354</v>
      </c>
      <c r="E38" s="317">
        <f t="shared" ref="E38:E50" ca="1" si="45">$E$30+OFFSET($AQ$45,MATCH($E$16,$AQ$46:$AQ$53,0),3,1,1)*(B38-$B$30)/100</f>
        <v>375</v>
      </c>
      <c r="F38" s="184">
        <f t="shared" ca="1" si="33"/>
        <v>401</v>
      </c>
      <c r="G38" s="184">
        <f t="shared" ca="1" si="28"/>
        <v>414</v>
      </c>
      <c r="H38" s="184">
        <f t="shared" ca="1" si="29"/>
        <v>433</v>
      </c>
      <c r="I38" s="184">
        <f t="shared" ca="1" si="30"/>
        <v>445</v>
      </c>
      <c r="J38" s="183">
        <f t="shared" ca="1" si="31"/>
        <v>464</v>
      </c>
      <c r="K38" s="286">
        <f t="shared" si="34"/>
        <v>629.84000000000015</v>
      </c>
      <c r="L38" s="184">
        <f t="shared" si="35"/>
        <v>668.52000000000044</v>
      </c>
      <c r="M38" s="184">
        <f t="shared" si="36"/>
        <v>706.52000000000044</v>
      </c>
      <c r="N38" s="184">
        <f t="shared" si="37"/>
        <v>744.96</v>
      </c>
      <c r="O38" s="184">
        <f t="shared" si="38"/>
        <v>782.96</v>
      </c>
      <c r="P38" s="184">
        <f t="shared" si="39"/>
        <v>821.31999999999971</v>
      </c>
      <c r="Q38" s="184">
        <f t="shared" si="40"/>
        <v>854.25</v>
      </c>
      <c r="R38" s="184">
        <f t="shared" si="41"/>
        <v>897.70000000000027</v>
      </c>
      <c r="S38" s="183">
        <f t="shared" si="42"/>
        <v>935.99999999999989</v>
      </c>
      <c r="T38" s="183">
        <f t="shared" si="43"/>
        <v>974.32000000000016</v>
      </c>
      <c r="U38" s="183">
        <f t="shared" si="44"/>
        <v>1012.14</v>
      </c>
      <c r="V38" s="183">
        <f t="shared" ref="V38:V50" si="46">V37+IF($E$16=6,27.29,IF($E$16=8,24.43,IF($E$16=10,25,IF($E$16=12,23.29,IF($E$16=14,21.71,IF($E$16=16,20.57,IF($E$16=20,20.71,IF($E$16=40,15.43,0))))))))</f>
        <v>1050.58</v>
      </c>
      <c r="W38" s="183">
        <f>W37+IF($E$16=6,28.33,IF($E$16=8,25.33,IF($E$16=10,26.17,IF($E$16=12,24.17,IF($E$16=14,22.67,IF($E$16=16,21.33,IF($E$16=20,21.33,IF($E$16=40,16,0))))))))</f>
        <v>1089.17</v>
      </c>
      <c r="X38" s="183">
        <f>IF($E$16=6,1215,IF($E$16=8,1167,IF($E$16=10,1167,IF($E$16=12,1127,IF($E$16=14,1095,IF($E$16=16,1067,IF($E$16=20,1057,IF($E$16=40,938,0))))))))</f>
        <v>1127</v>
      </c>
      <c r="Y38" s="317">
        <f>Y39-IF($E$16=6,31,IF($E$16=8,27.5,IF($E$16=10,28.25,IF($E$16=12,26.25,IF($E$16=14,24.25,IF($E$16=16,23,IF($E$16=20,23,IF($E$16=40,16.75,0))))))))</f>
        <v>1164.75</v>
      </c>
      <c r="Z38" s="317">
        <f t="shared" si="24"/>
        <v>1204</v>
      </c>
      <c r="AA38" s="329">
        <f t="shared" si="25"/>
        <v>1242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377</v>
      </c>
      <c r="D39" s="317">
        <f t="shared" ca="1" si="32"/>
        <v>361</v>
      </c>
      <c r="E39" s="317">
        <f t="shared" ca="1" si="45"/>
        <v>383</v>
      </c>
      <c r="F39" s="317">
        <f t="shared" ca="1" si="33"/>
        <v>410</v>
      </c>
      <c r="G39" s="184">
        <f t="shared" ca="1" si="28"/>
        <v>423</v>
      </c>
      <c r="H39" s="184">
        <f t="shared" ca="1" si="29"/>
        <v>443</v>
      </c>
      <c r="I39" s="184">
        <f t="shared" ca="1" si="30"/>
        <v>455</v>
      </c>
      <c r="J39" s="183">
        <f t="shared" ca="1" si="31"/>
        <v>475</v>
      </c>
      <c r="K39" s="286">
        <f t="shared" si="34"/>
        <v>642.57000000000016</v>
      </c>
      <c r="L39" s="184">
        <f t="shared" si="35"/>
        <v>682.21000000000049</v>
      </c>
      <c r="M39" s="184">
        <f t="shared" si="36"/>
        <v>721.21000000000049</v>
      </c>
      <c r="N39" s="184">
        <f t="shared" si="37"/>
        <v>760.58</v>
      </c>
      <c r="O39" s="184">
        <f t="shared" si="38"/>
        <v>799.58</v>
      </c>
      <c r="P39" s="184">
        <f t="shared" si="39"/>
        <v>838.85999999999967</v>
      </c>
      <c r="Q39" s="184">
        <f t="shared" si="40"/>
        <v>872</v>
      </c>
      <c r="R39" s="184">
        <f t="shared" si="41"/>
        <v>917.15000000000032</v>
      </c>
      <c r="S39" s="183">
        <f t="shared" si="42"/>
        <v>956.39999999999986</v>
      </c>
      <c r="T39" s="183">
        <f t="shared" si="43"/>
        <v>995.6500000000002</v>
      </c>
      <c r="U39" s="183">
        <f t="shared" si="44"/>
        <v>1034.52</v>
      </c>
      <c r="V39" s="183">
        <f t="shared" si="46"/>
        <v>1073.8699999999999</v>
      </c>
      <c r="W39" s="183">
        <f t="shared" ref="W39:W50" si="47">W38+IF($E$16=6,28.33,IF($E$16=8,25.33,IF($E$16=10,26.17,IF($E$16=12,24.17,IF($E$16=14,22.67,IF($E$16=16,21.33,IF($E$16=20,21.33,IF($E$16=40,16,0))))))))</f>
        <v>1113.3400000000001</v>
      </c>
      <c r="X39" s="183">
        <f>X38+IF($E$16=6,29.4,IF($E$16=8,26.4,IF($E$16=10,27.2,IF($E$16=12,25.2,IF($E$16=14,23.6,IF($E$16=16,22.2,IF($E$16=20,22,IF($E$16=40,16.4,0))))))))</f>
        <v>1152.2</v>
      </c>
      <c r="Y39" s="183">
        <f>IF($E$16=6,1290,IF($E$16=8,1238,IF($E$16=10,1238,IF($E$16=12,1191,IF($E$16=14,1154,IF($E$16=16,1124,IF($E$16=20,1117,IF($E$16=40,983,0))))))))</f>
        <v>1191</v>
      </c>
      <c r="Z39" s="317">
        <f>Z40-IF($E$16=6,35,IF($E$16=8,28.67,IF($E$16=10,29.33,IF($E$16=12,27,IF($E$16=14,25.33,IF($E$16=16,23.67,IF($E$16=20,23.67,IF($E$16=40,17.33,0))))))))</f>
        <v>1231</v>
      </c>
      <c r="AA39" s="329">
        <f t="shared" si="25"/>
        <v>1270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385</v>
      </c>
      <c r="D40" s="317">
        <f t="shared" ca="1" si="32"/>
        <v>368</v>
      </c>
      <c r="E40" s="317">
        <f t="shared" ca="1" si="45"/>
        <v>391</v>
      </c>
      <c r="F40" s="317">
        <f t="shared" ca="1" si="33"/>
        <v>419</v>
      </c>
      <c r="G40" s="184">
        <f t="shared" ca="1" si="28"/>
        <v>432</v>
      </c>
      <c r="H40" s="184">
        <f t="shared" ca="1" si="29"/>
        <v>453</v>
      </c>
      <c r="I40" s="184">
        <f t="shared" ca="1" si="30"/>
        <v>465</v>
      </c>
      <c r="J40" s="183">
        <f t="shared" ca="1" si="31"/>
        <v>486</v>
      </c>
      <c r="K40" s="286">
        <f t="shared" si="34"/>
        <v>655.30000000000018</v>
      </c>
      <c r="L40" s="184">
        <f t="shared" si="35"/>
        <v>695.90000000000055</v>
      </c>
      <c r="M40" s="184">
        <f t="shared" si="36"/>
        <v>735.90000000000055</v>
      </c>
      <c r="N40" s="184">
        <f t="shared" si="37"/>
        <v>776.2</v>
      </c>
      <c r="O40" s="184">
        <f t="shared" si="38"/>
        <v>816.2</v>
      </c>
      <c r="P40" s="184">
        <f t="shared" si="39"/>
        <v>856.39999999999964</v>
      </c>
      <c r="Q40" s="184">
        <f t="shared" si="40"/>
        <v>889.75</v>
      </c>
      <c r="R40" s="184">
        <f t="shared" si="41"/>
        <v>936.60000000000036</v>
      </c>
      <c r="S40" s="183">
        <f t="shared" si="42"/>
        <v>976.79999999999984</v>
      </c>
      <c r="T40" s="183">
        <f t="shared" si="43"/>
        <v>1016.9800000000002</v>
      </c>
      <c r="U40" s="183">
        <f t="shared" si="44"/>
        <v>1056.9000000000001</v>
      </c>
      <c r="V40" s="183">
        <f t="shared" si="46"/>
        <v>1097.1599999999999</v>
      </c>
      <c r="W40" s="183">
        <f t="shared" si="47"/>
        <v>1137.5100000000002</v>
      </c>
      <c r="X40" s="183">
        <f>X39+IF($E$16=6,29.4,IF($E$16=8,26.4,IF($E$16=10,27.2,IF($E$16=12,25.2,IF($E$16=14,23.6,IF($E$16=16,22.2,IF($E$16=20,22,IF($E$16=40,16.4,0))))))))</f>
        <v>1177.4000000000001</v>
      </c>
      <c r="Y40" s="183">
        <f>Y39+IF($E$16=6,31,IF($E$16=8,27.5,IF($E$16=10,28.25,IF($E$16=12,26.25,IF($E$16=14,24.25,IF($E$16=16,23,IF($E$16=20,23,IF($E$16=40,16.75,0))))))))</f>
        <v>1217.25</v>
      </c>
      <c r="Z40" s="183">
        <f>IF($E$16=6,1356,IF($E$16=8,1307,IF($E$16=10,1306,IF($E$16=12,1258,IF($E$16=14,1218,IF($E$16=16,1183,IF($E$16=20,1175,IF($E$16=40,1029,0))))))))</f>
        <v>1258</v>
      </c>
      <c r="AA40" s="329">
        <f>AA41-IF($E$16=6,33,IF($E$16=8,29.5,IF($E$16=10,30.5,IF($E$16=12,28,IF($E$16=14,26,IF($E$16=16,24.5,IF($E$16=20,24.5,IF($E$16=40,17.5,0))))))))</f>
        <v>1298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393</v>
      </c>
      <c r="D41" s="317">
        <f t="shared" ca="1" si="32"/>
        <v>375</v>
      </c>
      <c r="E41" s="317">
        <f t="shared" ca="1" si="45"/>
        <v>399</v>
      </c>
      <c r="F41" s="317">
        <f t="shared" ca="1" si="33"/>
        <v>428</v>
      </c>
      <c r="G41" s="317">
        <f t="shared" ca="1" si="28"/>
        <v>441</v>
      </c>
      <c r="H41" s="184">
        <f t="shared" ca="1" si="29"/>
        <v>463</v>
      </c>
      <c r="I41" s="184">
        <f t="shared" ca="1" si="30"/>
        <v>475</v>
      </c>
      <c r="J41" s="183">
        <f t="shared" ca="1" si="31"/>
        <v>497</v>
      </c>
      <c r="K41" s="316">
        <f t="shared" si="34"/>
        <v>668.0300000000002</v>
      </c>
      <c r="L41" s="287">
        <f t="shared" si="35"/>
        <v>709.5900000000006</v>
      </c>
      <c r="M41" s="287">
        <f t="shared" si="36"/>
        <v>750.5900000000006</v>
      </c>
      <c r="N41" s="287">
        <f t="shared" si="37"/>
        <v>791.82</v>
      </c>
      <c r="O41" s="287">
        <f t="shared" si="38"/>
        <v>832.82</v>
      </c>
      <c r="P41" s="184">
        <f t="shared" si="39"/>
        <v>873.9399999999996</v>
      </c>
      <c r="Q41" s="184">
        <f t="shared" si="40"/>
        <v>907.5</v>
      </c>
      <c r="R41" s="184">
        <f t="shared" si="41"/>
        <v>956.05000000000041</v>
      </c>
      <c r="S41" s="183">
        <f t="shared" si="42"/>
        <v>997.19999999999982</v>
      </c>
      <c r="T41" s="183">
        <f t="shared" si="43"/>
        <v>1038.3100000000002</v>
      </c>
      <c r="U41" s="183">
        <f t="shared" si="44"/>
        <v>1079.2800000000002</v>
      </c>
      <c r="V41" s="183">
        <f t="shared" si="46"/>
        <v>1120.4499999999998</v>
      </c>
      <c r="W41" s="183">
        <f t="shared" si="47"/>
        <v>1161.6800000000003</v>
      </c>
      <c r="X41" s="183">
        <f>X40+IF($E$16=6,29.4,IF($E$16=8,26.4,IF($E$16=10,27.2,IF($E$16=12,25.2,IF($E$16=14,23.6,IF($E$16=16,22.2,IF($E$16=20,22,IF($E$16=40,16.4,0))))))))</f>
        <v>1202.6000000000001</v>
      </c>
      <c r="Y41" s="183">
        <f>Y40+IF($E$16=6,31,IF($E$16=8,27.5,IF($E$16=10,28.25,IF($E$16=12,26.25,IF($E$16=14,24.25,IF($E$16=16,23,IF($E$16=20,23,IF($E$16=40,16.75,0))))))))</f>
        <v>1243.5</v>
      </c>
      <c r="Z41" s="183">
        <f>Z40+IF($E$16=6,35,IF($E$16=8,28.67,IF($E$16=10,29.33,IF($E$16=12,27,IF($E$16=14,25.33,IF($E$16=16,23.67,IF($E$16=20,23.67,IF($E$16=40,17.33,0))))))))</f>
        <v>1285</v>
      </c>
      <c r="AA41" s="288">
        <f>IF($E$16=6,1408,IF($E$16=8,1379,IF($E$16=10,1381,IF($E$16=12,1326,IF($E$16=14,1280,IF($E$16=16,1243,IF($E$16=20,1233,IF($E$16=40,1070,0))))))))</f>
        <v>1326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401</v>
      </c>
      <c r="D42" s="317">
        <f t="shared" ca="1" si="32"/>
        <v>382</v>
      </c>
      <c r="E42" s="317">
        <f t="shared" ca="1" si="45"/>
        <v>407</v>
      </c>
      <c r="F42" s="317">
        <f t="shared" ca="1" si="33"/>
        <v>437</v>
      </c>
      <c r="G42" s="317">
        <f t="shared" ca="1" si="28"/>
        <v>450</v>
      </c>
      <c r="H42" s="184">
        <f t="shared" ca="1" si="29"/>
        <v>473</v>
      </c>
      <c r="I42" s="184">
        <f t="shared" ca="1" si="30"/>
        <v>485</v>
      </c>
      <c r="J42" s="183">
        <f t="shared" ca="1" si="31"/>
        <v>508</v>
      </c>
      <c r="K42" s="316">
        <f t="shared" si="34"/>
        <v>680.76000000000022</v>
      </c>
      <c r="L42" s="183">
        <f t="shared" si="35"/>
        <v>723.28000000000065</v>
      </c>
      <c r="M42" s="183">
        <f t="shared" si="36"/>
        <v>765.28000000000065</v>
      </c>
      <c r="N42" s="183">
        <f t="shared" si="37"/>
        <v>807.44</v>
      </c>
      <c r="O42" s="183">
        <f t="shared" si="38"/>
        <v>849.44</v>
      </c>
      <c r="P42" s="286">
        <f t="shared" si="39"/>
        <v>891.47999999999956</v>
      </c>
      <c r="Q42" s="184">
        <f t="shared" si="40"/>
        <v>925.25</v>
      </c>
      <c r="R42" s="184">
        <f t="shared" si="41"/>
        <v>975.50000000000045</v>
      </c>
      <c r="S42" s="183">
        <f t="shared" si="42"/>
        <v>1017.5999999999998</v>
      </c>
      <c r="T42" s="183">
        <f t="shared" si="43"/>
        <v>1059.6400000000001</v>
      </c>
      <c r="U42" s="183">
        <f t="shared" si="44"/>
        <v>1101.6600000000003</v>
      </c>
      <c r="V42" s="183">
        <f t="shared" si="46"/>
        <v>1143.7399999999998</v>
      </c>
      <c r="W42" s="183">
        <f t="shared" si="47"/>
        <v>1185.8500000000004</v>
      </c>
      <c r="X42" s="183">
        <f>X41+IF($E$16=6,29.4,IF($E$16=8,26.4,IF($E$16=10,27.2,IF($E$16=12,25.2,IF($E$16=14,23.6,IF($E$16=16,22.2,IF($E$16=20,22,IF($E$16=40,16.4,0))))))))</f>
        <v>1227.8000000000002</v>
      </c>
      <c r="Y42" s="183">
        <f>Y41+IF($E$16=6,31,IF($E$16=8,27.5,IF($E$16=10,28.25,IF($E$16=12,26.25,IF($E$16=14,24.25,IF($E$16=16,23,IF($E$16=20,23,IF($E$16=40,16.75,0))))))))</f>
        <v>1269.75</v>
      </c>
      <c r="Z42" s="183">
        <f>Z41+IF($E$16=6,35,IF($E$16=8,28.67,IF($E$16=10,29.33,IF($E$16=12,27,IF($E$16=14,25.33,IF($E$16=16,23.67,IF($E$16=20,23.67,IF($E$16=40,17.33,0))))))))</f>
        <v>1312</v>
      </c>
      <c r="AA42" s="288">
        <f>AA41+IF($E$16=6,33,IF($E$16=8,29.5,IF($E$16=10,30.5,IF($E$16=12,28,IF($E$16=14,26,IF($E$16=16,24.5,IF($E$16=20,24.5,IF($E$16=40,17.5,0))))))))</f>
        <v>1354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409</v>
      </c>
      <c r="D43" s="317">
        <f t="shared" ca="1" si="32"/>
        <v>389</v>
      </c>
      <c r="E43" s="317">
        <f t="shared" ca="1" si="45"/>
        <v>415</v>
      </c>
      <c r="F43" s="317">
        <f t="shared" ca="1" si="33"/>
        <v>446</v>
      </c>
      <c r="G43" s="317">
        <f t="shared" ca="1" si="28"/>
        <v>459</v>
      </c>
      <c r="H43" s="317">
        <f t="shared" ca="1" si="29"/>
        <v>483</v>
      </c>
      <c r="I43" s="287">
        <f t="shared" ca="1" si="30"/>
        <v>495</v>
      </c>
      <c r="J43" s="332">
        <f t="shared" ca="1" si="31"/>
        <v>519</v>
      </c>
      <c r="K43" s="333">
        <f t="shared" si="34"/>
        <v>693.49000000000024</v>
      </c>
      <c r="L43" s="332">
        <f t="shared" si="35"/>
        <v>736.97000000000071</v>
      </c>
      <c r="M43" s="332">
        <f t="shared" si="36"/>
        <v>779.97000000000071</v>
      </c>
      <c r="N43" s="332">
        <f t="shared" si="37"/>
        <v>823.06000000000006</v>
      </c>
      <c r="O43" s="332">
        <f t="shared" si="38"/>
        <v>866.06000000000006</v>
      </c>
      <c r="P43" s="334">
        <f t="shared" si="39"/>
        <v>909.01999999999953</v>
      </c>
      <c r="Q43" s="287">
        <f t="shared" si="40"/>
        <v>943</v>
      </c>
      <c r="R43" s="287">
        <f t="shared" si="41"/>
        <v>994.9500000000005</v>
      </c>
      <c r="S43" s="332">
        <f t="shared" si="42"/>
        <v>1037.9999999999998</v>
      </c>
      <c r="T43" s="332">
        <f t="shared" si="43"/>
        <v>1080.97</v>
      </c>
      <c r="U43" s="332">
        <f t="shared" si="44"/>
        <v>1124.0400000000004</v>
      </c>
      <c r="V43" s="332">
        <f t="shared" si="46"/>
        <v>1167.0299999999997</v>
      </c>
      <c r="W43" s="332">
        <f t="shared" si="47"/>
        <v>1210.0200000000004</v>
      </c>
      <c r="X43" s="332">
        <f>X42+IF($E$16=6,29.4,IF($E$16=8,26.4,IF($E$16=10,27.2,IF($E$16=12,25.2,IF($E$16=14,23.6,IF($E$16=16,22.2,IF($E$16=20,22,IF($E$16=40,16.4,0))))))))</f>
        <v>1253.0000000000002</v>
      </c>
      <c r="Y43" s="332">
        <f>Y42+IF($E$16=6,31,IF($E$16=8,27.5,IF($E$16=10,28.25,IF($E$16=12,26.25,IF($E$16=14,24.25,IF($E$16=16,23,IF($E$16=20,23,IF($E$16=40,16.75,0))))))))</f>
        <v>1296</v>
      </c>
      <c r="Z43" s="332">
        <f>Z42+IF($E$16=6,35,IF($E$16=8,28.67,IF($E$16=10,29.33,IF($E$16=12,27,IF($E$16=14,25.33,IF($E$16=16,23.67,IF($E$16=20,23.67,IF($E$16=40,17.33,0))))))))</f>
        <v>1339</v>
      </c>
      <c r="AA43" s="335">
        <f>AA42+IF($E$16=6,33,IF($E$16=8,29.5,IF($E$16=10,30.5,IF($E$16=12,28,IF($E$16=14,26,IF($E$16=16,24.5,IF($E$16=20,24.5,IF($E$16=40,17.5,0))))))))</f>
        <v>1382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417</v>
      </c>
      <c r="D44" s="323">
        <f t="shared" ca="1" si="32"/>
        <v>396</v>
      </c>
      <c r="E44" s="323">
        <f t="shared" ca="1" si="45"/>
        <v>423</v>
      </c>
      <c r="F44" s="323">
        <f t="shared" ca="1" si="33"/>
        <v>455</v>
      </c>
      <c r="G44" s="323">
        <f t="shared" ca="1" si="28"/>
        <v>468</v>
      </c>
      <c r="H44" s="323">
        <f t="shared" ca="1" si="29"/>
        <v>493</v>
      </c>
      <c r="I44" s="289">
        <f t="shared" ca="1" si="30"/>
        <v>505</v>
      </c>
      <c r="J44" s="290">
        <f t="shared" ca="1" si="31"/>
        <v>530</v>
      </c>
      <c r="K44" s="318">
        <f t="shared" si="34"/>
        <v>706.22000000000025</v>
      </c>
      <c r="L44" s="290">
        <f t="shared" si="35"/>
        <v>750.66000000000076</v>
      </c>
      <c r="M44" s="290">
        <f t="shared" si="36"/>
        <v>794.66000000000076</v>
      </c>
      <c r="N44" s="290">
        <f t="shared" si="37"/>
        <v>838.68000000000006</v>
      </c>
      <c r="O44" s="290">
        <f t="shared" si="38"/>
        <v>882.68000000000006</v>
      </c>
      <c r="P44" s="291">
        <f t="shared" si="39"/>
        <v>926.55999999999949</v>
      </c>
      <c r="Q44" s="289">
        <f t="shared" si="40"/>
        <v>960.75</v>
      </c>
      <c r="R44" s="289">
        <f t="shared" si="41"/>
        <v>1014.4000000000005</v>
      </c>
      <c r="S44" s="290">
        <f t="shared" si="42"/>
        <v>1058.3999999999999</v>
      </c>
      <c r="T44" s="290">
        <f t="shared" si="43"/>
        <v>1102.3</v>
      </c>
      <c r="U44" s="290">
        <f t="shared" si="44"/>
        <v>1146.4200000000005</v>
      </c>
      <c r="V44" s="290">
        <f t="shared" si="46"/>
        <v>1190.3199999999997</v>
      </c>
      <c r="W44" s="290">
        <f t="shared" si="47"/>
        <v>1234.1900000000005</v>
      </c>
      <c r="X44" s="290">
        <f t="shared" ref="X44:X50" si="48">X43+IF($E$16=6,29.4,IF($E$16=8,26.4,IF($E$16=10,27.2,IF($E$16=12,25.2,IF($E$16=14,23.6,IF($E$16=16,22.2,IF($E$16=20,22,IF($E$16=40,16.4,0))))))))</f>
        <v>1278.2000000000003</v>
      </c>
      <c r="Y44" s="290">
        <f t="shared" ref="Y44:Y50" si="49">Y43+IF($E$16=6,31,IF($E$16=8,27.5,IF($E$16=10,28.25,IF($E$16=12,26.25,IF($E$16=14,24.25,IF($E$16=16,23,IF($E$16=20,23,IF($E$16=40,16.75,0))))))))</f>
        <v>1322.25</v>
      </c>
      <c r="Z44" s="290">
        <f t="shared" ref="Z44:Z50" si="50">Z43+IF($E$16=6,35,IF($E$16=8,28.67,IF($E$16=10,29.33,IF($E$16=12,27,IF($E$16=14,25.33,IF($E$16=16,23.67,IF($E$16=20,23.67,IF($E$16=40,17.33,0))))))))</f>
        <v>1366</v>
      </c>
      <c r="AA44" s="292">
        <f t="shared" ref="AA44:AA50" si="51">AA43+IF($E$16=6,33,IF($E$16=8,29.5,IF($E$16=10,30.5,IF($E$16=12,28,IF($E$16=14,26,IF($E$16=16,24.5,IF($E$16=20,24.5,IF($E$16=40,17.5,0))))))))</f>
        <v>1410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425</v>
      </c>
      <c r="D45" s="317">
        <f t="shared" ca="1" si="32"/>
        <v>403</v>
      </c>
      <c r="E45" s="317">
        <f t="shared" ca="1" si="45"/>
        <v>431</v>
      </c>
      <c r="F45" s="317">
        <f t="shared" ca="1" si="33"/>
        <v>464</v>
      </c>
      <c r="G45" s="317">
        <f t="shared" ca="1" si="28"/>
        <v>477</v>
      </c>
      <c r="H45" s="317">
        <f t="shared" ca="1" si="29"/>
        <v>503</v>
      </c>
      <c r="I45" s="317">
        <f t="shared" ca="1" si="30"/>
        <v>515</v>
      </c>
      <c r="J45" s="290">
        <f t="shared" ca="1" si="31"/>
        <v>541</v>
      </c>
      <c r="K45" s="318">
        <f t="shared" si="34"/>
        <v>718.95000000000027</v>
      </c>
      <c r="L45" s="290">
        <f t="shared" si="35"/>
        <v>764.35000000000082</v>
      </c>
      <c r="M45" s="290">
        <f t="shared" si="36"/>
        <v>809.35000000000082</v>
      </c>
      <c r="N45" s="290">
        <f t="shared" si="37"/>
        <v>854.30000000000007</v>
      </c>
      <c r="O45" s="290">
        <f t="shared" si="38"/>
        <v>899.30000000000007</v>
      </c>
      <c r="P45" s="291">
        <f t="shared" si="39"/>
        <v>944.09999999999945</v>
      </c>
      <c r="Q45" s="289">
        <f t="shared" si="40"/>
        <v>978.5</v>
      </c>
      <c r="R45" s="289">
        <f t="shared" si="41"/>
        <v>1033.8500000000006</v>
      </c>
      <c r="S45" s="290">
        <f t="shared" si="42"/>
        <v>1078.8</v>
      </c>
      <c r="T45" s="290">
        <f t="shared" si="43"/>
        <v>1123.6299999999999</v>
      </c>
      <c r="U45" s="290">
        <f t="shared" si="44"/>
        <v>1168.8000000000006</v>
      </c>
      <c r="V45" s="290">
        <f t="shared" si="46"/>
        <v>1213.6099999999997</v>
      </c>
      <c r="W45" s="290">
        <f t="shared" si="47"/>
        <v>1258.3600000000006</v>
      </c>
      <c r="X45" s="290">
        <f t="shared" si="48"/>
        <v>1303.4000000000003</v>
      </c>
      <c r="Y45" s="290">
        <f t="shared" si="49"/>
        <v>1348.5</v>
      </c>
      <c r="Z45" s="290">
        <f t="shared" si="50"/>
        <v>1393</v>
      </c>
      <c r="AA45" s="292">
        <f t="shared" si="51"/>
        <v>1438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433</v>
      </c>
      <c r="D46" s="317">
        <f t="shared" ca="1" si="32"/>
        <v>410</v>
      </c>
      <c r="E46" s="317">
        <f t="shared" ca="1" si="45"/>
        <v>439</v>
      </c>
      <c r="F46" s="317">
        <f t="shared" ca="1" si="33"/>
        <v>473</v>
      </c>
      <c r="G46" s="317">
        <f t="shared" ca="1" si="28"/>
        <v>486</v>
      </c>
      <c r="H46" s="317">
        <f t="shared" ca="1" si="29"/>
        <v>513</v>
      </c>
      <c r="I46" s="317">
        <f t="shared" ca="1" si="30"/>
        <v>525</v>
      </c>
      <c r="J46" s="290">
        <f t="shared" ca="1" si="31"/>
        <v>552</v>
      </c>
      <c r="K46" s="318">
        <f t="shared" si="34"/>
        <v>731.68000000000029</v>
      </c>
      <c r="L46" s="290">
        <f t="shared" si="35"/>
        <v>778.04000000000087</v>
      </c>
      <c r="M46" s="290">
        <f t="shared" si="36"/>
        <v>824.04000000000087</v>
      </c>
      <c r="N46" s="290">
        <f t="shared" si="37"/>
        <v>869.92000000000007</v>
      </c>
      <c r="O46" s="290">
        <f t="shared" si="38"/>
        <v>915.92000000000007</v>
      </c>
      <c r="P46" s="291">
        <f t="shared" si="39"/>
        <v>961.63999999999942</v>
      </c>
      <c r="Q46" s="289">
        <f t="shared" si="40"/>
        <v>996.25</v>
      </c>
      <c r="R46" s="289">
        <f t="shared" si="41"/>
        <v>1053.3000000000006</v>
      </c>
      <c r="S46" s="290">
        <f t="shared" si="42"/>
        <v>1099.2</v>
      </c>
      <c r="T46" s="290">
        <f t="shared" si="43"/>
        <v>1144.9599999999998</v>
      </c>
      <c r="U46" s="290">
        <f t="shared" si="44"/>
        <v>1191.1800000000007</v>
      </c>
      <c r="V46" s="290">
        <f t="shared" si="46"/>
        <v>1236.8999999999996</v>
      </c>
      <c r="W46" s="290">
        <f t="shared" si="47"/>
        <v>1282.5300000000007</v>
      </c>
      <c r="X46" s="290">
        <f t="shared" si="48"/>
        <v>1328.6000000000004</v>
      </c>
      <c r="Y46" s="290">
        <f t="shared" si="49"/>
        <v>1374.75</v>
      </c>
      <c r="Z46" s="290">
        <f t="shared" si="50"/>
        <v>1420</v>
      </c>
      <c r="AA46" s="292">
        <f t="shared" si="51"/>
        <v>1466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441</v>
      </c>
      <c r="D47" s="317">
        <f t="shared" ca="1" si="32"/>
        <v>417</v>
      </c>
      <c r="E47" s="317">
        <f t="shared" ca="1" si="45"/>
        <v>447</v>
      </c>
      <c r="F47" s="317">
        <f t="shared" ca="1" si="33"/>
        <v>482</v>
      </c>
      <c r="G47" s="317">
        <f t="shared" ca="1" si="28"/>
        <v>495</v>
      </c>
      <c r="H47" s="317">
        <f t="shared" ca="1" si="29"/>
        <v>523</v>
      </c>
      <c r="I47" s="317">
        <f t="shared" ca="1" si="30"/>
        <v>535</v>
      </c>
      <c r="J47" s="322">
        <f t="shared" ca="1" si="31"/>
        <v>563</v>
      </c>
      <c r="K47" s="318">
        <f t="shared" si="34"/>
        <v>744.41000000000031</v>
      </c>
      <c r="L47" s="290">
        <f t="shared" si="35"/>
        <v>791.73000000000093</v>
      </c>
      <c r="M47" s="290">
        <f t="shared" si="36"/>
        <v>838.73000000000093</v>
      </c>
      <c r="N47" s="290">
        <f t="shared" si="37"/>
        <v>885.54000000000008</v>
      </c>
      <c r="O47" s="290">
        <f t="shared" si="38"/>
        <v>932.54000000000008</v>
      </c>
      <c r="P47" s="291">
        <f t="shared" si="39"/>
        <v>979.17999999999938</v>
      </c>
      <c r="Q47" s="289">
        <f t="shared" si="40"/>
        <v>1014</v>
      </c>
      <c r="R47" s="289">
        <f t="shared" si="41"/>
        <v>1072.7500000000007</v>
      </c>
      <c r="S47" s="290">
        <f t="shared" si="42"/>
        <v>1119.6000000000001</v>
      </c>
      <c r="T47" s="290">
        <f t="shared" si="43"/>
        <v>1166.2899999999997</v>
      </c>
      <c r="U47" s="290">
        <f t="shared" si="44"/>
        <v>1213.5600000000009</v>
      </c>
      <c r="V47" s="290">
        <f t="shared" si="46"/>
        <v>1260.1899999999996</v>
      </c>
      <c r="W47" s="290">
        <f t="shared" si="47"/>
        <v>1306.7000000000007</v>
      </c>
      <c r="X47" s="290">
        <f t="shared" si="48"/>
        <v>1353.8000000000004</v>
      </c>
      <c r="Y47" s="290">
        <f t="shared" si="49"/>
        <v>1401</v>
      </c>
      <c r="Z47" s="290">
        <f t="shared" si="50"/>
        <v>1447</v>
      </c>
      <c r="AA47" s="292">
        <f t="shared" si="51"/>
        <v>1494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449</v>
      </c>
      <c r="D48" s="317">
        <f t="shared" ca="1" si="32"/>
        <v>424</v>
      </c>
      <c r="E48" s="317">
        <f t="shared" ca="1" si="45"/>
        <v>455</v>
      </c>
      <c r="F48" s="317">
        <f t="shared" ca="1" si="33"/>
        <v>491</v>
      </c>
      <c r="G48" s="317">
        <f t="shared" ca="1" si="28"/>
        <v>504</v>
      </c>
      <c r="H48" s="317">
        <f t="shared" ca="1" si="29"/>
        <v>533</v>
      </c>
      <c r="I48" s="317">
        <f t="shared" ca="1" si="30"/>
        <v>545</v>
      </c>
      <c r="J48" s="322">
        <f t="shared" ca="1" si="31"/>
        <v>574</v>
      </c>
      <c r="K48" s="318">
        <f t="shared" si="34"/>
        <v>757.14000000000033</v>
      </c>
      <c r="L48" s="290">
        <f t="shared" si="35"/>
        <v>805.42000000000098</v>
      </c>
      <c r="M48" s="290">
        <f t="shared" si="36"/>
        <v>853.42000000000098</v>
      </c>
      <c r="N48" s="290">
        <f t="shared" si="37"/>
        <v>901.16000000000008</v>
      </c>
      <c r="O48" s="290">
        <f t="shared" si="38"/>
        <v>949.16000000000008</v>
      </c>
      <c r="P48" s="291">
        <f t="shared" si="39"/>
        <v>996.71999999999935</v>
      </c>
      <c r="Q48" s="289">
        <f t="shared" si="40"/>
        <v>1031.75</v>
      </c>
      <c r="R48" s="289">
        <f t="shared" si="41"/>
        <v>1092.2000000000007</v>
      </c>
      <c r="S48" s="290">
        <f t="shared" si="42"/>
        <v>1140.0000000000002</v>
      </c>
      <c r="T48" s="290">
        <f t="shared" si="43"/>
        <v>1187.6199999999997</v>
      </c>
      <c r="U48" s="290">
        <f t="shared" si="44"/>
        <v>1235.940000000001</v>
      </c>
      <c r="V48" s="290">
        <f t="shared" si="46"/>
        <v>1283.4799999999996</v>
      </c>
      <c r="W48" s="290">
        <f t="shared" si="47"/>
        <v>1330.8700000000008</v>
      </c>
      <c r="X48" s="290">
        <f t="shared" si="48"/>
        <v>1379.0000000000005</v>
      </c>
      <c r="Y48" s="290">
        <f t="shared" si="49"/>
        <v>1427.25</v>
      </c>
      <c r="Z48" s="290">
        <f t="shared" si="50"/>
        <v>1474</v>
      </c>
      <c r="AA48" s="292">
        <f t="shared" si="51"/>
        <v>1522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457</v>
      </c>
      <c r="D49" s="317">
        <f t="shared" ca="1" si="32"/>
        <v>431</v>
      </c>
      <c r="E49" s="317">
        <f t="shared" ca="1" si="45"/>
        <v>463</v>
      </c>
      <c r="F49" s="317">
        <f t="shared" ca="1" si="33"/>
        <v>500</v>
      </c>
      <c r="G49" s="317">
        <f t="shared" ca="1" si="28"/>
        <v>513</v>
      </c>
      <c r="H49" s="317">
        <f t="shared" ca="1" si="29"/>
        <v>543</v>
      </c>
      <c r="I49" s="317">
        <f t="shared" ca="1" si="30"/>
        <v>555</v>
      </c>
      <c r="J49" s="322">
        <f t="shared" ca="1" si="31"/>
        <v>585</v>
      </c>
      <c r="K49" s="317">
        <f t="shared" si="34"/>
        <v>769.87000000000035</v>
      </c>
      <c r="L49" s="290">
        <f t="shared" si="35"/>
        <v>819.11000000000104</v>
      </c>
      <c r="M49" s="290">
        <f t="shared" si="36"/>
        <v>868.11000000000104</v>
      </c>
      <c r="N49" s="290">
        <f t="shared" si="37"/>
        <v>916.78000000000009</v>
      </c>
      <c r="O49" s="290">
        <f t="shared" si="38"/>
        <v>965.78000000000009</v>
      </c>
      <c r="P49" s="291">
        <f t="shared" si="39"/>
        <v>1014.2599999999993</v>
      </c>
      <c r="Q49" s="289">
        <f t="shared" si="40"/>
        <v>1049.5</v>
      </c>
      <c r="R49" s="289">
        <f t="shared" si="41"/>
        <v>1111.6500000000008</v>
      </c>
      <c r="S49" s="290">
        <f t="shared" si="42"/>
        <v>1160.4000000000003</v>
      </c>
      <c r="T49" s="290">
        <f t="shared" si="43"/>
        <v>1208.9499999999996</v>
      </c>
      <c r="U49" s="290">
        <f t="shared" si="44"/>
        <v>1258.3200000000011</v>
      </c>
      <c r="V49" s="290">
        <f t="shared" si="46"/>
        <v>1306.7699999999995</v>
      </c>
      <c r="W49" s="290">
        <f t="shared" si="47"/>
        <v>1355.0400000000009</v>
      </c>
      <c r="X49" s="290">
        <f t="shared" si="48"/>
        <v>1404.2000000000005</v>
      </c>
      <c r="Y49" s="290">
        <f t="shared" si="49"/>
        <v>1453.5</v>
      </c>
      <c r="Z49" s="290">
        <f t="shared" si="50"/>
        <v>1501</v>
      </c>
      <c r="AA49" s="292">
        <f t="shared" si="51"/>
        <v>1550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465</v>
      </c>
      <c r="D50" s="330">
        <f t="shared" ca="1" si="32"/>
        <v>438</v>
      </c>
      <c r="E50" s="330">
        <f t="shared" ca="1" si="45"/>
        <v>471</v>
      </c>
      <c r="F50" s="330">
        <f t="shared" ca="1" si="33"/>
        <v>509</v>
      </c>
      <c r="G50" s="330">
        <f t="shared" ca="1" si="28"/>
        <v>522</v>
      </c>
      <c r="H50" s="330">
        <f t="shared" ca="1" si="29"/>
        <v>553</v>
      </c>
      <c r="I50" s="330">
        <f t="shared" ca="1" si="30"/>
        <v>565</v>
      </c>
      <c r="J50" s="331">
        <f t="shared" ca="1" si="31"/>
        <v>596</v>
      </c>
      <c r="K50" s="330">
        <f t="shared" si="34"/>
        <v>782.60000000000036</v>
      </c>
      <c r="L50" s="293">
        <f t="shared" si="35"/>
        <v>832.80000000000109</v>
      </c>
      <c r="M50" s="293">
        <f t="shared" si="36"/>
        <v>882.80000000000109</v>
      </c>
      <c r="N50" s="293">
        <f t="shared" si="37"/>
        <v>932.40000000000009</v>
      </c>
      <c r="O50" s="293">
        <f t="shared" si="38"/>
        <v>982.40000000000009</v>
      </c>
      <c r="P50" s="294">
        <f t="shared" si="39"/>
        <v>1031.7999999999993</v>
      </c>
      <c r="Q50" s="295">
        <f t="shared" si="40"/>
        <v>1067.25</v>
      </c>
      <c r="R50" s="295">
        <f t="shared" si="41"/>
        <v>1131.1000000000008</v>
      </c>
      <c r="S50" s="293">
        <f t="shared" si="42"/>
        <v>1180.8000000000004</v>
      </c>
      <c r="T50" s="293">
        <f t="shared" si="43"/>
        <v>1230.2799999999995</v>
      </c>
      <c r="U50" s="293">
        <f t="shared" si="44"/>
        <v>1280.7000000000012</v>
      </c>
      <c r="V50" s="293">
        <f t="shared" si="46"/>
        <v>1330.0599999999995</v>
      </c>
      <c r="W50" s="293">
        <f t="shared" si="47"/>
        <v>1379.2100000000009</v>
      </c>
      <c r="X50" s="293">
        <f t="shared" si="48"/>
        <v>1429.4000000000005</v>
      </c>
      <c r="Y50" s="293">
        <f t="shared" si="49"/>
        <v>1479.75</v>
      </c>
      <c r="Z50" s="293">
        <f t="shared" si="50"/>
        <v>1528</v>
      </c>
      <c r="AA50" s="296">
        <f t="shared" si="51"/>
        <v>1578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303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15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49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35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6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369.4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410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345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12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9.5155500000000004E-2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342.5598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0.6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0.8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0.3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8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12</v>
      </c>
      <c r="H18" s="162">
        <f>H5*1000</f>
        <v>600</v>
      </c>
      <c r="I18" s="163">
        <f>((((ROUNDUP((((H18/2)-30)-1.5-G18-80)/(H3+$H$11),0))*(H3+$H$11))+1.5)*2)+160</f>
        <v>523</v>
      </c>
      <c r="J18" s="163">
        <f>H18-I18</f>
        <v>77</v>
      </c>
      <c r="K18" s="163">
        <f>J18/2</f>
        <v>38.5</v>
      </c>
      <c r="L18" s="163">
        <f>((((((((ROUNDUP((((H18/2)-30)-1.5-H3-80)/(H3+$H$11),0)))))+1)*(H3+$H$11))+1.5)*2)+160</f>
        <v>563</v>
      </c>
      <c r="M18" s="163">
        <f>H18-L18</f>
        <v>37</v>
      </c>
      <c r="N18" s="164">
        <f>M18/2</f>
        <v>18.5</v>
      </c>
      <c r="O18" s="165">
        <f>IF(K18&gt;50,L18,I18)</f>
        <v>523</v>
      </c>
      <c r="P18" s="166">
        <f>(((((ROUNDUP((((H18/2)-30)-1.5-H3-80)/(H3+$H$11),0))))))*2</f>
        <v>18</v>
      </c>
      <c r="Q18" s="166">
        <f>P18-1</f>
        <v>17</v>
      </c>
      <c r="R18" s="167">
        <f>($H$6-$H$8-$AR$3)*((H3/1000)*(Q18+1)+0.003)</f>
        <v>8.6504999999999999E-2</v>
      </c>
      <c r="S18" s="168">
        <f>R18*T18</f>
        <v>9.5155500000000004E-2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9.0372472141875576E-2</v>
      </c>
      <c r="W18" s="171">
        <f>IF((0.15*$H$8*2*9.8/($H$12*($H$11/G18)^(4/3)*$H$10^2*U18))&gt;1,75,FLOOR(DEGREES(ASIN((0.15*$H$8*2*9.8/($H$12*($H$11/G18)^(4/3)*$H$10^2*U18)))),5))</f>
        <v>25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572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Кашира Pepsico (8632) 15.02.22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8632 Кашира Pepsico 15.02.22</v>
      </c>
      <c r="J3" s="622"/>
      <c r="K3" s="623"/>
      <c r="L3" s="624"/>
    </row>
    <row r="4" spans="1:254" x14ac:dyDescent="0.2">
      <c r="A4" s="182" t="s">
        <v>98</v>
      </c>
      <c r="B4" s="475" t="s">
        <v>573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600.800.1500.12</v>
      </c>
      <c r="J4" s="625"/>
      <c r="K4" s="626"/>
      <c r="L4" s="627"/>
    </row>
    <row r="5" spans="1:254" x14ac:dyDescent="0.2">
      <c r="A5" s="182" t="s">
        <v>168</v>
      </c>
      <c r="B5" s="475" t="s">
        <v>495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600.800.1500.12 (AISI 201; 0,37 кВт.; IP66; с ШУ и ВПУ)</v>
      </c>
      <c r="J5" s="625"/>
      <c r="K5" s="626"/>
      <c r="L5" s="627"/>
    </row>
    <row r="6" spans="1:254" x14ac:dyDescent="0.2">
      <c r="A6" s="182" t="s">
        <v>99</v>
      </c>
      <c r="B6" s="475" t="s">
        <v>574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575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576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8632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577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516</v>
      </c>
      <c r="B11" s="475" t="s">
        <v>517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600</v>
      </c>
      <c r="C16" s="190">
        <v>800</v>
      </c>
      <c r="D16" s="191">
        <v>1500</v>
      </c>
      <c r="E16" s="190">
        <v>12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369.4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410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3350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2700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800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66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571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227997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205 н.ч.</v>
      </c>
      <c r="C33" s="209">
        <f>ФОТ!C37</f>
        <v>63170</v>
      </c>
    </row>
    <row r="34" spans="1:254" x14ac:dyDescent="0.2">
      <c r="A34" s="71" t="s">
        <v>177</v>
      </c>
      <c r="B34" s="110" t="str">
        <f ca="1">CONCATENATE(ROUNDUP(C34/Параметры!B3,0)," н.ч.")</f>
        <v>14 н.ч.</v>
      </c>
      <c r="C34" s="209">
        <f ca="1">ФОТ!C54</f>
        <v>4080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147147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367622.46666666667</v>
      </c>
      <c r="D39" s="215">
        <f ca="1">SUM(D41:D47)</f>
        <v>441146.95999999996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90200</v>
      </c>
      <c r="D41" s="209">
        <f t="shared" ref="D41:D47" ca="1" si="0">C41*1.2</f>
        <v>108240</v>
      </c>
    </row>
    <row r="42" spans="1:254" x14ac:dyDescent="0.2">
      <c r="A42" t="str">
        <f>CONCATENATE("Цепи (",РГО!B7," м.п.)")</f>
        <v>Цепи (14 м.п.)</v>
      </c>
      <c r="B42" s="4"/>
      <c r="C42" s="209">
        <f ca="1">РГО!B8</f>
        <v>56350</v>
      </c>
      <c r="D42" s="209">
        <f t="shared" ca="1" si="0"/>
        <v>67620</v>
      </c>
    </row>
    <row r="43" spans="1:254" x14ac:dyDescent="0.2">
      <c r="A43" t="s">
        <v>174</v>
      </c>
      <c r="B43" s="4"/>
      <c r="C43" s="209">
        <f ca="1">РГО!B10</f>
        <v>77050</v>
      </c>
      <c r="D43" s="209">
        <f t="shared" ca="1" si="0"/>
        <v>92460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110081.3</v>
      </c>
      <c r="D46" s="209">
        <f t="shared" ca="1" si="0"/>
        <v>132097.56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10708</v>
      </c>
      <c r="D47" s="209">
        <f t="shared" ca="1" si="0"/>
        <v>12849.6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595619</v>
      </c>
      <c r="D49" s="214">
        <f ca="1">C49*1.2</f>
        <v>714742.79999999993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1131677</v>
      </c>
      <c r="D53" s="222">
        <f ca="1">ROUNDUP(D49*B53,0)</f>
        <v>1358012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1131677</v>
      </c>
      <c r="D57" s="225">
        <f ca="1">D53+D55</f>
        <v>1358012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536058</v>
      </c>
      <c r="D58" s="233">
        <f ca="1">D57-D55-D49</f>
        <v>643269.20000000007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1131677</v>
      </c>
      <c r="D62" s="241">
        <f ca="1">D57/(1-B60*(1+B61))</f>
        <v>1358012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1131677</v>
      </c>
      <c r="D64" s="205">
        <f ca="1">D62</f>
        <v>1358012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600</v>
      </c>
      <c r="D9" s="82">
        <f>IF(C9&lt;=750,ROUND(C9/50,0)*50,ROUND(C9/100,0)*100)</f>
        <v>600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800</v>
      </c>
      <c r="D10" s="82">
        <f>CEILING(C10,100)</f>
        <v>800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1500</v>
      </c>
      <c r="D11" s="83">
        <f>IF(AND(C11&gt;0,C11&lt;=850),850,IF(AND(C11&gt;850,C11&lt;=1200),1200,IF(AND(C11&gt;1200,C11=1500),1500,"Ннестандарт")))</f>
        <v>1500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85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12</v>
      </c>
      <c r="D12" s="84">
        <f>C12</f>
        <v>12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500</v>
      </c>
      <c r="D13" s="87">
        <f>IF(C10&lt;=1200,C10,C10-250)</f>
        <v>800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600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800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8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21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21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220.77549999999999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3.2966666666666664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204.43068499999998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20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0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9.059333333333333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24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63169.081664999998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63170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369.4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12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4080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345</v>
      </c>
      <c r="D3" s="401" t="s">
        <v>17</v>
      </c>
      <c r="E3" s="404">
        <f>Цена!B16</f>
        <v>600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440</v>
      </c>
      <c r="D4" s="401" t="s">
        <v>18</v>
      </c>
      <c r="E4" s="404">
        <f>Цена!C16</f>
        <v>800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90200</v>
      </c>
      <c r="D5" s="401" t="s">
        <v>391</v>
      </c>
      <c r="E5" s="404">
        <f>Цена!D16</f>
        <v>1500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12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14</v>
      </c>
      <c r="D7" s="401" t="s">
        <v>396</v>
      </c>
      <c r="E7" s="408">
        <f>Цена!D20</f>
        <v>3350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56350</v>
      </c>
      <c r="D8" s="401" t="s">
        <v>397</v>
      </c>
      <c r="E8" s="408">
        <f>Цена!D21</f>
        <v>2700</v>
      </c>
    </row>
    <row r="9" spans="1:17" s="440" customFormat="1" ht="30" x14ac:dyDescent="0.2">
      <c r="A9" s="438" t="s">
        <v>385</v>
      </c>
      <c r="B9" s="439">
        <f ca="1">OFFSET(L9,MATCH(1,Q10:Q15,0),1,1,1)</f>
        <v>811</v>
      </c>
      <c r="D9" s="440" t="s">
        <v>395</v>
      </c>
      <c r="E9" s="441">
        <f>Цена!D22</f>
        <v>800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77050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1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238833.16666666666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66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80</v>
      </c>
      <c r="C80" s="408"/>
      <c r="D80" s="408" t="s">
        <v>471</v>
      </c>
      <c r="E80" s="449">
        <f>IF(E15=55,55,IF(E15=66,66,IF(E15=68,67)))</f>
        <v>66</v>
      </c>
      <c r="K80" s="450">
        <f>IF(E80=55,1,0)</f>
        <v>0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1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1125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106875</v>
      </c>
    </row>
    <row r="84" spans="1:13" x14ac:dyDescent="0.2">
      <c r="A84" s="401" t="s">
        <v>90</v>
      </c>
      <c r="B84" s="458">
        <f ca="1">ROUND(B83*E17,1)</f>
        <v>3206.3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110081.3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600.800.1500.12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- 350 м3/ч.; прозор - 12 мм.; ширина канала - 600 мм.; глубина канала - 800 мм.; высота выгрузки отбросов - 1500 мм.; вес решетки в сборе - 410 кг.; привод - 0,37 кВт.; IP 66; 380 В; 50 Гц;  материал исполнения - AISI 201; в комплекте с ШУ и ВПУ.</v>
      </c>
      <c r="C2" s="110">
        <f ca="1">C11</f>
        <v>410</v>
      </c>
      <c r="D2" s="108">
        <f ca="1">C12</f>
        <v>0.37</v>
      </c>
      <c r="E2" s="108">
        <v>1</v>
      </c>
      <c r="F2" s="110">
        <f ca="1">MROUND(Цена!C49,100)</f>
        <v>595600</v>
      </c>
      <c r="G2" s="110">
        <f ca="1">F2*E2</f>
        <v>595600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600.800.1500.12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350</v>
      </c>
      <c r="D6" t="s">
        <v>112</v>
      </c>
      <c r="E6" t="str">
        <f>CONCATENATE(B6," ",C6," ",D6,".;")</f>
        <v>Максимальная производительность - 350 м3/ч.;</v>
      </c>
    </row>
    <row r="7" spans="1:8" x14ac:dyDescent="0.2">
      <c r="B7" s="186" t="s">
        <v>279</v>
      </c>
      <c r="C7" s="110">
        <f>Цена!E16</f>
        <v>12</v>
      </c>
      <c r="D7" t="s">
        <v>166</v>
      </c>
      <c r="E7" t="str">
        <f>CONCATENATE(B7," ",C7," ",D7,";")</f>
        <v>прозор - 12 мм.;</v>
      </c>
    </row>
    <row r="8" spans="1:8" x14ac:dyDescent="0.2">
      <c r="B8" s="186" t="s">
        <v>280</v>
      </c>
      <c r="C8" s="110">
        <f>Цена!B16</f>
        <v>600</v>
      </c>
      <c r="D8" t="s">
        <v>166</v>
      </c>
      <c r="E8" t="str">
        <f>CONCATENATE(B8," ",C8," ",D8,";")</f>
        <v>ширина канала - 600 мм.;</v>
      </c>
    </row>
    <row r="9" spans="1:8" x14ac:dyDescent="0.2">
      <c r="B9" s="186" t="s">
        <v>281</v>
      </c>
      <c r="C9" s="110">
        <f>Цена!C16</f>
        <v>800</v>
      </c>
      <c r="D9" t="s">
        <v>166</v>
      </c>
      <c r="E9" t="str">
        <f>CONCATENATE(B9," ",C9," ",D9,";")</f>
        <v>глубина канала - 800 мм.;</v>
      </c>
    </row>
    <row r="10" spans="1:8" x14ac:dyDescent="0.2">
      <c r="B10" s="186" t="s">
        <v>282</v>
      </c>
      <c r="C10" s="110">
        <f>Цена!D16</f>
        <v>1500</v>
      </c>
      <c r="D10" t="s">
        <v>166</v>
      </c>
      <c r="E10" t="str">
        <f>CONCATENATE(B10," ",C10," ",D10,";")</f>
        <v>высота выгрузки отбросов - 1500 мм.;</v>
      </c>
    </row>
    <row r="11" spans="1:8" x14ac:dyDescent="0.2">
      <c r="B11" s="186" t="s">
        <v>283</v>
      </c>
      <c r="C11" s="110">
        <f ca="1">Цена!D19</f>
        <v>410</v>
      </c>
      <c r="D11" t="s">
        <v>169</v>
      </c>
      <c r="E11" t="str">
        <f ca="1">CONCATENATE(B11," ",C11," ",D11,";")</f>
        <v>вес решетки в сборе - 410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66; 380 В; 50 Гц; </v>
      </c>
    </row>
    <row r="13" spans="1:8" x14ac:dyDescent="0.2">
      <c r="B13" s="186"/>
      <c r="C13" s="110" t="str">
        <f>CONCATENATE("IP ",Цена!D25)</f>
        <v>IP 66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8632</v>
      </c>
    </row>
    <row r="22" spans="2:15" x14ac:dyDescent="0.2">
      <c r="B22" s="186" t="s">
        <v>288</v>
      </c>
      <c r="C22" s="283"/>
      <c r="D22" s="283" t="str">
        <f>CONCATENATE("ТКП №",Цена!I3)</f>
        <v>ТКП №8632 Кашира Pepsico 15.02.22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600.800.1500.12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12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600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800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1500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2420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65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66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350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410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0</v>
      </c>
      <c r="B101" s="474" t="str">
        <f>Цена!B10</f>
        <v/>
      </c>
      <c r="C101" s="110">
        <f ca="1">MROUND((Цена!C49-Спецификация!D101),5)</f>
        <v>443885</v>
      </c>
      <c r="D101" s="110">
        <f ca="1">IF(Цена!D26="Нет",0,MROUND((Цена!C46*(1+Цена!B47))+Цена!C35*(1+Цена!B36),5))</f>
        <v>151735</v>
      </c>
      <c r="E101" s="110">
        <f ca="1">Спецификация!C2</f>
        <v>410</v>
      </c>
      <c r="F101" s="108" t="str">
        <f>CONCATENATE("IP ",Цена!D25)</f>
        <v>IP 66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600.800.1500.12</v>
      </c>
      <c r="B118" s="481">
        <f ca="1">C101</f>
        <v>443885</v>
      </c>
      <c r="C118" s="482">
        <f>ROUNDUP(ФОТ!K29,0)</f>
        <v>205</v>
      </c>
      <c r="D118" s="482">
        <f ca="1">ФОТ!C51</f>
        <v>12</v>
      </c>
      <c r="E118" s="482">
        <f ca="1">IF(B118=0,0,(C118+D118)*Параметры!B3*(1+Параметры!B4))</f>
        <v>189089.46000000002</v>
      </c>
      <c r="F118" s="482">
        <f ca="1">B118-E118</f>
        <v>254795.53999999998</v>
      </c>
      <c r="G118" s="477" t="str">
        <f ca="1">CONCATENATE(A118," (",H101,"; ",G101," кВт.; ",F101,")")</f>
        <v>РТО 600.800.1500.12 (AISI 201; 0,37 кВт.; IP 66)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151735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113383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66)</v>
      </c>
    </row>
    <row r="120" spans="1:7" s="477" customFormat="1" x14ac:dyDescent="0.2"/>
    <row r="121" spans="1:7" s="477" customFormat="1" x14ac:dyDescent="0.2">
      <c r="B121" s="481">
        <f ca="1">SUM(B118:B119)</f>
        <v>595620</v>
      </c>
      <c r="C121" s="483">
        <f ca="1">SUM(C118:C119)</f>
        <v>245</v>
      </c>
      <c r="D121" s="483">
        <f ca="1">SUM(D118:D119)</f>
        <v>12</v>
      </c>
      <c r="E121" s="483">
        <f ca="1">SUM(E118:E119)</f>
        <v>227441.46000000002</v>
      </c>
      <c r="F121" s="483">
        <f ca="1">SUM(F118:F119)</f>
        <v>368178.54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8632</v>
      </c>
    </row>
    <row r="2" spans="1:3" x14ac:dyDescent="0.2">
      <c r="A2" s="503" t="s">
        <v>506</v>
      </c>
      <c r="B2" s="504" t="s">
        <v>507</v>
      </c>
      <c r="C2" s="499" t="str">
        <f>CONCATENATE(Цена!B6," ",Цена!B7)</f>
        <v>Кашира Pepsico</v>
      </c>
    </row>
    <row r="3" spans="1:3" x14ac:dyDescent="0.2">
      <c r="A3" s="503" t="s">
        <v>509</v>
      </c>
      <c r="B3" s="504" t="s">
        <v>508</v>
      </c>
      <c r="C3" s="499" t="str">
        <f>Цена!B4</f>
        <v>Ахметшин Ю. М.</v>
      </c>
    </row>
    <row r="4" spans="1:3" x14ac:dyDescent="0.2">
      <c r="A4" s="503" t="s">
        <v>511</v>
      </c>
      <c r="B4" s="504" t="s">
        <v>510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512</v>
      </c>
      <c r="B5" s="504" t="s">
        <v>513</v>
      </c>
      <c r="C5" s="499">
        <f ca="1">YEAR(TODAY())</f>
        <v>2022</v>
      </c>
    </row>
    <row r="6" spans="1:3" x14ac:dyDescent="0.2">
      <c r="A6" s="503" t="s">
        <v>514</v>
      </c>
      <c r="B6" s="504" t="s">
        <v>515</v>
      </c>
      <c r="C6" s="499" t="str">
        <f>Цена!B2</f>
        <v>15.02.2022</v>
      </c>
    </row>
    <row r="7" spans="1:3" x14ac:dyDescent="0.2">
      <c r="A7" s="503" t="s">
        <v>519</v>
      </c>
      <c r="B7" s="504" t="s">
        <v>518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525</v>
      </c>
      <c r="C8" s="500" t="str">
        <f>Цена!I4</f>
        <v>РТО 600.800.1500.12</v>
      </c>
    </row>
    <row r="9" spans="1:3" x14ac:dyDescent="0.2">
      <c r="A9" s="503"/>
      <c r="B9" s="505" t="s">
        <v>521</v>
      </c>
      <c r="C9" s="500" t="str">
        <f>C8</f>
        <v>РТО 600.800.1500.12</v>
      </c>
    </row>
    <row r="10" spans="1:3" x14ac:dyDescent="0.2">
      <c r="A10" s="503"/>
      <c r="B10" s="505" t="s">
        <v>520</v>
      </c>
      <c r="C10" s="500" t="str">
        <f>C8</f>
        <v>РТО 600.800.1500.12</v>
      </c>
    </row>
    <row r="11" spans="1:3" x14ac:dyDescent="0.2">
      <c r="A11" s="503"/>
      <c r="B11" s="505" t="s">
        <v>522</v>
      </c>
      <c r="C11" s="500" t="str">
        <f>C8</f>
        <v>РТО 600.800.1500.12</v>
      </c>
    </row>
    <row r="12" spans="1:3" x14ac:dyDescent="0.2">
      <c r="A12" s="503"/>
      <c r="B12" s="505" t="s">
        <v>523</v>
      </c>
      <c r="C12" s="500" t="str">
        <f>C8</f>
        <v>РТО 600.800.1500.12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524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12</v>
      </c>
    </row>
    <row r="16" spans="1:3" x14ac:dyDescent="0.2">
      <c r="A16" s="503" t="s">
        <v>292</v>
      </c>
      <c r="B16" s="504" t="s">
        <v>306</v>
      </c>
      <c r="C16" s="499">
        <f>Цена!B16</f>
        <v>600</v>
      </c>
    </row>
    <row r="17" spans="1:3" x14ac:dyDescent="0.2">
      <c r="A17" s="503" t="s">
        <v>293</v>
      </c>
      <c r="B17" s="504" t="s">
        <v>307</v>
      </c>
      <c r="C17" s="499">
        <f>Цена!C16</f>
        <v>800</v>
      </c>
    </row>
    <row r="18" spans="1:3" x14ac:dyDescent="0.2">
      <c r="A18" s="503" t="s">
        <v>294</v>
      </c>
      <c r="B18" s="504" t="s">
        <v>308</v>
      </c>
      <c r="C18" s="499">
        <f>Цена!D16</f>
        <v>1500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2420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505</v>
      </c>
      <c r="C21" s="500" t="str">
        <f ca="1">OFFSET(РГО!L79,MATCH(1,РГО!K80:K82,0),0,1,1)</f>
        <v>IP 66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66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350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410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526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528</v>
      </c>
      <c r="B31" s="506" t="s">
        <v>527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2022-02-15T16:11:47Z</dcterms:modified>
</cp:coreProperties>
</file>