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7" i="16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3" i="14"/>
  <c r="D42" i="14" s="1"/>
  <c r="C10" i="14"/>
  <c r="D30" i="14" s="1"/>
  <c r="C9" i="14"/>
  <c r="D31" i="14" s="1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O28" i="6" s="1"/>
  <c r="O27" i="6" s="1"/>
  <c r="O26" i="6" s="1"/>
  <c r="O25" i="6" s="1"/>
  <c r="O24" i="6" s="1"/>
  <c r="O23" i="6" s="1"/>
  <c r="O22" i="6" s="1"/>
  <c r="O21" i="6" s="1"/>
  <c r="D37" i="14"/>
  <c r="K86" i="16"/>
  <c r="I30" i="6"/>
  <c r="I42" i="6" s="1"/>
  <c r="K25" i="6"/>
  <c r="K26" i="6" s="1"/>
  <c r="K27" i="6" s="1"/>
  <c r="K28" i="6" s="1"/>
  <c r="K29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N28" i="6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L28" i="6"/>
  <c r="L29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C31" i="13"/>
  <c r="D16" i="13"/>
  <c r="D72" i="6"/>
  <c r="K80" i="16"/>
  <c r="K81" i="16"/>
  <c r="K84" i="16"/>
  <c r="B79" i="16" s="1"/>
  <c r="D32" i="14" l="1"/>
  <c r="K82" i="16"/>
  <c r="C21" i="18"/>
  <c r="E10" i="14"/>
  <c r="D64" i="6"/>
  <c r="E9" i="14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M26" i="6"/>
  <c r="M25" i="6" s="1"/>
  <c r="M24" i="6" s="1"/>
  <c r="M23" i="6" s="1"/>
  <c r="M22" i="6" s="1"/>
  <c r="M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L18" i="8"/>
  <c r="M18" i="8" s="1"/>
  <c r="N18" i="8" s="1"/>
  <c r="Q12" i="16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G53" i="6"/>
  <c r="G54" i="6" s="1"/>
  <c r="E53" i="6"/>
  <c r="E54" i="6" s="1"/>
  <c r="H53" i="6"/>
  <c r="H54" i="6" s="1"/>
  <c r="F53" i="6"/>
  <c r="F54" i="6" s="1"/>
  <c r="D63" i="6" s="1"/>
  <c r="D75" i="6" s="1"/>
  <c r="B3" i="16" s="1"/>
  <c r="B4" i="16" s="1"/>
  <c r="B5" i="1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74" i="6" l="1"/>
  <c r="D19" i="12" s="1"/>
  <c r="C11" i="14" s="1"/>
  <c r="D36" i="14" s="1"/>
  <c r="C41" i="12"/>
  <c r="C47" i="12" s="1"/>
  <c r="D47" i="12" s="1"/>
  <c r="B13" i="16"/>
  <c r="D70" i="6"/>
  <c r="D18" i="12" s="1"/>
  <c r="C48" i="13" s="1"/>
  <c r="C51" i="13" s="1"/>
  <c r="C22" i="19"/>
  <c r="C25" i="19" s="1"/>
  <c r="G101" i="14"/>
  <c r="G118" i="14" s="1"/>
  <c r="D35" i="14"/>
  <c r="K29" i="13"/>
  <c r="E119" i="14"/>
  <c r="F119" i="14" s="1"/>
  <c r="C25" i="18" l="1"/>
  <c r="E11" i="14"/>
  <c r="B2" i="14" s="1"/>
  <c r="C39" i="12"/>
  <c r="C2" i="14"/>
  <c r="E101" i="14" s="1"/>
  <c r="D41" i="12"/>
  <c r="D39" i="12" s="1"/>
  <c r="C54" i="13"/>
  <c r="C34" i="12" s="1"/>
  <c r="B34" i="12" s="1"/>
  <c r="D118" i="14"/>
  <c r="D121" i="14" s="1"/>
  <c r="C21" i="19"/>
  <c r="C118" i="14"/>
  <c r="C121" i="14" s="1"/>
  <c r="K34" i="13"/>
  <c r="C37" i="13" s="1"/>
  <c r="C33" i="12" s="1"/>
  <c r="B33" i="12" l="1"/>
  <c r="C36" i="12"/>
  <c r="C31" i="12" s="1"/>
  <c r="C49" i="12" s="1"/>
  <c r="D49" i="12" l="1"/>
  <c r="D53" i="12" s="1"/>
  <c r="D57" i="12" s="1"/>
  <c r="C53" i="12"/>
  <c r="C57" i="12" s="1"/>
  <c r="F2" i="14"/>
  <c r="G2" i="14" s="1"/>
  <c r="C101" i="14"/>
  <c r="B118" i="14" s="1"/>
  <c r="C20" i="19" l="1"/>
  <c r="B121" i="14"/>
  <c r="E118" i="14"/>
  <c r="E121" i="14" s="1"/>
  <c r="C58" i="12"/>
  <c r="C62" i="12"/>
  <c r="D62" i="12"/>
  <c r="D58" i="12"/>
  <c r="F118" i="14" l="1"/>
  <c r="F121" i="14" s="1"/>
  <c r="D64" i="12"/>
  <c r="D60" i="12"/>
  <c r="D61" i="12" s="1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<sst xmlns="http://schemas.openxmlformats.org/spreadsheetml/2006/main" count="835" uniqueCount="578">
  <si>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</si>
  <si>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</si>
  <si>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</si>
  <si>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</si>
  <si>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</si>
  <si>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</si>
  <si>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</si>
  <si>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</si>
  <si>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</si>
  <si>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</si>
  <si>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</si>
  <si>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</si>
  <si>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</si>
  <si>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</si>
  <si>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</si>
  <si>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</si>
  <si>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</si>
  <si>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</si>
  <si>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</si>
  <si>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</si>
  <si>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</si>
  <si>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</si>
  <si>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</si>
  <si>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</si>
  <si>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</si>
  <si>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</si>
  <si>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</si>
  <si>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</si>
  <si>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</si>
  <si>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</si>
  <si>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</si>
  <si>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</si>
  <si>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</si>
  <si>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</si>
  <si>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</si>
  <si>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</si>
  <si>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</si>
  <si>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</si>
  <si>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</si>
  <si>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</si>
  <si>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</si>
  <si>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</si>
  <si>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</si>
  <si>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</si>
  <si>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</si>
  <si>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</si>
  <si>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</si>
  <si>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</si>
  <si>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</si>
  <si>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</si>
  <si>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</si>
  <si>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</si>
  <si>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</si>
  <si>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</si>
  <si>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</si>
  <si>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</si>
  <si>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</si>
  <si>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</si>
  <si>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</si>
  <si>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</si>
  <si>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</si>
  <si>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</si>
  <si>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</si>
  <si>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</si>
  <si>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</si>
  <si>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</si>
  <si>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</si>
  <si>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</si>
  <si>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</si>
  <si>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</si>
  <si>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</si>
  <si>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</si>
  <si>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</si>
  <si>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</si>
  <si>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</si>
  <si>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</si>
  <si>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</si>
  <si>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</si>
  <si>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</si>
  <si>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</si>
  <si>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</si>
  <si>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</si>
  <si>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</si>
  <si>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</si>
  <si>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</si>
  <si>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</si>
  <si>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</si>
  <si>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</si>
  <si>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</si>
  <si>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</si>
  <si>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</si>
  <si>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</si>
  <si>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</si>
  <si>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</si>
  <si>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</si>
  <si>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</si>
  <si>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</si>
  <si>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</si>
  <si>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</si>
  <si>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</si>
  <si>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</si>
  <si>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</si>
  <si>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</si>
  <si>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</si>
  <si>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</si>
  <si>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</si>
  <si>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</si>
  <si>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</si>
  <si>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</si>
  <si>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</si>
  <si>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</si>
  <si>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</si>
  <si>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</si>
  <si>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</si>
  <si>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</si>
  <si>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</si>
  <si>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</si>
  <si>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</si>
  <si>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</si>
  <si>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</si>
  <si>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</si>
  <si>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</si>
  <si>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</si>
  <si>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</si>
  <si>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</si>
  <si>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</si>
  <si>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</si>
  <si>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</si>
  <si>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</si>
  <si>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</si>
  <si>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</si>
  <si>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</si>
  <si>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</si>
  <si>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</si>
  <si>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</si>
  <si>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</si>
  <si>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</si>
  <si>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</si>
  <si>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</si>
  <si>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</si>
  <si>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</si>
  <si>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</si>
  <si>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</si>
  <si>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</si>
  <si>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</si>
  <si>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</si>
  <si>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</si>
  <si>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</si>
  <si>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</si>
  <si>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</si>
  <si>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</si>
  <si>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</si>
  <si>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</si>
  <si>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</si>
  <si>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</si>
  <si>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</si>
  <si>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</si>
  <si>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</si>
  <si>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</si>
  <si>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</si>
  <si>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</si>
  <si>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</si>
  <si>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</si>
  <si>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</si>
  <si>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</si>
  <si>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</si>
  <si>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</si>
  <si>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</si>
  <si>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</si>
  <si>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</si>
  <si>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</si>
  <si>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</si>
  <si>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</si>
  <si>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</si>
  <si>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</si>
  <si>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</si>
  <si>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</si>
  <si>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</si>
  <si>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</si>
  <si>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</si>
  <si>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</si>
  <si>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</si>
  <si>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</si>
  <si>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</si>
  <si>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</si>
  <si>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</si>
  <si>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</si>
  <si>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</si>
  <si>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</si>
  <si>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</si>
  <si>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</si>
  <si>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</si>
  <si>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</si>
  <si>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</si>
  <si>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</si>
  <si>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</si>
  <si>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</si>
  <si>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</si>
  <si>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</si>
  <si>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</si>
  <si>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</si>
  <si>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</si>
  <si>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</si>
  <si>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</si>
  <si>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</si>
  <si>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</si>
  <si>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</si>
  <si>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</si>
  <si>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</si>
  <si>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</si>
  <si>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</si>
  <si>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</si>
  <si>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</si>
  <si>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</si>
  <si>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</si>
  <si>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</si>
  <si>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</si>
  <si>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</si>
  <si>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</si>
  <si>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</si>
  <si>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</si>
  <si>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</si>
  <si>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</si>
  <si>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</si>
  <si>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</si>
  <si>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</si>
  <si>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</si>
  <si>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</si>
  <si>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</si>
  <si>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</si>
  <si>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</si>
  <si>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</si>
  <si>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</si>
  <si>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</si>
  <si>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</si>
  <si>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</si>
  <si>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</si>
  <si>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</si>
  <si>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</si>
  <si>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</si>
  <si>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</si>
  <si>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</si>
  <si>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</si>
  <si>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</si>
  <si>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</si>
  <si>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</si>
  <si>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</si>
  <si>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</si>
  <si>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</si>
  <si>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</si>
  <si>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</si>
  <si>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</si>
  <si>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</si>
  <si>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</si>
  <si>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</si>
  <si>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</si>
  <si>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</si>
  <si>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</si>
  <si>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</si>
  <si>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</si>
  <si>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</si>
  <si>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</si>
  <si>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</si>
  <si>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</si>
  <si>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</si>
  <si>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</si>
  <si>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</si>
  <si>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</si>
  <si>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</si>
  <si>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</si>
  <si>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</si>
  <si>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</si>
  <si>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</si>
  <si>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</si>
  <si>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</si>
  <si>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</si>
  <si>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</si>
  <si>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</si>
  <si>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</si>
  <si>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</si>
  <si>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</si>
  <si>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</si>
  <si>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</si>
  <si>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</si>
  <si>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</si>
  <si>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</si>
  <si>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</si>
  <si>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</si>
  <si>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</si>
  <si>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</si>
  <si>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</si>
  <si>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</si>
  <si>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</si>
  <si>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</si>
  <si>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</si>
  <si>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</si>
  <si>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</si>
  <si>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</si>
  <si>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</si>
  <si>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</si>
  <si>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</si>
  <si>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</si>
  <si>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</si>
  <si>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</si>
  <si>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</si>
  <si>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</si>
  <si>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</si>
  <si>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</si>
  <si>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</si>
  <si>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</si>
  <si>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</si>
  <si>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</si>
  <si>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</si>
  <si>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</si>
  <si>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</si>
  <si>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</si>
  <si>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</si>
  <si>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</si>
  <si>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</si>
  <si>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</si>
  <si>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</si>
  <si>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</si>
  <si>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</si>
  <si>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</si>
  <si>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</si>
  <si>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</si>
  <si>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</si>
  <si>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</si>
  <si>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</si>
  <si>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</si>
  <si>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</si>
  <si>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</si>
  <si>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</si>
  <si>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</si>
  <si>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</si>
  <si>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</si>
  <si>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</si>
  <si>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</si>
  <si>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</si>
  <si>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</si>
  <si>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</si>
  <si>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</si>
  <si>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</si>
  <si>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</si>
  <si>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</si>
  <si>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</si>
  <si>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</si>
  <si>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</si>
  <si>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</si>
  <si>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</si>
  <si>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</si>
  <si>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</si>
  <si>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</si>
  <si>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</si>
  <si>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</si>
  <si>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</si>
  <si>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</si>
  <si>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</si>
  <si>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</si>
  <si>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</si>
  <si>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</si>
  <si>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</si>
  <si>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</si>
  <si>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</si>
  <si>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</si>
  <si>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</si>
  <si>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</si>
  <si>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</si>
  <si>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</si>
  <si>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</si>
  <si>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</si>
  <si>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</si>
  <si>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</si>
  <si>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</si>
  <si>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</si>
  <si>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</si>
  <si>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</si>
  <si>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</si>
  <si>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</si>
  <si>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</si>
  <si>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</si>
  <si>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</si>
  <si>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</si>
  <si>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</si>
  <si>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</si>
  <si>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</si>
  <si>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</si>
  <si>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</si>
  <si>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</si>
  <si>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</si>
  <si>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</si>
  <si>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</si>
  <si>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</si>
  <si>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</si>
  <si>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</si>
  <si>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</si>
  <si>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</si>
  <si>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</si>
  <si>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</si>
  <si>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</si>
  <si>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</si>
  <si>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</si>
  <si>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</si>
  <si>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</si>
  <si>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</si>
  <si>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</si>
  <si>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</si>
  <si>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</si>
  <si>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</si>
  <si>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</si>
  <si>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</si>
  <si>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</si>
  <si>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</si>
  <si>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</si>
  <si>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</si>
  <si>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</si>
  <si>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</si>
  <si>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</si>
  <si>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</si>
  <si>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</si>
  <si>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</si>
  <si>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</si>
  <si>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</si>
  <si>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</si>
  <si>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</si>
  <si>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</si>
  <si>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</si>
  <si>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</si>
  <si>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</si>
  <si>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</si>
  <si>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</si>
  <si>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</si>
  <si>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</si>
  <si>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</si>
  <si>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</si>
  <si>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</si>
  <si>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</si>
  <si>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</si>
  <si>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</si>
  <si>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</si>
  <si>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</si>
  <si>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</si>
  <si>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</si>
  <si>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</si>
  <si>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</si>
  <si>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</si>
  <si>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</si>
  <si>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</si>
  <si>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</si>
  <si>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</si>
  <si>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</si>
  <si>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</si>
  <si>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</si>
  <si>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</si>
  <si>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</si>
  <si>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</si>
  <si>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</si>
  <si>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</si>
  <si>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</si>
  <si>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</si>
  <si>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</si>
  <si>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</si>
  <si>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</si>
  <si>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</si>
  <si>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</si>
  <si>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</si>
  <si>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</si>
  <si>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</si>
  <si>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</si>
  <si>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</si>
  <si>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</si>
  <si>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</si>
  <si>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</si>
  <si>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</si>
  <si>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</si>
  <si>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</si>
  <si>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</si>
  <si>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</si>
  <si>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</si>
  <si>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</si>
  <si>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</si>
  <si>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</si>
  <si>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</si>
  <si>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</si>
  <si>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</si>
  <si>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</si>
  <si>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</si>
  <si>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</si>
  <si>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</si>
  <si>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</si>
  <si>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</si>
  <si>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</si>
  <si>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</si>
  <si>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</si>
  <si>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</si>
  <si>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</si>
  <si>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</si>
  <si>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</si>
  <si>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</si>
  <si>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</si>
  <si>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</si>
  <si>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</si>
  <si>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</si>
  <si>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</si>
  <si>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</si>
  <si>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</si>
  <si>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</si>
  <si>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</si>
  <si>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</si>
  <si>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</si>
  <si>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</si>
  <si>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</si>
  <si>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</si>
  <si>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</si>
  <si>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</si>
  <si>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</si>
  <si>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</si>
  <si>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</si>
  <si>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</si>
  <si>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</si>
  <si>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</si>
  <si>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</si>
  <si>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</si>
  <si>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</si>
  <si>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</si>
  <si>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</si>
  <si>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</si>
  <si>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</si>
  <si>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</si>
  <si>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</si>
  <si>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</si>
  <si>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</si>
  <si>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</si>
  <si>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</si>
  <si>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</si>
  <si>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</si>
  <si>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</si>
  <si>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</si>
  <si>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</si>
  <si>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</si>
  <si>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</si>
  <si>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</si>
  <si>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</si>
  <si>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</si>
  <si>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</si>
  <si>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</si>
  <si>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</si>
  <si>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</si>
  <si>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</si>
  <si>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</si>
  <si>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</si>
  <si>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</si>
  <si>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</si>
  <si>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</si>
  <si>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</si>
  <si>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</si>
  <si>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</si>
  <si>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</si>
  <si>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</si>
  <si>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</si>
  <si>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</si>
  <si>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</si>
  <si>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</si>
  <si>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</si>
  <si>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</si>
  <si>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</si>
  <si>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</si>
  <si>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</si>
  <si>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</si>
  <si>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</si>
  <si>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16.02.2022</t>
  </si>
  <si>
    <t>Ахметшин Ю. М.</t>
  </si>
  <si>
    <t>Казахстан</t>
  </si>
  <si>
    <t>Харьков</t>
  </si>
  <si>
    <t>КБОД</t>
  </si>
  <si>
    <t>Вторичные отстойники</t>
  </si>
  <si>
    <t/>
  </si>
  <si>
    <t>НПФ Экополимер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</si>
</sst>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567</v>
      </c>
      <c r="B1" s="504" t="s">
        <v>568</v>
      </c>
      <c r="C1" s="499">
        <v>2</v>
      </c>
    </row>
    <row r="2" spans="1:3" s="71" customFormat="1" x14ac:dyDescent="0.2">
      <c r="A2" s="503" t="s">
        <v>564</v>
      </c>
      <c r="B2" s="504" t="s">
        <v>563</v>
      </c>
      <c r="C2" s="499">
        <v>1</v>
      </c>
    </row>
    <row r="3" spans="1:3" s="71" customFormat="1" x14ac:dyDescent="0.2">
      <c r="A3" s="503" t="s">
        <v>98</v>
      </c>
      <c r="B3" s="504" t="s">
        <v>527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528</v>
      </c>
      <c r="C4" s="499" t="str">
        <f>Цена!B5</f>
        <v>Казахстан</v>
      </c>
    </row>
    <row r="5" spans="1:3" s="71" customFormat="1" x14ac:dyDescent="0.2">
      <c r="A5" s="503" t="s">
        <v>549</v>
      </c>
      <c r="B5" s="504" t="s">
        <v>529</v>
      </c>
      <c r="C5" s="499" t="str">
        <f>Цена!B6</f>
        <v>Харьков</v>
      </c>
    </row>
    <row r="6" spans="1:3" s="71" customFormat="1" x14ac:dyDescent="0.2">
      <c r="A6" s="503" t="s">
        <v>100</v>
      </c>
      <c r="B6" s="504" t="s">
        <v>530</v>
      </c>
      <c r="C6" s="499" t="str">
        <f>Цена!B7</f>
        <v>КБОД</v>
      </c>
    </row>
    <row r="7" spans="1:3" s="71" customFormat="1" x14ac:dyDescent="0.2">
      <c r="A7" s="503" t="s">
        <v>182</v>
      </c>
      <c r="B7" s="504" t="s">
        <v>531</v>
      </c>
      <c r="C7" s="499" t="str">
        <f>Цена!B10</f>
        <v/>
      </c>
    </row>
    <row r="8" spans="1:3" s="71" customFormat="1" x14ac:dyDescent="0.2">
      <c r="A8" s="503" t="s">
        <v>550</v>
      </c>
      <c r="B8" s="504" t="s">
        <v>532</v>
      </c>
      <c r="C8" s="499" t="str">
        <f>Цена!B11</f>
        <v>НПФ Экополимер</v>
      </c>
    </row>
    <row r="9" spans="1:3" s="71" customFormat="1" x14ac:dyDescent="0.2">
      <c r="A9" s="503" t="s">
        <v>551</v>
      </c>
      <c r="B9" s="504" t="s">
        <v>533</v>
      </c>
      <c r="C9" s="499" t="str">
        <f>Цена!B8</f>
        <v>Вторичные отстойники</v>
      </c>
    </row>
    <row r="10" spans="1:3" s="71" customFormat="1" x14ac:dyDescent="0.2">
      <c r="A10" s="503" t="s">
        <v>552</v>
      </c>
      <c r="B10" s="504" t="s">
        <v>534</v>
      </c>
      <c r="C10" s="499">
        <f>Цена!B9</f>
        <v>8637</v>
      </c>
    </row>
    <row r="11" spans="1:3" s="71" customFormat="1" x14ac:dyDescent="0.2">
      <c r="A11" s="503" t="s">
        <v>91</v>
      </c>
      <c r="B11" s="504" t="s">
        <v>535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536</v>
      </c>
      <c r="C12" s="499">
        <f>Цена!B16</f>
        <v>550</v>
      </c>
    </row>
    <row r="13" spans="1:3" s="71" customFormat="1" x14ac:dyDescent="0.2">
      <c r="A13" s="503" t="s">
        <v>18</v>
      </c>
      <c r="B13" s="504" t="s">
        <v>537</v>
      </c>
      <c r="C13" s="499">
        <f>Цена!C16</f>
        <v>700</v>
      </c>
    </row>
    <row r="14" spans="1:3" s="71" customFormat="1" x14ac:dyDescent="0.2">
      <c r="A14" s="503" t="s">
        <v>553</v>
      </c>
      <c r="B14" s="504" t="s">
        <v>538</v>
      </c>
      <c r="C14" s="499">
        <f>Цена!D16</f>
        <v>1500</v>
      </c>
    </row>
    <row r="15" spans="1:3" s="71" customFormat="1" x14ac:dyDescent="0.2">
      <c r="A15" s="503" t="s">
        <v>554</v>
      </c>
      <c r="B15" s="504" t="s">
        <v>539</v>
      </c>
      <c r="C15" s="499" t="str">
        <f>CONCATENATE("IP ",Цена!D25)</f>
        <v>IP 66</v>
      </c>
    </row>
    <row r="16" spans="1:3" s="71" customFormat="1" x14ac:dyDescent="0.2">
      <c r="A16" s="503" t="s">
        <v>555</v>
      </c>
      <c r="B16" s="504" t="s">
        <v>540</v>
      </c>
      <c r="C16" s="499" t="str">
        <f>Цена!D24</f>
        <v>AISI 316</v>
      </c>
    </row>
    <row r="17" spans="1:3" s="71" customFormat="1" x14ac:dyDescent="0.2">
      <c r="A17" s="503" t="s">
        <v>556</v>
      </c>
      <c r="B17" s="504" t="s">
        <v>541</v>
      </c>
      <c r="C17" s="499" t="str">
        <f>Цена!D26</f>
        <v>Да</v>
      </c>
    </row>
    <row r="18" spans="1:3" s="71" customFormat="1" x14ac:dyDescent="0.2">
      <c r="A18" s="503" t="s">
        <v>557</v>
      </c>
      <c r="B18" s="504" t="s">
        <v>542</v>
      </c>
      <c r="C18" s="499" t="str">
        <f>Цена!D27</f>
        <v>ModBus RTU</v>
      </c>
    </row>
    <row r="19" spans="1:3" s="71" customFormat="1" x14ac:dyDescent="0.2">
      <c r="A19" s="503" t="s">
        <v>558</v>
      </c>
      <c r="B19" s="504" t="s">
        <v>543</v>
      </c>
      <c r="C19" s="499">
        <f ca="1">Спецификация!B119</f>
        <v>151735</v>
      </c>
    </row>
    <row r="20" spans="1:3" s="71" customFormat="1" x14ac:dyDescent="0.2">
      <c r="A20" s="503" t="s">
        <v>559</v>
      </c>
      <c r="B20" s="504" t="s">
        <v>544</v>
      </c>
      <c r="C20" s="499">
        <f ca="1">Спецификация!B118</f>
        <v>573905</v>
      </c>
    </row>
    <row r="21" spans="1:3" s="71" customFormat="1" x14ac:dyDescent="0.2">
      <c r="A21" s="503" t="s">
        <v>560</v>
      </c>
      <c r="B21" s="504" t="s">
        <v>545</v>
      </c>
      <c r="C21" s="499">
        <f ca="1">Спецификация!C2</f>
        <v>400</v>
      </c>
    </row>
    <row r="22" spans="1:3" s="71" customFormat="1" x14ac:dyDescent="0.2">
      <c r="A22" s="503" t="s">
        <v>561</v>
      </c>
      <c r="B22" s="504" t="s">
        <v>546</v>
      </c>
      <c r="C22" s="508">
        <f ca="1">Спецификация!D2</f>
        <v>0.37</v>
      </c>
    </row>
    <row r="23" spans="1:3" s="71" customFormat="1" x14ac:dyDescent="0.2">
      <c r="A23" s="503" t="s">
        <v>562</v>
      </c>
      <c r="B23" s="504" t="s">
        <v>547</v>
      </c>
      <c r="C23" s="499">
        <f>Спецификация!C6</f>
        <v>200</v>
      </c>
    </row>
    <row r="24" spans="1:3" s="71" customFormat="1" x14ac:dyDescent="0.2">
      <c r="A24" s="503" t="s">
        <v>268</v>
      </c>
      <c r="B24" s="504" t="s">
        <v>548</v>
      </c>
      <c r="C24" s="499" t="str">
        <f>Цена!I4</f>
        <v>РТО 550.700.1500.6</v>
      </c>
    </row>
    <row r="25" spans="1:3" ht="25.5" x14ac:dyDescent="0.2">
      <c r="A25" s="503" t="s">
        <v>566</v>
      </c>
      <c r="B25" s="504" t="s">
        <v>565</v>
      </c>
      <c r="C25" s="499" t="str">
        <f ca="1">CONCATENATE(C24," (",C16,"; ",C22," кВт.; ",C15,"; ",IF(C17="Да","с ШУ и ВПУ","без ШУ"),")")</f>
        <v>РТО 550.700.1500.6 (AISI 316; 0,37 кВт.; IP 66;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3</v>
      </c>
      <c r="F4">
        <f>E4+C4</f>
        <v>25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6</v>
      </c>
      <c r="F5">
        <f>E5+C5</f>
        <v>47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550.700.1500.6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550</v>
      </c>
      <c r="C16" s="65">
        <f>Цена!C16</f>
        <v>700</v>
      </c>
      <c r="D16" s="65">
        <f>Цена!D16</f>
        <v>1500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291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15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47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33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6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355.4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400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333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5.5489500000000011E-2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199.76220000000004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0.55000000000000004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0.7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0.39999999999999997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0.3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550</v>
      </c>
      <c r="I18" s="163">
        <f>((((ROUNDUP((((H18/2)-30)-1.5-G18-80)/(H3+$H$11),0))*(H3+$H$11))+1.5)*2)+160</f>
        <v>499</v>
      </c>
      <c r="J18" s="163">
        <f>H18-I18</f>
        <v>51</v>
      </c>
      <c r="K18" s="163">
        <f>J18/2</f>
        <v>25.5</v>
      </c>
      <c r="L18" s="163">
        <f>((((((((ROUNDUP((((H18/2)-30)-1.5-H3-80)/(H3+$H$11),0)))))+1)*(H3+$H$11))+1.5)*2)+160</f>
        <v>523</v>
      </c>
      <c r="M18" s="163">
        <f>H18-L18</f>
        <v>27</v>
      </c>
      <c r="N18" s="164">
        <f>M18/2</f>
        <v>13.5</v>
      </c>
      <c r="O18" s="165">
        <f>IF(K18&gt;50,L18,I18)</f>
        <v>499</v>
      </c>
      <c r="P18" s="166">
        <f>(((((ROUNDUP((((H18/2)-30)-1.5-H3-80)/(H3+$H$11),0))))))*2</f>
        <v>28</v>
      </c>
      <c r="Q18" s="166">
        <f>P18-1</f>
        <v>27</v>
      </c>
      <c r="R18" s="167">
        <f>($H$6-$H$8-$AR$3)*((H3/1000)*(Q18+1)+0.003)</f>
        <v>5.0445000000000004E-2</v>
      </c>
      <c r="S18" s="168">
        <f>R18*T18</f>
        <v>5.5489500000000011E-2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15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Харьков КБОД (8637) 16.02.22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8637 Харьков КБОД 16.02.22</v>
      </c>
      <c r="J3" s="622"/>
      <c r="K3" s="623"/>
      <c r="L3" s="624"/>
    </row>
    <row r="4" spans="1:254" x14ac:dyDescent="0.2">
      <c r="A4" s="182" t="s">
        <v>98</v>
      </c>
      <c r="B4" s="475" t="s">
        <v>571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550.700.1500.6</v>
      </c>
      <c r="J4" s="625"/>
      <c r="K4" s="626"/>
      <c r="L4" s="627"/>
    </row>
    <row r="5" spans="1:254" x14ac:dyDescent="0.2">
      <c r="A5" s="182" t="s">
        <v>168</v>
      </c>
      <c r="B5" s="475" t="s">
        <v>572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550.700.1500.6 (AISI 316; 0,37 кВт.; IP66;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573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575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8637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576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577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550</v>
      </c>
      <c r="C16" s="190">
        <v>700</v>
      </c>
      <c r="D16" s="191">
        <v>1500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355.4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400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3250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2600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700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569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237711.9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217 н.ч.</v>
      </c>
      <c r="C33" s="209">
        <f>ФОТ!C37</f>
        <v>66955</v>
      </c>
    </row>
    <row r="34" spans="1:254" x14ac:dyDescent="0.2">
      <c r="A34" s="71" t="s">
        <v>177</v>
      </c>
      <c r="B34" s="110" t="str">
        <f ca="1">CONCATENATE(ROUNDUP(C34/Параметры!B3,0)," н.ч.")</f>
        <v>13 н.ч.</v>
      </c>
      <c r="C34" s="209">
        <f ca="1">ФОТ!C54</f>
        <v>3740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153416.9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487930.46666666667</v>
      </c>
      <c r="D39" s="215">
        <f ca="1">SUM(D41:D47)</f>
        <v>585516.55999999994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163800</v>
      </c>
      <c r="D41" s="209">
        <f t="shared" ref="D41:D47" ca="1" si="0">C41*1.2</f>
        <v>196560</v>
      </c>
    </row>
    <row r="42" spans="1:254" x14ac:dyDescent="0.2">
      <c r="A42" t="str">
        <f>CONCATENATE("Цепи (",РГО!B7," м.п.)")</f>
        <v>Цепи (13 м.п.)</v>
      </c>
      <c r="B42" s="4"/>
      <c r="C42" s="209">
        <f ca="1">РГО!B8</f>
        <v>99554</v>
      </c>
      <c r="D42" s="209">
        <f t="shared" ca="1" si="0"/>
        <v>119464.79999999999</v>
      </c>
    </row>
    <row r="43" spans="1:254" x14ac:dyDescent="0.2">
      <c r="A43" t="s">
        <v>174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110081.3</v>
      </c>
      <c r="D46" s="209">
        <f t="shared" ca="1" si="0"/>
        <v>132097.56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14212</v>
      </c>
      <c r="D47" s="209">
        <f t="shared" ca="1" si="0"/>
        <v>17054.399999999998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725642</v>
      </c>
      <c r="D49" s="214">
        <f ca="1">C49*1.2</f>
        <v>870770.4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1378720</v>
      </c>
      <c r="D53" s="222">
        <f ca="1">ROUNDUP(D49*B53,0)</f>
        <v>1654464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1378720</v>
      </c>
      <c r="D57" s="225">
        <f ca="1">D53+D55</f>
        <v>1654464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653078</v>
      </c>
      <c r="D58" s="233">
        <f ca="1">D57-D55-D49</f>
        <v>783693.6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1378720</v>
      </c>
      <c r="D62" s="241">
        <f ca="1">D57/(1-B60*(1+B61))</f>
        <v>1654464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1378720</v>
      </c>
      <c r="D64" s="205">
        <f ca="1">D62</f>
        <v>1654464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550</v>
      </c>
      <c r="D9" s="82">
        <f>IF(C9&lt;=750,ROUND(C9/50,0)*50,ROUND(C9/100,0)*100)</f>
        <v>550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700</v>
      </c>
      <c r="D10" s="82">
        <f>CEILING(C10,100)</f>
        <v>700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121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400</v>
      </c>
      <c r="D13" s="87">
        <f>IF(C10&lt;=1200,C10,C10-250)</f>
        <v>700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500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700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30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30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220.59549999999999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4.666666666666667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216.670785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29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20.086033333333333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33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66951.272564999992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66955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355.4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11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3740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333</v>
      </c>
      <c r="D3" s="401" t="s">
        <v>17</v>
      </c>
      <c r="E3" s="404">
        <f>Цена!B16</f>
        <v>550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420</v>
      </c>
      <c r="D4" s="401" t="s">
        <v>18</v>
      </c>
      <c r="E4" s="404">
        <f>Цена!C16</f>
        <v>700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163800</v>
      </c>
      <c r="D5" s="401" t="s">
        <v>391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13</v>
      </c>
      <c r="D7" s="401" t="s">
        <v>396</v>
      </c>
      <c r="E7" s="408">
        <f>Цена!D20</f>
        <v>3250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99554</v>
      </c>
      <c r="D8" s="401" t="s">
        <v>397</v>
      </c>
      <c r="E8" s="408">
        <f>Цена!D21</f>
        <v>2600</v>
      </c>
    </row>
    <row r="9" spans="1:17" s="440" customFormat="1" ht="30" x14ac:dyDescent="0.2">
      <c r="A9" s="438" t="s">
        <v>385</v>
      </c>
      <c r="B9" s="439">
        <f ca="1">OFFSET(L9,MATCH(1,Q10:Q15,0),1,1,1)</f>
        <v>811</v>
      </c>
      <c r="D9" s="440" t="s">
        <v>395</v>
      </c>
      <c r="E9" s="441">
        <f>Цена!D22</f>
        <v>700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316</v>
      </c>
      <c r="F11" s="401">
        <f ca="1">OFFSET(I3,MATCH(E11,I4:I7,0),1,1,1)</f>
        <v>390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355637.16666666669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80</v>
      </c>
      <c r="C80" s="408"/>
      <c r="D80" s="408" t="s">
        <v>471</v>
      </c>
      <c r="E80" s="449">
        <f>IF(E15=55,55,IF(E15=66,66,IF(E15=68,67)))</f>
        <v>66</v>
      </c>
      <c r="K80" s="450">
        <f>IF(E80=55,1,0)</f>
        <v>0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1125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106875</v>
      </c>
    </row>
    <row r="84" spans="1:13" x14ac:dyDescent="0.2">
      <c r="A84" s="401" t="s">
        <v>90</v>
      </c>
      <c r="B84" s="458">
        <f ca="1">ROUND(B83*E17,1)</f>
        <v>3206.3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110081.3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550.700.1500.6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- 200 м3/ч.; прозор - 6 мм.; ширина канала - 550 мм.; глубина канала - 700 мм.; высота выгрузки отбросов - 1500 мм.; вес решетки в сборе - 400 кг.; привод - 0,37 кВт.; IP 66; 380 В; 50 Гц;  материал исполнения - AISI 316; в комплекте с ШУ и ВПУ.</v>
      </c>
      <c r="C2" s="110">
        <f ca="1">C11</f>
        <v>400</v>
      </c>
      <c r="D2" s="108">
        <f ca="1">C12</f>
        <v>0.37</v>
      </c>
      <c r="E2" s="108">
        <v>1</v>
      </c>
      <c r="F2" s="110">
        <f ca="1">MROUND(Цена!C49,100)</f>
        <v>725600</v>
      </c>
      <c r="G2" s="110">
        <f ca="1">F2*E2</f>
        <v>725600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550.700.1500.6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200</v>
      </c>
      <c r="D6" t="s">
        <v>112</v>
      </c>
      <c r="E6" t="str">
        <f>CONCATENATE(B6," ",C6," ",D6,".;")</f>
        <v>Максимальная производительность - 200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550</v>
      </c>
      <c r="D8" t="s">
        <v>166</v>
      </c>
      <c r="E8" t="str">
        <f>CONCATENATE(B8," ",C8," ",D8,";")</f>
        <v>ширина канала - 550 мм.;</v>
      </c>
    </row>
    <row r="9" spans="1:8" x14ac:dyDescent="0.2">
      <c r="B9" s="186" t="s">
        <v>281</v>
      </c>
      <c r="C9" s="110">
        <f>Цена!C16</f>
        <v>700</v>
      </c>
      <c r="D9" t="s">
        <v>166</v>
      </c>
      <c r="E9" t="str">
        <f>CONCATENATE(B9," ",C9," ",D9,";")</f>
        <v>глубина канала - 700 мм.;</v>
      </c>
    </row>
    <row r="10" spans="1:8" x14ac:dyDescent="0.2">
      <c r="B10" s="186" t="s">
        <v>282</v>
      </c>
      <c r="C10" s="110">
        <f>Цена!D16</f>
        <v>1500</v>
      </c>
      <c r="D10" t="s">
        <v>166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283</v>
      </c>
      <c r="C11" s="110">
        <f ca="1">Цена!D19</f>
        <v>400</v>
      </c>
      <c r="D11" t="s">
        <v>169</v>
      </c>
      <c r="E11" t="str">
        <f ca="1">CONCATENATE(B11," ",C11," ",D11,";")</f>
        <v>вес решетки в сборе - 400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284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8637</v>
      </c>
    </row>
    <row r="22" spans="2:15" x14ac:dyDescent="0.2">
      <c r="B22" s="186" t="s">
        <v>288</v>
      </c>
      <c r="C22" s="283"/>
      <c r="D22" s="283" t="str">
        <f>CONCATENATE("ТКП №",Цена!I3)</f>
        <v>ТКП №8637 Харьков КБОД 16.02.22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550.700.1500.6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550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700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1500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2420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65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66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200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400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316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Вторичные отстойники</v>
      </c>
      <c r="B101" s="474" t="str">
        <f>Цена!B10</f>
        <v/>
      </c>
      <c r="C101" s="110">
        <f ca="1">MROUND((Цена!C49-Спецификация!D101),5)</f>
        <v>573905</v>
      </c>
      <c r="D101" s="110">
        <f ca="1">IF(Цена!D26="Нет",0,MROUND((Цена!C46*(1+Цена!B47))+Цена!C35*(1+Цена!B36),5))</f>
        <v>151735</v>
      </c>
      <c r="E101" s="110">
        <f ca="1">Спецификация!C2</f>
        <v>400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316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550.700.1500.6</v>
      </c>
      <c r="B118" s="481">
        <f ca="1">C101</f>
        <v>573905</v>
      </c>
      <c r="C118" s="482">
        <f>ROUNDUP(ФОТ!K29,0)</f>
        <v>217</v>
      </c>
      <c r="D118" s="482">
        <f ca="1">ФОТ!C51</f>
        <v>11</v>
      </c>
      <c r="E118" s="482">
        <f ca="1">IF(B118=0,0,(C118+D118)*Параметры!B3*(1+Параметры!B4))</f>
        <v>198674.64</v>
      </c>
      <c r="F118" s="482">
        <f ca="1">B118-E118</f>
        <v>375230.36</v>
      </c>
      <c r="G118" s="477" t="str">
        <f ca="1">CONCATENATE(A118," (",H101,"; ",G101," кВт.; ",F101,")")</f>
        <v>РТО 550.700.1500.6 (AISI 316; 0,37 кВт.; IP 66)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151735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113383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725640</v>
      </c>
      <c r="C121" s="483">
        <f ca="1">SUM(C118:C119)</f>
        <v>257</v>
      </c>
      <c r="D121" s="483">
        <f ca="1">SUM(D118:D119)</f>
        <v>11</v>
      </c>
      <c r="E121" s="483">
        <f ca="1">SUM(E118:E119)</f>
        <v>237026.64</v>
      </c>
      <c r="F121" s="483">
        <f ca="1">SUM(F118:F119)</f>
        <v>488613.36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8637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Харьков КБОД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Хрьков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16.02.2022</v>
      </c>
    </row>
    <row r="7" spans="1:3" x14ac:dyDescent="0.2">
      <c r="A7" s="503" t="s">
        <v>517</v>
      </c>
      <c r="B7" s="504" t="s">
        <v>516</v>
      </c>
      <c r="C7" s="499" t="str">
        <f>Цена!B11</f>
        <v>НПФ Экополимер</v>
      </c>
    </row>
    <row r="8" spans="1:3" x14ac:dyDescent="0.2">
      <c r="A8" s="503" t="s">
        <v>289</v>
      </c>
      <c r="B8" s="505" t="s">
        <v>523</v>
      </c>
      <c r="C8" s="500" t="str">
        <f>Цена!I4</f>
        <v>РТО 550.700.1500.6</v>
      </c>
    </row>
    <row r="9" spans="1:3" x14ac:dyDescent="0.2">
      <c r="A9" s="503"/>
      <c r="B9" s="505" t="s">
        <v>519</v>
      </c>
      <c r="C9" s="500" t="str">
        <f>C8</f>
        <v>РТО 550.700.1500.6</v>
      </c>
    </row>
    <row r="10" spans="1:3" x14ac:dyDescent="0.2">
      <c r="A10" s="503"/>
      <c r="B10" s="505" t="s">
        <v>518</v>
      </c>
      <c r="C10" s="500" t="str">
        <f>C8</f>
        <v>РТО 550.700.1500.6</v>
      </c>
    </row>
    <row r="11" spans="1:3" x14ac:dyDescent="0.2">
      <c r="A11" s="503"/>
      <c r="B11" s="505" t="s">
        <v>520</v>
      </c>
      <c r="C11" s="500" t="str">
        <f>C8</f>
        <v>РТО 550.700.1500.6</v>
      </c>
    </row>
    <row r="12" spans="1:3" x14ac:dyDescent="0.2">
      <c r="A12" s="503"/>
      <c r="B12" s="505" t="s">
        <v>521</v>
      </c>
      <c r="C12" s="500" t="str">
        <f>C8</f>
        <v>РТО 550.700.1500.6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522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550</v>
      </c>
    </row>
    <row r="17" spans="1:3" x14ac:dyDescent="0.2">
      <c r="A17" s="503" t="s">
        <v>293</v>
      </c>
      <c r="B17" s="504" t="s">
        <v>307</v>
      </c>
      <c r="C17" s="499">
        <f>Цена!C16</f>
        <v>700</v>
      </c>
    </row>
    <row r="18" spans="1:3" x14ac:dyDescent="0.2">
      <c r="A18" s="503" t="s">
        <v>294</v>
      </c>
      <c r="B18" s="504" t="s">
        <v>308</v>
      </c>
      <c r="C18" s="499">
        <f>Цена!D16</f>
        <v>1500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2420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66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66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200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400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316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524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526</v>
      </c>
      <c r="B31" s="506" t="s">
        <v>525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указанны в гривнах с НДС (20%) на условии склад производителя г. Харьков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2022-02-16T09:06:29Z</dcterms:modified>
</cp:coreProperties>
</file>