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F4" i="3"/>
  <c r="K3" i="3" s="1"/>
  <c r="J4" i="3"/>
  <c r="J5" i="3"/>
  <c r="J6" i="3"/>
  <c r="J3" i="3"/>
  <c r="F2" i="3"/>
  <c r="B3" i="17"/>
  <c r="B5" i="17" s="1"/>
  <c r="B2" i="17"/>
  <c r="B8" i="17" s="1"/>
  <c r="B1" i="17"/>
  <c r="B16" i="17" s="1"/>
  <c r="B3" i="8"/>
  <c r="F1" i="6" s="1"/>
  <c r="D48" i="16"/>
  <c r="D47" i="16"/>
  <c r="B47" i="8"/>
  <c r="B101" i="16"/>
  <c r="A101" i="16"/>
  <c r="C17" i="16"/>
  <c r="D46" i="16" s="1"/>
  <c r="D49" i="16"/>
  <c r="D26" i="16"/>
  <c r="C18" i="16"/>
  <c r="E18" i="16" s="1"/>
  <c r="C16" i="16"/>
  <c r="D43" i="16"/>
  <c r="C15" i="16"/>
  <c r="C13" i="16"/>
  <c r="D41" i="16" s="1"/>
  <c r="C10" i="16"/>
  <c r="E10" i="16"/>
  <c r="C9" i="16"/>
  <c r="D31" i="16" s="1"/>
  <c r="C8" i="16"/>
  <c r="E8" i="16" s="1"/>
  <c r="C7" i="16"/>
  <c r="E7" i="16" s="1"/>
  <c r="B88" i="12"/>
  <c r="B84" i="12"/>
  <c r="B82" i="12"/>
  <c r="A1" i="16"/>
  <c r="K9" i="15"/>
  <c r="K4" i="15"/>
  <c r="B2" i="15"/>
  <c r="F4" i="15"/>
  <c r="I4" i="15"/>
  <c r="B4" i="15" s="1"/>
  <c r="F3" i="15"/>
  <c r="I9" i="15"/>
  <c r="F2" i="15"/>
  <c r="B68" i="12"/>
  <c r="S7" i="4"/>
  <c r="B14" i="11"/>
  <c r="B15" i="11"/>
  <c r="B81" i="12" s="1"/>
  <c r="B83" i="12" s="1"/>
  <c r="B89" i="12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53" i="9"/>
  <c r="C41" i="9"/>
  <c r="K32" i="9"/>
  <c r="C11" i="9"/>
  <c r="D11" i="9" s="1"/>
  <c r="C10" i="9"/>
  <c r="D13" i="9"/>
  <c r="D15" i="9" s="1"/>
  <c r="D10" i="9"/>
  <c r="C29" i="9" s="1"/>
  <c r="C9" i="9"/>
  <c r="D9" i="9" s="1"/>
  <c r="D12" i="9"/>
  <c r="D16" i="9"/>
  <c r="C31" i="9"/>
  <c r="B46" i="7"/>
  <c r="F2" i="6"/>
  <c r="B9" i="6"/>
  <c r="B12" i="6" s="1"/>
  <c r="F2" i="2"/>
  <c r="B2" i="3"/>
  <c r="B3" i="3" s="1"/>
  <c r="B10" i="3" s="1"/>
  <c r="T16" i="4"/>
  <c r="T15" i="4"/>
  <c r="T14" i="4"/>
  <c r="T9" i="4"/>
  <c r="T8" i="4"/>
  <c r="T7" i="4"/>
  <c r="G4" i="1"/>
  <c r="H4" i="1" s="1"/>
  <c r="I4" i="1" s="1"/>
  <c r="J4" i="1" s="1"/>
  <c r="G3" i="1"/>
  <c r="H3" i="1"/>
  <c r="I3" i="1"/>
  <c r="J3" i="1" s="1"/>
  <c r="G2" i="1"/>
  <c r="H2" i="1"/>
  <c r="I2" i="1" s="1"/>
  <c r="J2" i="1" s="1"/>
  <c r="B2" i="2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D30" i="16"/>
  <c r="D34" i="16" s="1"/>
  <c r="I6" i="15"/>
  <c r="D44" i="16"/>
  <c r="F1" i="2"/>
  <c r="B5" i="11"/>
  <c r="B6" i="11"/>
  <c r="F5" i="11"/>
  <c r="F6" i="11"/>
  <c r="J5" i="11"/>
  <c r="J6" i="11"/>
  <c r="N5" i="11"/>
  <c r="N6" i="11"/>
  <c r="R5" i="11"/>
  <c r="R6" i="11"/>
  <c r="B16" i="11"/>
  <c r="D32" i="16"/>
  <c r="B17" i="11"/>
  <c r="C20" i="16" s="1"/>
  <c r="I5" i="15"/>
  <c r="F1" i="3"/>
  <c r="I8" i="15"/>
  <c r="B3" i="15" s="1"/>
  <c r="I10" i="15"/>
  <c r="D45" i="16"/>
  <c r="C13" i="9"/>
  <c r="D14" i="9" s="1"/>
  <c r="B3" i="2"/>
  <c r="E9" i="16"/>
  <c r="E16" i="16"/>
  <c r="H101" i="16"/>
  <c r="F1" i="12"/>
  <c r="B10" i="6"/>
  <c r="B12" i="1" s="1"/>
  <c r="E5" i="3"/>
  <c r="K6" i="3"/>
  <c r="K4" i="3"/>
  <c r="B5" i="4" l="1"/>
  <c r="B11" i="4"/>
  <c r="B13" i="1" s="1"/>
  <c r="B4" i="4"/>
  <c r="B14" i="1" s="1"/>
  <c r="B3" i="4"/>
  <c r="D22" i="8" s="1"/>
  <c r="C14" i="16" s="1"/>
  <c r="C23" i="21" s="1"/>
  <c r="D29" i="16"/>
  <c r="K5" i="3"/>
  <c r="F5" i="3"/>
  <c r="B18" i="3" s="1"/>
  <c r="G8" i="10"/>
  <c r="C22" i="21"/>
  <c r="E17" i="16"/>
  <c r="C44" i="9"/>
  <c r="C46" i="9" s="1"/>
  <c r="C33" i="8" s="1"/>
  <c r="C117" i="16" s="1"/>
  <c r="E117" i="16" s="1"/>
  <c r="F101" i="16"/>
  <c r="D51" i="16"/>
  <c r="B12" i="4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U19" i="9"/>
  <c r="U20" i="9"/>
  <c r="U30" i="9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K25" i="9"/>
  <c r="C8" i="21"/>
  <c r="C24" i="20"/>
  <c r="F5" i="2"/>
  <c r="F1" i="4"/>
  <c r="B6" i="4" s="1"/>
  <c r="C43" i="8" s="1"/>
  <c r="D43" i="8" s="1"/>
  <c r="F1" i="15"/>
  <c r="C19" i="16"/>
  <c r="D38" i="16" s="1"/>
  <c r="B6" i="15"/>
  <c r="D39" i="16" l="1"/>
  <c r="E14" i="16"/>
  <c r="B33" i="8"/>
  <c r="B7" i="15"/>
  <c r="C46" i="8" s="1"/>
  <c r="D46" i="8" s="1"/>
  <c r="B13" i="4"/>
  <c r="C44" i="8" s="1"/>
  <c r="D44" i="8" s="1"/>
  <c r="D40" i="16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4" i="2"/>
  <c r="B8" i="1" s="1"/>
  <c r="A40" i="8"/>
  <c r="B13" i="3"/>
  <c r="B10" i="1" s="1"/>
  <c r="B20" i="1" s="1"/>
  <c r="D18" i="8" s="1"/>
  <c r="C49" i="9" s="1"/>
  <c r="C52" i="9" s="1"/>
  <c r="C55" i="9" s="1"/>
  <c r="C32" i="8" s="1"/>
  <c r="B75" i="12"/>
  <c r="C22" i="9"/>
  <c r="C30" i="9"/>
  <c r="B9" i="1"/>
  <c r="B15" i="3"/>
  <c r="C11" i="21"/>
  <c r="C12" i="21"/>
  <c r="C10" i="21"/>
  <c r="C9" i="21"/>
  <c r="B11" i="1"/>
  <c r="B13" i="6"/>
  <c r="E19" i="16"/>
  <c r="B2" i="10" l="1"/>
  <c r="B3" i="10" s="1"/>
  <c r="B4" i="10" s="1"/>
  <c r="C39" i="8" s="1"/>
  <c r="D39" i="8" s="1"/>
  <c r="B13" i="17"/>
  <c r="G101" i="16"/>
  <c r="G116" i="16" s="1"/>
  <c r="G5" i="17"/>
  <c r="C6" i="16"/>
  <c r="C21" i="21" s="1"/>
  <c r="G8" i="17"/>
  <c r="H8" i="17" s="1"/>
  <c r="E8" i="17" s="1"/>
  <c r="B76" i="12"/>
  <c r="B77" i="12"/>
  <c r="F11" i="17"/>
  <c r="G11" i="17" s="1"/>
  <c r="F13" i="17"/>
  <c r="G13" i="17" s="1"/>
  <c r="H13" i="17" s="1"/>
  <c r="E13" i="17" s="1"/>
  <c r="F12" i="17"/>
  <c r="G12" i="17" s="1"/>
  <c r="F6" i="17"/>
  <c r="G6" i="17" s="1"/>
  <c r="F10" i="17"/>
  <c r="G10" i="17" s="1"/>
  <c r="F7" i="17"/>
  <c r="G7" i="17" s="1"/>
  <c r="H7" i="17" s="1"/>
  <c r="E7" i="17" s="1"/>
  <c r="F14" i="17"/>
  <c r="G14" i="17" s="1"/>
  <c r="F9" i="17"/>
  <c r="G9" i="17" s="1"/>
  <c r="B18" i="1"/>
  <c r="D19" i="8" s="1"/>
  <c r="C11" i="16" s="1"/>
  <c r="E11" i="16" s="1"/>
  <c r="U11" i="9"/>
  <c r="C32" i="9"/>
  <c r="B32" i="8"/>
  <c r="D116" i="16"/>
  <c r="D119" i="16" s="1"/>
  <c r="C26" i="9"/>
  <c r="U32" i="9"/>
  <c r="D37" i="16" l="1"/>
  <c r="B78" i="12"/>
  <c r="C45" i="8" s="1"/>
  <c r="C23" i="20"/>
  <c r="H12" i="17"/>
  <c r="E12" i="17" s="1"/>
  <c r="H10" i="17"/>
  <c r="E10" i="17" s="1"/>
  <c r="H5" i="17"/>
  <c r="E5" i="17" s="1"/>
  <c r="H14" i="17"/>
  <c r="E14" i="17" s="1"/>
  <c r="H11" i="17"/>
  <c r="E11" i="17" s="1"/>
  <c r="H9" i="17"/>
  <c r="E9" i="17" s="1"/>
  <c r="H6" i="17"/>
  <c r="E6" i="17" s="1"/>
  <c r="E6" i="16"/>
  <c r="B2" i="16" s="1"/>
  <c r="K29" i="9"/>
  <c r="K34" i="9" s="1"/>
  <c r="D42" i="16"/>
  <c r="C2" i="16"/>
  <c r="C26" i="21" s="1"/>
  <c r="C36" i="9" l="1"/>
  <c r="C37" i="9" s="1"/>
  <c r="C38" i="9" s="1"/>
  <c r="C31" i="8" s="1"/>
  <c r="C34" i="8" s="1"/>
  <c r="C29" i="8" s="1"/>
  <c r="D45" i="8"/>
  <c r="C47" i="8"/>
  <c r="C21" i="20"/>
  <c r="E101" i="16"/>
  <c r="C116" i="16" l="1"/>
  <c r="B31" i="8"/>
  <c r="D47" i="8"/>
  <c r="D37" i="8" s="1"/>
  <c r="C37" i="8"/>
  <c r="C49" i="8" s="1"/>
  <c r="C53" i="8" s="1"/>
  <c r="C57" i="8" s="1"/>
  <c r="E116" i="16"/>
  <c r="E119" i="16" s="1"/>
  <c r="C119" i="16"/>
  <c r="F2" i="16" l="1"/>
  <c r="G2" i="16" s="1"/>
  <c r="D49" i="8"/>
  <c r="D53" i="8" s="1"/>
  <c r="D57" i="8" s="1"/>
  <c r="D62" i="8" s="1"/>
  <c r="C101" i="16"/>
  <c r="B116" i="16" s="1"/>
  <c r="F116" i="16" s="1"/>
  <c r="C62" i="8"/>
  <c r="C58" i="8"/>
  <c r="D101" i="16" l="1"/>
  <c r="B117" i="16" s="1"/>
  <c r="B119" i="16" s="1"/>
  <c r="C20" i="20"/>
  <c r="D58" i="8"/>
  <c r="D60" i="8"/>
  <c r="D61" i="8" s="1"/>
  <c r="D64" i="8"/>
  <c r="C64" i="8"/>
  <c r="C60" i="8"/>
  <c r="C61" i="8" s="1"/>
  <c r="F117" i="16" l="1"/>
  <c r="F119" i="16" s="1"/>
  <c r="G117" i="16"/>
  <c r="C19" i="20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<sst xmlns="http://schemas.openxmlformats.org/spreadsheetml/2006/main" count="906" uniqueCount="679">
  <si>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</si>
  <si>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</si>
  <si>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</si>
  <si>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</si>
  <si>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</si>
  <si>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</si>
  <si>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</si>
  <si>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</si>
  <si>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</si>
  <si>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</si>
  <si>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</si>
  <si>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</si>
  <si>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</si>
  <si>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</si>
  <si>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</si>
  <si>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</si>
  <si>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</si>
  <si>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</si>
  <si>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</si>
  <si>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</si>
  <si>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</si>
  <si>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</si>
  <si>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</si>
  <si>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</si>
  <si>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</si>
  <si>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</si>
  <si>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</si>
  <si>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</si>
  <si>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</si>
  <si>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</si>
  <si>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</si>
  <si>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</si>
  <si>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</si>
  <si>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</si>
  <si>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</si>
  <si>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</si>
  <si>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</si>
  <si>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</si>
  <si>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</si>
  <si>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</si>
  <si>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</si>
  <si>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</si>
  <si>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</si>
  <si>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</si>
  <si>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</si>
  <si>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</si>
  <si>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</si>
  <si>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</si>
  <si>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</si>
  <si>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</si>
  <si>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</si>
  <si>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</si>
  <si>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</si>
  <si>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</si>
  <si>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</si>
  <si>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</si>
  <si>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</si>
  <si>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</si>
  <si>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</si>
  <si>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</si>
  <si>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</si>
  <si>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</si>
  <si>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</si>
  <si>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</si>
  <si>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</si>
  <si>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</si>
  <si>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</si>
  <si>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</si>
  <si>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</si>
  <si>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</si>
  <si>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</si>
  <si>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</si>
  <si>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</si>
  <si>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</si>
  <si>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</si>
  <si>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</si>
  <si>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</si>
  <si>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</si>
  <si>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</si>
  <si>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</si>
  <si>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</si>
  <si>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</si>
  <si>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</si>
  <si>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</si>
  <si>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</si>
  <si>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</si>
  <si>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</si>
  <si>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</si>
  <si>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</si>
  <si>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</si>
  <si>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</si>
  <si>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</si>
  <si>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</si>
  <si>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</si>
  <si>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</si>
  <si>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</si>
  <si>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</si>
  <si>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</si>
  <si>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</si>
  <si>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</si>
  <si>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</si>
  <si>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</si>
  <si>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</si>
  <si>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</si>
  <si>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</si>
  <si>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</si>
  <si>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</si>
  <si>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</si>
  <si>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</si>
  <si>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</si>
  <si>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</si>
  <si>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</si>
  <si>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</si>
  <si>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</si>
  <si>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</si>
  <si>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</si>
  <si>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</si>
  <si>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</si>
  <si>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</si>
  <si>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</si>
  <si>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</si>
  <si>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</si>
  <si>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</si>
  <si>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</si>
  <si>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</si>
  <si>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</si>
  <si>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</si>
  <si>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</si>
  <si>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</si>
  <si>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</si>
  <si>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</si>
  <si>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</si>
  <si>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</si>
  <si>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</si>
  <si>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</si>
  <si>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</si>
  <si>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</si>
  <si>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</si>
  <si>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</si>
  <si>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</si>
  <si>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</si>
  <si>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</si>
  <si>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</si>
  <si>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</si>
  <si>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</si>
  <si>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</si>
  <si>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</si>
  <si>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</si>
  <si>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</si>
  <si>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</si>
  <si>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</si>
  <si>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</si>
  <si>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</si>
  <si>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</si>
  <si>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</si>
  <si>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</si>
  <si>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</si>
  <si>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</si>
  <si>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</si>
  <si>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</si>
  <si>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</si>
  <si>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</si>
  <si>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</si>
  <si>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</si>
  <si>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</si>
  <si>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</si>
  <si>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</si>
  <si>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</si>
  <si>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</si>
  <si>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</si>
  <si>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</si>
  <si>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</si>
  <si>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</si>
  <si>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</si>
  <si>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</si>
  <si>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</si>
  <si>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</si>
  <si>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</si>
  <si>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</si>
  <si>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</si>
  <si>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</si>
  <si>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</si>
  <si>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</si>
  <si>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</si>
  <si>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</si>
  <si>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</si>
  <si>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</si>
  <si>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</si>
  <si>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</si>
  <si>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</si>
  <si>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</si>
  <si>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</si>
  <si>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</si>
  <si>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</si>
  <si>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</si>
  <si>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</si>
  <si>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</si>
  <si>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</si>
  <si>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</si>
  <si>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</si>
  <si>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</si>
  <si>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</si>
  <si>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</si>
  <si>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</si>
  <si>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</si>
  <si>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</si>
  <si>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</si>
  <si>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</si>
  <si>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</si>
  <si>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</si>
  <si>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</si>
  <si>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</si>
  <si>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</si>
  <si>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</si>
  <si>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</si>
  <si>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</si>
  <si>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</si>
  <si>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</si>
  <si>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</si>
  <si>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</si>
  <si>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</si>
  <si>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</si>
  <si>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</si>
  <si>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</si>
  <si>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</si>
  <si>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</si>
  <si>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</si>
  <si>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</si>
  <si>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</si>
  <si>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</si>
  <si>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</si>
  <si>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</si>
  <si>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</si>
  <si>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</si>
  <si>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</si>
  <si>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</si>
  <si>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</si>
  <si>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</si>
  <si>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</si>
  <si>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</si>
  <si>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</si>
  <si>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</si>
  <si>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</si>
  <si>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</si>
  <si>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</si>
  <si>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</si>
  <si>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</si>
  <si>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</si>
  <si>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</si>
  <si>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</si>
  <si>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</si>
  <si>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</si>
  <si>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</si>
  <si>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</si>
  <si>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</si>
  <si>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</si>
  <si>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</si>
  <si>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</si>
  <si>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</si>
  <si>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</si>
  <si>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</si>
  <si>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</si>
  <si>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</si>
  <si>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</si>
  <si>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</si>
  <si>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</si>
  <si>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</si>
  <si>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</si>
  <si>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</si>
  <si>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</si>
  <si>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</si>
  <si>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</si>
  <si>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</si>
  <si>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</si>
  <si>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</si>
  <si>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</si>
  <si>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</si>
  <si>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</si>
  <si>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</si>
  <si>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</si>
  <si>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</si>
  <si>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</si>
  <si>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</si>
  <si>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</si>
  <si>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</si>
  <si>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</si>
  <si>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</si>
  <si>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</si>
  <si>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</si>
  <si>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</si>
  <si>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</si>
  <si>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</si>
  <si>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</si>
  <si>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</si>
  <si>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</si>
  <si>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</si>
  <si>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</si>
  <si>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</si>
  <si>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</si>
  <si>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</si>
  <si>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</si>
  <si>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</si>
  <si>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</si>
  <si>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</si>
  <si>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</si>
  <si>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</si>
  <si>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</si>
  <si>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</si>
  <si>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</si>
  <si>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</si>
  <si>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</si>
  <si>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</si>
  <si>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</si>
  <si>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</si>
  <si>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</si>
  <si>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</si>
  <si>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</si>
  <si>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</si>
  <si>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</si>
  <si>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</si>
  <si>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</si>
  <si>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</si>
  <si>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</si>
  <si>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</si>
  <si>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</si>
  <si>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</si>
  <si>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</si>
  <si>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</si>
  <si>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</si>
  <si>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</si>
  <si>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</si>
  <si>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</si>
  <si>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</si>
  <si>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</si>
  <si>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</si>
  <si>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</si>
  <si>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</si>
  <si>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</si>
  <si>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</si>
  <si>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</si>
  <si>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</si>
  <si>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</si>
  <si>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</si>
  <si>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</si>
  <si>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</si>
  <si>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</si>
  <si>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</si>
  <si>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</si>
  <si>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</si>
  <si>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</si>
  <si>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</si>
  <si>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</si>
  <si>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</si>
  <si>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</si>
  <si>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</si>
  <si>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</si>
  <si>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</si>
  <si>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</si>
  <si>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</si>
  <si>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</si>
  <si>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</si>
  <si>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</si>
  <si>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</si>
  <si>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</si>
  <si>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</si>
  <si>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</si>
  <si>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</si>
  <si>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</si>
  <si>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</si>
  <si>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</si>
  <si>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</si>
  <si>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</si>
  <si>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</si>
  <si>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</si>
  <si>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</si>
  <si>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</si>
  <si>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</si>
  <si>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</si>
  <si>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</si>
  <si>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</si>
  <si>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</si>
  <si>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</si>
  <si>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</si>
  <si>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</si>
  <si>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</si>
  <si>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</si>
  <si>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</si>
  <si>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</si>
  <si>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</si>
  <si>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</si>
  <si>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</si>
  <si>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</si>
  <si>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</si>
  <si>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</si>
  <si>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</si>
  <si>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</si>
  <si>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</si>
  <si>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</si>
  <si>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</si>
  <si>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</si>
  <si>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</si>
  <si>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</si>
  <si>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</si>
  <si>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</si>
  <si>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</si>
  <si>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</si>
  <si>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</si>
  <si>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</si>
  <si>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</si>
  <si>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</si>
  <si>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</si>
  <si>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</si>
  <si>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</si>
  <si>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</si>
  <si>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</si>
  <si>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</si>
  <si>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</si>
  <si>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</si>
  <si>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</si>
  <si>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</si>
  <si>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</si>
  <si>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</si>
  <si>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</si>
  <si>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</si>
  <si>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</si>
  <si>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</si>
  <si>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</si>
  <si>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</si>
  <si>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</si>
  <si>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</si>
  <si>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</si>
  <si>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</si>
  <si>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</si>
  <si>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</si>
  <si>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</si>
  <si>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</si>
  <si>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</si>
  <si>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</si>
  <si>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</si>
  <si>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</si>
  <si>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</si>
  <si>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</si>
  <si>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</si>
  <si>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</si>
  <si>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</si>
  <si>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</si>
  <si>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</si>
  <si>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</si>
  <si>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</si>
  <si>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</si>
  <si>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</si>
  <si>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</si>
  <si>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</si>
  <si>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</si>
  <si>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</si>
  <si>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</si>
  <si>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</si>
  <si>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</si>
  <si>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</si>
  <si>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</si>
  <si>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</si>
  <si>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</si>
  <si>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</si>
  <si>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</si>
  <si>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</si>
  <si>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</si>
  <si>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</si>
  <si>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</si>
  <si>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</si>
  <si>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</si>
  <si>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</si>
  <si>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</si>
  <si>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</si>
  <si>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</si>
  <si>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</si>
  <si>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</si>
  <si>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</si>
  <si>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</si>
  <si>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</si>
  <si>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</si>
  <si>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</si>
  <si>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</si>
  <si>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</si>
  <si>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</si>
  <si>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</si>
  <si>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</si>
  <si>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</si>
  <si>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</si>
  <si>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</si>
  <si>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</si>
  <si>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</si>
  <si>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</si>
  <si>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</si>
  <si>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</si>
  <si>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</si>
  <si>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</si>
  <si>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</si>
  <si>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</si>
  <si>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</si>
  <si>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</si>
  <si>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</si>
  <si>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</si>
  <si>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</si>
  <si>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</si>
  <si>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</si>
  <si>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</si>
  <si>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</si>
  <si>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</si>
  <si>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</si>
  <si>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</si>
  <si>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</si>
  <si>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</si>
  <si>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</si>
  <si>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</si>
  <si>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</si>
  <si>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</si>
  <si>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</si>
  <si>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</si>
  <si>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</si>
  <si>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</si>
  <si>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</si>
  <si>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</si>
  <si>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</si>
  <si>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</si>
  <si>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</si>
  <si>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</si>
  <si>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</si>
  <si>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</si>
  <si>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</si>
  <si>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</si>
  <si>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</si>
  <si>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</si>
  <si>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</si>
  <si>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</si>
  <si>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</si>
  <si>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</si>
  <si>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</si>
  <si>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</si>
  <si>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</si>
  <si>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</si>
  <si>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</si>
  <si>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</si>
  <si>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</si>
  <si>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</si>
  <si>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</si>
  <si>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</si>
  <si>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</si>
  <si>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</si>
  <si>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</si>
  <si>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</si>
  <si>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</si>
  <si>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</si>
  <si>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</si>
  <si>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</si>
  <si>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</si>
  <si>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</si>
  <si>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</si>
  <si>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</si>
  <si>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</si>
  <si>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</si>
  <si>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</si>
  <si>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</si>
  <si>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</si>
  <si>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</si>
  <si>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</si>
  <si>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</si>
  <si>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</si>
  <si>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</si>
  <si>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</si>
  <si>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</si>
  <si>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</si>
  <si>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</si>
  <si>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</si>
  <si>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</si>
  <si>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</si>
  <si>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</si>
  <si>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</si>
  <si>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</si>
  <si>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</si>
  <si>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</si>
  <si>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</si>
  <si>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</si>
  <si>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</si>
  <si>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</si>
  <si>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</si>
  <si>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</si>
  <si>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</si>
  <si>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</si>
  <si>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</si>
  <si>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</si>
  <si>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</si>
  <si>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</si>
  <si>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</si>
  <si>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</si>
  <si>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</si>
  <si>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</si>
  <si>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</si>
  <si>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</si>
  <si>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</si>
  <si>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</si>
  <si>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</si>
  <si>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</si>
  <si>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</si>
  <si>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</si>
  <si>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</si>
  <si>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</si>
  <si>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</si>
  <si>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</si>
  <si>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</si>
  <si>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</si>
  <si>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</si>
  <si>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</si>
  <si>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</si>
  <si>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</si>
  <si>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</si>
  <si>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</si>
  <si>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</si>
  <si>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</si>
  <si>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</si>
  <si>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</si>
  <si>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</si>
  <si>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</si>
  <si>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</si>
  <si>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</si>
  <si>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</si>
  <si>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</si>
  <si>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</si>
  <si>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</si>
  <si>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</si>
  <si>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</si>
  <si>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</si>
  <si>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</si>
  <si>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</si>
  <si>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ТПП Экополимер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</si>
  <si>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</si>
  <si>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</si>
  <si>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</si>
  <si>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</si>
  <si>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</si>
  <si>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</si>
  <si>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</si>
  <si>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</si>
  <si>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</si>
  <si>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</si>
  <si>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</si>
  <si>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</si>
  <si>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</si>
  <si>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</si>
  <si>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</si>
  <si>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</si>
  <si>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</si>
  <si>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</si>
  <si>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</si>
  <si>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</si>
  <si>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</si>
  <si>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</si>
  <si>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</si>
  <si>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</si>
  <si>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</si>
  <si>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</si>
  <si>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</si>
  <si>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</si>
  <si>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</si>
  <si>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</si>
  <si>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</si>
  <si>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</si>
  <si>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</si>
  <si>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</si>
  <si>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</si>
  <si>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</si>
  <si>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</si>
  <si>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ModBus RTU</t>
  </si>
  <si>
    <t>22.02.2022</t>
  </si>
  <si>
    <t>Ахметшин Ю. М.</t>
  </si>
  <si>
    <t/>
  </si>
  <si>
    <t>Россия</t>
  </si>
  <si>
    <t>Тайшет</t>
  </si>
  <si>
    <t>КОС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</si>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</sst>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4" borderId="0" xfId="1" applyFont="1" applyFill="1" applyAlignment="1">
      <alignment horizontal="left"/>
    </xf>
    <xf numFmtId="0" fontId="40" fillId="7" borderId="0" xfId="1" applyFont="1" applyFill="1" applyAlignment="1">
      <alignment horizontal="left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40" fillId="7" borderId="0" xfId="1" applyFont="1" applyFill="1" applyBorder="1" applyAlignment="1">
      <alignment horizontal="left"/>
    </xf>
    <xf numFmtId="0" fontId="40" fillId="8" borderId="0" xfId="0" applyFont="1" applyFill="1" applyAlignment="1">
      <alignment horizontal="left"/>
    </xf>
    <xf numFmtId="0" fontId="40" fillId="8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8643</v>
      </c>
    </row>
    <row r="2" spans="1:3" x14ac:dyDescent="0.2">
      <c r="A2" s="401" t="s">
        <v>635</v>
      </c>
      <c r="B2" s="402" t="s">
        <v>636</v>
      </c>
      <c r="C2" s="403" t="str">
        <f>CONCATENATE(Цена!B6," ",Цена!B7)</f>
        <v>Тайшет КОС</v>
      </c>
    </row>
    <row r="3" spans="1:3" x14ac:dyDescent="0.2">
      <c r="A3" s="401" t="s">
        <v>637</v>
      </c>
      <c r="B3" s="402" t="s">
        <v>638</v>
      </c>
      <c r="C3" s="403" t="str">
        <f>Цена!B4</f>
        <v>Ахметшин Ю. М.</v>
      </c>
    </row>
    <row r="4" spans="1:3" x14ac:dyDescent="0.2">
      <c r="A4" s="401" t="s">
        <v>639</v>
      </c>
      <c r="B4" s="402" t="s">
        <v>640</v>
      </c>
      <c r="C4" s="403" t="str">
        <f>IF(Цена!B11="НПФ Экополимер","Харьков","Москва")</f>
        <v>Москва</v>
      </c>
    </row>
    <row r="5" spans="1:3" x14ac:dyDescent="0.2">
      <c r="A5" s="401" t="s">
        <v>641</v>
      </c>
      <c r="B5" s="402" t="s">
        <v>642</v>
      </c>
      <c r="C5" s="403">
        <f ca="1">YEAR(TODAY())</f>
        <v>2022</v>
      </c>
    </row>
    <row r="6" spans="1:3" x14ac:dyDescent="0.2">
      <c r="A6" s="401" t="s">
        <v>643</v>
      </c>
      <c r="B6" s="402" t="s">
        <v>644</v>
      </c>
      <c r="C6" s="403" t="str">
        <f>Цена!B2</f>
        <v>22.02.2022</v>
      </c>
    </row>
    <row r="7" spans="1:3" x14ac:dyDescent="0.2">
      <c r="A7" s="401" t="s">
        <v>645</v>
      </c>
      <c r="B7" s="402" t="s">
        <v>646</v>
      </c>
      <c r="C7" s="403" t="str">
        <f>Цена!B11</f>
        <v>ТПП Экополимер</v>
      </c>
    </row>
    <row r="8" spans="1:3" x14ac:dyDescent="0.2">
      <c r="A8" s="401" t="s">
        <v>480</v>
      </c>
      <c r="B8" s="408" t="s">
        <v>670</v>
      </c>
      <c r="C8" s="409" t="str">
        <f>Цена!I4</f>
        <v>ЭРПЭ 1900.2900.1200.2</v>
      </c>
    </row>
    <row r="9" spans="1:3" x14ac:dyDescent="0.2">
      <c r="A9" s="401"/>
      <c r="B9" s="408" t="s">
        <v>647</v>
      </c>
      <c r="C9" s="409" t="str">
        <f>C8</f>
        <v>ЭРПЭ 1900.2900.1200.2</v>
      </c>
    </row>
    <row r="10" spans="1:3" x14ac:dyDescent="0.2">
      <c r="A10" s="401"/>
      <c r="B10" s="408" t="s">
        <v>648</v>
      </c>
      <c r="C10" s="409" t="str">
        <f>C8</f>
        <v>ЭРПЭ 1900.2900.1200.2</v>
      </c>
    </row>
    <row r="11" spans="1:3" x14ac:dyDescent="0.2">
      <c r="A11" s="401"/>
      <c r="B11" s="408" t="s">
        <v>649</v>
      </c>
      <c r="C11" s="409" t="str">
        <f>C8</f>
        <v>ЭРПЭ 1900.2900.1200.2</v>
      </c>
    </row>
    <row r="12" spans="1:3" x14ac:dyDescent="0.2">
      <c r="A12" s="401"/>
      <c r="B12" s="408" t="s">
        <v>650</v>
      </c>
      <c r="C12" s="409" t="str">
        <f>C8</f>
        <v>ЭРПЭ 1900.2900.1200.2</v>
      </c>
    </row>
    <row r="13" spans="1:3" x14ac:dyDescent="0.2">
      <c r="A13" s="401" t="s">
        <v>510</v>
      </c>
      <c r="B13" s="408" t="s">
        <v>653</v>
      </c>
      <c r="C13" s="403">
        <f>Цена!E16</f>
        <v>2</v>
      </c>
    </row>
    <row r="14" spans="1:3" x14ac:dyDescent="0.2">
      <c r="A14" s="401" t="s">
        <v>512</v>
      </c>
      <c r="B14" s="410" t="s">
        <v>654</v>
      </c>
      <c r="C14" s="403">
        <f>Цена!B16</f>
        <v>1900</v>
      </c>
    </row>
    <row r="15" spans="1:3" x14ac:dyDescent="0.2">
      <c r="A15" s="401" t="s">
        <v>514</v>
      </c>
      <c r="B15" s="408" t="s">
        <v>655</v>
      </c>
      <c r="C15" s="403">
        <f>Цена!C16</f>
        <v>2900</v>
      </c>
    </row>
    <row r="16" spans="1:3" x14ac:dyDescent="0.2">
      <c r="A16" s="401" t="s">
        <v>516</v>
      </c>
      <c r="B16" s="410" t="s">
        <v>656</v>
      </c>
      <c r="C16" s="403">
        <f>Цена!D16</f>
        <v>1200</v>
      </c>
    </row>
    <row r="17" spans="1:3" x14ac:dyDescent="0.2">
      <c r="A17" s="401" t="s">
        <v>518</v>
      </c>
      <c r="B17" s="408" t="s">
        <v>657</v>
      </c>
      <c r="C17" s="403">
        <f>C15+C16+1350</f>
        <v>5450</v>
      </c>
    </row>
    <row r="18" spans="1:3" x14ac:dyDescent="0.2">
      <c r="A18" s="401" t="s">
        <v>520</v>
      </c>
      <c r="B18" s="410" t="s">
        <v>658</v>
      </c>
      <c r="C18" s="403">
        <f>C14+890</f>
        <v>2790</v>
      </c>
    </row>
    <row r="19" spans="1:3" x14ac:dyDescent="0.2">
      <c r="A19" s="401" t="s">
        <v>522</v>
      </c>
      <c r="B19" s="408" t="s">
        <v>659</v>
      </c>
      <c r="C19" s="403">
        <f>MROUND(C17/TAN(RADIANS(C20))+520,10)</f>
        <v>3670</v>
      </c>
    </row>
    <row r="20" spans="1:3" x14ac:dyDescent="0.2">
      <c r="A20" s="401" t="s">
        <v>524</v>
      </c>
      <c r="B20" s="410" t="s">
        <v>660</v>
      </c>
      <c r="C20" s="409">
        <v>60</v>
      </c>
    </row>
    <row r="21" spans="1:3" x14ac:dyDescent="0.2">
      <c r="A21" s="401" t="s">
        <v>526</v>
      </c>
      <c r="B21" s="408" t="s">
        <v>661</v>
      </c>
      <c r="C21" s="411">
        <f ca="1">Спецификация!C6</f>
        <v>3900</v>
      </c>
    </row>
    <row r="22" spans="1:3" x14ac:dyDescent="0.2">
      <c r="A22" s="401" t="s">
        <v>528</v>
      </c>
      <c r="B22" s="410" t="s">
        <v>662</v>
      </c>
      <c r="C22" s="409" t="str">
        <f ca="1">CONCATENATE(Промывка!B16," ÷ ",Промывка!B17)</f>
        <v>1,5 ÷ 1,78</v>
      </c>
    </row>
    <row r="23" spans="1:3" x14ac:dyDescent="0.2">
      <c r="A23" s="401" t="s">
        <v>530</v>
      </c>
      <c r="B23" s="408" t="s">
        <v>664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665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666</v>
      </c>
      <c r="C25" s="409" t="str">
        <f>CONCATENATE("IP ",Цена!D20)</f>
        <v>IP 68</v>
      </c>
    </row>
    <row r="26" spans="1:3" x14ac:dyDescent="0.2">
      <c r="A26" s="401" t="s">
        <v>536</v>
      </c>
      <c r="B26" s="410" t="s">
        <v>667</v>
      </c>
      <c r="C26" s="403">
        <f ca="1">Спецификация!C2</f>
        <v>1900</v>
      </c>
    </row>
    <row r="27" spans="1:3" x14ac:dyDescent="0.2">
      <c r="A27" s="401" t="s">
        <v>663</v>
      </c>
      <c r="B27" s="408" t="s">
        <v>668</v>
      </c>
      <c r="C27" s="403" t="str">
        <f>Цена!D23</f>
        <v>AISI 304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в комплекте с ШУ и ВПУ.</v>
      </c>
    </row>
    <row r="29" spans="1:3" x14ac:dyDescent="0.2">
      <c r="A29" s="401" t="s">
        <v>483</v>
      </c>
      <c r="B29" s="410" t="s">
        <v>546</v>
      </c>
      <c r="C29" s="403">
        <f>C30</f>
        <v>-1</v>
      </c>
    </row>
    <row r="30" spans="1:3" x14ac:dyDescent="0.2">
      <c r="A30" s="401" t="s">
        <v>484</v>
      </c>
      <c r="B30" s="410" t="s">
        <v>669</v>
      </c>
      <c r="C30" s="403">
        <f>IF(Цена!D24="Да",-1,-2)</f>
        <v>-1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14÷16</v>
      </c>
    </row>
    <row r="32" spans="1:3" ht="25.5" x14ac:dyDescent="0.2">
      <c r="A32" s="401" t="s">
        <v>651</v>
      </c>
      <c r="B32" s="410" t="s">
        <v>652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Да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ModBus RTU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198</v>
      </c>
      <c r="C4" s="125"/>
      <c r="E4" s="338" t="s">
        <v>457</v>
      </c>
      <c r="F4" s="352">
        <f>IF(Цена!D20=55,54,IF(Цена!D20=66,65,IF(Цена!D20=68,67)))</f>
        <v>67</v>
      </c>
      <c r="G4" s="108"/>
      <c r="H4" s="42"/>
      <c r="I4" s="344">
        <f>IF(F4=54,1,0)</f>
        <v>0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0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1243</v>
      </c>
      <c r="C6" s="125"/>
      <c r="E6" s="71"/>
      <c r="F6" s="71"/>
      <c r="G6" s="71"/>
      <c r="H6" s="71"/>
      <c r="I6" s="344">
        <f>IF(F4=67,1,0)</f>
        <v>1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118085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0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1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65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910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1560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2470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18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5760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14510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1900</v>
      </c>
      <c r="H2">
        <f>G2-F2</f>
        <v>700</v>
      </c>
      <c r="I2">
        <f>H2/100</f>
        <v>7</v>
      </c>
      <c r="J2">
        <f>I2*B5</f>
        <v>161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2900</v>
      </c>
      <c r="H3">
        <f>G3-F3</f>
        <v>900</v>
      </c>
      <c r="I3">
        <f>H3/100</f>
        <v>9</v>
      </c>
      <c r="J3">
        <f>I3*B3</f>
        <v>99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1200</v>
      </c>
      <c r="H4">
        <f>G4-F4</f>
        <v>-300</v>
      </c>
      <c r="I4">
        <f>H4/100</f>
        <v>-3</v>
      </c>
      <c r="J4">
        <f>I4*B4</f>
        <v>-60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1055</v>
      </c>
      <c r="C7" t="s">
        <v>10</v>
      </c>
    </row>
    <row r="8" spans="1:10" x14ac:dyDescent="0.25">
      <c r="A8" t="s">
        <v>30</v>
      </c>
      <c r="B8" s="116">
        <f>Цепи!B14</f>
        <v>33</v>
      </c>
      <c r="C8" t="s">
        <v>10</v>
      </c>
    </row>
    <row r="9" spans="1:10" x14ac:dyDescent="0.25">
      <c r="A9" t="s">
        <v>150</v>
      </c>
      <c r="B9">
        <f>Панели!B14</f>
        <v>429</v>
      </c>
      <c r="C9" t="s">
        <v>10</v>
      </c>
    </row>
    <row r="10" spans="1:10" x14ac:dyDescent="0.25">
      <c r="A10" t="s">
        <v>151</v>
      </c>
      <c r="B10">
        <f>Панели!B13</f>
        <v>91</v>
      </c>
      <c r="C10" t="s">
        <v>10</v>
      </c>
    </row>
    <row r="11" spans="1:10" x14ac:dyDescent="0.25">
      <c r="A11" t="s">
        <v>169</v>
      </c>
      <c r="B11" s="116">
        <f>Щётка!B11</f>
        <v>96</v>
      </c>
      <c r="C11" t="s">
        <v>10</v>
      </c>
    </row>
    <row r="12" spans="1:10" x14ac:dyDescent="0.25">
      <c r="A12" t="s">
        <v>343</v>
      </c>
      <c r="B12" s="116">
        <f>Щётка!B10</f>
        <v>32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1882</v>
      </c>
      <c r="C18" t="s">
        <v>10</v>
      </c>
    </row>
    <row r="20" spans="1:3" x14ac:dyDescent="0.25">
      <c r="A20" t="s">
        <v>144</v>
      </c>
      <c r="B20" s="116">
        <f>B7+B15+B10+B12</f>
        <v>1187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1600</v>
      </c>
      <c r="C9" s="125"/>
      <c r="E9" s="50"/>
      <c r="F9" s="112"/>
    </row>
    <row r="10" spans="1:12" x14ac:dyDescent="0.25">
      <c r="A10" t="s">
        <v>49</v>
      </c>
      <c r="B10">
        <f>MROUND(B4*B9/B3,1)</f>
        <v>32</v>
      </c>
      <c r="C10" s="125"/>
    </row>
    <row r="11" spans="1:12" x14ac:dyDescent="0.25">
      <c r="A11" t="s">
        <v>53</v>
      </c>
      <c r="B11">
        <f>6*B12</f>
        <v>96</v>
      </c>
      <c r="C11" s="125"/>
    </row>
    <row r="12" spans="1:12" ht="15.75" thickBot="1" x14ac:dyDescent="0.3">
      <c r="A12" t="s">
        <v>54</v>
      </c>
      <c r="B12">
        <f>ROUNDUP(B9/100,0)</f>
        <v>16</v>
      </c>
      <c r="C12" s="125"/>
    </row>
    <row r="13" spans="1:12" ht="15.75" thickBot="1" x14ac:dyDescent="0.3">
      <c r="A13" s="106" t="s">
        <v>168</v>
      </c>
      <c r="B13" s="107">
        <f>B11+B10</f>
        <v>128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67200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1187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1485</v>
      </c>
      <c r="C3" s="125"/>
      <c r="E3" s="291" t="s">
        <v>11</v>
      </c>
      <c r="F3" s="293">
        <f>Цена!B16</f>
        <v>1900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420626</v>
      </c>
      <c r="C4" s="124"/>
      <c r="E4" s="291" t="s">
        <v>12</v>
      </c>
      <c r="F4" s="293">
        <f>Цена!C16</f>
        <v>2900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1200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2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304</v>
      </c>
      <c r="G8" s="291">
        <f ca="1">OFFSET(J3,MATCH(F8,J4:J7,0),1,1,1)</f>
        <v>275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1900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2900</v>
      </c>
      <c r="C3" s="125"/>
      <c r="E3" s="42" t="s">
        <v>119</v>
      </c>
      <c r="F3" s="398" t="str">
        <f>Цена!D23</f>
        <v>AISI 304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1200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304</v>
      </c>
      <c r="F5" s="399">
        <f ca="1">MROUND(F2/275*OFFSET(I8,MATCH(F3,H9:H12,0),0,1,1),1)</f>
        <v>4250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5456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12106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12.2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25</v>
      </c>
      <c r="C13" s="105"/>
    </row>
    <row r="14" spans="1:12" ht="15.75" thickBot="1" x14ac:dyDescent="0.3">
      <c r="A14" s="128" t="s">
        <v>161</v>
      </c>
      <c r="B14" s="129">
        <f>MROUND(B13*B12,1)</f>
        <v>33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106250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1900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1650</v>
      </c>
      <c r="C3" s="125"/>
      <c r="I3" s="295" t="s">
        <v>76</v>
      </c>
      <c r="J3" s="296">
        <f>Параметры!B11</f>
        <v>205</v>
      </c>
      <c r="K3">
        <f>IF(I3=$F$4,1,0)</f>
        <v>0</v>
      </c>
    </row>
    <row r="4" spans="1:11" x14ac:dyDescent="0.25">
      <c r="A4" t="s">
        <v>21</v>
      </c>
      <c r="B4">
        <f>Цепи!B11</f>
        <v>12.2</v>
      </c>
      <c r="C4" s="125"/>
      <c r="E4" s="109" t="s">
        <v>119</v>
      </c>
      <c r="F4" s="110" t="str">
        <f>Цена!D23</f>
        <v>AISI 304</v>
      </c>
      <c r="G4" s="108"/>
      <c r="I4" s="295" t="s">
        <v>78</v>
      </c>
      <c r="J4" s="296">
        <f>Параметры!B12</f>
        <v>275</v>
      </c>
      <c r="K4">
        <f>IF(I4=$F$4,1,0)</f>
        <v>1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304</v>
      </c>
      <c r="F5" s="111">
        <f ca="1">F2/J4*OFFSET(I2,MATCH(1,K3:K6,0),1,1,1)</f>
        <v>250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65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6.6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8</v>
      </c>
      <c r="C12" s="125"/>
      <c r="E12" s="50"/>
      <c r="F12" s="112"/>
    </row>
    <row r="13" spans="1:11" x14ac:dyDescent="0.25">
      <c r="A13" t="s">
        <v>148</v>
      </c>
      <c r="B13">
        <f>B11*B6</f>
        <v>91</v>
      </c>
      <c r="C13" s="125"/>
    </row>
    <row r="14" spans="1:11" s="42" customFormat="1" ht="15.75" thickBot="1" x14ac:dyDescent="0.3">
      <c r="A14" t="s">
        <v>158</v>
      </c>
      <c r="B14">
        <f>B6*B10</f>
        <v>429</v>
      </c>
      <c r="C14" s="125"/>
    </row>
    <row r="15" spans="1:11" ht="15.75" thickBot="1" x14ac:dyDescent="0.3">
      <c r="A15" s="106" t="s">
        <v>149</v>
      </c>
      <c r="B15" s="107">
        <f>B13+B14</f>
        <v>520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4125</v>
      </c>
      <c r="C18" s="125"/>
    </row>
    <row r="19" spans="1:3" ht="15.75" thickBot="1" x14ac:dyDescent="0.3">
      <c r="A19" s="106" t="s">
        <v>577</v>
      </c>
      <c r="B19" s="107">
        <f ca="1">B18*B6</f>
        <v>268125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68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4430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420850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0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0</v>
      </c>
    </row>
    <row r="9" spans="1:21" s="282" customFormat="1" x14ac:dyDescent="0.25">
      <c r="A9" t="s">
        <v>329</v>
      </c>
      <c r="B9" s="116">
        <f>B2</f>
        <v>68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1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4300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408500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0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0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1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1900</v>
      </c>
    </row>
    <row r="15" spans="1:18" x14ac:dyDescent="0.25">
      <c r="A15" s="308" t="s">
        <v>352</v>
      </c>
      <c r="B15" s="308">
        <f ca="1">OFFSET(A5,4,MATCH(B14,B4:R4,0),1,1)</f>
        <v>18</v>
      </c>
    </row>
    <row r="16" spans="1:18" x14ac:dyDescent="0.25">
      <c r="A16" s="308" t="s">
        <v>353</v>
      </c>
      <c r="B16" s="308">
        <f ca="1">OFFSET(A5,1,MATCH(B14,B4:R4,0),1,1)</f>
        <v>1.5</v>
      </c>
    </row>
    <row r="17" spans="1:2" x14ac:dyDescent="0.25">
      <c r="A17" s="308" t="s">
        <v>354</v>
      </c>
      <c r="B17" s="308">
        <f ca="1">OFFSET(A5,3,MATCH(B14,B4:R4,0),1,1)</f>
        <v>1.78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Россия</v>
      </c>
    </row>
    <row r="5" spans="1:3" s="50" customFormat="1" x14ac:dyDescent="0.2">
      <c r="A5" s="401" t="s">
        <v>598</v>
      </c>
      <c r="B5" s="402" t="s">
        <v>599</v>
      </c>
      <c r="C5" s="403" t="str">
        <f>Цена!B6</f>
        <v>Тайшет</v>
      </c>
    </row>
    <row r="6" spans="1:3" s="50" customFormat="1" x14ac:dyDescent="0.2">
      <c r="A6" s="401" t="s">
        <v>39</v>
      </c>
      <c r="B6" s="402" t="s">
        <v>600</v>
      </c>
      <c r="C6" s="403" t="str">
        <f>Цена!B7</f>
        <v>КОС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/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ТПП Экополимер</v>
      </c>
    </row>
    <row r="9" spans="1:3" s="50" customFormat="1" x14ac:dyDescent="0.2">
      <c r="A9" s="401" t="s">
        <v>634</v>
      </c>
      <c r="B9" s="402" t="s">
        <v>604</v>
      </c>
      <c r="C9" s="403" t="str">
        <f>Цена!B8</f>
        <v>-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8643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2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1900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2900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1200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68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304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Да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ModBus RTU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188744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2401561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1900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>
        <f ca="1">Спецификация!C6</f>
        <v>3900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1900.2900.1200.2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1900.2900.1200.2 (AISI 304; 2,25 кВт.; IP 68;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1900.2900.1200.2</v>
      </c>
      <c r="B2" s="50" t="str">
        <f ca="1">CONCATENATE(E5,E6," ",E7," ",E8," ",E9," ",E10," ",E11," ",E12," ",E16,". ",E19,E17)</f>
        <v>Решетка с перфорированным ступенчатым экраном. Производительность по чистой воде - 3900 м3/ч.; перфорация - 2 мм.; ширина канала - 1900 мм.; глубина канала - 2900 мм.; высота выгрузки отбросов - 1200 мм.; вес решетки в сборе - 1900 кг.; привод щётки - 1,5 кВт.; IP 68; 380 В; 50 Гц;  материал исполнения - AISI 304. Расход промывной воды - 1,5 ÷ 1,78 л/с.; давление промывной воды - 5 ÷ 7 бар. В комплекте с ШУ (ModBus RTU) и ВПУ.</v>
      </c>
      <c r="C2" s="67">
        <f ca="1">C11</f>
        <v>1900</v>
      </c>
      <c r="D2" s="367">
        <f ca="1">C12+C14</f>
        <v>2.25</v>
      </c>
      <c r="E2" s="70">
        <v>1</v>
      </c>
      <c r="F2" s="67">
        <f ca="1">Цена!C49</f>
        <v>2590305</v>
      </c>
      <c r="G2" s="67">
        <f ca="1">F2*E2</f>
        <v>2590305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1900.2900.1200.2</v>
      </c>
      <c r="B5" s="75"/>
      <c r="E5" s="42" t="s">
        <v>506</v>
      </c>
    </row>
    <row r="6" spans="1:8" x14ac:dyDescent="0.2">
      <c r="B6" s="75" t="s">
        <v>500</v>
      </c>
      <c r="C6" s="359">
        <f ca="1">ROUNDUP(Гидравлика!B15,-2)</f>
        <v>3900</v>
      </c>
      <c r="D6" s="42" t="s">
        <v>467</v>
      </c>
      <c r="E6" s="42" t="str">
        <f ca="1">CONCATENATE(B6," ",C6," ",D6,".;")</f>
        <v>Производительность по чистой воде - 3900 м3/ч.;</v>
      </c>
    </row>
    <row r="7" spans="1:8" x14ac:dyDescent="0.2">
      <c r="B7" s="75" t="s">
        <v>507</v>
      </c>
      <c r="C7" s="67">
        <f>Цена!E16</f>
        <v>2</v>
      </c>
      <c r="D7" s="42" t="s">
        <v>468</v>
      </c>
      <c r="E7" s="42" t="str">
        <f>CONCATENATE(B7," ",C7," ",D7,";")</f>
        <v>перфорация - 2 мм.;</v>
      </c>
    </row>
    <row r="8" spans="1:8" x14ac:dyDescent="0.2">
      <c r="B8" s="75" t="s">
        <v>469</v>
      </c>
      <c r="C8" s="67">
        <f>Цена!B16</f>
        <v>1900</v>
      </c>
      <c r="D8" s="42" t="s">
        <v>468</v>
      </c>
      <c r="E8" s="42" t="str">
        <f>CONCATENATE(B8," ",C8," ",D8,";")</f>
        <v>ширина канала - 1900 мм.;</v>
      </c>
    </row>
    <row r="9" spans="1:8" x14ac:dyDescent="0.2">
      <c r="B9" s="75" t="s">
        <v>470</v>
      </c>
      <c r="C9" s="67">
        <f>Цена!C16</f>
        <v>2900</v>
      </c>
      <c r="D9" s="42" t="s">
        <v>468</v>
      </c>
      <c r="E9" s="42" t="str">
        <f>CONCATENATE(B9," ",C9," ",D9,";")</f>
        <v>глубина канала - 2900 мм.;</v>
      </c>
    </row>
    <row r="10" spans="1:8" x14ac:dyDescent="0.2">
      <c r="B10" s="75" t="s">
        <v>471</v>
      </c>
      <c r="C10" s="67">
        <f>Цена!D16</f>
        <v>1200</v>
      </c>
      <c r="D10" s="42" t="s">
        <v>468</v>
      </c>
      <c r="E10" s="42" t="str">
        <f>CONCATENATE(B10," ",C10," ",D10,";")</f>
        <v>высота выгрузки отбросов - 1200 мм.;</v>
      </c>
    </row>
    <row r="11" spans="1:8" x14ac:dyDescent="0.2">
      <c r="B11" s="75" t="s">
        <v>472</v>
      </c>
      <c r="C11" s="67">
        <f ca="1">Цена!D19</f>
        <v>1900</v>
      </c>
      <c r="D11" s="42" t="s">
        <v>10</v>
      </c>
      <c r="E11" s="42" t="str">
        <f ca="1">CONCATENATE(B11," ",C11," ",D11,";")</f>
        <v>вес решетки в сборе - 1900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68; 380 В; 50 Гц; </v>
      </c>
    </row>
    <row r="13" spans="1:8" x14ac:dyDescent="0.2">
      <c r="B13" s="75"/>
      <c r="C13" s="67" t="str">
        <f>CONCATENATE("IP ",Цена!D20)</f>
        <v>IP 68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68; 380 В; 50 Гц; </v>
      </c>
    </row>
    <row r="15" spans="1:8" x14ac:dyDescent="0.2">
      <c r="B15" s="75"/>
      <c r="C15" s="67" t="str">
        <f>CONCATENATE("IP ",Цена!D20)</f>
        <v>IP 68</v>
      </c>
    </row>
    <row r="16" spans="1:8" x14ac:dyDescent="0.2">
      <c r="B16" s="75" t="s">
        <v>474</v>
      </c>
      <c r="C16" s="67" t="str">
        <f>Цена!D23</f>
        <v>AISI 304</v>
      </c>
      <c r="E16" s="42" t="str">
        <f>CONCATENATE(B16," ",C16)</f>
        <v>материал исполнения - AISI 304</v>
      </c>
    </row>
    <row r="17" spans="1:15" x14ac:dyDescent="0.2">
      <c r="B17" s="75" t="s">
        <v>475</v>
      </c>
      <c r="C17" s="67" t="str">
        <f>Цена!D24</f>
        <v>Да</v>
      </c>
      <c r="E17" s="42" t="str">
        <f>IF(C17="Да",CONCATENATE(". В комплекте с ШУ",E18," и ВПУ."),". без ШУ.")</f>
        <v>. В комплекте с ШУ (ModBus RTU) и ВПУ.</v>
      </c>
    </row>
    <row r="18" spans="1:15" x14ac:dyDescent="0.2">
      <c r="B18" s="75" t="s">
        <v>503</v>
      </c>
      <c r="C18" s="67" t="str">
        <f>Цена!D25</f>
        <v>ModBus RTU</v>
      </c>
      <c r="E18" s="42" t="str">
        <f>IF(C18="Нет","",CONCATENATE(" (",C18,")"))</f>
        <v xml:space="preserve"> (ModBus RTU)</v>
      </c>
    </row>
    <row r="19" spans="1:15" ht="11.25" customHeight="1" x14ac:dyDescent="0.2">
      <c r="B19" s="365" t="s">
        <v>505</v>
      </c>
      <c r="C19" s="70">
        <f ca="1">Промывка!B16</f>
        <v>1.5</v>
      </c>
      <c r="E19" s="42" t="str">
        <f ca="1">CONCATENATE(B19,C19," ",C21," ",C20," л/с.; давление промывной воды - 5 ",C21," 7 бар")</f>
        <v>Расход промывной воды - 1,5 ÷ 1,78 л/с.; давление промывной воды - 5 ÷ 7 бар</v>
      </c>
    </row>
    <row r="20" spans="1:15" x14ac:dyDescent="0.2">
      <c r="C20" s="70">
        <f ca="1">Промывка!B17</f>
        <v>1.78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8643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№8643 Тайшет КОС 22.02.22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1900.2900.1200.2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2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1900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2900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1200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5450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2790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3670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>
        <f ca="1">C6</f>
        <v>3900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1,5÷1,78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68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1900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304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в комплекте с ШУ и ВПУ.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 Шкаф управления ШУ (с поддержкой ModBus RTU);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>- Выносной пульт управления ВПУ;</v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>, ШУ, ВПУ;</v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14÷16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 t="str">
        <f>Цена!B8</f>
        <v>-</v>
      </c>
      <c r="B101" s="362" t="str">
        <f>Цена!B10</f>
        <v/>
      </c>
      <c r="C101" s="67">
        <f ca="1">Цена!C49-MROUND((Цена!C33*(1+Цена!B34)+Цена!C46*(1+Цена!B47)),1)</f>
        <v>2401561</v>
      </c>
      <c r="D101" s="67">
        <f ca="1">Цена!C49-Спецификация!C101</f>
        <v>188744</v>
      </c>
      <c r="E101" s="67">
        <f ca="1">C2</f>
        <v>1900</v>
      </c>
      <c r="F101" s="67" t="str">
        <f>D41</f>
        <v>IP 68</v>
      </c>
      <c r="G101" s="368">
        <f ca="1">D2</f>
        <v>2.25</v>
      </c>
      <c r="H101" s="67" t="str">
        <f>Спецификация!C16</f>
        <v>AISI 304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1900.2900.1200.2</v>
      </c>
      <c r="B116" s="67">
        <f ca="1">C101</f>
        <v>2401561</v>
      </c>
      <c r="C116" s="70">
        <f>Цена!C31/Параметры!B3</f>
        <v>607</v>
      </c>
      <c r="D116" s="70">
        <f>Цена!C32/Параметры!B3</f>
        <v>61.618122977346282</v>
      </c>
      <c r="E116" s="67">
        <f>MROUND((C116+D116)*Параметры!$B$3*(1+Параметры!$B$4),1)</f>
        <v>582620</v>
      </c>
      <c r="F116" s="67">
        <f ca="1">B116-E116</f>
        <v>1818941</v>
      </c>
      <c r="G116" s="42" t="str">
        <f ca="1">CONCATENATE(A116," (",H101,"; ",G101," кВт.; ",F101,")")</f>
        <v>ЭРПЭ 1900.2900.1200.2 (AISI 304; 2,25 кВт.; IP 68)</v>
      </c>
    </row>
    <row r="117" spans="1:8" x14ac:dyDescent="0.2">
      <c r="A117" s="42" t="s">
        <v>556</v>
      </c>
      <c r="B117" s="67">
        <f ca="1">IF(A117="-","-",D101)</f>
        <v>188744</v>
      </c>
      <c r="C117" s="70">
        <f>IF(A117="-","-",Цена!C33/Параметры!B7)</f>
        <v>70</v>
      </c>
      <c r="D117" s="70">
        <f>IF(A117="-","-",0)</f>
        <v>0</v>
      </c>
      <c r="E117" s="67">
        <f>IF(A117="-","-",MROUND((C117+D117)*Параметры!$B$7*(1+Параметры!$B$4),1))</f>
        <v>67116</v>
      </c>
      <c r="F117" s="381">
        <f ca="1">IF(A117="-","-",B117-E117)</f>
        <v>121628</v>
      </c>
      <c r="G117" s="42" t="str">
        <f ca="1">IF(B117=0,"-",CONCATENATE(A117," (","ШУ - IP54; ВПУ - ",IF(F101="IP 68","IP 67",F101),,IF(Цена!D25="Нет","",CONCATENATE("; ",Цена!D25)),")"))</f>
        <v>ШУ-ЭРПЭ (ШУ - IP54; ВПУ - IP 67; ModBus RTU)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2590305</v>
      </c>
      <c r="C119" s="67">
        <f>SUM(C116:C117)</f>
        <v>677</v>
      </c>
      <c r="D119" s="67">
        <f>SUM(D116:D117)</f>
        <v>61.618122977346282</v>
      </c>
      <c r="E119" s="67">
        <f>SUM(E116:E117)</f>
        <v>649736</v>
      </c>
      <c r="F119" s="67">
        <f ca="1">SUM(F116:F117)</f>
        <v>1940569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  <c r="CM1" s="413"/>
      <c r="CN1" s="413"/>
      <c r="CO1" s="413"/>
      <c r="CP1" s="413"/>
      <c r="CQ1" s="413"/>
      <c r="CR1" s="413"/>
      <c r="CS1" s="413"/>
      <c r="CT1" s="413"/>
      <c r="CU1" s="413"/>
      <c r="CV1" s="413"/>
      <c r="CW1" s="413"/>
      <c r="CX1" s="413"/>
      <c r="CY1" s="413"/>
      <c r="CZ1" s="413"/>
      <c r="DA1" s="413"/>
      <c r="DB1" s="413"/>
      <c r="DC1" s="413"/>
      <c r="DD1" s="413"/>
      <c r="DE1" s="413"/>
      <c r="DF1" s="413"/>
      <c r="DG1" s="413"/>
      <c r="DH1" s="413"/>
      <c r="DI1" s="413"/>
      <c r="DJ1" s="413"/>
      <c r="DK1" s="413"/>
      <c r="DL1" s="413"/>
      <c r="DM1" s="413"/>
      <c r="DN1" s="413"/>
      <c r="DO1" s="413"/>
      <c r="DP1" s="413"/>
      <c r="DQ1" s="413"/>
      <c r="DR1" s="413"/>
      <c r="DS1" s="413"/>
      <c r="DT1" s="413"/>
      <c r="DU1" s="413"/>
      <c r="DV1" s="413"/>
      <c r="DW1" s="413"/>
      <c r="DX1" s="413"/>
      <c r="DY1" s="413"/>
      <c r="DZ1" s="413"/>
      <c r="EA1" s="413"/>
      <c r="EB1" s="413"/>
      <c r="EC1" s="413"/>
      <c r="ED1" s="413"/>
      <c r="EE1" s="413"/>
      <c r="EF1" s="413"/>
      <c r="EG1" s="413"/>
      <c r="EH1" s="413"/>
      <c r="EI1" s="413"/>
      <c r="EJ1" s="413"/>
      <c r="EK1" s="413"/>
      <c r="EL1" s="413"/>
      <c r="EM1" s="413"/>
      <c r="EN1" s="413"/>
      <c r="EO1" s="413"/>
      <c r="EP1" s="413"/>
      <c r="EQ1" s="413"/>
      <c r="ER1" s="413"/>
      <c r="ES1" s="413"/>
      <c r="ET1" s="413"/>
      <c r="EU1" s="413"/>
      <c r="EV1" s="413"/>
      <c r="EW1" s="413"/>
      <c r="EX1" s="413"/>
      <c r="EY1" s="413"/>
      <c r="EZ1" s="413"/>
      <c r="FA1" s="413"/>
      <c r="FB1" s="413"/>
      <c r="FC1" s="413"/>
      <c r="FD1" s="413"/>
      <c r="FE1" s="413"/>
      <c r="FF1" s="413"/>
      <c r="FG1" s="413"/>
      <c r="FH1" s="413"/>
      <c r="FI1" s="413"/>
      <c r="FJ1" s="413"/>
      <c r="FK1" s="413"/>
      <c r="FL1" s="413"/>
      <c r="FM1" s="413"/>
      <c r="FN1" s="413"/>
      <c r="FO1" s="413"/>
      <c r="FP1" s="413"/>
      <c r="FQ1" s="413"/>
      <c r="FR1" s="413"/>
      <c r="FS1" s="413"/>
      <c r="FT1" s="413"/>
      <c r="FU1" s="413"/>
      <c r="FV1" s="413"/>
      <c r="FW1" s="413"/>
      <c r="FX1" s="413"/>
      <c r="FY1" s="413"/>
      <c r="FZ1" s="413"/>
      <c r="GA1" s="413"/>
      <c r="GB1" s="413"/>
      <c r="GC1" s="413"/>
      <c r="GD1" s="413"/>
      <c r="GE1" s="413"/>
      <c r="GF1" s="413"/>
      <c r="GG1" s="413"/>
      <c r="GH1" s="413"/>
      <c r="GI1" s="413"/>
      <c r="GJ1" s="413"/>
      <c r="GK1" s="413"/>
      <c r="GL1" s="413"/>
      <c r="GM1" s="413"/>
      <c r="GN1" s="413"/>
      <c r="GO1" s="413"/>
      <c r="GP1" s="413"/>
      <c r="GQ1" s="413"/>
      <c r="GR1" s="413"/>
      <c r="GS1" s="413"/>
      <c r="GT1" s="413"/>
      <c r="GU1" s="413"/>
      <c r="GV1" s="413"/>
      <c r="GW1" s="413"/>
      <c r="GX1" s="413"/>
      <c r="GY1" s="413"/>
      <c r="GZ1" s="413"/>
      <c r="HA1" s="413"/>
      <c r="HB1" s="413"/>
      <c r="HC1" s="413"/>
      <c r="HD1" s="413"/>
      <c r="HE1" s="413"/>
      <c r="HF1" s="413"/>
      <c r="HG1" s="413"/>
      <c r="HH1" s="413"/>
      <c r="HI1" s="413"/>
      <c r="HJ1" s="413"/>
      <c r="HK1" s="413"/>
      <c r="HL1" s="413"/>
      <c r="HM1" s="413"/>
      <c r="HN1" s="413"/>
      <c r="HO1" s="413"/>
      <c r="HP1" s="413"/>
      <c r="HQ1" s="413"/>
      <c r="HR1" s="413"/>
      <c r="HS1" s="413"/>
      <c r="HT1" s="413"/>
      <c r="HU1" s="413"/>
      <c r="HV1" s="413"/>
      <c r="HW1" s="413"/>
      <c r="HX1" s="413"/>
      <c r="HY1" s="413"/>
      <c r="HZ1" s="413"/>
      <c r="IA1" s="413"/>
      <c r="IB1" s="413"/>
      <c r="IC1" s="413"/>
      <c r="ID1" s="413"/>
      <c r="IE1" s="413"/>
      <c r="IF1" s="413"/>
      <c r="IG1" s="413"/>
      <c r="IH1" s="413"/>
      <c r="II1" s="413"/>
      <c r="IJ1" s="413"/>
      <c r="IK1" s="413"/>
      <c r="IL1" s="413"/>
      <c r="IM1" s="413"/>
      <c r="IN1" s="413"/>
      <c r="IO1" s="413"/>
      <c r="IP1" s="413"/>
      <c r="IQ1" s="413"/>
      <c r="IR1" s="413"/>
      <c r="IS1" s="413"/>
      <c r="IT1" s="413"/>
    </row>
    <row r="2" spans="1:254" ht="13.5" thickBot="1" x14ac:dyDescent="0.25">
      <c r="A2" s="37" t="s">
        <v>88</v>
      </c>
      <c r="B2" s="38" t="s">
        <v>672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Тайшет КОС (8643) 22.02.22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8643 Тайшет КОС 22.02.22</v>
      </c>
      <c r="J3" s="415"/>
      <c r="K3" s="416"/>
      <c r="L3" s="417"/>
    </row>
    <row r="4" spans="1:254" x14ac:dyDescent="0.2">
      <c r="A4" s="37" t="s">
        <v>102</v>
      </c>
      <c r="B4" s="44" t="s">
        <v>673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1900.2900.1200.2</v>
      </c>
      <c r="J4" s="418"/>
      <c r="K4" s="419"/>
      <c r="L4" s="420"/>
    </row>
    <row r="5" spans="1:254" x14ac:dyDescent="0.2">
      <c r="A5" s="37" t="s">
        <v>103</v>
      </c>
      <c r="B5" s="44" t="s">
        <v>675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1900.2900.1200.2 (AISI 304; 2,25 кВт.; IP68; с ШУ иВПУ)</v>
      </c>
      <c r="J5" s="418"/>
      <c r="K5" s="419"/>
      <c r="L5" s="420"/>
    </row>
    <row r="6" spans="1:254" x14ac:dyDescent="0.2">
      <c r="A6" s="37" t="s">
        <v>104</v>
      </c>
      <c r="B6" s="44" t="s">
        <v>676</v>
      </c>
      <c r="C6" s="39"/>
      <c r="D6" s="40"/>
      <c r="E6" s="41"/>
      <c r="F6" s="41"/>
      <c r="G6" s="41"/>
      <c r="H6" s="41"/>
      <c r="I6" s="41"/>
      <c r="J6" s="418"/>
      <c r="K6" s="419"/>
      <c r="L6" s="420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 t="s">
        <v>677</v>
      </c>
      <c r="C7" s="39"/>
      <c r="D7" s="40"/>
      <c r="E7" s="41"/>
      <c r="F7" s="41"/>
      <c r="G7" s="41"/>
      <c r="H7" s="41"/>
      <c r="I7" s="41"/>
      <c r="J7" s="418"/>
      <c r="K7" s="419"/>
      <c r="L7" s="420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 t="s">
        <v>678</v>
      </c>
      <c r="C8" s="39"/>
      <c r="D8" s="40"/>
      <c r="E8" s="41"/>
      <c r="F8" s="41"/>
      <c r="G8" s="41"/>
      <c r="H8" s="41"/>
      <c r="I8" s="41"/>
      <c r="J8" s="421"/>
      <c r="K8" s="422"/>
      <c r="L8" s="423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8643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674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633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4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  <c r="BD13" s="414"/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  <c r="ED13" s="414"/>
      <c r="EE13" s="414"/>
      <c r="EF13" s="414"/>
      <c r="EG13" s="414"/>
      <c r="EH13" s="414"/>
      <c r="EI13" s="414"/>
      <c r="EJ13" s="414"/>
      <c r="EK13" s="414"/>
      <c r="EL13" s="414"/>
      <c r="EM13" s="414"/>
      <c r="EN13" s="414"/>
      <c r="EO13" s="414"/>
      <c r="EP13" s="414"/>
      <c r="EQ13" s="414"/>
      <c r="ER13" s="414"/>
      <c r="ES13" s="414"/>
      <c r="ET13" s="414"/>
      <c r="EU13" s="414"/>
      <c r="EV13" s="414"/>
      <c r="EW13" s="414"/>
      <c r="EX13" s="414"/>
      <c r="EY13" s="414"/>
      <c r="EZ13" s="414"/>
      <c r="FA13" s="414"/>
      <c r="FB13" s="414"/>
      <c r="FC13" s="414"/>
      <c r="FD13" s="414"/>
      <c r="FE13" s="414"/>
      <c r="FF13" s="414"/>
      <c r="FG13" s="414"/>
      <c r="FH13" s="414"/>
      <c r="FI13" s="414"/>
      <c r="FJ13" s="414"/>
      <c r="FK13" s="414"/>
      <c r="FL13" s="414"/>
      <c r="FM13" s="414"/>
      <c r="FN13" s="414"/>
      <c r="FO13" s="414"/>
      <c r="FP13" s="414"/>
      <c r="FQ13" s="414"/>
      <c r="FR13" s="414"/>
      <c r="FS13" s="414"/>
      <c r="FT13" s="414"/>
      <c r="FU13" s="414"/>
      <c r="FV13" s="414"/>
      <c r="FW13" s="414"/>
      <c r="FX13" s="414"/>
      <c r="FY13" s="414"/>
      <c r="FZ13" s="414"/>
      <c r="GA13" s="414"/>
      <c r="GB13" s="414"/>
      <c r="GC13" s="414"/>
      <c r="GD13" s="414"/>
      <c r="GE13" s="414"/>
      <c r="GF13" s="414"/>
      <c r="GG13" s="414"/>
      <c r="GH13" s="414"/>
      <c r="GI13" s="414"/>
      <c r="GJ13" s="414"/>
      <c r="GK13" s="414"/>
      <c r="GL13" s="414"/>
      <c r="GM13" s="414"/>
      <c r="GN13" s="414"/>
      <c r="GO13" s="414"/>
      <c r="GP13" s="414"/>
      <c r="GQ13" s="414"/>
      <c r="GR13" s="414"/>
      <c r="GS13" s="414"/>
      <c r="GT13" s="414"/>
      <c r="GU13" s="414"/>
      <c r="GV13" s="414"/>
      <c r="GW13" s="414"/>
      <c r="GX13" s="414"/>
      <c r="GY13" s="414"/>
      <c r="GZ13" s="414"/>
      <c r="HA13" s="414"/>
      <c r="HB13" s="414"/>
      <c r="HC13" s="414"/>
      <c r="HD13" s="414"/>
      <c r="HE13" s="414"/>
      <c r="HF13" s="414"/>
      <c r="HG13" s="414"/>
      <c r="HH13" s="414"/>
      <c r="HI13" s="414"/>
      <c r="HJ13" s="414"/>
      <c r="HK13" s="414"/>
      <c r="HL13" s="414"/>
      <c r="HM13" s="414"/>
      <c r="HN13" s="414"/>
      <c r="HO13" s="414"/>
      <c r="HP13" s="414"/>
      <c r="HQ13" s="414"/>
      <c r="HR13" s="414"/>
      <c r="HS13" s="414"/>
      <c r="HT13" s="414"/>
      <c r="HU13" s="414"/>
      <c r="HV13" s="414"/>
      <c r="HW13" s="414"/>
      <c r="HX13" s="414"/>
      <c r="HY13" s="414"/>
      <c r="HZ13" s="414"/>
      <c r="IA13" s="414"/>
      <c r="IB13" s="414"/>
      <c r="IC13" s="414"/>
      <c r="ID13" s="414"/>
      <c r="IE13" s="414"/>
      <c r="IF13" s="414"/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1900</v>
      </c>
      <c r="C16" s="52">
        <v>2900</v>
      </c>
      <c r="D16" s="53">
        <v>1200</v>
      </c>
      <c r="E16" s="52">
        <v>2</v>
      </c>
      <c r="F16" s="54"/>
      <c r="G16" s="335" t="str">
        <f ca="1">CONCATENATE(Гидравлика!B15," м3/ч")</f>
        <v>3816 м3/ч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24" t="s">
        <v>116</v>
      </c>
      <c r="B18" s="436" t="s">
        <v>145</v>
      </c>
      <c r="C18" s="437"/>
      <c r="D18" s="135">
        <f>Вес!B20</f>
        <v>1187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25"/>
      <c r="B19" s="438" t="s">
        <v>117</v>
      </c>
      <c r="C19" s="439"/>
      <c r="D19" s="136">
        <f ca="1">ROUNDUP(Вес!B18,-2)</f>
        <v>1900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24" t="s">
        <v>342</v>
      </c>
      <c r="B20" s="427" t="s">
        <v>55</v>
      </c>
      <c r="C20" s="428"/>
      <c r="D20" s="59">
        <v>68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35"/>
      <c r="B21" s="433" t="s">
        <v>140</v>
      </c>
      <c r="C21" s="434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25"/>
      <c r="B22" s="431" t="s">
        <v>141</v>
      </c>
      <c r="C22" s="432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24" t="s">
        <v>118</v>
      </c>
      <c r="B23" s="427" t="s">
        <v>119</v>
      </c>
      <c r="C23" s="428"/>
      <c r="D23" s="59" t="s">
        <v>78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25"/>
      <c r="B24" s="429" t="s">
        <v>90</v>
      </c>
      <c r="C24" s="430"/>
      <c r="D24" s="60" t="s">
        <v>107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26"/>
      <c r="B25" s="431" t="s">
        <v>120</v>
      </c>
      <c r="C25" s="432"/>
      <c r="D25" s="61" t="s">
        <v>671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T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</row>
    <row r="29" spans="1:254" s="66" customFormat="1" ht="16.5" customHeight="1" thickBot="1" x14ac:dyDescent="0.4">
      <c r="A29" s="63"/>
      <c r="B29" s="63"/>
      <c r="C29" s="64">
        <f>SUM(C31:C34)</f>
        <v>649736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607 н.ч.</v>
      </c>
      <c r="C31" s="68">
        <f>ФОТ!C38</f>
        <v>187563</v>
      </c>
    </row>
    <row r="32" spans="1:254" x14ac:dyDescent="0.2">
      <c r="A32" s="50" t="s">
        <v>123</v>
      </c>
      <c r="B32" s="67" t="str">
        <f>CONCATENATE(ROUNDUP(C32/Параметры!B3,0)," н.ч.")</f>
        <v>62 н.ч.</v>
      </c>
      <c r="C32" s="68">
        <f>ФОТ!C55</f>
        <v>19040</v>
      </c>
    </row>
    <row r="33" spans="1:254" x14ac:dyDescent="0.2">
      <c r="A33" s="50" t="s">
        <v>124</v>
      </c>
      <c r="B33" s="67" t="str">
        <f>CONCATENATE(ROUNDUP(C33/Параметры!B7,0)," н.ч.")</f>
        <v>70 н.ч.</v>
      </c>
      <c r="C33" s="68">
        <f>ФОТ!C46</f>
        <v>23800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419333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440"/>
      <c r="AC36" s="440"/>
      <c r="AD36" s="440"/>
      <c r="AE36" s="440"/>
      <c r="AF36" s="440"/>
      <c r="AG36" s="440"/>
      <c r="AH36" s="440"/>
      <c r="AI36" s="440"/>
      <c r="AJ36" s="440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  <c r="BB36" s="440"/>
      <c r="BC36" s="440"/>
      <c r="BD36" s="440"/>
      <c r="BE36" s="440"/>
      <c r="BF36" s="440"/>
      <c r="BG36" s="440"/>
      <c r="BH36" s="440"/>
      <c r="BI36" s="440"/>
      <c r="BJ36" s="440"/>
      <c r="BK36" s="440"/>
      <c r="BL36" s="440"/>
      <c r="BM36" s="440"/>
      <c r="BN36" s="440"/>
      <c r="BO36" s="440"/>
      <c r="BP36" s="440"/>
      <c r="BQ36" s="440"/>
      <c r="BR36" s="440"/>
      <c r="BS36" s="440"/>
      <c r="BT36" s="440"/>
      <c r="BU36" s="440"/>
      <c r="BV36" s="440"/>
      <c r="BW36" s="440"/>
      <c r="BX36" s="440"/>
      <c r="BY36" s="440"/>
      <c r="BZ36" s="440"/>
      <c r="CA36" s="440"/>
      <c r="CB36" s="440"/>
      <c r="CC36" s="440"/>
      <c r="CD36" s="440"/>
      <c r="CE36" s="440"/>
      <c r="CF36" s="440"/>
      <c r="CG36" s="440"/>
      <c r="CH36" s="440"/>
      <c r="CI36" s="440"/>
      <c r="CJ36" s="440"/>
      <c r="CK36" s="440"/>
      <c r="CL36" s="440"/>
      <c r="CM36" s="440"/>
      <c r="CN36" s="440"/>
      <c r="CO36" s="440"/>
      <c r="CP36" s="440"/>
      <c r="CQ36" s="440"/>
      <c r="CR36" s="440"/>
      <c r="CS36" s="440"/>
      <c r="CT36" s="440"/>
      <c r="CU36" s="440"/>
      <c r="CV36" s="440"/>
      <c r="CW36" s="440"/>
      <c r="CX36" s="440"/>
      <c r="CY36" s="440"/>
      <c r="CZ36" s="440"/>
      <c r="DA36" s="440"/>
      <c r="DB36" s="440"/>
      <c r="DC36" s="440"/>
      <c r="DD36" s="440"/>
      <c r="DE36" s="440"/>
      <c r="DF36" s="440"/>
      <c r="DG36" s="440"/>
      <c r="DH36" s="440"/>
      <c r="DI36" s="440"/>
      <c r="DJ36" s="440"/>
      <c r="DK36" s="440"/>
      <c r="DL36" s="440"/>
      <c r="DM36" s="440"/>
      <c r="DN36" s="440"/>
      <c r="DO36" s="440"/>
      <c r="DP36" s="440"/>
      <c r="DQ36" s="440"/>
      <c r="DR36" s="440"/>
      <c r="DS36" s="440"/>
      <c r="DT36" s="440"/>
      <c r="DU36" s="440"/>
      <c r="DV36" s="440"/>
      <c r="DW36" s="440"/>
      <c r="DX36" s="440"/>
      <c r="DY36" s="440"/>
      <c r="DZ36" s="440"/>
      <c r="EA36" s="440"/>
      <c r="EB36" s="440"/>
      <c r="EC36" s="440"/>
      <c r="ED36" s="440"/>
      <c r="EE36" s="440"/>
      <c r="EF36" s="440"/>
      <c r="EG36" s="440"/>
      <c r="EH36" s="440"/>
      <c r="EI36" s="440"/>
      <c r="EJ36" s="440"/>
      <c r="EK36" s="440"/>
      <c r="EL36" s="440"/>
      <c r="EM36" s="440"/>
      <c r="EN36" s="440"/>
      <c r="EO36" s="440"/>
      <c r="EP36" s="440"/>
      <c r="EQ36" s="440"/>
      <c r="ER36" s="440"/>
      <c r="ES36" s="440"/>
      <c r="ET36" s="440"/>
      <c r="EU36" s="440"/>
      <c r="EV36" s="440"/>
      <c r="EW36" s="440"/>
      <c r="EX36" s="440"/>
      <c r="EY36" s="440"/>
      <c r="EZ36" s="440"/>
      <c r="FA36" s="440"/>
      <c r="FB36" s="440"/>
      <c r="FC36" s="440"/>
      <c r="FD36" s="440"/>
      <c r="FE36" s="440"/>
      <c r="FF36" s="440"/>
      <c r="FG36" s="440"/>
      <c r="FH36" s="440"/>
      <c r="FI36" s="440"/>
      <c r="FJ36" s="440"/>
      <c r="FK36" s="440"/>
      <c r="FL36" s="440"/>
      <c r="FM36" s="440"/>
      <c r="FN36" s="440"/>
      <c r="FO36" s="440"/>
      <c r="FP36" s="440"/>
      <c r="FQ36" s="440"/>
      <c r="FR36" s="440"/>
      <c r="FS36" s="440"/>
      <c r="FT36" s="440"/>
      <c r="FU36" s="440"/>
      <c r="FV36" s="440"/>
      <c r="FW36" s="440"/>
      <c r="FX36" s="440"/>
      <c r="FY36" s="440"/>
      <c r="FZ36" s="440"/>
      <c r="GA36" s="440"/>
      <c r="GB36" s="440"/>
      <c r="GC36" s="440"/>
      <c r="GD36" s="440"/>
      <c r="GE36" s="440"/>
      <c r="GF36" s="440"/>
      <c r="GG36" s="440"/>
      <c r="GH36" s="440"/>
      <c r="GI36" s="440"/>
      <c r="GJ36" s="440"/>
      <c r="GK36" s="440"/>
      <c r="GL36" s="440"/>
      <c r="GM36" s="440"/>
      <c r="GN36" s="440"/>
      <c r="GO36" s="440"/>
      <c r="GP36" s="440"/>
      <c r="GQ36" s="440"/>
      <c r="GR36" s="440"/>
      <c r="GS36" s="440"/>
      <c r="GT36" s="440"/>
      <c r="GU36" s="440"/>
      <c r="GV36" s="440"/>
      <c r="GW36" s="440"/>
      <c r="GX36" s="440"/>
      <c r="GY36" s="440"/>
      <c r="GZ36" s="440"/>
      <c r="HA36" s="440"/>
      <c r="HB36" s="440"/>
      <c r="HC36" s="440"/>
      <c r="HD36" s="440"/>
      <c r="HE36" s="440"/>
      <c r="HF36" s="440"/>
      <c r="HG36" s="440"/>
      <c r="HH36" s="440"/>
      <c r="HI36" s="440"/>
      <c r="HJ36" s="440"/>
      <c r="HK36" s="440"/>
      <c r="HL36" s="440"/>
      <c r="HM36" s="440"/>
      <c r="HN36" s="440"/>
      <c r="HO36" s="440"/>
      <c r="HP36" s="440"/>
      <c r="HQ36" s="440"/>
      <c r="HR36" s="440"/>
      <c r="HS36" s="440"/>
      <c r="HT36" s="440"/>
      <c r="HU36" s="440"/>
      <c r="HV36" s="440"/>
      <c r="HW36" s="440"/>
      <c r="HX36" s="440"/>
      <c r="HY36" s="440"/>
      <c r="HZ36" s="440"/>
      <c r="IA36" s="440"/>
      <c r="IB36" s="440"/>
      <c r="IC36" s="440"/>
      <c r="ID36" s="440"/>
      <c r="IE36" s="440"/>
      <c r="IF36" s="440"/>
      <c r="IG36" s="440"/>
      <c r="IH36" s="440"/>
      <c r="II36" s="440"/>
      <c r="IJ36" s="440"/>
      <c r="IK36" s="440"/>
      <c r="IL36" s="440"/>
      <c r="IM36" s="440"/>
      <c r="IN36" s="440"/>
      <c r="IO36" s="440"/>
      <c r="IP36" s="440"/>
      <c r="IQ36" s="440"/>
      <c r="IR36" s="440"/>
      <c r="IS36" s="440"/>
      <c r="IT36" s="440"/>
    </row>
    <row r="37" spans="1:254" s="66" customFormat="1" ht="16.5" customHeight="1" thickBot="1" x14ac:dyDescent="0.4">
      <c r="A37" s="63"/>
      <c r="B37" s="63"/>
      <c r="C37" s="64">
        <f ca="1">SUM(C39:C47)</f>
        <v>1940568.84</v>
      </c>
      <c r="D37" s="64">
        <f ca="1">SUM(D39:D47)</f>
        <v>2328682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420626</v>
      </c>
      <c r="D39" s="68">
        <f ca="1">MROUND(C39*1.2,1)</f>
        <v>504751</v>
      </c>
    </row>
    <row r="40" spans="1:254" x14ac:dyDescent="0.2">
      <c r="A40" s="42" t="str">
        <f>CONCATENATE("Цепи (",Цепи!B13," м.п.)")</f>
        <v>Цепи (25 м.п.)</v>
      </c>
      <c r="B40" s="72"/>
      <c r="C40" s="68">
        <f ca="1">Цепи!B17</f>
        <v>106250</v>
      </c>
      <c r="D40" s="68">
        <f t="shared" ref="D40:D47" ca="1" si="0">MROUND(C40*1.2,1)</f>
        <v>127500</v>
      </c>
    </row>
    <row r="41" spans="1:254" x14ac:dyDescent="0.2">
      <c r="A41" s="42" t="s">
        <v>164</v>
      </c>
      <c r="B41" s="72"/>
      <c r="C41" s="68">
        <f ca="1">Панели!B19</f>
        <v>268125</v>
      </c>
      <c r="D41" s="68">
        <f t="shared" ca="1" si="0"/>
        <v>321750</v>
      </c>
    </row>
    <row r="42" spans="1:254" x14ac:dyDescent="0.2">
      <c r="A42" s="42" t="s">
        <v>175</v>
      </c>
      <c r="B42" s="72"/>
      <c r="C42" s="68">
        <f>Щётка!B16</f>
        <v>67200</v>
      </c>
      <c r="D42" s="68">
        <f t="shared" si="0"/>
        <v>80640</v>
      </c>
    </row>
    <row r="43" spans="1:254" x14ac:dyDescent="0.2">
      <c r="A43" s="42" t="s">
        <v>333</v>
      </c>
      <c r="B43" s="72"/>
      <c r="C43" s="68">
        <f ca="1">Привода!B6</f>
        <v>420850</v>
      </c>
      <c r="D43" s="68">
        <f t="shared" ca="1" si="0"/>
        <v>505020</v>
      </c>
    </row>
    <row r="44" spans="1:254" x14ac:dyDescent="0.2">
      <c r="A44" s="42" t="s">
        <v>33</v>
      </c>
      <c r="B44" s="72"/>
      <c r="C44" s="68">
        <f ca="1">Привода!B13</f>
        <v>408500</v>
      </c>
      <c r="D44" s="68">
        <f t="shared" ca="1" si="0"/>
        <v>490200</v>
      </c>
    </row>
    <row r="45" spans="1:254" x14ac:dyDescent="0.2">
      <c r="A45" s="42" t="s">
        <v>128</v>
      </c>
      <c r="B45" s="72"/>
      <c r="C45" s="68">
        <f>ПКИ!B68+ПКИ!B78</f>
        <v>74411.839999999982</v>
      </c>
      <c r="D45" s="68">
        <f t="shared" si="0"/>
        <v>89294</v>
      </c>
    </row>
    <row r="46" spans="1:254" x14ac:dyDescent="0.2">
      <c r="A46" s="42" t="s">
        <v>98</v>
      </c>
      <c r="B46" s="72"/>
      <c r="C46" s="68">
        <f ca="1">IF(D24="Нет",0,ШУ!B7)</f>
        <v>118085</v>
      </c>
      <c r="D46" s="68">
        <f t="shared" ca="1" si="0"/>
        <v>141702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56521</v>
      </c>
      <c r="D47" s="68">
        <f t="shared" ca="1" si="0"/>
        <v>67825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2590305</v>
      </c>
      <c r="D49" s="306">
        <f ca="1">MROUND(C49*1.2,1)</f>
        <v>3108366</v>
      </c>
      <c r="E49" s="305"/>
      <c r="F49" s="305"/>
      <c r="G49" s="305"/>
      <c r="H49" s="305"/>
      <c r="I49" s="305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  <c r="BC49" s="441"/>
      <c r="BD49" s="441"/>
      <c r="BE49" s="441"/>
      <c r="BF49" s="441"/>
      <c r="BG49" s="441"/>
      <c r="BH49" s="441"/>
      <c r="BI49" s="441"/>
      <c r="BJ49" s="441"/>
      <c r="BK49" s="441"/>
      <c r="BL49" s="441"/>
      <c r="BM49" s="441"/>
      <c r="BN49" s="441"/>
      <c r="BO49" s="441"/>
      <c r="BP49" s="441"/>
      <c r="BQ49" s="441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  <c r="DN49" s="441"/>
      <c r="DO49" s="441"/>
      <c r="DP49" s="441"/>
      <c r="DQ49" s="441"/>
      <c r="DR49" s="441"/>
      <c r="DS49" s="441"/>
      <c r="DT49" s="441"/>
      <c r="DU49" s="441"/>
      <c r="DV49" s="441"/>
      <c r="DW49" s="441"/>
      <c r="DX49" s="441"/>
      <c r="DY49" s="441"/>
      <c r="DZ49" s="441"/>
      <c r="EA49" s="441"/>
      <c r="EB49" s="441"/>
      <c r="EC49" s="441"/>
      <c r="ED49" s="441"/>
      <c r="EE49" s="441"/>
      <c r="EF49" s="441"/>
      <c r="EG49" s="441"/>
      <c r="EH49" s="441"/>
      <c r="EI49" s="441"/>
      <c r="EJ49" s="441"/>
      <c r="EK49" s="441"/>
      <c r="EL49" s="441"/>
      <c r="EM49" s="441"/>
      <c r="EN49" s="441"/>
      <c r="EO49" s="441"/>
      <c r="EP49" s="441"/>
      <c r="EQ49" s="441"/>
      <c r="ER49" s="441"/>
      <c r="ES49" s="441"/>
      <c r="ET49" s="441"/>
      <c r="EU49" s="441"/>
      <c r="EV49" s="441"/>
      <c r="EW49" s="441"/>
      <c r="EX49" s="441"/>
      <c r="EY49" s="441"/>
      <c r="EZ49" s="441"/>
      <c r="FA49" s="441"/>
      <c r="FB49" s="441"/>
      <c r="FC49" s="441"/>
      <c r="FD49" s="441"/>
      <c r="FE49" s="441"/>
      <c r="FF49" s="441"/>
      <c r="FG49" s="441"/>
      <c r="FH49" s="441"/>
      <c r="FI49" s="441"/>
      <c r="FJ49" s="441"/>
      <c r="FK49" s="441"/>
      <c r="FL49" s="441"/>
      <c r="FM49" s="441"/>
      <c r="FN49" s="441"/>
      <c r="FO49" s="441"/>
      <c r="FP49" s="441"/>
      <c r="FQ49" s="441"/>
      <c r="FR49" s="441"/>
      <c r="FS49" s="441"/>
      <c r="FT49" s="441"/>
      <c r="FU49" s="441"/>
      <c r="FV49" s="441"/>
      <c r="FW49" s="441"/>
      <c r="FX49" s="441"/>
      <c r="FY49" s="441"/>
      <c r="FZ49" s="441"/>
      <c r="GA49" s="441"/>
      <c r="GB49" s="441"/>
      <c r="GC49" s="441"/>
      <c r="GD49" s="441"/>
      <c r="GE49" s="441"/>
      <c r="GF49" s="441"/>
      <c r="GG49" s="441"/>
      <c r="GH49" s="441"/>
      <c r="GI49" s="441"/>
      <c r="GJ49" s="441"/>
      <c r="GK49" s="441"/>
      <c r="GL49" s="441"/>
      <c r="GM49" s="441"/>
      <c r="GN49" s="441"/>
      <c r="GO49" s="441"/>
      <c r="GP49" s="441"/>
      <c r="GQ49" s="441"/>
      <c r="GR49" s="441"/>
      <c r="GS49" s="441"/>
      <c r="GT49" s="441"/>
      <c r="GU49" s="441"/>
      <c r="GV49" s="441"/>
      <c r="GW49" s="441"/>
      <c r="GX49" s="441"/>
      <c r="GY49" s="441"/>
      <c r="GZ49" s="441"/>
      <c r="HA49" s="441"/>
      <c r="HB49" s="441"/>
      <c r="HC49" s="441"/>
      <c r="HD49" s="441"/>
      <c r="HE49" s="441"/>
      <c r="HF49" s="441"/>
      <c r="HG49" s="441"/>
      <c r="HH49" s="441"/>
      <c r="HI49" s="441"/>
      <c r="HJ49" s="441"/>
      <c r="HK49" s="441"/>
      <c r="HL49" s="441"/>
      <c r="HM49" s="441"/>
      <c r="HN49" s="441"/>
      <c r="HO49" s="441"/>
      <c r="HP49" s="441"/>
      <c r="HQ49" s="441"/>
      <c r="HR49" s="441"/>
      <c r="HS49" s="441"/>
      <c r="HT49" s="441"/>
      <c r="HU49" s="441"/>
      <c r="HV49" s="441"/>
      <c r="HW49" s="441"/>
      <c r="HX49" s="441"/>
      <c r="HY49" s="441"/>
      <c r="HZ49" s="441"/>
      <c r="IA49" s="441"/>
      <c r="IB49" s="441"/>
      <c r="IC49" s="441"/>
      <c r="ID49" s="441"/>
      <c r="IE49" s="441"/>
      <c r="IF49" s="441"/>
      <c r="IG49" s="441"/>
      <c r="IH49" s="441"/>
      <c r="II49" s="441"/>
      <c r="IJ49" s="441"/>
      <c r="IK49" s="441"/>
      <c r="IL49" s="441"/>
      <c r="IM49" s="441"/>
      <c r="IN49" s="441"/>
      <c r="IO49" s="441"/>
      <c r="IP49" s="441"/>
      <c r="IQ49" s="441"/>
      <c r="IR49" s="441"/>
      <c r="IS49" s="441"/>
      <c r="IT49" s="441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  <c r="BB51" s="440"/>
      <c r="BC51" s="440"/>
      <c r="BD51" s="440"/>
      <c r="BE51" s="440"/>
      <c r="BF51" s="440"/>
      <c r="BG51" s="440"/>
      <c r="BH51" s="440"/>
      <c r="BI51" s="440"/>
      <c r="BJ51" s="440"/>
      <c r="BK51" s="440"/>
      <c r="BL51" s="440"/>
      <c r="BM51" s="440"/>
      <c r="BN51" s="440"/>
      <c r="BO51" s="440"/>
      <c r="BP51" s="440"/>
      <c r="BQ51" s="440"/>
      <c r="BR51" s="440"/>
      <c r="BS51" s="440"/>
      <c r="BT51" s="440"/>
      <c r="BU51" s="440"/>
      <c r="BV51" s="440"/>
      <c r="BW51" s="440"/>
      <c r="BX51" s="440"/>
      <c r="BY51" s="440"/>
      <c r="BZ51" s="440"/>
      <c r="CA51" s="440"/>
      <c r="CB51" s="440"/>
      <c r="CC51" s="440"/>
      <c r="CD51" s="440"/>
      <c r="CE51" s="440"/>
      <c r="CF51" s="440"/>
      <c r="CG51" s="440"/>
      <c r="CH51" s="440"/>
      <c r="CI51" s="440"/>
      <c r="CJ51" s="440"/>
      <c r="CK51" s="440"/>
      <c r="CL51" s="440"/>
      <c r="CM51" s="440"/>
      <c r="CN51" s="440"/>
      <c r="CO51" s="440"/>
      <c r="CP51" s="440"/>
      <c r="CQ51" s="440"/>
      <c r="CR51" s="440"/>
      <c r="CS51" s="440"/>
      <c r="CT51" s="440"/>
      <c r="CU51" s="440"/>
      <c r="CV51" s="440"/>
      <c r="CW51" s="440"/>
      <c r="CX51" s="440"/>
      <c r="CY51" s="440"/>
      <c r="CZ51" s="440"/>
      <c r="DA51" s="440"/>
      <c r="DB51" s="440"/>
      <c r="DC51" s="440"/>
      <c r="DD51" s="440"/>
      <c r="DE51" s="440"/>
      <c r="DF51" s="440"/>
      <c r="DG51" s="440"/>
      <c r="DH51" s="440"/>
      <c r="DI51" s="440"/>
      <c r="DJ51" s="440"/>
      <c r="DK51" s="440"/>
      <c r="DL51" s="440"/>
      <c r="DM51" s="440"/>
      <c r="DN51" s="440"/>
      <c r="DO51" s="440"/>
      <c r="DP51" s="440"/>
      <c r="DQ51" s="440"/>
      <c r="DR51" s="440"/>
      <c r="DS51" s="440"/>
      <c r="DT51" s="440"/>
      <c r="DU51" s="440"/>
      <c r="DV51" s="440"/>
      <c r="DW51" s="440"/>
      <c r="DX51" s="440"/>
      <c r="DY51" s="440"/>
      <c r="DZ51" s="440"/>
      <c r="EA51" s="440"/>
      <c r="EB51" s="440"/>
      <c r="EC51" s="440"/>
      <c r="ED51" s="440"/>
      <c r="EE51" s="440"/>
      <c r="EF51" s="440"/>
      <c r="EG51" s="440"/>
      <c r="EH51" s="440"/>
      <c r="EI51" s="440"/>
      <c r="EJ51" s="440"/>
      <c r="EK51" s="440"/>
      <c r="EL51" s="440"/>
      <c r="EM51" s="440"/>
      <c r="EN51" s="440"/>
      <c r="EO51" s="440"/>
      <c r="EP51" s="440"/>
      <c r="EQ51" s="440"/>
      <c r="ER51" s="440"/>
      <c r="ES51" s="440"/>
      <c r="ET51" s="440"/>
      <c r="EU51" s="440"/>
      <c r="EV51" s="440"/>
      <c r="EW51" s="440"/>
      <c r="EX51" s="440"/>
      <c r="EY51" s="440"/>
      <c r="EZ51" s="440"/>
      <c r="FA51" s="440"/>
      <c r="FB51" s="440"/>
      <c r="FC51" s="440"/>
      <c r="FD51" s="440"/>
      <c r="FE51" s="440"/>
      <c r="FF51" s="440"/>
      <c r="FG51" s="440"/>
      <c r="FH51" s="440"/>
      <c r="FI51" s="440"/>
      <c r="FJ51" s="440"/>
      <c r="FK51" s="440"/>
      <c r="FL51" s="440"/>
      <c r="FM51" s="440"/>
      <c r="FN51" s="440"/>
      <c r="FO51" s="440"/>
      <c r="FP51" s="440"/>
      <c r="FQ51" s="440"/>
      <c r="FR51" s="440"/>
      <c r="FS51" s="440"/>
      <c r="FT51" s="440"/>
      <c r="FU51" s="440"/>
      <c r="FV51" s="440"/>
      <c r="FW51" s="440"/>
      <c r="FX51" s="440"/>
      <c r="FY51" s="440"/>
      <c r="FZ51" s="440"/>
      <c r="GA51" s="440"/>
      <c r="GB51" s="440"/>
      <c r="GC51" s="440"/>
      <c r="GD51" s="440"/>
      <c r="GE51" s="440"/>
      <c r="GF51" s="440"/>
      <c r="GG51" s="440"/>
      <c r="GH51" s="440"/>
      <c r="GI51" s="440"/>
      <c r="GJ51" s="440"/>
      <c r="GK51" s="440"/>
      <c r="GL51" s="440"/>
      <c r="GM51" s="440"/>
      <c r="GN51" s="440"/>
      <c r="GO51" s="440"/>
      <c r="GP51" s="440"/>
      <c r="GQ51" s="440"/>
      <c r="GR51" s="440"/>
      <c r="GS51" s="440"/>
      <c r="GT51" s="440"/>
      <c r="GU51" s="440"/>
      <c r="GV51" s="440"/>
      <c r="GW51" s="440"/>
      <c r="GX51" s="440"/>
      <c r="GY51" s="440"/>
      <c r="GZ51" s="440"/>
      <c r="HA51" s="440"/>
      <c r="HB51" s="440"/>
      <c r="HC51" s="440"/>
      <c r="HD51" s="440"/>
      <c r="HE51" s="440"/>
      <c r="HF51" s="440"/>
      <c r="HG51" s="440"/>
      <c r="HH51" s="440"/>
      <c r="HI51" s="440"/>
      <c r="HJ51" s="440"/>
      <c r="HK51" s="440"/>
      <c r="HL51" s="440"/>
      <c r="HM51" s="440"/>
      <c r="HN51" s="440"/>
      <c r="HO51" s="440"/>
      <c r="HP51" s="440"/>
      <c r="HQ51" s="440"/>
      <c r="HR51" s="440"/>
      <c r="HS51" s="440"/>
      <c r="HT51" s="440"/>
      <c r="HU51" s="440"/>
      <c r="HV51" s="440"/>
      <c r="HW51" s="440"/>
      <c r="HX51" s="440"/>
      <c r="HY51" s="440"/>
      <c r="HZ51" s="440"/>
      <c r="IA51" s="440"/>
      <c r="IB51" s="440"/>
      <c r="IC51" s="440"/>
      <c r="ID51" s="440"/>
      <c r="IE51" s="440"/>
      <c r="IF51" s="440"/>
      <c r="IG51" s="440"/>
      <c r="IH51" s="440"/>
      <c r="II51" s="440"/>
      <c r="IJ51" s="440"/>
      <c r="IK51" s="440"/>
      <c r="IL51" s="440"/>
      <c r="IM51" s="440"/>
      <c r="IN51" s="440"/>
      <c r="IO51" s="440"/>
      <c r="IP51" s="440"/>
      <c r="IQ51" s="440"/>
      <c r="IR51" s="440"/>
      <c r="IS51" s="440"/>
      <c r="IT51" s="440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4921580</v>
      </c>
      <c r="D53" s="79">
        <f ca="1">ROUNDUP(D49*B53,0)</f>
        <v>5905896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4921580</v>
      </c>
      <c r="D57" s="83">
        <f ca="1">D53+D55</f>
        <v>5905896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2331275</v>
      </c>
      <c r="D58" s="93">
        <f ca="1">D57-D55-D49</f>
        <v>2797530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4921580</v>
      </c>
      <c r="D62" s="102">
        <f ca="1">D57/(1-B60*(1+B61))</f>
        <v>5905896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4921580</v>
      </c>
      <c r="D64" s="141">
        <f ca="1">D62</f>
        <v>5905896</v>
      </c>
      <c r="F64" s="140"/>
      <c r="G64" s="140"/>
      <c r="H64" s="140"/>
      <c r="I64" s="140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2"/>
      <c r="CS64" s="442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442"/>
      <c r="DG64" s="442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2"/>
      <c r="DW64" s="442"/>
      <c r="DX64" s="442"/>
      <c r="DY64" s="442"/>
      <c r="DZ64" s="442"/>
      <c r="EA64" s="442"/>
      <c r="EB64" s="442"/>
      <c r="EC64" s="442"/>
      <c r="ED64" s="442"/>
      <c r="EE64" s="442"/>
      <c r="EF64" s="442"/>
      <c r="EG64" s="442"/>
      <c r="EH64" s="442"/>
      <c r="EI64" s="442"/>
      <c r="EJ64" s="442"/>
      <c r="EK64" s="442"/>
      <c r="EL64" s="442"/>
      <c r="EM64" s="442"/>
      <c r="EN64" s="442"/>
      <c r="EO64" s="442"/>
      <c r="EP64" s="442"/>
      <c r="EQ64" s="442"/>
      <c r="ER64" s="442"/>
      <c r="ES64" s="442"/>
      <c r="ET64" s="442"/>
      <c r="EU64" s="442"/>
      <c r="EV64" s="442"/>
      <c r="EW64" s="442"/>
      <c r="EX64" s="442"/>
      <c r="EY64" s="442"/>
      <c r="EZ64" s="442"/>
      <c r="FA64" s="442"/>
      <c r="FB64" s="442"/>
      <c r="FC64" s="442"/>
      <c r="FD64" s="442"/>
      <c r="FE64" s="442"/>
      <c r="FF64" s="442"/>
      <c r="FG64" s="442"/>
      <c r="FH64" s="442"/>
      <c r="FI64" s="442"/>
      <c r="FJ64" s="442"/>
      <c r="FK64" s="442"/>
      <c r="FL64" s="442"/>
      <c r="FM64" s="442"/>
      <c r="FN64" s="442"/>
      <c r="FO64" s="442"/>
      <c r="FP64" s="442"/>
      <c r="FQ64" s="442"/>
      <c r="FR64" s="442"/>
      <c r="FS64" s="442"/>
      <c r="FT64" s="442"/>
      <c r="FU64" s="442"/>
      <c r="FV64" s="442"/>
      <c r="FW64" s="442"/>
      <c r="FX64" s="442"/>
      <c r="FY64" s="442"/>
      <c r="FZ64" s="442"/>
      <c r="GA64" s="442"/>
      <c r="GB64" s="442"/>
      <c r="GC64" s="442"/>
      <c r="GD64" s="442"/>
      <c r="GE64" s="442"/>
      <c r="GF64" s="442"/>
      <c r="GG64" s="442"/>
      <c r="GH64" s="442"/>
      <c r="GI64" s="442"/>
      <c r="GJ64" s="442"/>
      <c r="GK64" s="442"/>
      <c r="GL64" s="442"/>
      <c r="GM64" s="442"/>
      <c r="GN64" s="442"/>
      <c r="GO64" s="442"/>
      <c r="GP64" s="442"/>
      <c r="GQ64" s="442"/>
      <c r="GR64" s="442"/>
      <c r="GS64" s="442"/>
      <c r="GT64" s="442"/>
      <c r="GU64" s="442"/>
      <c r="GV64" s="442"/>
      <c r="GW64" s="442"/>
      <c r="GX64" s="442"/>
      <c r="GY64" s="442"/>
      <c r="GZ64" s="442"/>
      <c r="HA64" s="442"/>
      <c r="HB64" s="442"/>
      <c r="HC64" s="442"/>
      <c r="HD64" s="442"/>
      <c r="HE64" s="442"/>
      <c r="HF64" s="442"/>
      <c r="HG64" s="442"/>
      <c r="HH64" s="442"/>
      <c r="HI64" s="442"/>
      <c r="HJ64" s="442"/>
      <c r="HK64" s="442"/>
      <c r="HL64" s="442"/>
      <c r="HM64" s="442"/>
      <c r="HN64" s="442"/>
      <c r="HO64" s="442"/>
      <c r="HP64" s="442"/>
      <c r="HQ64" s="442"/>
      <c r="HR64" s="442"/>
      <c r="HS64" s="442"/>
      <c r="HT64" s="442"/>
      <c r="HU64" s="442"/>
      <c r="HV64" s="442"/>
      <c r="HW64" s="442"/>
      <c r="HX64" s="442"/>
      <c r="HY64" s="442"/>
      <c r="HZ64" s="442"/>
      <c r="IA64" s="442"/>
      <c r="IB64" s="442"/>
      <c r="IC64" s="442"/>
      <c r="ID64" s="442"/>
      <c r="IE64" s="442"/>
      <c r="IF64" s="442"/>
      <c r="IG64" s="442"/>
      <c r="IH64" s="442"/>
      <c r="II64" s="442"/>
      <c r="IJ64" s="442"/>
      <c r="IK64" s="442"/>
      <c r="IL64" s="442"/>
      <c r="IM64" s="442"/>
      <c r="IN64" s="442"/>
      <c r="IO64" s="442"/>
      <c r="IP64" s="442"/>
      <c r="IQ64" s="442"/>
      <c r="IR64" s="442"/>
      <c r="IS64" s="442"/>
      <c r="IT64" s="442"/>
    </row>
  </sheetData>
  <dataConsolidate/>
  <mergeCells count="173"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2</v>
      </c>
    </row>
    <row r="2" spans="1:14" ht="15.75" customHeight="1" x14ac:dyDescent="0.25">
      <c r="A2" s="326" t="s">
        <v>154</v>
      </c>
      <c r="B2" s="386">
        <f>Цена!B16</f>
        <v>1900</v>
      </c>
    </row>
    <row r="3" spans="1:14" ht="15.75" customHeight="1" x14ac:dyDescent="0.25">
      <c r="A3" s="326" t="s">
        <v>356</v>
      </c>
      <c r="B3" s="386">
        <f>Цена!C16</f>
        <v>2900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2400</v>
      </c>
      <c r="D5" s="324">
        <v>0</v>
      </c>
      <c r="E5" s="324">
        <f ca="1">$B$5-H5</f>
        <v>2226</v>
      </c>
      <c r="F5" s="333">
        <f ca="1">B12</f>
        <v>1.06</v>
      </c>
      <c r="G5" s="333">
        <f ca="1">ROUNDUP($B$15/3600/F5,3)</f>
        <v>1</v>
      </c>
      <c r="H5" s="324">
        <f ca="1">ROUNDUP(1/2/9.81/$B$16^2*SIN(RADIANS($B$9))*(G5^2-$B$13^2)*1000,0)</f>
        <v>174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>
        <f t="shared" ref="E6:E14" ca="1" si="0">$B$5-H6</f>
        <v>2207</v>
      </c>
      <c r="F6" s="324">
        <f t="shared" ref="F6:F14" ca="1" si="1">MROUND($F$5*(1-D6/100),0.01)</f>
        <v>1.01</v>
      </c>
      <c r="G6" s="333">
        <f t="shared" ref="G6:G14" ca="1" si="2">ROUNDUP($B$15/3600/F6,3)</f>
        <v>1.0499999999999998</v>
      </c>
      <c r="H6" s="324">
        <f t="shared" ref="H6:H14" ca="1" si="3">ROUNDUP(1/2/9.81/$B$16^2*SIN(RADIANS($B$9))*(G6^2-$B$13^2)*1000,0)</f>
        <v>193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>
        <f t="shared" ca="1" si="0"/>
        <v>2180</v>
      </c>
      <c r="F7" s="324">
        <f t="shared" ca="1" si="1"/>
        <v>0.95000000000000007</v>
      </c>
      <c r="G7" s="333">
        <f t="shared" ca="1" si="2"/>
        <v>1.1159999999999999</v>
      </c>
      <c r="H7" s="324">
        <f t="shared" ca="1" si="3"/>
        <v>220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1612</v>
      </c>
      <c r="D8" s="324">
        <v>15</v>
      </c>
      <c r="E8" s="324">
        <f t="shared" ca="1" si="0"/>
        <v>2154</v>
      </c>
      <c r="F8" s="324">
        <f t="shared" ca="1" si="1"/>
        <v>0.9</v>
      </c>
      <c r="G8" s="333">
        <f t="shared" ca="1" si="2"/>
        <v>1.1779999999999999</v>
      </c>
      <c r="H8" s="324">
        <f t="shared" ca="1" si="3"/>
        <v>246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>
        <f t="shared" ca="1" si="0"/>
        <v>2123</v>
      </c>
      <c r="F9" s="324">
        <f t="shared" ca="1" si="1"/>
        <v>0.85</v>
      </c>
      <c r="G9" s="333">
        <f t="shared" ca="1" si="2"/>
        <v>1.248</v>
      </c>
      <c r="H9" s="324">
        <f t="shared" ca="1" si="3"/>
        <v>277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>
        <f t="shared" ca="1" si="0"/>
        <v>2087</v>
      </c>
      <c r="F10" s="324">
        <f t="shared" ca="1" si="1"/>
        <v>0.8</v>
      </c>
      <c r="G10" s="333">
        <f t="shared" ca="1" si="2"/>
        <v>1.325</v>
      </c>
      <c r="H10" s="324">
        <f t="shared" ca="1" si="3"/>
        <v>313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4.6399999999999997</v>
      </c>
      <c r="D11" s="324">
        <v>30</v>
      </c>
      <c r="E11" s="324">
        <f t="shared" ca="1" si="0"/>
        <v>2032</v>
      </c>
      <c r="F11" s="324">
        <f t="shared" ca="1" si="1"/>
        <v>0.74</v>
      </c>
      <c r="G11" s="333">
        <f t="shared" ca="1" si="2"/>
        <v>1.4329999999999998</v>
      </c>
      <c r="H11" s="324">
        <f t="shared" ca="1" si="3"/>
        <v>368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1.06</v>
      </c>
      <c r="D12" s="324">
        <v>35</v>
      </c>
      <c r="E12" s="324">
        <f t="shared" ca="1" si="0"/>
        <v>1975</v>
      </c>
      <c r="F12" s="324">
        <f t="shared" ca="1" si="1"/>
        <v>0.69000000000000006</v>
      </c>
      <c r="G12" s="333">
        <f t="shared" ca="1" si="2"/>
        <v>1.5369999999999999</v>
      </c>
      <c r="H12" s="324">
        <f t="shared" ca="1" si="3"/>
        <v>425</v>
      </c>
    </row>
    <row r="13" spans="1:14" ht="15.75" customHeight="1" x14ac:dyDescent="0.25">
      <c r="A13" s="326" t="s">
        <v>562</v>
      </c>
      <c r="B13" s="333">
        <f ca="1">$B$15/3600/(B5*$B$2/1000/1000)</f>
        <v>0.23245614035087722</v>
      </c>
      <c r="D13" s="324">
        <v>40</v>
      </c>
      <c r="E13" s="324">
        <f t="shared" ca="1" si="0"/>
        <v>1905</v>
      </c>
      <c r="F13" s="324">
        <f t="shared" ca="1" si="1"/>
        <v>0.64</v>
      </c>
      <c r="G13" s="333">
        <f t="shared" ca="1" si="2"/>
        <v>1.6569999999999998</v>
      </c>
      <c r="H13" s="324">
        <f t="shared" ca="1" si="3"/>
        <v>495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>
        <f t="shared" ca="1" si="0"/>
        <v>1795</v>
      </c>
      <c r="F14" s="324">
        <f t="shared" ca="1" si="1"/>
        <v>0.57999999999999996</v>
      </c>
      <c r="G14" s="333">
        <f t="shared" ca="1" si="2"/>
        <v>1.8279999999999998</v>
      </c>
      <c r="H14" s="324">
        <f t="shared" ca="1" si="3"/>
        <v>605</v>
      </c>
    </row>
    <row r="15" spans="1:14" ht="15.75" customHeight="1" x14ac:dyDescent="0.25">
      <c r="A15" s="326" t="s">
        <v>372</v>
      </c>
      <c r="B15" s="334">
        <f ca="1">C15</f>
        <v>3816</v>
      </c>
      <c r="C15" s="308">
        <f ca="1">MROUND(B12*3600,1)</f>
        <v>3816</v>
      </c>
    </row>
    <row r="16" spans="1:14" ht="15.75" customHeight="1" x14ac:dyDescent="0.25">
      <c r="A16" s="325" t="s">
        <v>373</v>
      </c>
      <c r="B16" s="324">
        <f ca="1">OFFSET(J4,MATCH(B1,J5:J10,0),4,1,1)</f>
        <v>0.49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453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5"/>
      <c r="P1" s="144"/>
    </row>
    <row r="2" spans="1:119" s="146" customFormat="1" ht="15" x14ac:dyDescent="0.2">
      <c r="A2" s="456" t="s">
        <v>176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458" t="s">
        <v>188</v>
      </c>
      <c r="T7" s="459"/>
      <c r="U7" s="459"/>
      <c r="V7" s="459"/>
      <c r="W7" s="459"/>
      <c r="X7" s="459"/>
      <c r="Y7" s="459"/>
      <c r="Z7" s="46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1900</v>
      </c>
      <c r="D9" s="169">
        <f>IF(C9&lt;=750,ROUND(C9/50,0)*50,ROUND(C9/100,0)*100)</f>
        <v>1900</v>
      </c>
      <c r="E9" s="447" t="s">
        <v>193</v>
      </c>
      <c r="F9" s="448"/>
      <c r="G9" s="448"/>
      <c r="H9" s="448"/>
      <c r="I9" s="448"/>
      <c r="J9" s="448"/>
      <c r="K9" s="448"/>
      <c r="L9" s="448"/>
      <c r="M9" s="448"/>
      <c r="N9" s="448"/>
      <c r="O9" s="449"/>
      <c r="P9" s="71"/>
      <c r="S9" s="170" t="s">
        <v>194</v>
      </c>
      <c r="T9" s="171" t="s">
        <v>114</v>
      </c>
      <c r="U9" s="172" t="s">
        <v>195</v>
      </c>
      <c r="V9" s="461" t="s">
        <v>192</v>
      </c>
      <c r="W9" s="461"/>
      <c r="X9" s="461"/>
      <c r="Y9" s="461"/>
      <c r="Z9" s="46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2900</v>
      </c>
      <c r="D10" s="169">
        <f>CEILING(C10,100)</f>
        <v>2900</v>
      </c>
      <c r="E10" s="447" t="s">
        <v>196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9"/>
      <c r="P10" s="71"/>
      <c r="S10" s="175"/>
      <c r="T10" s="176" t="s">
        <v>197</v>
      </c>
      <c r="U10" s="177"/>
      <c r="V10" s="450"/>
      <c r="W10" s="451"/>
      <c r="X10" s="451"/>
      <c r="Y10" s="451"/>
      <c r="Z10" s="452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1200</v>
      </c>
      <c r="D11" s="179">
        <f>IF(AND(C11&gt;0,C11&lt;=850),850,IF(AND(C11&gt;850,C11&lt;=1200),1200,IF(AND(C11&gt;1200,C11=1500),1500,"Ннестандарт")))</f>
        <v>1200</v>
      </c>
      <c r="E11" s="447" t="s">
        <v>198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9"/>
      <c r="P11" s="71"/>
      <c r="S11" s="180">
        <v>1</v>
      </c>
      <c r="T11" s="181" t="s">
        <v>199</v>
      </c>
      <c r="U11" s="182">
        <f>C30*C29+5</f>
        <v>1085</v>
      </c>
      <c r="V11" s="466"/>
      <c r="W11" s="466"/>
      <c r="X11" s="466"/>
      <c r="Y11" s="466"/>
      <c r="Z11" s="467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68" t="s">
        <v>201</v>
      </c>
      <c r="F12" s="469"/>
      <c r="G12" s="469"/>
      <c r="H12" s="469"/>
      <c r="I12" s="469"/>
      <c r="J12" s="469"/>
      <c r="K12" s="469"/>
      <c r="L12" s="469"/>
      <c r="M12" s="469"/>
      <c r="N12" s="469"/>
      <c r="O12" s="470"/>
      <c r="P12" s="54"/>
      <c r="S12" s="184">
        <v>2</v>
      </c>
      <c r="T12" s="185" t="s">
        <v>202</v>
      </c>
      <c r="U12" s="186">
        <v>1</v>
      </c>
      <c r="V12" s="471" t="s">
        <v>203</v>
      </c>
      <c r="W12" s="471"/>
      <c r="X12" s="471"/>
      <c r="Y12" s="471"/>
      <c r="Z12" s="472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2600</v>
      </c>
      <c r="D13" s="190">
        <f>IF(C10&lt;=1200,C10,C10-250)</f>
        <v>2650</v>
      </c>
      <c r="E13" s="473" t="s">
        <v>205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5"/>
      <c r="P13" s="71"/>
      <c r="S13" s="184">
        <v>3</v>
      </c>
      <c r="T13" s="185" t="s">
        <v>206</v>
      </c>
      <c r="U13" s="186">
        <v>1</v>
      </c>
      <c r="V13" s="471" t="s">
        <v>207</v>
      </c>
      <c r="W13" s="471"/>
      <c r="X13" s="471"/>
      <c r="Y13" s="471"/>
      <c r="Z13" s="472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2700</v>
      </c>
      <c r="E14" s="476" t="s">
        <v>210</v>
      </c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2700</v>
      </c>
      <c r="E15" s="479"/>
      <c r="F15" s="480"/>
      <c r="G15" s="480"/>
      <c r="H15" s="480"/>
      <c r="I15" s="480"/>
      <c r="J15" s="480"/>
      <c r="K15" s="480"/>
      <c r="L15" s="480"/>
      <c r="M15" s="480"/>
      <c r="N15" s="480"/>
      <c r="O15" s="481"/>
      <c r="P15" s="71"/>
      <c r="S15" s="184">
        <v>5</v>
      </c>
      <c r="T15" s="185" t="s">
        <v>214</v>
      </c>
      <c r="U15" s="186">
        <v>1</v>
      </c>
      <c r="V15" s="463" t="s">
        <v>215</v>
      </c>
      <c r="W15" s="464"/>
      <c r="X15" s="464"/>
      <c r="Y15" s="464"/>
      <c r="Z15" s="465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82" t="s">
        <v>217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54"/>
      <c r="S16" s="184">
        <v>6</v>
      </c>
      <c r="T16" s="185" t="s">
        <v>218</v>
      </c>
      <c r="U16" s="186">
        <v>1</v>
      </c>
      <c r="V16" s="463" t="s">
        <v>219</v>
      </c>
      <c r="W16" s="464"/>
      <c r="X16" s="464"/>
      <c r="Y16" s="464"/>
      <c r="Z16" s="465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136</v>
      </c>
      <c r="E17" s="447" t="s">
        <v>221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71"/>
      <c r="S17" s="184">
        <v>7</v>
      </c>
      <c r="T17" s="185" t="s">
        <v>222</v>
      </c>
      <c r="U17" s="186">
        <v>2</v>
      </c>
      <c r="V17" s="463" t="s">
        <v>223</v>
      </c>
      <c r="W17" s="464"/>
      <c r="X17" s="464"/>
      <c r="Y17" s="464"/>
      <c r="Z17" s="465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63" t="s">
        <v>225</v>
      </c>
      <c r="W18" s="464"/>
      <c r="X18" s="464"/>
      <c r="Y18" s="464"/>
      <c r="Z18" s="465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85" t="s">
        <v>226</v>
      </c>
      <c r="G19" s="486"/>
      <c r="H19" s="486"/>
      <c r="I19" s="486"/>
      <c r="J19" s="486"/>
      <c r="K19" s="486"/>
      <c r="L19" s="486"/>
      <c r="M19" s="486"/>
      <c r="N19" s="486"/>
      <c r="O19" s="487"/>
      <c r="P19" s="151"/>
      <c r="S19" s="184">
        <v>9</v>
      </c>
      <c r="T19" s="185" t="s">
        <v>227</v>
      </c>
      <c r="U19" s="208">
        <f>C29</f>
        <v>8</v>
      </c>
      <c r="V19" s="463" t="s">
        <v>228</v>
      </c>
      <c r="W19" s="464"/>
      <c r="X19" s="464"/>
      <c r="Y19" s="464"/>
      <c r="Z19" s="465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88" t="s">
        <v>229</v>
      </c>
      <c r="G20" s="489"/>
      <c r="H20" s="489"/>
      <c r="I20" s="489"/>
      <c r="J20" s="489"/>
      <c r="K20" s="489"/>
      <c r="L20" s="489"/>
      <c r="M20" s="489"/>
      <c r="N20" s="489"/>
      <c r="O20" s="490"/>
      <c r="P20" s="209"/>
      <c r="S20" s="184">
        <v>10</v>
      </c>
      <c r="T20" s="185" t="s">
        <v>230</v>
      </c>
      <c r="U20" s="208">
        <f>C29</f>
        <v>8</v>
      </c>
      <c r="V20" s="463" t="s">
        <v>231</v>
      </c>
      <c r="W20" s="464"/>
      <c r="X20" s="464"/>
      <c r="Y20" s="464"/>
      <c r="Z20" s="465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98" t="s">
        <v>233</v>
      </c>
      <c r="G21" s="499"/>
      <c r="H21" s="499"/>
      <c r="I21" s="499"/>
      <c r="J21" s="499"/>
      <c r="K21" s="499"/>
      <c r="L21" s="499"/>
      <c r="M21" s="499"/>
      <c r="N21" s="499"/>
      <c r="O21" s="500"/>
      <c r="P21" s="213"/>
      <c r="S21" s="184">
        <v>11</v>
      </c>
      <c r="T21" s="214" t="s">
        <v>234</v>
      </c>
      <c r="U21" s="186">
        <v>1</v>
      </c>
      <c r="V21" s="463"/>
      <c r="W21" s="464"/>
      <c r="X21" s="464"/>
      <c r="Y21" s="464"/>
      <c r="Z21" s="465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136</v>
      </c>
      <c r="D22" s="217" t="s">
        <v>236</v>
      </c>
      <c r="E22" s="71"/>
      <c r="F22" s="491" t="s">
        <v>237</v>
      </c>
      <c r="G22" s="493" t="s">
        <v>238</v>
      </c>
      <c r="H22" s="495" t="s">
        <v>239</v>
      </c>
      <c r="I22" s="493" t="s">
        <v>240</v>
      </c>
      <c r="J22" s="495" t="s">
        <v>241</v>
      </c>
      <c r="K22" s="501" t="s">
        <v>242</v>
      </c>
      <c r="L22" s="502"/>
      <c r="M22" s="505" t="s">
        <v>243</v>
      </c>
      <c r="N22" s="507" t="s">
        <v>244</v>
      </c>
      <c r="O22" s="508"/>
      <c r="S22" s="184">
        <v>12</v>
      </c>
      <c r="T22" s="214" t="s">
        <v>245</v>
      </c>
      <c r="U22" s="186">
        <v>1</v>
      </c>
      <c r="V22" s="463"/>
      <c r="W22" s="464"/>
      <c r="X22" s="464"/>
      <c r="Y22" s="464"/>
      <c r="Z22" s="465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92"/>
      <c r="G23" s="494"/>
      <c r="H23" s="496"/>
      <c r="I23" s="494"/>
      <c r="J23" s="497"/>
      <c r="K23" s="503"/>
      <c r="L23" s="504"/>
      <c r="M23" s="506"/>
      <c r="N23" s="509"/>
      <c r="O23" s="510"/>
      <c r="S23" s="184">
        <v>13</v>
      </c>
      <c r="T23" s="214" t="s">
        <v>248</v>
      </c>
      <c r="U23" s="186">
        <v>3</v>
      </c>
      <c r="V23" s="463" t="s">
        <v>249</v>
      </c>
      <c r="W23" s="464"/>
      <c r="X23" s="464"/>
      <c r="Y23" s="464"/>
      <c r="Z23" s="465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63"/>
      <c r="W24" s="464"/>
      <c r="X24" s="464"/>
      <c r="Y24" s="464"/>
      <c r="Z24" s="465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233.9324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63"/>
      <c r="W25" s="464"/>
      <c r="X25" s="464"/>
      <c r="Y25" s="464"/>
      <c r="Z25" s="465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19.153333333333329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511" t="s">
        <v>258</v>
      </c>
      <c r="O26" s="512"/>
      <c r="S26" s="184">
        <v>16</v>
      </c>
      <c r="T26" s="185" t="s">
        <v>259</v>
      </c>
      <c r="U26" s="186">
        <v>1</v>
      </c>
      <c r="V26" s="463" t="s">
        <v>260</v>
      </c>
      <c r="W26" s="464"/>
      <c r="X26" s="464"/>
      <c r="Y26" s="464"/>
      <c r="Z26" s="465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63" t="s">
        <v>262</v>
      </c>
      <c r="W27" s="464"/>
      <c r="X27" s="464"/>
      <c r="Y27" s="464"/>
      <c r="Z27" s="465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63" t="s">
        <v>265</v>
      </c>
      <c r="W28" s="464"/>
      <c r="X28" s="464"/>
      <c r="Y28" s="464"/>
      <c r="Z28" s="465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8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356.55340000000001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63" t="s">
        <v>265</v>
      </c>
      <c r="W29" s="464"/>
      <c r="X29" s="464"/>
      <c r="Y29" s="464"/>
      <c r="Z29" s="465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135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16</v>
      </c>
      <c r="V30" s="463" t="s">
        <v>271</v>
      </c>
      <c r="W30" s="464"/>
      <c r="X30" s="464"/>
      <c r="Y30" s="464"/>
      <c r="Z30" s="465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63"/>
      <c r="W31" s="464"/>
      <c r="X31" s="464"/>
      <c r="Y31" s="464"/>
      <c r="Z31" s="465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103.46766666666667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139</v>
      </c>
      <c r="V32" s="463"/>
      <c r="W32" s="464"/>
      <c r="X32" s="464"/>
      <c r="Y32" s="464"/>
      <c r="Z32" s="465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63"/>
      <c r="W33" s="464"/>
      <c r="X33" s="464"/>
      <c r="Y33" s="464"/>
      <c r="Z33" s="465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110175.0006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63"/>
      <c r="W34" s="464"/>
      <c r="X34" s="464"/>
      <c r="Y34" s="464"/>
      <c r="Z34" s="465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63"/>
      <c r="W35" s="464"/>
      <c r="X35" s="464"/>
      <c r="Y35" s="464"/>
      <c r="Z35" s="465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357</v>
      </c>
      <c r="D36" s="268"/>
      <c r="S36" s="184">
        <v>26</v>
      </c>
      <c r="T36" s="214" t="s">
        <v>281</v>
      </c>
      <c r="U36" s="266">
        <v>4</v>
      </c>
      <c r="V36" s="463"/>
      <c r="W36" s="464"/>
      <c r="X36" s="464"/>
      <c r="Y36" s="464"/>
      <c r="Z36" s="465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607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187563</v>
      </c>
      <c r="D38" s="268" t="s">
        <v>282</v>
      </c>
      <c r="S38" s="184">
        <v>27</v>
      </c>
      <c r="T38" s="214" t="s">
        <v>283</v>
      </c>
      <c r="U38" s="266">
        <v>2</v>
      </c>
      <c r="V38" s="463"/>
      <c r="W38" s="464"/>
      <c r="X38" s="464"/>
      <c r="Y38" s="464"/>
      <c r="Z38" s="465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63"/>
      <c r="W39" s="464"/>
      <c r="X39" s="464"/>
      <c r="Y39" s="464"/>
      <c r="Z39" s="465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6" t="s">
        <v>124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S40" s="184">
        <v>29</v>
      </c>
      <c r="T40" s="214" t="s">
        <v>285</v>
      </c>
      <c r="U40" s="266">
        <v>4</v>
      </c>
      <c r="V40" s="463"/>
      <c r="W40" s="464"/>
      <c r="X40" s="464"/>
      <c r="Y40" s="464"/>
      <c r="Z40" s="465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Да</v>
      </c>
      <c r="D41" s="268"/>
      <c r="S41" s="184"/>
      <c r="T41" s="214"/>
      <c r="U41" s="266"/>
      <c r="V41" s="463"/>
      <c r="W41" s="464"/>
      <c r="X41" s="464"/>
      <c r="Y41" s="464"/>
      <c r="Z41" s="465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63"/>
      <c r="W42" s="464"/>
      <c r="X42" s="464"/>
      <c r="Y42" s="464"/>
      <c r="Z42" s="465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63"/>
      <c r="W43" s="464"/>
      <c r="X43" s="464"/>
      <c r="Y43" s="464"/>
      <c r="Z43" s="465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23800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63"/>
      <c r="W44" s="464"/>
      <c r="X44" s="464"/>
      <c r="Y44" s="464"/>
      <c r="Z44" s="465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63"/>
      <c r="W45" s="464"/>
      <c r="X45" s="464"/>
      <c r="Y45" s="464"/>
      <c r="Z45" s="465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23800</v>
      </c>
      <c r="D46" s="268" t="s">
        <v>282</v>
      </c>
      <c r="S46" s="184">
        <v>34</v>
      </c>
      <c r="T46" s="214" t="s">
        <v>296</v>
      </c>
      <c r="U46" s="266">
        <v>2</v>
      </c>
      <c r="V46" s="463"/>
      <c r="W46" s="464"/>
      <c r="X46" s="464"/>
      <c r="Y46" s="464"/>
      <c r="Z46" s="465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63"/>
      <c r="W47" s="464"/>
      <c r="X47" s="464"/>
      <c r="Y47" s="464"/>
      <c r="Z47" s="465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6" t="s">
        <v>123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S48" s="184">
        <v>29</v>
      </c>
      <c r="T48" s="214" t="s">
        <v>285</v>
      </c>
      <c r="U48" s="266">
        <v>4</v>
      </c>
      <c r="V48" s="463"/>
      <c r="W48" s="464"/>
      <c r="X48" s="464"/>
      <c r="Y48" s="464"/>
      <c r="Z48" s="465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1187</v>
      </c>
      <c r="D49" s="268"/>
      <c r="S49" s="184"/>
      <c r="T49" s="214"/>
      <c r="U49" s="266"/>
      <c r="V49" s="463"/>
      <c r="W49" s="464"/>
      <c r="X49" s="464"/>
      <c r="Y49" s="464"/>
      <c r="Z49" s="465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56</v>
      </c>
      <c r="D52" s="268" t="s">
        <v>287</v>
      </c>
      <c r="S52" s="184">
        <v>30</v>
      </c>
      <c r="T52" s="214" t="s">
        <v>288</v>
      </c>
      <c r="U52" s="266">
        <v>2</v>
      </c>
      <c r="V52" s="463"/>
      <c r="W52" s="464"/>
      <c r="X52" s="464"/>
      <c r="Y52" s="464"/>
      <c r="Z52" s="465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63"/>
      <c r="W53" s="464"/>
      <c r="X53" s="464"/>
      <c r="Y53" s="464"/>
      <c r="Z53" s="465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63"/>
      <c r="W54" s="464"/>
      <c r="X54" s="464"/>
      <c r="Y54" s="464"/>
      <c r="Z54" s="465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19040</v>
      </c>
      <c r="D55" s="268" t="s">
        <v>282</v>
      </c>
      <c r="S55" s="184">
        <v>34</v>
      </c>
      <c r="T55" s="214" t="s">
        <v>296</v>
      </c>
      <c r="U55" s="266">
        <v>2</v>
      </c>
      <c r="V55" s="463"/>
      <c r="W55" s="464"/>
      <c r="X55" s="464"/>
      <c r="Y55" s="464"/>
      <c r="Z55" s="465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63"/>
      <c r="W56" s="464"/>
      <c r="X56" s="464"/>
      <c r="Y56" s="464"/>
      <c r="Z56" s="465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E10:O10"/>
    <mergeCell ref="V10:Z10"/>
    <mergeCell ref="A1:O1"/>
    <mergeCell ref="A2:O2"/>
    <mergeCell ref="S7:Z7"/>
    <mergeCell ref="E9:O9"/>
    <mergeCell ref="V9:Z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2022-02-22T12:57:00Z</dcterms:modified>
</cp:coreProperties>
</file>