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C53" i="9" s="1"/>
  <c r="F4" i="3"/>
  <c r="K3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E8" i="16" s="1"/>
  <c r="C7" i="16"/>
  <c r="E7" i="16" s="1"/>
  <c r="B88" i="12"/>
  <c r="B84" i="12"/>
  <c r="B82" i="12"/>
  <c r="A1" i="16"/>
  <c r="K9" i="15"/>
  <c r="K4" i="15"/>
  <c r="B2" i="15"/>
  <c r="F4" i="15"/>
  <c r="I4" i="15"/>
  <c r="F3" i="15"/>
  <c r="I9" i="15"/>
  <c r="F2" i="15"/>
  <c r="B68" i="12"/>
  <c r="S7" i="4"/>
  <c r="B14" i="11"/>
  <c r="B15" i="1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41" i="9"/>
  <c r="K32" i="9"/>
  <c r="C11" i="9"/>
  <c r="D11" i="9" s="1"/>
  <c r="C10" i="9"/>
  <c r="D10" i="9" s="1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 s="1"/>
  <c r="J3" i="1" s="1"/>
  <c r="G2" i="1"/>
  <c r="H2" i="1" s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17" i="11"/>
  <c r="C20" i="16" s="1"/>
  <c r="B3" i="4"/>
  <c r="D22" i="8" s="1"/>
  <c r="C14" i="16" s="1"/>
  <c r="C23" i="21" s="1"/>
  <c r="I5" i="15"/>
  <c r="F1" i="3"/>
  <c r="I8" i="15"/>
  <c r="B3" i="15" s="1"/>
  <c r="I10" i="15"/>
  <c r="D45" i="16"/>
  <c r="C13" i="9"/>
  <c r="D14" i="9" s="1"/>
  <c r="B3" i="2"/>
  <c r="E9" i="16"/>
  <c r="E16" i="16"/>
  <c r="H101" i="16"/>
  <c r="F1" i="12"/>
  <c r="E5" i="3"/>
  <c r="K6" i="3"/>
  <c r="K4" i="3"/>
  <c r="B4" i="4" l="1"/>
  <c r="B14" i="1" s="1"/>
  <c r="B4" i="15"/>
  <c r="B6" i="15" s="1"/>
  <c r="D13" i="9"/>
  <c r="D15" i="9" s="1"/>
  <c r="D29" i="16"/>
  <c r="B10" i="6"/>
  <c r="B12" i="1" s="1"/>
  <c r="K5" i="3"/>
  <c r="F5" i="3"/>
  <c r="B18" i="3" s="1"/>
  <c r="C22" i="21"/>
  <c r="E17" i="16"/>
  <c r="C44" i="9"/>
  <c r="C46" i="9" s="1"/>
  <c r="C33" i="8" s="1"/>
  <c r="B33" i="8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F5" i="2"/>
  <c r="F1" i="4"/>
  <c r="B6" i="4" s="1"/>
  <c r="C43" i="8" s="1"/>
  <c r="D43" i="8" s="1"/>
  <c r="F1" i="15"/>
  <c r="C19" i="16"/>
  <c r="D38" i="16" s="1"/>
  <c r="D39" i="16"/>
  <c r="E14" i="16"/>
  <c r="C117" i="16" l="1"/>
  <c r="E117" i="16" s="1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B2" i="10" l="1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C23" i="20"/>
  <c r="D37" i="16" l="1"/>
  <c r="B78" i="12"/>
  <c r="C45" i="8" s="1"/>
  <c r="H12" i="17"/>
  <c r="E12" i="17" s="1"/>
  <c r="H11" i="17"/>
  <c r="E11" i="17" s="1"/>
  <c r="H10" i="17"/>
  <c r="E10" i="17" s="1"/>
  <c r="H5" i="17"/>
  <c r="E5" i="17" s="1"/>
  <c r="H14" i="17"/>
  <c r="E14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/>
  <c r="C37" i="9" s="1"/>
  <c r="C38" i="9" s="1"/>
  <c r="C31" i="8" s="1"/>
  <c r="D45" i="8" l="1"/>
  <c r="C47" i="8"/>
  <c r="C21" i="20"/>
  <c r="E101" i="16"/>
  <c r="C34" i="8"/>
  <c r="C29" i="8" s="1"/>
  <c r="C116" i="16"/>
  <c r="B31" i="8"/>
  <c r="D47" i="8" l="1"/>
  <c r="D37" i="8" s="1"/>
  <c r="C37" i="8"/>
  <c r="C49" i="8" s="1"/>
  <c r="C53" i="8" s="1"/>
  <c r="C57" i="8" s="1"/>
  <c r="E116" i="16"/>
  <c r="E119" i="16" s="1"/>
  <c r="C119" i="16"/>
  <c r="C101" i="16" l="1"/>
  <c r="B116" i="16" s="1"/>
  <c r="C20" i="20" s="1"/>
  <c r="F2" i="16"/>
  <c r="G2" i="16" s="1"/>
  <c r="D49" i="8"/>
  <c r="D53" i="8" s="1"/>
  <c r="D57" i="8" s="1"/>
  <c r="D58" i="8" s="1"/>
  <c r="C62" i="8"/>
  <c r="C58" i="8"/>
  <c r="D101" i="16" l="1"/>
  <c r="B117" i="16" s="1"/>
  <c r="B119" i="16" s="1"/>
  <c r="F116" i="16"/>
  <c r="D62" i="8"/>
  <c r="D60" i="8" s="1"/>
  <c r="D61" i="8" s="1"/>
  <c r="C64" i="8"/>
  <c r="C60" i="8"/>
  <c r="C61" i="8" s="1"/>
  <c r="D64" i="8" l="1"/>
  <c r="F117" i="16"/>
  <c r="F119" i="16" s="1"/>
  <c r="G117" i="16"/>
  <c r="C19" i="20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<sst xmlns="http://schemas.openxmlformats.org/spreadsheetml/2006/main" count="906" uniqueCount="678">
  <si>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</si>
  <si>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</si>
  <si>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</si>
  <si>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</si>
  <si>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</si>
  <si>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</si>
  <si>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</si>
  <si>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</si>
  <si>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</si>
  <si>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</si>
  <si>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</si>
  <si>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</si>
  <si>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</si>
  <si>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</si>
  <si>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</si>
  <si>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</si>
  <si>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</si>
  <si>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</si>
  <si>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</si>
  <si>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</si>
  <si>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</si>
  <si>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</si>
  <si>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</si>
  <si>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</si>
  <si>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</si>
  <si>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</si>
  <si>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</si>
  <si>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</si>
  <si>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</si>
  <si>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</si>
  <si>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</si>
  <si>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</si>
  <si>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</si>
  <si>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</si>
  <si>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</si>
  <si>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</si>
  <si>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</si>
  <si>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</si>
  <si>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</si>
  <si>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</si>
  <si>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</si>
  <si>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</si>
  <si>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</si>
  <si>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</si>
  <si>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</si>
  <si>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</si>
  <si>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</si>
  <si>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</si>
  <si>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</si>
  <si>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</si>
  <si>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</si>
  <si>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</si>
  <si>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</si>
  <si>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</si>
  <si>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</si>
  <si>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</si>
  <si>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</si>
  <si>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</si>
  <si>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</si>
  <si>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</si>
  <si>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</si>
  <si>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</si>
  <si>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</si>
  <si>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</si>
  <si>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</si>
  <si>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</si>
  <si>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</si>
  <si>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</si>
  <si>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</si>
  <si>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</si>
  <si>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</si>
  <si>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</si>
  <si>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</si>
  <si>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</si>
  <si>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</si>
  <si>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</si>
  <si>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</si>
  <si>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</si>
  <si>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</si>
  <si>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</si>
  <si>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</si>
  <si>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</si>
  <si>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</si>
  <si>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</si>
  <si>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</si>
  <si>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</si>
  <si>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</si>
  <si>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</si>
  <si>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</si>
  <si>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</si>
  <si>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</si>
  <si>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</si>
  <si>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</si>
  <si>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</si>
  <si>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</si>
  <si>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</si>
  <si>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</si>
  <si>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</si>
  <si>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</si>
  <si>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</si>
  <si>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</si>
  <si>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</si>
  <si>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</si>
  <si>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</si>
  <si>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</si>
  <si>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</si>
  <si>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</si>
  <si>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</si>
  <si>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</si>
  <si>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</si>
  <si>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</si>
  <si>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</si>
  <si>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</si>
  <si>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</si>
  <si>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</si>
  <si>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</si>
  <si>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</si>
  <si>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</si>
  <si>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</si>
  <si>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</si>
  <si>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</si>
  <si>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</si>
  <si>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</si>
  <si>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</si>
  <si>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</si>
  <si>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</si>
  <si>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</si>
  <si>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</si>
  <si>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</si>
  <si>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</si>
  <si>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</si>
  <si>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</si>
  <si>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</si>
  <si>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</si>
  <si>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</si>
  <si>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</si>
  <si>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</si>
  <si>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</si>
  <si>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</si>
  <si>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</si>
  <si>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</si>
  <si>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</si>
  <si>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</si>
  <si>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</si>
  <si>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</si>
  <si>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</si>
  <si>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</si>
  <si>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</si>
  <si>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</si>
  <si>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</si>
  <si>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</si>
  <si>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</si>
  <si>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</si>
  <si>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</si>
  <si>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</si>
  <si>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</si>
  <si>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</si>
  <si>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</si>
  <si>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</si>
  <si>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</si>
  <si>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</si>
  <si>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</si>
  <si>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</si>
  <si>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</si>
  <si>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</si>
  <si>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</si>
  <si>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</si>
  <si>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</si>
  <si>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</si>
  <si>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</si>
  <si>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</si>
  <si>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</si>
  <si>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</si>
  <si>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</si>
  <si>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</si>
  <si>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</si>
  <si>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</si>
  <si>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</si>
  <si>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</si>
  <si>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</si>
  <si>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</si>
  <si>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</si>
  <si>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</si>
  <si>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</si>
  <si>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</si>
  <si>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</si>
  <si>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</si>
  <si>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</si>
  <si>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</si>
  <si>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</si>
  <si>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</si>
  <si>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</si>
  <si>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</si>
  <si>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</si>
  <si>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</si>
  <si>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</si>
  <si>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</si>
  <si>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</si>
  <si>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</si>
  <si>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</si>
  <si>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</si>
  <si>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</si>
  <si>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</si>
  <si>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</si>
  <si>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</si>
  <si>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</si>
  <si>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</si>
  <si>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</si>
  <si>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</si>
  <si>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</si>
  <si>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</si>
  <si>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</si>
  <si>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</si>
  <si>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</si>
  <si>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</si>
  <si>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</si>
  <si>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</si>
  <si>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</si>
  <si>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</si>
  <si>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</si>
  <si>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</si>
  <si>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</si>
  <si>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</si>
  <si>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</si>
  <si>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</si>
  <si>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</si>
  <si>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</si>
  <si>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</si>
  <si>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</si>
  <si>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</si>
  <si>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</si>
  <si>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</si>
  <si>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</si>
  <si>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</si>
  <si>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</si>
  <si>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</si>
  <si>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</si>
  <si>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</si>
  <si>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</si>
  <si>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</si>
  <si>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</si>
  <si>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</si>
  <si>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</si>
  <si>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</si>
  <si>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</si>
  <si>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</si>
  <si>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</si>
  <si>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</si>
  <si>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</si>
  <si>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</si>
  <si>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</si>
  <si>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</si>
  <si>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</si>
  <si>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</si>
  <si>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</si>
  <si>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</si>
  <si>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</si>
  <si>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</si>
  <si>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</si>
  <si>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</si>
  <si>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</si>
  <si>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</si>
  <si>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</si>
  <si>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</si>
  <si>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</si>
  <si>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</si>
  <si>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</si>
  <si>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</si>
  <si>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</si>
  <si>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</si>
  <si>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</si>
  <si>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</si>
  <si>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</si>
  <si>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</si>
  <si>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</si>
  <si>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</si>
  <si>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</si>
  <si>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</si>
  <si>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</si>
  <si>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</si>
  <si>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</si>
  <si>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</si>
  <si>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</si>
  <si>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</si>
  <si>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</si>
  <si>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</si>
  <si>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</si>
  <si>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</si>
  <si>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</si>
  <si>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</si>
  <si>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</si>
  <si>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</si>
  <si>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</si>
  <si>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</si>
  <si>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</si>
  <si>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</si>
  <si>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</si>
  <si>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</si>
  <si>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</si>
  <si>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</si>
  <si>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</si>
  <si>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</si>
  <si>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</si>
  <si>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</si>
  <si>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</si>
  <si>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</si>
  <si>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</si>
  <si>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</si>
  <si>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</si>
  <si>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</si>
  <si>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</si>
  <si>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</si>
  <si>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</si>
  <si>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</si>
  <si>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</si>
  <si>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</si>
  <si>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</si>
  <si>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</si>
  <si>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</si>
  <si>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</si>
  <si>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</si>
  <si>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</si>
  <si>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</si>
  <si>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</si>
  <si>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</si>
  <si>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</si>
  <si>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</si>
  <si>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</si>
  <si>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</si>
  <si>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</si>
  <si>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</si>
  <si>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</si>
  <si>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</si>
  <si>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</si>
  <si>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</si>
  <si>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</si>
  <si>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</si>
  <si>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</si>
  <si>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</si>
  <si>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</si>
  <si>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</si>
  <si>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</si>
  <si>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</si>
  <si>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</si>
  <si>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</si>
  <si>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</si>
  <si>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</si>
  <si>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</si>
  <si>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</si>
  <si>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</si>
  <si>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</si>
  <si>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</si>
  <si>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</si>
  <si>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</si>
  <si>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</si>
  <si>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</si>
  <si>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</si>
  <si>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</si>
  <si>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</si>
  <si>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</si>
  <si>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</si>
  <si>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</si>
  <si>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</si>
  <si>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</si>
  <si>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</si>
  <si>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</si>
  <si>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</si>
  <si>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</si>
  <si>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</si>
  <si>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</si>
  <si>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</si>
  <si>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</si>
  <si>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</si>
  <si>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</si>
  <si>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</si>
  <si>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</si>
  <si>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</si>
  <si>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</si>
  <si>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</si>
  <si>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</si>
  <si>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</si>
  <si>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</si>
  <si>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</si>
  <si>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</si>
  <si>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</si>
  <si>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</si>
  <si>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</si>
  <si>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</si>
  <si>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</si>
  <si>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</si>
  <si>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</si>
  <si>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</si>
  <si>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</si>
  <si>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</si>
  <si>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</si>
  <si>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</si>
  <si>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</si>
  <si>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</si>
  <si>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</si>
  <si>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</si>
  <si>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</si>
  <si>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</si>
  <si>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</si>
  <si>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</si>
  <si>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</si>
  <si>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</si>
  <si>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</si>
  <si>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</si>
  <si>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</si>
  <si>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</si>
  <si>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</si>
  <si>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</si>
  <si>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</si>
  <si>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</si>
  <si>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</si>
  <si>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</si>
  <si>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</si>
  <si>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</si>
  <si>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</si>
  <si>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</si>
  <si>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</si>
  <si>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</si>
  <si>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</si>
  <si>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</si>
  <si>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</si>
  <si>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</si>
  <si>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</si>
  <si>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</si>
  <si>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</si>
  <si>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</si>
  <si>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</si>
  <si>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</si>
  <si>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</si>
  <si>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</si>
  <si>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</si>
  <si>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</si>
  <si>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</si>
  <si>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</si>
  <si>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</si>
  <si>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</si>
  <si>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</si>
  <si>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</si>
  <si>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</si>
  <si>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</si>
  <si>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</si>
  <si>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</si>
  <si>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</si>
  <si>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</si>
  <si>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</si>
  <si>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</si>
  <si>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</si>
  <si>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</si>
  <si>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</si>
  <si>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</si>
  <si>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</si>
  <si>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</si>
  <si>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</si>
  <si>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</si>
  <si>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</si>
  <si>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</si>
  <si>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</si>
  <si>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</si>
  <si>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</si>
  <si>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</si>
  <si>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</si>
  <si>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</si>
  <si>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</si>
  <si>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</si>
  <si>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</si>
  <si>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</si>
  <si>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</si>
  <si>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</si>
  <si>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</si>
  <si>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</si>
  <si>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</si>
  <si>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</si>
  <si>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</si>
  <si>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</si>
  <si>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</si>
  <si>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</si>
  <si>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</si>
  <si>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</si>
  <si>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</si>
  <si>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</si>
  <si>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</si>
  <si>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</si>
  <si>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</si>
  <si>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</si>
  <si>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</si>
  <si>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</si>
  <si>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</si>
  <si>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</si>
  <si>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</si>
  <si>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</si>
  <si>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</si>
  <si>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</si>
  <si>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</si>
  <si>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</si>
  <si>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</si>
  <si>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</si>
  <si>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</si>
  <si>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</si>
  <si>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</si>
  <si>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</si>
  <si>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</si>
  <si>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</si>
  <si>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</si>
  <si>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</si>
  <si>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</si>
  <si>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</si>
  <si>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</si>
  <si>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</si>
  <si>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</si>
  <si>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</si>
  <si>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</si>
  <si>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</si>
  <si>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</si>
  <si>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</si>
  <si>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</si>
  <si>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</si>
  <si>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</si>
  <si>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</si>
  <si>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</si>
  <si>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</si>
  <si>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</si>
  <si>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</si>
  <si>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</si>
  <si>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</si>
  <si>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</si>
  <si>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</si>
  <si>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</si>
  <si>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</si>
  <si>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</si>
  <si>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</si>
  <si>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</si>
  <si>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</si>
  <si>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</si>
  <si>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</si>
  <si>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</si>
  <si>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</si>
  <si>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</si>
  <si>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</si>
  <si>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</si>
  <si>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</si>
  <si>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</si>
  <si>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</si>
  <si>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</si>
  <si>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</si>
  <si>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</si>
  <si>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</si>
  <si>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</si>
  <si>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</si>
  <si>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</si>
  <si>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</si>
  <si>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</si>
  <si>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</si>
  <si>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</si>
  <si>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</si>
  <si>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</si>
  <si>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</si>
  <si>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</si>
  <si>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</si>
  <si>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</si>
  <si>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</si>
  <si>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</si>
  <si>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</si>
  <si>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</si>
  <si>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</si>
  <si>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</si>
  <si>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</si>
  <si>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</si>
  <si>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</si>
  <si>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</si>
  <si>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</si>
  <si>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</si>
  <si>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</si>
  <si>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</si>
  <si>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</si>
  <si>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</si>
  <si>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</si>
  <si>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</si>
  <si>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</si>
  <si>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</si>
  <si>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</si>
  <si>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</si>
  <si>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</si>
  <si>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</si>
  <si>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</si>
  <si>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</si>
  <si>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</si>
  <si>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</si>
  <si>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</si>
  <si>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</si>
  <si>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</si>
  <si>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</si>
  <si>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</si>
  <si>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</si>
  <si>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</si>
  <si>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</si>
  <si>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</si>
  <si>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</si>
  <si>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</si>
  <si>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</si>
  <si>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</si>
  <si>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</si>
  <si>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</si>
  <si>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</si>
  <si>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</si>
  <si>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</si>
  <si>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</si>
  <si>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</si>
  <si>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</si>
  <si>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</si>
  <si>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</si>
  <si>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</si>
  <si>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</si>
  <si>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</si>
  <si>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</si>
  <si>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</si>
  <si>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</si>
  <si>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</si>
  <si>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</si>
  <si>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</si>
  <si>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</si>
  <si>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</si>
  <si>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</si>
  <si>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</si>
  <si>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</si>
  <si>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</si>
  <si>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</si>
  <si>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</si>
  <si>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</si>
  <si>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</si>
  <si>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</si>
  <si>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</si>
  <si>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</si>
  <si>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</si>
  <si>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</si>
  <si>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</si>
  <si>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</si>
  <si>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</si>
  <si>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</si>
  <si>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</si>
  <si>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</si>
  <si>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</si>
  <si>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</si>
  <si>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</si>
  <si>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</si>
  <si>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</si>
  <si>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</si>
  <si>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</si>
  <si>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</si>
  <si>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</si>
  <si>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</si>
  <si>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</si>
  <si>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</si>
  <si>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</si>
  <si>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</si>
  <si>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</si>
  <si>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</si>
  <si>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</si>
  <si>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</si>
  <si>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</si>
  <si>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</si>
  <si>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</si>
  <si>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</si>
  <si>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</si>
  <si>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</si>
  <si>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</si>
  <si>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</si>
  <si>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</si>
  <si>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22.02.2022</t>
  </si>
  <si>
    <t>Ахметшин Ю. М.</t>
  </si>
  <si>
    <t/>
  </si>
  <si>
    <t>Россия</t>
  </si>
  <si>
    <t>Тайшет</t>
  </si>
  <si>
    <t>КОС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</si>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</sst>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8644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Тайшет КОС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1900.2900.1200.2</v>
      </c>
    </row>
    <row r="9" spans="1:3" x14ac:dyDescent="0.2">
      <c r="A9" s="401"/>
      <c r="B9" s="408" t="s">
        <v>647</v>
      </c>
      <c r="C9" s="409" t="str">
        <f>C8</f>
        <v>ЭРПЭ 1900.2900.1200.2</v>
      </c>
    </row>
    <row r="10" spans="1:3" x14ac:dyDescent="0.2">
      <c r="A10" s="401"/>
      <c r="B10" s="408" t="s">
        <v>648</v>
      </c>
      <c r="C10" s="409" t="str">
        <f>C8</f>
        <v>ЭРПЭ 1900.2900.1200.2</v>
      </c>
    </row>
    <row r="11" spans="1:3" x14ac:dyDescent="0.2">
      <c r="A11" s="401"/>
      <c r="B11" s="408" t="s">
        <v>649</v>
      </c>
      <c r="C11" s="409" t="str">
        <f>C8</f>
        <v>ЭРПЭ 1900.2900.1200.2</v>
      </c>
    </row>
    <row r="12" spans="1:3" x14ac:dyDescent="0.2">
      <c r="A12" s="401"/>
      <c r="B12" s="408" t="s">
        <v>650</v>
      </c>
      <c r="C12" s="409" t="str">
        <f>C8</f>
        <v>ЭРПЭ 1900.2900.1200.2</v>
      </c>
    </row>
    <row r="13" spans="1:3" x14ac:dyDescent="0.2">
      <c r="A13" s="401" t="s">
        <v>510</v>
      </c>
      <c r="B13" s="408" t="s">
        <v>653</v>
      </c>
      <c r="C13" s="403">
        <f>Цена!E16</f>
        <v>2</v>
      </c>
    </row>
    <row r="14" spans="1:3" x14ac:dyDescent="0.2">
      <c r="A14" s="401" t="s">
        <v>512</v>
      </c>
      <c r="B14" s="410" t="s">
        <v>654</v>
      </c>
      <c r="C14" s="403">
        <f>Цена!B16</f>
        <v>1900</v>
      </c>
    </row>
    <row r="15" spans="1:3" x14ac:dyDescent="0.2">
      <c r="A15" s="401" t="s">
        <v>514</v>
      </c>
      <c r="B15" s="408" t="s">
        <v>655</v>
      </c>
      <c r="C15" s="403">
        <f>Цена!C16</f>
        <v>2900</v>
      </c>
    </row>
    <row r="16" spans="1:3" x14ac:dyDescent="0.2">
      <c r="A16" s="401" t="s">
        <v>516</v>
      </c>
      <c r="B16" s="410" t="s">
        <v>656</v>
      </c>
      <c r="C16" s="403">
        <f>Цена!D16</f>
        <v>1200</v>
      </c>
    </row>
    <row r="17" spans="1:3" x14ac:dyDescent="0.2">
      <c r="A17" s="401" t="s">
        <v>518</v>
      </c>
      <c r="B17" s="408" t="s">
        <v>657</v>
      </c>
      <c r="C17" s="403">
        <f>C15+C16+1350</f>
        <v>5450</v>
      </c>
    </row>
    <row r="18" spans="1:3" x14ac:dyDescent="0.2">
      <c r="A18" s="401" t="s">
        <v>520</v>
      </c>
      <c r="B18" s="410" t="s">
        <v>658</v>
      </c>
      <c r="C18" s="403">
        <f>C14+890</f>
        <v>2790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3670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3900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1,5 ÷ 1,78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68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1900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304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без ШУ.</v>
      </c>
    </row>
    <row r="29" spans="1:3" x14ac:dyDescent="0.2">
      <c r="A29" s="401" t="s">
        <v>483</v>
      </c>
      <c r="B29" s="410" t="s">
        <v>546</v>
      </c>
      <c r="C29" s="403">
        <f>C30</f>
        <v>-2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-2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14÷16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Нет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Нет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198</v>
      </c>
      <c r="C4" s="125"/>
      <c r="E4" s="338" t="s">
        <v>457</v>
      </c>
      <c r="F4" s="352">
        <f>IF(Цена!D20=55,54,IF(Цена!D20=66,65,IF(Цена!D20=68,67)))</f>
        <v>67</v>
      </c>
      <c r="G4" s="108"/>
      <c r="H4" s="42"/>
      <c r="I4" s="344">
        <f>IF(F4=54,1,0)</f>
        <v>0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1243</v>
      </c>
      <c r="C6" s="125"/>
      <c r="E6" s="71"/>
      <c r="F6" s="71"/>
      <c r="G6" s="71"/>
      <c r="H6" s="71"/>
      <c r="I6" s="344">
        <f>IF(F4=67,1,0)</f>
        <v>1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118085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1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0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65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910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1560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2470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18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5760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14510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1900</v>
      </c>
      <c r="H2">
        <f>G2-F2</f>
        <v>700</v>
      </c>
      <c r="I2">
        <f>H2/100</f>
        <v>7</v>
      </c>
      <c r="J2">
        <f>I2*B5</f>
        <v>161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2900</v>
      </c>
      <c r="H3">
        <f>G3-F3</f>
        <v>900</v>
      </c>
      <c r="I3">
        <f>H3/100</f>
        <v>9</v>
      </c>
      <c r="J3">
        <f>I3*B3</f>
        <v>99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1200</v>
      </c>
      <c r="H4">
        <f>G4-F4</f>
        <v>-300</v>
      </c>
      <c r="I4">
        <f>H4/100</f>
        <v>-3</v>
      </c>
      <c r="J4">
        <f>I4*B4</f>
        <v>-60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1055</v>
      </c>
      <c r="C7" t="s">
        <v>10</v>
      </c>
    </row>
    <row r="8" spans="1:10" x14ac:dyDescent="0.25">
      <c r="A8" t="s">
        <v>30</v>
      </c>
      <c r="B8" s="116">
        <f>Цепи!B14</f>
        <v>33</v>
      </c>
      <c r="C8" t="s">
        <v>10</v>
      </c>
    </row>
    <row r="9" spans="1:10" x14ac:dyDescent="0.25">
      <c r="A9" t="s">
        <v>150</v>
      </c>
      <c r="B9">
        <f>Панели!B14</f>
        <v>429</v>
      </c>
      <c r="C9" t="s">
        <v>10</v>
      </c>
    </row>
    <row r="10" spans="1:10" x14ac:dyDescent="0.25">
      <c r="A10" t="s">
        <v>151</v>
      </c>
      <c r="B10">
        <f>Панели!B13</f>
        <v>91</v>
      </c>
      <c r="C10" t="s">
        <v>10</v>
      </c>
    </row>
    <row r="11" spans="1:10" x14ac:dyDescent="0.25">
      <c r="A11" t="s">
        <v>169</v>
      </c>
      <c r="B11" s="116">
        <f>Щётка!B11</f>
        <v>96</v>
      </c>
      <c r="C11" t="s">
        <v>10</v>
      </c>
    </row>
    <row r="12" spans="1:10" x14ac:dyDescent="0.25">
      <c r="A12" t="s">
        <v>343</v>
      </c>
      <c r="B12" s="116">
        <f>Щётка!B10</f>
        <v>32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1882</v>
      </c>
      <c r="C18" t="s">
        <v>10</v>
      </c>
    </row>
    <row r="20" spans="1:3" x14ac:dyDescent="0.25">
      <c r="A20" t="s">
        <v>144</v>
      </c>
      <c r="B20" s="116">
        <f>B7+B15+B10+B12</f>
        <v>1187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1600</v>
      </c>
      <c r="C9" s="125"/>
      <c r="E9" s="50"/>
      <c r="F9" s="112"/>
    </row>
    <row r="10" spans="1:12" x14ac:dyDescent="0.25">
      <c r="A10" t="s">
        <v>49</v>
      </c>
      <c r="B10">
        <f>MROUND(B4*B9/B3,1)</f>
        <v>32</v>
      </c>
      <c r="C10" s="125"/>
    </row>
    <row r="11" spans="1:12" x14ac:dyDescent="0.25">
      <c r="A11" t="s">
        <v>53</v>
      </c>
      <c r="B11">
        <f>6*B12</f>
        <v>96</v>
      </c>
      <c r="C11" s="125"/>
    </row>
    <row r="12" spans="1:12" ht="15.75" thickBot="1" x14ac:dyDescent="0.3">
      <c r="A12" t="s">
        <v>54</v>
      </c>
      <c r="B12">
        <f>ROUNDUP(B9/100,0)</f>
        <v>16</v>
      </c>
      <c r="C12" s="125"/>
    </row>
    <row r="13" spans="1:12" ht="15.75" thickBot="1" x14ac:dyDescent="0.3">
      <c r="A13" s="106" t="s">
        <v>168</v>
      </c>
      <c r="B13" s="107">
        <f>B11+B10</f>
        <v>128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67200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1187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1485</v>
      </c>
      <c r="C3" s="125"/>
      <c r="E3" s="291" t="s">
        <v>11</v>
      </c>
      <c r="F3" s="293">
        <f>Цена!B16</f>
        <v>1900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420626</v>
      </c>
      <c r="C4" s="124"/>
      <c r="E4" s="291" t="s">
        <v>12</v>
      </c>
      <c r="F4" s="293">
        <f>Цена!C16</f>
        <v>2900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1200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2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304</v>
      </c>
      <c r="G8" s="291">
        <f ca="1">OFFSET(J3,MATCH(F8,J4:J7,0),1,1,1)</f>
        <v>275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1900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2900</v>
      </c>
      <c r="C3" s="125"/>
      <c r="E3" s="42" t="s">
        <v>119</v>
      </c>
      <c r="F3" s="398" t="str">
        <f>Цена!D23</f>
        <v>AISI 304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1200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304</v>
      </c>
      <c r="F5" s="399">
        <f ca="1">MROUND(F2/275*OFFSET(I8,MATCH(F3,H9:H12,0),0,1,1),1)</f>
        <v>4250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5456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12106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12.2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25</v>
      </c>
      <c r="C13" s="105"/>
    </row>
    <row r="14" spans="1:12" ht="15.75" thickBot="1" x14ac:dyDescent="0.3">
      <c r="A14" s="128" t="s">
        <v>161</v>
      </c>
      <c r="B14" s="129">
        <f>MROUND(B13*B12,1)</f>
        <v>33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106250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1900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1650</v>
      </c>
      <c r="C3" s="125"/>
      <c r="I3" s="295" t="s">
        <v>76</v>
      </c>
      <c r="J3" s="296">
        <f>Параметры!B11</f>
        <v>205</v>
      </c>
      <c r="K3">
        <f>IF(I3=$F$4,1,0)</f>
        <v>0</v>
      </c>
    </row>
    <row r="4" spans="1:11" x14ac:dyDescent="0.25">
      <c r="A4" t="s">
        <v>21</v>
      </c>
      <c r="B4">
        <f>Цепи!B11</f>
        <v>12.2</v>
      </c>
      <c r="C4" s="125"/>
      <c r="E4" s="109" t="s">
        <v>119</v>
      </c>
      <c r="F4" s="110" t="str">
        <f>Цена!D23</f>
        <v>AISI 304</v>
      </c>
      <c r="G4" s="108"/>
      <c r="I4" s="295" t="s">
        <v>78</v>
      </c>
      <c r="J4" s="296">
        <f>Параметры!B12</f>
        <v>275</v>
      </c>
      <c r="K4">
        <f>IF(I4=$F$4,1,0)</f>
        <v>1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304</v>
      </c>
      <c r="F5" s="111">
        <f ca="1">F2/J4*OFFSET(I2,MATCH(1,K3:K6,0),1,1,1)</f>
        <v>250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65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6.6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8</v>
      </c>
      <c r="C12" s="125"/>
      <c r="E12" s="50"/>
      <c r="F12" s="112"/>
    </row>
    <row r="13" spans="1:11" x14ac:dyDescent="0.25">
      <c r="A13" t="s">
        <v>148</v>
      </c>
      <c r="B13">
        <f>B11*B6</f>
        <v>91</v>
      </c>
      <c r="C13" s="125"/>
    </row>
    <row r="14" spans="1:11" s="42" customFormat="1" ht="15.75" thickBot="1" x14ac:dyDescent="0.3">
      <c r="A14" t="s">
        <v>158</v>
      </c>
      <c r="B14">
        <f>B6*B10</f>
        <v>429</v>
      </c>
      <c r="C14" s="125"/>
    </row>
    <row r="15" spans="1:11" ht="15.75" thickBot="1" x14ac:dyDescent="0.3">
      <c r="A15" s="106" t="s">
        <v>149</v>
      </c>
      <c r="B15" s="107">
        <f>B13+B14</f>
        <v>520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4125</v>
      </c>
      <c r="C18" s="125"/>
    </row>
    <row r="19" spans="1:3" ht="15.75" thickBot="1" x14ac:dyDescent="0.3">
      <c r="A19" s="106" t="s">
        <v>577</v>
      </c>
      <c r="B19" s="107">
        <f ca="1">B18*B6</f>
        <v>268125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68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4430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420850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0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68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1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4300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408500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0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1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1900</v>
      </c>
    </row>
    <row r="15" spans="1:18" x14ac:dyDescent="0.25">
      <c r="A15" s="308" t="s">
        <v>352</v>
      </c>
      <c r="B15" s="308">
        <f ca="1">OFFSET(A5,4,MATCH(B14,B4:R4,0),1,1)</f>
        <v>18</v>
      </c>
    </row>
    <row r="16" spans="1:18" x14ac:dyDescent="0.25">
      <c r="A16" s="308" t="s">
        <v>353</v>
      </c>
      <c r="B16" s="308">
        <f ca="1">OFFSET(A5,1,MATCH(B14,B4:R4,0),1,1)</f>
        <v>1.5</v>
      </c>
    </row>
    <row r="17" spans="1:2" x14ac:dyDescent="0.25">
      <c r="A17" s="308" t="s">
        <v>354</v>
      </c>
      <c r="B17" s="308">
        <f ca="1">OFFSET(A5,3,MATCH(B14,B4:R4,0),1,1)</f>
        <v>1.78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Россия</v>
      </c>
    </row>
    <row r="5" spans="1:3" s="50" customFormat="1" x14ac:dyDescent="0.2">
      <c r="A5" s="401" t="s">
        <v>598</v>
      </c>
      <c r="B5" s="402" t="s">
        <v>599</v>
      </c>
      <c r="C5" s="403" t="str">
        <f>Цена!B6</f>
        <v>Тайшет</v>
      </c>
    </row>
    <row r="6" spans="1:3" s="50" customFormat="1" x14ac:dyDescent="0.2">
      <c r="A6" s="401" t="s">
        <v>39</v>
      </c>
      <c r="B6" s="402" t="s">
        <v>600</v>
      </c>
      <c r="C6" s="403" t="str">
        <f>Цена!B7</f>
        <v>КОС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 t="str">
        <f>Цена!B8</f>
        <v>-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8644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2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1900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2900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1200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68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304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Нет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Нет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0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2401562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1900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3900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1900.2900.1200.2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1900.2900.1200.2 (AISI 304; 2,25 кВт.; IP 68; без ШУ)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1900.2900.1200.2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- 3900 м3/ч.; перфорация - 2 мм.; ширина канала - 1900 мм.; глубина канала - 2900 мм.; высота выгрузки отбросов - 1200 мм.; вес решетки в сборе - 1900 кг.; привод щётки - 1,5 кВт.; IP 68; 380 В; 50 Гц;  материал исполнения - AISI 304. Расход промывной воды - 1,5 ÷ 1,78 л/с.; давление промывной воды - 5 ÷ 7 бар. без ШУ.</v>
      </c>
      <c r="C2" s="67">
        <f ca="1">C11</f>
        <v>1900</v>
      </c>
      <c r="D2" s="367">
        <f ca="1">C12+C14</f>
        <v>2.25</v>
      </c>
      <c r="E2" s="70">
        <v>1</v>
      </c>
      <c r="F2" s="67">
        <f ca="1">Цена!C49</f>
        <v>2401562</v>
      </c>
      <c r="G2" s="67">
        <f ca="1">F2*E2</f>
        <v>2401562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1900.2900.1200.2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3900</v>
      </c>
      <c r="D6" s="42" t="s">
        <v>467</v>
      </c>
      <c r="E6" s="42" t="str">
        <f ca="1">CONCATENATE(B6," ",C6," ",D6,".;")</f>
        <v>Производительность по чистой воде - 3900 м3/ч.;</v>
      </c>
    </row>
    <row r="7" spans="1:8" x14ac:dyDescent="0.2">
      <c r="B7" s="75" t="s">
        <v>507</v>
      </c>
      <c r="C7" s="67">
        <f>Цена!E16</f>
        <v>2</v>
      </c>
      <c r="D7" s="42" t="s">
        <v>468</v>
      </c>
      <c r="E7" s="42" t="str">
        <f>CONCATENATE(B7," ",C7," ",D7,";")</f>
        <v>перфорация - 2 мм.;</v>
      </c>
    </row>
    <row r="8" spans="1:8" x14ac:dyDescent="0.2">
      <c r="B8" s="75" t="s">
        <v>469</v>
      </c>
      <c r="C8" s="67">
        <f>Цена!B16</f>
        <v>1900</v>
      </c>
      <c r="D8" s="42" t="s">
        <v>468</v>
      </c>
      <c r="E8" s="42" t="str">
        <f>CONCATENATE(B8," ",C8," ",D8,";")</f>
        <v>ширина канала - 1900 мм.;</v>
      </c>
    </row>
    <row r="9" spans="1:8" x14ac:dyDescent="0.2">
      <c r="B9" s="75" t="s">
        <v>470</v>
      </c>
      <c r="C9" s="67">
        <f>Цена!C16</f>
        <v>2900</v>
      </c>
      <c r="D9" s="42" t="s">
        <v>468</v>
      </c>
      <c r="E9" s="42" t="str">
        <f>CONCATENATE(B9," ",C9," ",D9,";")</f>
        <v>глубина канала - 2900 мм.;</v>
      </c>
    </row>
    <row r="10" spans="1:8" x14ac:dyDescent="0.2">
      <c r="B10" s="75" t="s">
        <v>471</v>
      </c>
      <c r="C10" s="67">
        <f>Цена!D16</f>
        <v>1200</v>
      </c>
      <c r="D10" s="42" t="s">
        <v>468</v>
      </c>
      <c r="E10" s="42" t="str">
        <f>CONCATENATE(B10," ",C10," ",D10,";")</f>
        <v>высота выгрузки отбросов - 1200 мм.;</v>
      </c>
    </row>
    <row r="11" spans="1:8" x14ac:dyDescent="0.2">
      <c r="B11" s="75" t="s">
        <v>472</v>
      </c>
      <c r="C11" s="67">
        <f ca="1">Цена!D19</f>
        <v>1900</v>
      </c>
      <c r="D11" s="42" t="s">
        <v>10</v>
      </c>
      <c r="E11" s="42" t="str">
        <f ca="1">CONCATENATE(B11," ",C11," ",D11,";")</f>
        <v>вес решетки в сборе - 1900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68; 380 В; 50 Гц; </v>
      </c>
    </row>
    <row r="13" spans="1:8" x14ac:dyDescent="0.2">
      <c r="B13" s="75"/>
      <c r="C13" s="67" t="str">
        <f>CONCATENATE("IP ",Цена!D20)</f>
        <v>IP 68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68; 380 В; 50 Гц; </v>
      </c>
    </row>
    <row r="15" spans="1:8" x14ac:dyDescent="0.2">
      <c r="B15" s="75"/>
      <c r="C15" s="67" t="str">
        <f>CONCATENATE("IP ",Цена!D20)</f>
        <v>IP 68</v>
      </c>
    </row>
    <row r="16" spans="1:8" x14ac:dyDescent="0.2">
      <c r="B16" s="75" t="s">
        <v>474</v>
      </c>
      <c r="C16" s="67" t="str">
        <f>Цена!D23</f>
        <v>AISI 304</v>
      </c>
      <c r="E16" s="42" t="str">
        <f>CONCATENATE(B16," ",C16)</f>
        <v>материал исполнения - AISI 304</v>
      </c>
    </row>
    <row r="17" spans="1:15" x14ac:dyDescent="0.2">
      <c r="B17" s="75" t="s">
        <v>475</v>
      </c>
      <c r="C17" s="67" t="str">
        <f>Цена!D24</f>
        <v>Нет</v>
      </c>
      <c r="E17" s="42" t="str">
        <f>IF(C17="Да",CONCATENATE(". В комплекте с ШУ",E18," и ВПУ."),". без ШУ.")</f>
        <v>. без ШУ.</v>
      </c>
    </row>
    <row r="18" spans="1:15" x14ac:dyDescent="0.2">
      <c r="B18" s="75" t="s">
        <v>503</v>
      </c>
      <c r="C18" s="67" t="str">
        <f>Цена!D25</f>
        <v>Нет</v>
      </c>
      <c r="E18" s="42" t="str">
        <f>IF(C18="Нет","",CONCATENATE(" (",C18,")"))</f>
        <v/>
      </c>
    </row>
    <row r="19" spans="1:15" ht="11.25" customHeight="1" x14ac:dyDescent="0.2">
      <c r="B19" s="365" t="s">
        <v>505</v>
      </c>
      <c r="C19" s="70">
        <f ca="1">Промывка!B16</f>
        <v>1.5</v>
      </c>
      <c r="E19" s="42" t="str">
        <f ca="1">CONCATENATE(B19,C19," ",C21," ",C20," л/с.; давление промывной воды - 5 ",C21," 7 бар")</f>
        <v>Расход промывной воды - 1,5 ÷ 1,78 л/с.; давление промывной воды - 5 ÷ 7 бар</v>
      </c>
    </row>
    <row r="20" spans="1:15" x14ac:dyDescent="0.2">
      <c r="C20" s="70">
        <f ca="1">Промывка!B17</f>
        <v>1.78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8644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№8644 Тайшет КОС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1900.2900.1200.2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2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1900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2900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1200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5450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2790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3670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3900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1,5÷1,78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68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1900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304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без ШУ.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/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/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14÷16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 t="str">
        <f>Цена!B8</f>
        <v>-</v>
      </c>
      <c r="B101" s="362" t="str">
        <f>Цена!B10</f>
        <v/>
      </c>
      <c r="C101" s="67">
        <f ca="1">Цена!C49-MROUND((Цена!C33*(1+Цена!B34)+Цена!C46*(1+Цена!B47)),1)</f>
        <v>2401562</v>
      </c>
      <c r="D101" s="67">
        <f ca="1">Цена!C49-Спецификация!C101</f>
        <v>0</v>
      </c>
      <c r="E101" s="67">
        <f ca="1">C2</f>
        <v>1900</v>
      </c>
      <c r="F101" s="67" t="str">
        <f>D41</f>
        <v>IP 68</v>
      </c>
      <c r="G101" s="368">
        <f ca="1">D2</f>
        <v>2.25</v>
      </c>
      <c r="H101" s="67" t="str">
        <f>Спецификация!C16</f>
        <v>AISI 304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1900.2900.1200.2</v>
      </c>
      <c r="B116" s="67">
        <f ca="1">C101</f>
        <v>2401562</v>
      </c>
      <c r="C116" s="70">
        <f>Цена!C31/Параметры!B3</f>
        <v>607</v>
      </c>
      <c r="D116" s="70">
        <f>Цена!C32/Параметры!B3</f>
        <v>61.618122977346282</v>
      </c>
      <c r="E116" s="67">
        <f>MROUND((C116+D116)*Параметры!$B$3*(1+Параметры!$B$4),1)</f>
        <v>582620</v>
      </c>
      <c r="F116" s="67">
        <f ca="1">B116-E116</f>
        <v>1818942</v>
      </c>
      <c r="G116" s="42" t="str">
        <f ca="1">CONCATENATE(A116," (",H101,"; ",G101," кВт.; ",F101,")")</f>
        <v>ЭРПЭ 1900.2900.1200.2 (AISI 304; 2,25 кВт.; IP 68)</v>
      </c>
    </row>
    <row r="117" spans="1:8" x14ac:dyDescent="0.2">
      <c r="A117" s="42" t="s">
        <v>556</v>
      </c>
      <c r="B117" s="67">
        <f ca="1">IF(A117="-","-",D101)</f>
        <v>0</v>
      </c>
      <c r="C117" s="70">
        <f>IF(A117="-","-",Цена!C33/Параметры!B7)</f>
        <v>0</v>
      </c>
      <c r="D117" s="70">
        <f>IF(A117="-","-",0)</f>
        <v>0</v>
      </c>
      <c r="E117" s="67">
        <f>IF(A117="-","-",MROUND((C117+D117)*Параметры!$B$7*(1+Параметры!$B$4),1))</f>
        <v>0</v>
      </c>
      <c r="F117" s="381">
        <f ca="1">IF(A117="-","-",B117-E117)</f>
        <v>0</v>
      </c>
      <c r="G117" s="42" t="str">
        <f ca="1">IF(B117=0,"-",CONCATENATE(A117," (","ШУ - IP54; ВПУ - ",IF(F101="IP 68","IP 67",F101),,IF(Цена!D25="Нет","",CONCATENATE("; ",Цена!D25)),")"))</f>
        <v>-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2401562</v>
      </c>
      <c r="C119" s="67">
        <f>SUM(C116:C117)</f>
        <v>607</v>
      </c>
      <c r="D119" s="67">
        <f>SUM(D116:D117)</f>
        <v>61.618122977346282</v>
      </c>
      <c r="E119" s="67">
        <f>SUM(E116:E117)</f>
        <v>582620</v>
      </c>
      <c r="F119" s="67">
        <f ca="1">SUM(F116:F117)</f>
        <v>1818942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671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Тайшет КОС (8644)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8644 Тайшет КОС 22.02.22</v>
      </c>
      <c r="J3" s="415"/>
      <c r="K3" s="416"/>
      <c r="L3" s="417"/>
    </row>
    <row r="4" spans="1:254" x14ac:dyDescent="0.2">
      <c r="A4" s="37" t="s">
        <v>102</v>
      </c>
      <c r="B4" s="44" t="s">
        <v>672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1900.2900.1200.2</v>
      </c>
      <c r="J4" s="418"/>
      <c r="K4" s="419"/>
      <c r="L4" s="420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1900.2900.1200.2 (AISI 304; 2,25 кВт.; IP68 без ШУ)</v>
      </c>
      <c r="J5" s="418"/>
      <c r="K5" s="419"/>
      <c r="L5" s="420"/>
    </row>
    <row r="6" spans="1:254" x14ac:dyDescent="0.2">
      <c r="A6" s="37" t="s">
        <v>104</v>
      </c>
      <c r="B6" s="44" t="s">
        <v>675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 t="s">
        <v>676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 t="s">
        <v>677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8644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673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1900</v>
      </c>
      <c r="C16" s="52">
        <v>2900</v>
      </c>
      <c r="D16" s="53">
        <v>1200</v>
      </c>
      <c r="E16" s="52">
        <v>2</v>
      </c>
      <c r="F16" s="54"/>
      <c r="G16" s="335" t="str">
        <f ca="1">CONCATENATE(Гидравлика!B15," м3/ч")</f>
        <v>3816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1187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1900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68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78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106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106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582620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607 н.ч.</v>
      </c>
      <c r="C31" s="68">
        <f>ФОТ!C38</f>
        <v>187563</v>
      </c>
    </row>
    <row r="32" spans="1:254" x14ac:dyDescent="0.2">
      <c r="A32" s="50" t="s">
        <v>123</v>
      </c>
      <c r="B32" s="67" t="str">
        <f>CONCATENATE(ROUNDUP(C32/Параметры!B3,0)," н.ч.")</f>
        <v>62 н.ч.</v>
      </c>
      <c r="C32" s="68">
        <f>ФОТ!C55</f>
        <v>19040</v>
      </c>
    </row>
    <row r="33" spans="1:254" x14ac:dyDescent="0.2">
      <c r="A33" s="50" t="s">
        <v>124</v>
      </c>
      <c r="B33" s="67" t="str">
        <f>CONCATENATE(ROUNDUP(C33/Параметры!B7,0)," н.ч.")</f>
        <v>0 н.ч.</v>
      </c>
      <c r="C33" s="68">
        <f>ФОТ!C46</f>
        <v>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376017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1818941.84</v>
      </c>
      <c r="D37" s="64">
        <f ca="1">SUM(D39:D47)</f>
        <v>2182730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420626</v>
      </c>
      <c r="D39" s="68">
        <f ca="1">MROUND(C39*1.2,1)</f>
        <v>504751</v>
      </c>
    </row>
    <row r="40" spans="1:254" x14ac:dyDescent="0.2">
      <c r="A40" s="42" t="str">
        <f>CONCATENATE("Цепи (",Цепи!B13," м.п.)")</f>
        <v>Цепи (25 м.п.)</v>
      </c>
      <c r="B40" s="72"/>
      <c r="C40" s="68">
        <f ca="1">Цепи!B17</f>
        <v>106250</v>
      </c>
      <c r="D40" s="68">
        <f t="shared" ref="D40:D47" ca="1" si="0">MROUND(C40*1.2,1)</f>
        <v>127500</v>
      </c>
    </row>
    <row r="41" spans="1:254" x14ac:dyDescent="0.2">
      <c r="A41" s="42" t="s">
        <v>164</v>
      </c>
      <c r="B41" s="72"/>
      <c r="C41" s="68">
        <f ca="1">Панели!B19</f>
        <v>268125</v>
      </c>
      <c r="D41" s="68">
        <f t="shared" ca="1" si="0"/>
        <v>321750</v>
      </c>
    </row>
    <row r="42" spans="1:254" x14ac:dyDescent="0.2">
      <c r="A42" s="42" t="s">
        <v>175</v>
      </c>
      <c r="B42" s="72"/>
      <c r="C42" s="68">
        <f>Щётка!B16</f>
        <v>67200</v>
      </c>
      <c r="D42" s="68">
        <f t="shared" si="0"/>
        <v>80640</v>
      </c>
    </row>
    <row r="43" spans="1:254" x14ac:dyDescent="0.2">
      <c r="A43" s="42" t="s">
        <v>333</v>
      </c>
      <c r="B43" s="72"/>
      <c r="C43" s="68">
        <f ca="1">Привода!B6</f>
        <v>420850</v>
      </c>
      <c r="D43" s="68">
        <f t="shared" ca="1" si="0"/>
        <v>505020</v>
      </c>
    </row>
    <row r="44" spans="1:254" x14ac:dyDescent="0.2">
      <c r="A44" s="42" t="s">
        <v>33</v>
      </c>
      <c r="B44" s="72"/>
      <c r="C44" s="68">
        <f ca="1">Привода!B13</f>
        <v>408500</v>
      </c>
      <c r="D44" s="68">
        <f t="shared" ca="1" si="0"/>
        <v>490200</v>
      </c>
    </row>
    <row r="45" spans="1:254" x14ac:dyDescent="0.2">
      <c r="A45" s="42" t="s">
        <v>128</v>
      </c>
      <c r="B45" s="72"/>
      <c r="C45" s="68">
        <f>ПКИ!B68+ПКИ!B78</f>
        <v>74411.839999999982</v>
      </c>
      <c r="D45" s="68">
        <f t="shared" si="0"/>
        <v>89294</v>
      </c>
    </row>
    <row r="46" spans="1:254" x14ac:dyDescent="0.2">
      <c r="A46" s="42" t="s">
        <v>98</v>
      </c>
      <c r="B46" s="72"/>
      <c r="C46" s="68">
        <f>IF(D24="Нет",0,ШУ!B7)</f>
        <v>0</v>
      </c>
      <c r="D46" s="68">
        <f t="shared" si="0"/>
        <v>0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52979</v>
      </c>
      <c r="D47" s="68">
        <f t="shared" ca="1" si="0"/>
        <v>63575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2401562</v>
      </c>
      <c r="D49" s="306">
        <f ca="1">MROUND(C49*1.2,1)</f>
        <v>2881874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4562968</v>
      </c>
      <c r="D53" s="79">
        <f ca="1">ROUNDUP(D49*B53,0)</f>
        <v>5475561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4562968</v>
      </c>
      <c r="D57" s="83">
        <f ca="1">D53+D55</f>
        <v>5475561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2161406</v>
      </c>
      <c r="D58" s="93">
        <f ca="1">D57-D55-D49</f>
        <v>2593687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4562968</v>
      </c>
      <c r="D62" s="102">
        <f ca="1">D57/(1-B60*(1+B61))</f>
        <v>5475561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4562968</v>
      </c>
      <c r="D64" s="141">
        <f ca="1">D62</f>
        <v>5475561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2</v>
      </c>
    </row>
    <row r="2" spans="1:14" ht="15.75" customHeight="1" x14ac:dyDescent="0.25">
      <c r="A2" s="326" t="s">
        <v>154</v>
      </c>
      <c r="B2" s="386">
        <f>Цена!B16</f>
        <v>1900</v>
      </c>
    </row>
    <row r="3" spans="1:14" ht="15.75" customHeight="1" x14ac:dyDescent="0.25">
      <c r="A3" s="326" t="s">
        <v>356</v>
      </c>
      <c r="B3" s="386">
        <f>Цена!C16</f>
        <v>2900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2400</v>
      </c>
      <c r="D5" s="324">
        <v>0</v>
      </c>
      <c r="E5" s="324">
        <f ca="1">$B$5-H5</f>
        <v>2226</v>
      </c>
      <c r="F5" s="333">
        <f ca="1">B12</f>
        <v>1.06</v>
      </c>
      <c r="G5" s="333">
        <f ca="1">ROUNDUP($B$15/3600/F5,3)</f>
        <v>1</v>
      </c>
      <c r="H5" s="324">
        <f ca="1">ROUNDUP(1/2/9.81/$B$16^2*SIN(RADIANS($B$9))*(G5^2-$B$13^2)*1000,0)</f>
        <v>174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2207</v>
      </c>
      <c r="F6" s="324">
        <f t="shared" ref="F6:F14" ca="1" si="1">MROUND($F$5*(1-D6/100),0.01)</f>
        <v>1.01</v>
      </c>
      <c r="G6" s="333">
        <f t="shared" ref="G6:G14" ca="1" si="2">ROUNDUP($B$15/3600/F6,3)</f>
        <v>1.0499999999999998</v>
      </c>
      <c r="H6" s="324">
        <f t="shared" ref="H6:H14" ca="1" si="3">ROUNDUP(1/2/9.81/$B$16^2*SIN(RADIANS($B$9))*(G6^2-$B$13^2)*1000,0)</f>
        <v>193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2180</v>
      </c>
      <c r="F7" s="324">
        <f t="shared" ca="1" si="1"/>
        <v>0.95000000000000007</v>
      </c>
      <c r="G7" s="333">
        <f t="shared" ca="1" si="2"/>
        <v>1.1159999999999999</v>
      </c>
      <c r="H7" s="324">
        <f t="shared" ca="1" si="3"/>
        <v>220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1612</v>
      </c>
      <c r="D8" s="324">
        <v>15</v>
      </c>
      <c r="E8" s="324">
        <f t="shared" ca="1" si="0"/>
        <v>2154</v>
      </c>
      <c r="F8" s="324">
        <f t="shared" ca="1" si="1"/>
        <v>0.9</v>
      </c>
      <c r="G8" s="333">
        <f t="shared" ca="1" si="2"/>
        <v>1.1779999999999999</v>
      </c>
      <c r="H8" s="324">
        <f t="shared" ca="1" si="3"/>
        <v>246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2123</v>
      </c>
      <c r="F9" s="324">
        <f t="shared" ca="1" si="1"/>
        <v>0.85</v>
      </c>
      <c r="G9" s="333">
        <f t="shared" ca="1" si="2"/>
        <v>1.248</v>
      </c>
      <c r="H9" s="324">
        <f t="shared" ca="1" si="3"/>
        <v>277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2087</v>
      </c>
      <c r="F10" s="324">
        <f t="shared" ca="1" si="1"/>
        <v>0.8</v>
      </c>
      <c r="G10" s="333">
        <f t="shared" ca="1" si="2"/>
        <v>1.325</v>
      </c>
      <c r="H10" s="324">
        <f t="shared" ca="1" si="3"/>
        <v>313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4.6399999999999997</v>
      </c>
      <c r="D11" s="324">
        <v>30</v>
      </c>
      <c r="E11" s="324">
        <f t="shared" ca="1" si="0"/>
        <v>2032</v>
      </c>
      <c r="F11" s="324">
        <f t="shared" ca="1" si="1"/>
        <v>0.74</v>
      </c>
      <c r="G11" s="333">
        <f t="shared" ca="1" si="2"/>
        <v>1.4329999999999998</v>
      </c>
      <c r="H11" s="324">
        <f t="shared" ca="1" si="3"/>
        <v>368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1.06</v>
      </c>
      <c r="D12" s="324">
        <v>35</v>
      </c>
      <c r="E12" s="324">
        <f t="shared" ca="1" si="0"/>
        <v>1975</v>
      </c>
      <c r="F12" s="324">
        <f t="shared" ca="1" si="1"/>
        <v>0.69000000000000006</v>
      </c>
      <c r="G12" s="333">
        <f t="shared" ca="1" si="2"/>
        <v>1.5369999999999999</v>
      </c>
      <c r="H12" s="324">
        <f t="shared" ca="1" si="3"/>
        <v>425</v>
      </c>
    </row>
    <row r="13" spans="1:14" ht="15.75" customHeight="1" x14ac:dyDescent="0.25">
      <c r="A13" s="326" t="s">
        <v>562</v>
      </c>
      <c r="B13" s="333">
        <f ca="1">$B$15/3600/(B5*$B$2/1000/1000)</f>
        <v>0.23245614035087722</v>
      </c>
      <c r="D13" s="324">
        <v>40</v>
      </c>
      <c r="E13" s="324">
        <f t="shared" ca="1" si="0"/>
        <v>1905</v>
      </c>
      <c r="F13" s="324">
        <f t="shared" ca="1" si="1"/>
        <v>0.64</v>
      </c>
      <c r="G13" s="333">
        <f t="shared" ca="1" si="2"/>
        <v>1.6569999999999998</v>
      </c>
      <c r="H13" s="324">
        <f t="shared" ca="1" si="3"/>
        <v>495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1795</v>
      </c>
      <c r="F14" s="324">
        <f t="shared" ca="1" si="1"/>
        <v>0.57999999999999996</v>
      </c>
      <c r="G14" s="333">
        <f t="shared" ca="1" si="2"/>
        <v>1.8279999999999998</v>
      </c>
      <c r="H14" s="324">
        <f t="shared" ca="1" si="3"/>
        <v>605</v>
      </c>
    </row>
    <row r="15" spans="1:14" ht="15.75" customHeight="1" x14ac:dyDescent="0.25">
      <c r="A15" s="326" t="s">
        <v>372</v>
      </c>
      <c r="B15" s="334">
        <f ca="1">C15</f>
        <v>3816</v>
      </c>
      <c r="C15" s="308">
        <f ca="1">MROUND(B12*3600,1)</f>
        <v>3816</v>
      </c>
    </row>
    <row r="16" spans="1:14" ht="15.75" customHeight="1" x14ac:dyDescent="0.25">
      <c r="A16" s="325" t="s">
        <v>373</v>
      </c>
      <c r="B16" s="324">
        <f ca="1">OFFSET(J4,MATCH(B1,J5:J10,0),4,1,1)</f>
        <v>0.49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1900</v>
      </c>
      <c r="D9" s="169">
        <f>IF(C9&lt;=750,ROUND(C9/50,0)*50,ROUND(C9/100,0)*100)</f>
        <v>1900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2900</v>
      </c>
      <c r="D10" s="169">
        <f>CEILING(C10,100)</f>
        <v>2900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1200</v>
      </c>
      <c r="D11" s="179">
        <f>IF(AND(C11&gt;0,C11&lt;=850),850,IF(AND(C11&gt;850,C11&lt;=1200),1200,IF(AND(C11&gt;1200,C11=1500),1500,"Ннестандарт")))</f>
        <v>1200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1085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2600</v>
      </c>
      <c r="D13" s="190">
        <f>IF(C10&lt;=1200,C10,C10-250)</f>
        <v>2650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2700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2700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136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8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8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136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233.9324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19.153333333333329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8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356.55340000000001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135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16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103.46766666666667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139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110175.0006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357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607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187563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Нет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1187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56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19040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2022-02-22T12:57:14Z</dcterms:modified>
</cp:coreProperties>
</file>