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32760" yWindow="32760" windowWidth="22260" windowHeight="12645" tabRatio="741"/>
  </bookViews>
  <sheets>
    <sheet name="tkp_params" sheetId="21" r:id="rId1"/>
    <sheet name="sql_update" sheetId="20" r:id="rId2"/>
    <sheet name="ver.vont" sheetId="19" r:id="rId3"/>
    <sheet name="Параметры" sheetId="7" r:id="rId4"/>
    <sheet name="Спецификация" sheetId="16" r:id="rId5"/>
    <sheet name="Цена" sheetId="8" r:id="rId6"/>
    <sheet name="Гидравлика" sheetId="17" r:id="rId7"/>
    <sheet name="Проверка вес" sheetId="5" r:id="rId8"/>
    <sheet name="ФОТ" sheetId="9" r:id="rId9"/>
    <sheet name="ШУ" sheetId="15" r:id="rId10"/>
    <sheet name="ПКИ" sheetId="12" r:id="rId11"/>
    <sheet name="Вес" sheetId="1" r:id="rId12"/>
    <sheet name="Щётка" sheetId="6" r:id="rId13"/>
    <sheet name="Металл" sheetId="10" r:id="rId14"/>
    <sheet name="Цепи" sheetId="2" r:id="rId15"/>
    <sheet name="Панели" sheetId="3" r:id="rId16"/>
    <sheet name="Привода" sheetId="4" r:id="rId17"/>
    <sheet name="Промывка" sheetId="11" r:id="rId18"/>
  </sheets>
  <externalReferences>
    <externalReference r:id="rId19"/>
    <externalReference r:id="rId20"/>
    <externalReference r:id="rId21"/>
    <externalReference r:id="rId22"/>
  </externalReferences>
  <definedNames>
    <definedName name="PR_mat" localSheetId="4">Спецификация!$C$43</definedName>
    <definedName name="PR_weight" localSheetId="0">tkp_params!$B$26</definedName>
    <definedName name="Валюта" localSheetId="2">[1]Подбор!$M$60:$M$65</definedName>
    <definedName name="Валюта">[2]Подбор!$M$60:$M$65</definedName>
    <definedName name="Глубина" localSheetId="2">OFFSET(#REF!,MATCH(#REF!,#REF!,0),1,COUNTIF(#REF!,#REF!),1)</definedName>
    <definedName name="Глубина">OFFSET([3]Подбор!$Z$111,MATCH([3]Подбор!$B$15,[3]Подбор!$Z$112:$Z$547,0),1,COUNTIF([3]Подбор!$Z$112:$Z$547,[3]Подбор!$B$15),1)</definedName>
    <definedName name="Диаметр" localSheetId="2">[1]Подбор!$O$49:$O$54</definedName>
    <definedName name="Диаметр">[2]Подбор!$O$49:$O$54</definedName>
    <definedName name="Материал_моста" localSheetId="2">[1]Подбор!$Q$49:$Q$54</definedName>
    <definedName name="Материал_моста">[2]Подбор!$Q$49:$Q$54</definedName>
    <definedName name="Материал_ПЧ" localSheetId="2">[1]Подбор!$P$49:$P$53</definedName>
    <definedName name="Материал_ПЧ">[2]Подбор!$P$49:$P$53</definedName>
    <definedName name="Менеджера" localSheetId="2">#REF!</definedName>
    <definedName name="Менеджера">[4]Подбор!$M$11:$M$20</definedName>
    <definedName name="Прозор" localSheetId="2">#REF!</definedName>
    <definedName name="Прозор">[3]Подбор!$M$55:$M$62</definedName>
    <definedName name="Степень_защиты_привода" localSheetId="2">#REF!</definedName>
    <definedName name="Степень_защиты_привода">[3]Подбор!$P$55:$P$58</definedName>
    <definedName name="Тип_скребка" localSheetId="2">[1]Подбор!$M$49:$M$50</definedName>
    <definedName name="Тип_скребка">[2]Подбор!$M$49:$M$50</definedName>
    <definedName name="ФОТО" localSheetId="2">OFFSET([1]Фото!$A$1,MATCH(1,[1]Фото!$A$2:$A$3,0),1,1,1)</definedName>
    <definedName name="ФОТО">OFFSET([2]Фото!$A$1,MATCH(1,[2]Фото!$A$2:$A$3,0),1,1,1)</definedName>
  </definedNames>
  <calcPr calcId="162913"/>
</workbook>
</file>

<file path=xl/calcChain.xml><?xml version="1.0" encoding="utf-8"?>
<calcChain xmlns="http://schemas.openxmlformats.org/spreadsheetml/2006/main">
  <c r="C30" i="21" l="1"/>
  <c r="C29" i="21" s="1"/>
  <c r="C28" i="21"/>
  <c r="C27" i="21"/>
  <c r="C25" i="21"/>
  <c r="C31" i="21" s="1"/>
  <c r="C16" i="21"/>
  <c r="C15" i="21"/>
  <c r="C14" i="21"/>
  <c r="C18" i="21" s="1"/>
  <c r="C13" i="21"/>
  <c r="C7" i="21"/>
  <c r="C32" i="21" s="1"/>
  <c r="C6" i="21"/>
  <c r="C4" i="21"/>
  <c r="C3" i="21"/>
  <c r="C2" i="21"/>
  <c r="C1" i="21"/>
  <c r="C5" i="21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17" i="21" l="1"/>
  <c r="C19" i="21" s="1"/>
  <c r="G5" i="2"/>
  <c r="F3" i="2"/>
  <c r="E5" i="2" s="1"/>
  <c r="I10" i="2"/>
  <c r="I11" i="2"/>
  <c r="I12" i="2"/>
  <c r="I9" i="2"/>
  <c r="B59" i="7"/>
  <c r="B57" i="7"/>
  <c r="K10" i="15"/>
  <c r="B54" i="7"/>
  <c r="K6" i="15"/>
  <c r="B53" i="7"/>
  <c r="K5" i="15"/>
  <c r="B52" i="7"/>
  <c r="B42" i="7"/>
  <c r="B41" i="7"/>
  <c r="B40" i="7"/>
  <c r="B37" i="7"/>
  <c r="B36" i="7"/>
  <c r="B35" i="7"/>
  <c r="C43" i="9"/>
  <c r="F4" i="3"/>
  <c r="K3" i="3" s="1"/>
  <c r="F5" i="3" s="1"/>
  <c r="J4" i="3"/>
  <c r="J5" i="3"/>
  <c r="J6" i="3"/>
  <c r="J3" i="3"/>
  <c r="F2" i="3"/>
  <c r="B3" i="17"/>
  <c r="B5" i="17" s="1"/>
  <c r="B2" i="17"/>
  <c r="B8" i="17" s="1"/>
  <c r="B1" i="17"/>
  <c r="B16" i="17" s="1"/>
  <c r="B3" i="8"/>
  <c r="F1" i="6" s="1"/>
  <c r="D48" i="16"/>
  <c r="D47" i="16"/>
  <c r="B47" i="8"/>
  <c r="B101" i="16"/>
  <c r="A101" i="16"/>
  <c r="C17" i="16"/>
  <c r="D46" i="16" s="1"/>
  <c r="D49" i="16"/>
  <c r="D26" i="16"/>
  <c r="C18" i="16"/>
  <c r="E18" i="16" s="1"/>
  <c r="C16" i="16"/>
  <c r="D43" i="16"/>
  <c r="C15" i="16"/>
  <c r="C13" i="16"/>
  <c r="D41" i="16" s="1"/>
  <c r="C10" i="16"/>
  <c r="E10" i="16"/>
  <c r="C9" i="16"/>
  <c r="D31" i="16" s="1"/>
  <c r="C8" i="16"/>
  <c r="E8" i="16"/>
  <c r="C7" i="16"/>
  <c r="E7" i="16" s="1"/>
  <c r="B88" i="12"/>
  <c r="B84" i="12"/>
  <c r="B82" i="12"/>
  <c r="A1" i="16"/>
  <c r="K9" i="15"/>
  <c r="K4" i="15"/>
  <c r="B2" i="15"/>
  <c r="F4" i="15"/>
  <c r="I6" i="15" s="1"/>
  <c r="F3" i="15"/>
  <c r="I9" i="15"/>
  <c r="F2" i="15"/>
  <c r="B68" i="12"/>
  <c r="S7" i="4"/>
  <c r="B14" i="11"/>
  <c r="B15" i="11" s="1"/>
  <c r="B81" i="12" s="1"/>
  <c r="B83" i="12" s="1"/>
  <c r="B89" i="12" s="1"/>
  <c r="R9" i="11"/>
  <c r="R7" i="11"/>
  <c r="R8" i="11"/>
  <c r="Q9" i="11"/>
  <c r="P9" i="11"/>
  <c r="O9" i="11"/>
  <c r="N9" i="11"/>
  <c r="N7" i="11"/>
  <c r="N8" i="11"/>
  <c r="M9" i="11"/>
  <c r="L9" i="11"/>
  <c r="K9" i="11"/>
  <c r="J9" i="11"/>
  <c r="J7" i="11"/>
  <c r="J8" i="11"/>
  <c r="I9" i="11"/>
  <c r="H9" i="11"/>
  <c r="G9" i="11"/>
  <c r="F9" i="11"/>
  <c r="F7" i="11"/>
  <c r="F8" i="11"/>
  <c r="E9" i="11"/>
  <c r="D9" i="11"/>
  <c r="C9" i="11"/>
  <c r="B9" i="11"/>
  <c r="B7" i="11"/>
  <c r="B8" i="11"/>
  <c r="Q7" i="11"/>
  <c r="Q8" i="11"/>
  <c r="P7" i="11"/>
  <c r="P8" i="11"/>
  <c r="O7" i="11"/>
  <c r="O8" i="11"/>
  <c r="M7" i="11"/>
  <c r="M8" i="11"/>
  <c r="L7" i="11"/>
  <c r="L8" i="11"/>
  <c r="K7" i="11"/>
  <c r="K8" i="11"/>
  <c r="I7" i="11"/>
  <c r="I8" i="11"/>
  <c r="H7" i="11"/>
  <c r="H8" i="11"/>
  <c r="G7" i="11"/>
  <c r="G8" i="11"/>
  <c r="E7" i="11"/>
  <c r="E8" i="11"/>
  <c r="D7" i="11"/>
  <c r="D8" i="11"/>
  <c r="C7" i="11"/>
  <c r="C8" i="11"/>
  <c r="Q5" i="11"/>
  <c r="Q6" i="11"/>
  <c r="P5" i="11"/>
  <c r="P6" i="11"/>
  <c r="O5" i="11"/>
  <c r="O6" i="11"/>
  <c r="M5" i="11"/>
  <c r="M6" i="11"/>
  <c r="L5" i="11"/>
  <c r="L6" i="11"/>
  <c r="K5" i="11"/>
  <c r="K6" i="11"/>
  <c r="I5" i="11"/>
  <c r="I6" i="11"/>
  <c r="H5" i="11"/>
  <c r="H6" i="11"/>
  <c r="G5" i="11"/>
  <c r="G6" i="11"/>
  <c r="E5" i="11"/>
  <c r="E6" i="11"/>
  <c r="D5" i="11"/>
  <c r="D6" i="11"/>
  <c r="C5" i="11"/>
  <c r="C6" i="11"/>
  <c r="F10" i="10"/>
  <c r="F9" i="10"/>
  <c r="K5" i="10"/>
  <c r="K6" i="10"/>
  <c r="K7" i="10"/>
  <c r="K4" i="10"/>
  <c r="F8" i="10"/>
  <c r="G8" i="10" s="1"/>
  <c r="F6" i="10"/>
  <c r="F5" i="10"/>
  <c r="F4" i="10"/>
  <c r="F3" i="10"/>
  <c r="B2" i="4"/>
  <c r="B9" i="4" s="1"/>
  <c r="N15" i="4"/>
  <c r="N16" i="4"/>
  <c r="N14" i="4"/>
  <c r="N8" i="4"/>
  <c r="N9" i="4"/>
  <c r="N7" i="4"/>
  <c r="F2" i="4"/>
  <c r="S15" i="4"/>
  <c r="S16" i="4"/>
  <c r="S14" i="4"/>
  <c r="S8" i="4"/>
  <c r="S9" i="4"/>
  <c r="C51" i="9"/>
  <c r="C50" i="9"/>
  <c r="C53" i="9"/>
  <c r="C41" i="9"/>
  <c r="K32" i="9"/>
  <c r="C11" i="9"/>
  <c r="D11" i="9" s="1"/>
  <c r="C10" i="9"/>
  <c r="D13" i="9" s="1"/>
  <c r="D15" i="9" s="1"/>
  <c r="D10" i="9"/>
  <c r="C29" i="9" s="1"/>
  <c r="C9" i="9"/>
  <c r="D9" i="9" s="1"/>
  <c r="D12" i="9"/>
  <c r="D16" i="9"/>
  <c r="C31" i="9"/>
  <c r="B46" i="7"/>
  <c r="F2" i="6"/>
  <c r="B9" i="6"/>
  <c r="B12" i="6" s="1"/>
  <c r="F2" i="2"/>
  <c r="B2" i="3"/>
  <c r="B3" i="3" s="1"/>
  <c r="B10" i="3" s="1"/>
  <c r="T16" i="4"/>
  <c r="T15" i="4"/>
  <c r="T14" i="4"/>
  <c r="B5" i="4" s="1"/>
  <c r="T9" i="4"/>
  <c r="T8" i="4"/>
  <c r="T7" i="4"/>
  <c r="B11" i="4" s="1"/>
  <c r="B13" i="1" s="1"/>
  <c r="G4" i="1"/>
  <c r="H4" i="1" s="1"/>
  <c r="I4" i="1" s="1"/>
  <c r="J4" i="1" s="1"/>
  <c r="G3" i="1"/>
  <c r="H3" i="1"/>
  <c r="I3" i="1"/>
  <c r="J3" i="1" s="1"/>
  <c r="G2" i="1"/>
  <c r="H2" i="1" s="1"/>
  <c r="I2" i="1" s="1"/>
  <c r="J2" i="1" s="1"/>
  <c r="B34" i="8"/>
  <c r="A62" i="8"/>
  <c r="C55" i="8"/>
  <c r="I4" i="8"/>
  <c r="A5" i="16" s="1"/>
  <c r="A2" i="16" s="1"/>
  <c r="I3" i="8"/>
  <c r="D27" i="16" s="1"/>
  <c r="I2" i="8"/>
  <c r="B5" i="6"/>
  <c r="B7" i="6"/>
  <c r="B6" i="6"/>
  <c r="J3" i="5"/>
  <c r="J4" i="5"/>
  <c r="J2" i="5"/>
  <c r="F2" i="1"/>
  <c r="D117" i="16"/>
  <c r="D30" i="16"/>
  <c r="D34" i="16" s="1"/>
  <c r="D44" i="16"/>
  <c r="F1" i="2"/>
  <c r="B5" i="11"/>
  <c r="B6" i="11"/>
  <c r="F5" i="11"/>
  <c r="F6" i="11"/>
  <c r="J5" i="11"/>
  <c r="J6" i="11"/>
  <c r="N5" i="11"/>
  <c r="N6" i="11"/>
  <c r="R5" i="11"/>
  <c r="R6" i="11"/>
  <c r="B16" i="11"/>
  <c r="D32" i="16"/>
  <c r="B3" i="4"/>
  <c r="D22" i="8" s="1"/>
  <c r="C14" i="16" s="1"/>
  <c r="C23" i="21" s="1"/>
  <c r="F1" i="3"/>
  <c r="I8" i="15"/>
  <c r="B3" i="15" s="1"/>
  <c r="I10" i="15"/>
  <c r="D45" i="16"/>
  <c r="C13" i="9"/>
  <c r="D14" i="9" s="1"/>
  <c r="B3" i="2"/>
  <c r="E9" i="16"/>
  <c r="E16" i="16"/>
  <c r="H101" i="16"/>
  <c r="D29" i="16"/>
  <c r="F1" i="12"/>
  <c r="B10" i="6"/>
  <c r="B12" i="1" s="1"/>
  <c r="E5" i="3"/>
  <c r="K6" i="3"/>
  <c r="K4" i="3"/>
  <c r="I4" i="15" l="1"/>
  <c r="B4" i="15" s="1"/>
  <c r="I5" i="15"/>
  <c r="B4" i="4"/>
  <c r="B14" i="1" s="1"/>
  <c r="B2" i="2"/>
  <c r="B17" i="11"/>
  <c r="C20" i="16" s="1"/>
  <c r="K5" i="3"/>
  <c r="E17" i="16"/>
  <c r="C44" i="9"/>
  <c r="C46" i="9" s="1"/>
  <c r="C33" i="8" s="1"/>
  <c r="C117" i="16" s="1"/>
  <c r="E117" i="16" s="1"/>
  <c r="F101" i="16"/>
  <c r="D51" i="16"/>
  <c r="B12" i="4"/>
  <c r="B10" i="4"/>
  <c r="D21" i="8" s="1"/>
  <c r="C12" i="16" s="1"/>
  <c r="C24" i="21" s="1"/>
  <c r="B4" i="2"/>
  <c r="B9" i="2" s="1"/>
  <c r="B10" i="2" s="1"/>
  <c r="B11" i="2" s="1"/>
  <c r="B4" i="3" s="1"/>
  <c r="B6" i="3" s="1"/>
  <c r="B14" i="3" s="1"/>
  <c r="D33" i="16"/>
  <c r="D35" i="16" s="1"/>
  <c r="U19" i="9"/>
  <c r="U20" i="9"/>
  <c r="U30" i="9"/>
  <c r="B7" i="1"/>
  <c r="B11" i="17"/>
  <c r="B12" i="17" s="1"/>
  <c r="D28" i="16"/>
  <c r="A116" i="16" s="1"/>
  <c r="B11" i="6"/>
  <c r="B16" i="6"/>
  <c r="C42" i="8" s="1"/>
  <c r="D42" i="8" s="1"/>
  <c r="B12" i="3"/>
  <c r="K26" i="9"/>
  <c r="K24" i="9"/>
  <c r="D17" i="9"/>
  <c r="K25" i="9"/>
  <c r="C8" i="21"/>
  <c r="C24" i="20"/>
  <c r="B18" i="3"/>
  <c r="F5" i="2"/>
  <c r="B33" i="8"/>
  <c r="F1" i="4"/>
  <c r="B6" i="4" s="1"/>
  <c r="C43" i="8" s="1"/>
  <c r="D43" i="8" s="1"/>
  <c r="F1" i="15"/>
  <c r="C19" i="16"/>
  <c r="D38" i="16" s="1"/>
  <c r="B6" i="15"/>
  <c r="D39" i="16"/>
  <c r="E14" i="16"/>
  <c r="C22" i="21" l="1"/>
  <c r="B7" i="15"/>
  <c r="C46" i="8" s="1"/>
  <c r="D46" i="8" s="1"/>
  <c r="B13" i="4"/>
  <c r="C44" i="8" s="1"/>
  <c r="D44" i="8" s="1"/>
  <c r="D40" i="16"/>
  <c r="I5" i="8"/>
  <c r="E12" i="16"/>
  <c r="D2" i="16"/>
  <c r="C22" i="20" s="1"/>
  <c r="C25" i="20" s="1"/>
  <c r="B13" i="2"/>
  <c r="B17" i="2" s="1"/>
  <c r="C40" i="8" s="1"/>
  <c r="D40" i="8" s="1"/>
  <c r="B19" i="3"/>
  <c r="C41" i="8" s="1"/>
  <c r="D41" i="8" s="1"/>
  <c r="F5" i="17"/>
  <c r="F8" i="17" s="1"/>
  <c r="C15" i="17"/>
  <c r="B15" i="17" s="1"/>
  <c r="G16" i="8" s="1"/>
  <c r="B13" i="3"/>
  <c r="B10" i="1" s="1"/>
  <c r="B20" i="1" s="1"/>
  <c r="D18" i="8" s="1"/>
  <c r="C49" i="9" s="1"/>
  <c r="C52" i="9" s="1"/>
  <c r="C55" i="9" s="1"/>
  <c r="C32" i="8" s="1"/>
  <c r="B75" i="12"/>
  <c r="C22" i="9"/>
  <c r="C30" i="9"/>
  <c r="B9" i="1"/>
  <c r="B15" i="3"/>
  <c r="C11" i="21"/>
  <c r="C12" i="21"/>
  <c r="C10" i="21"/>
  <c r="C9" i="21"/>
  <c r="B11" i="1"/>
  <c r="B13" i="6"/>
  <c r="E19" i="16"/>
  <c r="B14" i="2" l="1"/>
  <c r="B8" i="1" s="1"/>
  <c r="A40" i="8"/>
  <c r="B2" i="10"/>
  <c r="B3" i="10" s="1"/>
  <c r="B4" i="10" s="1"/>
  <c r="C39" i="8" s="1"/>
  <c r="D39" i="8" s="1"/>
  <c r="B13" i="17"/>
  <c r="G101" i="16"/>
  <c r="G116" i="16" s="1"/>
  <c r="G5" i="17"/>
  <c r="C6" i="16"/>
  <c r="C21" i="21" s="1"/>
  <c r="G8" i="17"/>
  <c r="H8" i="17" s="1"/>
  <c r="E8" i="17" s="1"/>
  <c r="B76" i="12"/>
  <c r="B77" i="12"/>
  <c r="F11" i="17"/>
  <c r="G11" i="17" s="1"/>
  <c r="F13" i="17"/>
  <c r="G13" i="17" s="1"/>
  <c r="H13" i="17" s="1"/>
  <c r="E13" i="17" s="1"/>
  <c r="F12" i="17"/>
  <c r="G12" i="17" s="1"/>
  <c r="F6" i="17"/>
  <c r="G6" i="17" s="1"/>
  <c r="F10" i="17"/>
  <c r="G10" i="17" s="1"/>
  <c r="F7" i="17"/>
  <c r="G7" i="17" s="1"/>
  <c r="H7" i="17" s="1"/>
  <c r="E7" i="17" s="1"/>
  <c r="F14" i="17"/>
  <c r="G14" i="17" s="1"/>
  <c r="F9" i="17"/>
  <c r="G9" i="17" s="1"/>
  <c r="B18" i="1"/>
  <c r="D19" i="8" s="1"/>
  <c r="C11" i="16" s="1"/>
  <c r="E11" i="16" s="1"/>
  <c r="U11" i="9"/>
  <c r="C32" i="9"/>
  <c r="B32" i="8"/>
  <c r="D116" i="16"/>
  <c r="D119" i="16" s="1"/>
  <c r="C26" i="9"/>
  <c r="U32" i="9"/>
  <c r="H12" i="17" l="1"/>
  <c r="E12" i="17" s="1"/>
  <c r="C23" i="20"/>
  <c r="D37" i="16"/>
  <c r="H10" i="17"/>
  <c r="E10" i="17" s="1"/>
  <c r="H11" i="17"/>
  <c r="E11" i="17" s="1"/>
  <c r="H5" i="17"/>
  <c r="E5" i="17" s="1"/>
  <c r="H14" i="17"/>
  <c r="E14" i="17" s="1"/>
  <c r="B78" i="12"/>
  <c r="C45" i="8" s="1"/>
  <c r="H9" i="17"/>
  <c r="E9" i="17" s="1"/>
  <c r="H6" i="17"/>
  <c r="E6" i="17" s="1"/>
  <c r="E6" i="16"/>
  <c r="B2" i="16" s="1"/>
  <c r="K29" i="9"/>
  <c r="K34" i="9" s="1"/>
  <c r="D42" i="16"/>
  <c r="C2" i="16"/>
  <c r="C26" i="21" s="1"/>
  <c r="C36" i="9" l="1"/>
  <c r="C37" i="9" s="1"/>
  <c r="C38" i="9" s="1"/>
  <c r="C31" i="8" s="1"/>
  <c r="C34" i="8" s="1"/>
  <c r="C29" i="8" s="1"/>
  <c r="D45" i="8"/>
  <c r="C47" i="8"/>
  <c r="C21" i="20"/>
  <c r="E101" i="16"/>
  <c r="C116" i="16" l="1"/>
  <c r="B31" i="8"/>
  <c r="D47" i="8"/>
  <c r="D37" i="8" s="1"/>
  <c r="C37" i="8"/>
  <c r="C49" i="8" s="1"/>
  <c r="E116" i="16"/>
  <c r="E119" i="16" s="1"/>
  <c r="C119" i="16"/>
  <c r="C101" i="16" l="1"/>
  <c r="B116" i="16" s="1"/>
  <c r="C20" i="20" s="1"/>
  <c r="C53" i="8"/>
  <c r="C57" i="8" s="1"/>
  <c r="C62" i="8" s="1"/>
  <c r="F2" i="16"/>
  <c r="G2" i="16" s="1"/>
  <c r="D49" i="8"/>
  <c r="D53" i="8" s="1"/>
  <c r="D57" i="8" s="1"/>
  <c r="D58" i="8" s="1"/>
  <c r="D101" i="16"/>
  <c r="B117" i="16" s="1"/>
  <c r="F116" i="16" l="1"/>
  <c r="C58" i="8"/>
  <c r="D62" i="8"/>
  <c r="D60" i="8" s="1"/>
  <c r="D61" i="8" s="1"/>
  <c r="C19" i="20"/>
  <c r="G117" i="16"/>
  <c r="B119" i="16"/>
  <c r="F117" i="16"/>
  <c r="F119" i="16" s="1"/>
  <c r="C64" i="8"/>
  <c r="C60" i="8"/>
  <c r="C61" i="8" s="1"/>
  <c r="D64" i="8" l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Справочная колонка, для удобства использования.
В программе не использется.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Имя переменной в ТКП.
СТРОГИЙ РЕГИСТР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Значение переменной которе будет подставленно в ТКП
Специальные значения:
"-1" скрипв пропустит данную позицию и оставит без именений
"-2" заметка будет полность удалена из ТКП</t>
        </r>
      </text>
    </comment>
  </commentList>
</comments>
</file>

<file path=xl/comments2.xml><?xml version="1.0" encoding="utf-8"?>
<comments xmlns="http://schemas.openxmlformats.org/spreadsheetml/2006/main">
  <authors>
    <author>Махлай Константин Александрович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Имя атрибута в глобальном объекте python "mainGlobalObject"</t>
        </r>
      </text>
    </comment>
  </commentList>
</comments>
</file>

<file path=xl/comments3.xml><?xml version="1.0" encoding="utf-8"?>
<comments xmlns="http://schemas.openxmlformats.org/spreadsheetml/2006/main">
  <authors>
    <author>Автор</author>
  </authors>
  <commentList>
    <comment ref="B4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 учетом пошлины 15%
Щётки производство Италии.
Toscana</t>
        </r>
      </text>
    </comment>
  </commentList>
</comments>
</file>

<file path=xl/comments4.xml><?xml version="1.0" encoding="utf-8"?>
<comments xmlns="http://schemas.openxmlformats.org/spreadsheetml/2006/main">
  <authors>
    <author>Автор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5.xml><?xml version="1.0" encoding="utf-8"?>
<comments xmlns="http://schemas.openxmlformats.org/spreadsheetml/2006/main">
  <authors>
    <author>Автор</author>
  </authors>
  <commentList>
    <comment ref="J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Завод ФРУНЗЕ
Лист перфорированный, отверстия круглые расположенные по шестиугольнику, ТИП 1.</t>
        </r>
      </text>
    </comment>
  </commentList>
</comments>
</file>

<file path=xl/comments6.xml><?xml version="1.0" encoding="utf-8"?>
<comments xmlns="http://schemas.openxmlformats.org/spreadsheetml/2006/main">
  <authors>
    <author>Автор</author>
  </authors>
  <commentList>
    <comment ref="A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Решетка без приводов, системы промывки, перфорированных пластин.</t>
        </r>
      </text>
    </comment>
  </commentList>
</comments>
</file>

<file path=xl/comments7.xml><?xml version="1.0" encoding="utf-8"?>
<comments xmlns="http://schemas.openxmlformats.org/spreadsheetml/2006/main">
  <authors>
    <author>Автор</author>
  </authors>
  <commentList>
    <comment ref="J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</commentList>
</comments>
</file>

<file path=xl/comments8.xml><?xml version="1.0" encoding="utf-8"?>
<comments xmlns="http://schemas.openxmlformats.org/spreadsheetml/2006/main">
  <authors>
    <author>Автор</author>
  </authors>
  <commentLis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</commentList>
</comments>
</file>

<file path=xl/comments9.xml><?xml version="1.0" encoding="utf-8"?>
<comments xmlns="http://schemas.openxmlformats.org/spreadsheetml/2006/main">
  <authors>
    <author>Автор</author>
  </authors>
  <commentLis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</commentList>
</comments>
</file>

<file path=xl/sharedStrings.xml><?xml version="1.0" encoding="utf-8"?>
<sst xmlns="http://schemas.openxmlformats.org/spreadsheetml/2006/main" count="903" uniqueCount="675">
  <si>
    <t>Вес рамы решетки ЭРПЭ 1200.2000.1500.ХХ</t>
  </si>
  <si>
    <t>Увеличение глубины канала на 100 мм.</t>
  </si>
  <si>
    <t>Увеличение высоты выгрузки на 100 мм.</t>
  </si>
  <si>
    <t>Увеличение ширины канала на 100 мм.</t>
  </si>
  <si>
    <t>Ширина</t>
  </si>
  <si>
    <t>эталон</t>
  </si>
  <si>
    <t>Расчетная</t>
  </si>
  <si>
    <t>Дельта</t>
  </si>
  <si>
    <t>Глубина</t>
  </si>
  <si>
    <t>Выгрузка</t>
  </si>
  <si>
    <t>кг.</t>
  </si>
  <si>
    <t>Ширина канала, мм</t>
  </si>
  <si>
    <t>Глубина канала, мм</t>
  </si>
  <si>
    <t>Высота выгрузки, мм</t>
  </si>
  <si>
    <t>Угол установки решетки, град</t>
  </si>
  <si>
    <t>Даиметр направляющей, мм</t>
  </si>
  <si>
    <t>Расстояние от дна до оси направляющий, мм</t>
  </si>
  <si>
    <t>Расстояние от выгрузки до оси приводного вала, мм</t>
  </si>
  <si>
    <t>Расстояние между осями цепи (вал-направляющая), мм</t>
  </si>
  <si>
    <t>Длина цепи, мм</t>
  </si>
  <si>
    <t>Длина цепи, м.п.</t>
  </si>
  <si>
    <t>Общая длина цепи, м.п.</t>
  </si>
  <si>
    <t>Длина пластины на цепи, мм</t>
  </si>
  <si>
    <t>Количество ф-х элементов, шт</t>
  </si>
  <si>
    <t>Вес пластины шириной 1 м., 2 мм., кг</t>
  </si>
  <si>
    <t>Вес установочного комплекта для пластины, кг</t>
  </si>
  <si>
    <t>Ширина фильтровального экрана, мм</t>
  </si>
  <si>
    <t>Вес фильтровальной пластины в сборе, кг</t>
  </si>
  <si>
    <t>Вес цепи, кг/м.п.</t>
  </si>
  <si>
    <t>Вес расчетной решетки (металл)</t>
  </si>
  <si>
    <t>Цепь</t>
  </si>
  <si>
    <t>ВЕС РЕШЕТКИ В СБОРЕ</t>
  </si>
  <si>
    <t>Привод основной</t>
  </si>
  <si>
    <t>Привод щётки</t>
  </si>
  <si>
    <t>Стойка ВПУ</t>
  </si>
  <si>
    <t>Система промывки</t>
  </si>
  <si>
    <t>Щётка</t>
  </si>
  <si>
    <t>Контр.</t>
  </si>
  <si>
    <t>код договора</t>
  </si>
  <si>
    <t>Объект</t>
  </si>
  <si>
    <t>Перфорация, мм</t>
  </si>
  <si>
    <t>Краснодар ГКНС</t>
  </si>
  <si>
    <t>Саров КОС</t>
  </si>
  <si>
    <t>Люберецкая СА</t>
  </si>
  <si>
    <t>Вес общий, кг</t>
  </si>
  <si>
    <t>Привод цепи, кг</t>
  </si>
  <si>
    <t>Привод щётки, кг</t>
  </si>
  <si>
    <t>Вес металла, кг.</t>
  </si>
  <si>
    <t>Вес по расчету, кг</t>
  </si>
  <si>
    <t xml:space="preserve">Вес вала, кг </t>
  </si>
  <si>
    <t>Ширина, мм</t>
  </si>
  <si>
    <t>Эталон</t>
  </si>
  <si>
    <t>Рассчетная</t>
  </si>
  <si>
    <t>Вес щётки, кг</t>
  </si>
  <si>
    <t>Количество модулей щётки, шт</t>
  </si>
  <si>
    <t>IP</t>
  </si>
  <si>
    <t>Производитель</t>
  </si>
  <si>
    <t>Маркировка</t>
  </si>
  <si>
    <t>Nord</t>
  </si>
  <si>
    <t>Мощность, кВт</t>
  </si>
  <si>
    <t>Напряжени, В</t>
  </si>
  <si>
    <t>Частота, Гч</t>
  </si>
  <si>
    <t>Вес, кг</t>
  </si>
  <si>
    <t>SK4382AZ-80L/4</t>
  </si>
  <si>
    <t>Наименование параметра</t>
  </si>
  <si>
    <t>Значение</t>
  </si>
  <si>
    <t>Ед. измерения</t>
  </si>
  <si>
    <t>Дата последней актализации</t>
  </si>
  <si>
    <t>Нименование переменной</t>
  </si>
  <si>
    <t>ФОТ</t>
  </si>
  <si>
    <t>Стоимость нормо часа</t>
  </si>
  <si>
    <t>н.ч.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</si>
  <si>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</si>
  <si>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</si>
  <si>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Материалы</t>
  </si>
  <si>
    <t>Листовой металл</t>
  </si>
  <si>
    <t>AISI 201</t>
  </si>
  <si>
    <t>руб/кг без НДС</t>
  </si>
  <si>
    <t>AISI 304</t>
  </si>
  <si>
    <t>AISI 316</t>
  </si>
  <si>
    <t>AISI 321</t>
  </si>
  <si>
    <t>АМг3М</t>
  </si>
  <si>
    <t>Решетка грабельная РТО/РГО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</si>
  <si>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</si>
  <si>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</si>
  <si>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</si>
  <si>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</si>
  <si>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Цена, евро без НДС</t>
  </si>
  <si>
    <t>Дата</t>
  </si>
  <si>
    <t>руб/м.п. без НДС</t>
  </si>
  <si>
    <t>ШУ</t>
  </si>
  <si>
    <t>Пульт управления ВПУ:</t>
  </si>
  <si>
    <t>IP 54</t>
  </si>
  <si>
    <t>евро без НДС</t>
  </si>
  <si>
    <t>IP 65</t>
  </si>
  <si>
    <t>IP 67</t>
  </si>
  <si>
    <t>Мodbus RTU</t>
  </si>
  <si>
    <t xml:space="preserve">Мodbus TCP </t>
  </si>
  <si>
    <t>Комплектующие ШУ</t>
  </si>
  <si>
    <t xml:space="preserve">Общие сведения </t>
  </si>
  <si>
    <t>Примечания</t>
  </si>
  <si>
    <t>Курс евро по МБ</t>
  </si>
  <si>
    <t>Менеджер</t>
  </si>
  <si>
    <t>Страна</t>
  </si>
  <si>
    <t xml:space="preserve">Город </t>
  </si>
  <si>
    <t>Протокол</t>
  </si>
  <si>
    <t>Нет</t>
  </si>
  <si>
    <t>Да</t>
  </si>
  <si>
    <t>Место установки</t>
  </si>
  <si>
    <t>Modbus RTU</t>
  </si>
  <si>
    <t>№ предложения по архиву</t>
  </si>
  <si>
    <t>Modbus TCP</t>
  </si>
  <si>
    <t>Позиция по проекту</t>
  </si>
  <si>
    <t xml:space="preserve">Параметры решетки </t>
  </si>
  <si>
    <t>Наименование</t>
  </si>
  <si>
    <t>Прозор, мм</t>
  </si>
  <si>
    <t>Вес</t>
  </si>
  <si>
    <t>в сборе, кг</t>
  </si>
  <si>
    <t>Комплектация</t>
  </si>
  <si>
    <t>Материал</t>
  </si>
  <si>
    <t>Протокол связи</t>
  </si>
  <si>
    <t>Руб. без НДС</t>
  </si>
  <si>
    <t>Затраты ПП (трудозатраты + условно-постоянные ПП)</t>
  </si>
  <si>
    <t>Лазер</t>
  </si>
  <si>
    <t>Сборка ШУ</t>
  </si>
  <si>
    <t>ФОТ ИТР, МОП, АУП, инженерные затраты, налоги</t>
  </si>
  <si>
    <t>Переменные материальные затраты (вкл. Кооперацию)</t>
  </si>
  <si>
    <t>Металл</t>
  </si>
  <si>
    <t>Крепежи</t>
  </si>
  <si>
    <t>Себестоимость решетки</t>
  </si>
  <si>
    <t>Расчет доставки и обременения</t>
  </si>
  <si>
    <t>Коэффициент прибыли</t>
  </si>
  <si>
    <t>Цена без учета доставки и обременения</t>
  </si>
  <si>
    <t>1,5÷1,9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</si>
  <si>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</si>
  <si>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</si>
  <si>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</si>
  <si>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</si>
  <si>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Стоимость обналичивания обременения (% от обременения)</t>
  </si>
  <si>
    <t>Цена решетки для договора</t>
  </si>
  <si>
    <t>Привод щётки, кВт</t>
  </si>
  <si>
    <t>Привод цепи, кВт</t>
  </si>
  <si>
    <t>ФОТ основных рабочих</t>
  </si>
  <si>
    <t>ЭРПЭ</t>
  </si>
  <si>
    <t>Вес металла на складе</t>
  </si>
  <si>
    <t>вес обрабатываемого металла без экрана и цепей, кг</t>
  </si>
  <si>
    <t>Стоимость фильтровальной панели за 100 мм ширины</t>
  </si>
  <si>
    <t>руб/100 мм без НДС</t>
  </si>
  <si>
    <t>Вес комплекта креплений экрана, кг</t>
  </si>
  <si>
    <t>Вес комплекта экрана в сборе, кг</t>
  </si>
  <si>
    <t>Фильтровальный экран (пластины)</t>
  </si>
  <si>
    <t xml:space="preserve">Крепление ф-х пластин </t>
  </si>
  <si>
    <t>Курс евро</t>
  </si>
  <si>
    <t>100 мм ширины фильтровальной пластины</t>
  </si>
  <si>
    <t>Ширина канала в месте установки решетки, мм</t>
  </si>
  <si>
    <t>Стоимость одной панели, руб/шт без НДС</t>
  </si>
  <si>
    <t>Расчет количества фильтровальных элементов</t>
  </si>
  <si>
    <t>Вес расчётной пластины, кг</t>
  </si>
  <si>
    <t>Вес фильтровальных пластин</t>
  </si>
  <si>
    <t>Расчёт веса фильтровального экрана</t>
  </si>
  <si>
    <t>Расчет цепи</t>
  </si>
  <si>
    <t>Вес комплекта цепей, кг.</t>
  </si>
  <si>
    <t>Стоимость комплекта цепей</t>
  </si>
  <si>
    <t>Стоимость комплекта цепей, руб без НДС</t>
  </si>
  <si>
    <t>Перфорированные панели</t>
  </si>
  <si>
    <t>Расчёт щётки очистки экрана</t>
  </si>
  <si>
    <t>Вес эталонной щётки, кг</t>
  </si>
  <si>
    <t>Расчётная щётка</t>
  </si>
  <si>
    <t>Вес щётки общий, кг</t>
  </si>
  <si>
    <t>Щетка очистски экрана (только модули)</t>
  </si>
  <si>
    <t>Стоимость фильтровальных панелей</t>
  </si>
  <si>
    <t>Стоимость щётки D400x100</t>
  </si>
  <si>
    <t>руб/шт без НДС</t>
  </si>
  <si>
    <t>Стоимость одной секции щётки</t>
  </si>
  <si>
    <t>Стоимость комплекта щёток, руб без НДС</t>
  </si>
  <si>
    <t>Щётка экрана</t>
  </si>
  <si>
    <t>Основных рабочих, вкл. мастера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</si>
  <si>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</si>
  <si>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</si>
  <si>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</si>
  <si>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</si>
  <si>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</si>
  <si>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</si>
  <si>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  - вычисленное значение согласно принятому ряду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</si>
  <si>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</si>
  <si>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</si>
  <si>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</si>
  <si>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</si>
  <si>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ПЕРЕЧЕНЬ НАИМЕНОВАНИЙ ДЕТАЛЕЙ ИЗГОТАВЛИВАЕМЫХ ПО КООПЕРАЦИИ</t>
  </si>
  <si>
    <t>№ п.п.</t>
  </si>
  <si>
    <t>Значение факт. 
(по ОЛ)</t>
  </si>
  <si>
    <t>Значение принятое</t>
  </si>
  <si>
    <t>Примечание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</si>
  <si>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1"/>
        <color theme="1"/>
        <rFont val="Calibri"/>
        <family val="2"/>
        <scheme val="minor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1"/>
        <color theme="1"/>
        <rFont val="Calibri"/>
        <family val="2"/>
        <scheme val="minor"/>
      </rPr>
      <t xml:space="preserve"> (округление по общим правилам)</t>
    </r>
  </si>
  <si>
    <t>№
п.п.</t>
  </si>
  <si>
    <t>кол-во на решетку+ЗИП (5 ножей + 3 ламели)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</si>
  <si>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1"/>
        <color theme="1"/>
        <rFont val="Calibri"/>
        <family val="2"/>
        <scheme val="minor"/>
      </rPr>
      <t xml:space="preserve"> (округление до большего значения кратного 100)</t>
    </r>
  </si>
  <si>
    <t>ДЕТАЛИ  НА  ЛАЗЕР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</si>
  <si>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</si>
  <si>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PХO хххх.хххх.хххх.хх.06.00.001 Нож скребка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</si>
  <si>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</si>
  <si>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1"/>
        <color theme="1"/>
        <rFont val="Calibri"/>
        <family val="2"/>
        <scheme val="minor"/>
      </rPr>
      <t>)</t>
    </r>
  </si>
  <si>
    <t>PХO хххх.хххх.хххх.хх.00.00.004 Накладка</t>
  </si>
  <si>
    <t xml:space="preserve">накладка фиксирующая ламели внизу </t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</si>
  <si>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</si>
  <si>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</si>
  <si>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РГ2.01.00.001 Планка (исполнения 00-11)</t>
  </si>
  <si>
    <t>нижняя планка (шип + установка экрана)</t>
  </si>
  <si>
    <t>перед решеткой, мм</t>
  </si>
  <si>
    <t xml:space="preserve">  -</t>
  </si>
  <si>
    <t>с сравнением по ОЛ + 100 мм (принимается большее значение)</t>
  </si>
  <si>
    <t>РГ2.01.00.002 Планка (исполнения 00-11)</t>
  </si>
  <si>
    <t>нижняя планка (много отверстий в т.ч. овальных пазов)</t>
  </si>
  <si>
    <t>(высота экрана на просвет)</t>
  </si>
  <si>
    <t>РГ2.01.00.003 Уголок (исполнения 00-11)</t>
  </si>
  <si>
    <t>уголок экрана</t>
  </si>
  <si>
    <t>Толщина ламели, мм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</si>
  <si>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</si>
  <si>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РГ2.01.02.002 Швеллер (исполнения 00-11)</t>
  </si>
  <si>
    <t xml:space="preserve">швеллер склиза </t>
  </si>
  <si>
    <t>количество ламелей</t>
  </si>
  <si>
    <t>Для ширины канала до 750 зазор 80 мм, полки по 50 мм, более 750 мм - 100 мм и 80 мм соответственно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</si>
  <si>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</si>
  <si>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</si>
  <si>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</si>
  <si>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</si>
  <si>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</si>
  <si>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>PХO хххх.хххх.хххх.хх.06.01.001 Планка</t>
  </si>
  <si>
    <t xml:space="preserve">планка граблины 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</si>
  <si>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</si>
  <si>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PХO хххх.хххх.хххх.хх.06.01.002 Швеллер</t>
  </si>
  <si>
    <t>швеллер граблины (пазы и шипы)</t>
  </si>
  <si>
    <t>Норма ЭКРАН (гибка 2 швеллеров и уголков, рихтовка, сборка)</t>
  </si>
  <si>
    <t>(кооперация, согласно перечня, детали: лазер  - 42 наименования; гидроабразив - 1 наименование)</t>
  </si>
  <si>
    <t>РГ2.01.00.004-04 Швеллер</t>
  </si>
  <si>
    <t>Кол-во ламелей</t>
  </si>
  <si>
    <t>шт.</t>
  </si>
  <si>
    <t>модель</t>
  </si>
  <si>
    <t xml:space="preserve">выгр. 850, н.ч. 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</si>
  <si>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</si>
  <si>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</si>
  <si>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</si>
  <si>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</si>
  <si>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коэф. типоразмера</t>
  </si>
  <si>
    <t>примечание</t>
  </si>
  <si>
    <t>РГ2.01.00.005-04 Швеллер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</si>
  <si>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</si>
  <si>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</si>
  <si>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t>РГ2.01.00.006-04 Швеллер</t>
  </si>
  <si>
    <t>поперечный швеллер рамы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</si>
  <si>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</si>
  <si>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</si>
  <si>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РГ2.01.00.007-04 Швеллер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</si>
  <si>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</si>
  <si>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</si>
  <si>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РГ2.01.00.008-04 Швеллер</t>
  </si>
  <si>
    <t>ИТОГО  норма экран, вкл. 2 швеллера:</t>
  </si>
  <si>
    <t>от 2000 до 2400</t>
  </si>
  <si>
    <t xml:space="preserve"> + демонтаж узла привода для тран-ки</t>
  </si>
  <si>
    <t>PХO хххх.хххх.хххх.хх.01.01.001 Швеллер</t>
  </si>
  <si>
    <t xml:space="preserve">боковина рамы нижняя </t>
  </si>
  <si>
    <t>PХO хххх.хххх.хххх.хх.01.01.001-01 Швеллер</t>
  </si>
  <si>
    <t>боковина рамы нижняя</t>
  </si>
  <si>
    <t xml:space="preserve">Норма ГРАБЛИНЫ (сверловка, изготовление, сварка, сборка) </t>
  </si>
  <si>
    <t>PХO хххх.хххх.хххх.хх.01.01.002 Швеллер</t>
  </si>
  <si>
    <t>боковина рамы верхняя</t>
  </si>
  <si>
    <t>Кол-во граблин</t>
  </si>
  <si>
    <t>НОРМА НА ВСЮ РЕШЕТКУ:</t>
  </si>
  <si>
    <t>PХO хххх.хххх.хххх.хх.01.01.002-01 Швеллер</t>
  </si>
  <si>
    <t>кол-во ножей на 1 граблину</t>
  </si>
  <si>
    <t>PХO хххх.хххх.хххх.хх.01.003 Фланец</t>
  </si>
  <si>
    <t>фланец граблины</t>
  </si>
  <si>
    <t>Норма на фрезеровку ножей при прозоре 6 мм</t>
  </si>
  <si>
    <t>РГ2.06.00.003 Звездочка датчика</t>
  </si>
  <si>
    <t>ИТОГО  норма граблины:</t>
  </si>
  <si>
    <t>руб/н.ч.</t>
  </si>
  <si>
    <t>PХO хххх.хххх.хххх.хх.03.00.001 Ламель</t>
  </si>
  <si>
    <t>PХO хххх.хххх.хххх.хх.00.00.005 Ограничитель цепи</t>
  </si>
  <si>
    <t>руб.</t>
  </si>
  <si>
    <t>PХO хххх.хххх.хххх.хх.00.00.005-01 Ограничитель цепи</t>
  </si>
  <si>
    <t>РГ2.00.00.002 Подкладка</t>
  </si>
  <si>
    <t>РГ2.00.00.003 Ограничитель</t>
  </si>
  <si>
    <t>руб. (без НДС)</t>
  </si>
  <si>
    <t>РГ2.00.00.012 Проушина</t>
  </si>
  <si>
    <t>РТО хххх.хххх.хххх.хх.06.00.002 Планка стопорная</t>
  </si>
  <si>
    <t>РТО хххх.хххх.хххх.х.06.00.004 Планка прижимная</t>
  </si>
  <si>
    <t>Трудозатраты на сборку ШУ</t>
  </si>
  <si>
    <t>н.ч</t>
  </si>
  <si>
    <t>РГ2.01.00.009 Фланец</t>
  </si>
  <si>
    <t>Стоимость работы</t>
  </si>
  <si>
    <t>руб./н.ч</t>
  </si>
  <si>
    <t>РГ2.01.00.010 Ребро</t>
  </si>
  <si>
    <t>ФОТ (ШУ)</t>
  </si>
  <si>
    <t>РГ2.06.04.001 Рычаг</t>
  </si>
  <si>
    <t>РГ2.07.01.002-04 Лопасть</t>
  </si>
  <si>
    <t>ФОТ на сборку ШУ.</t>
  </si>
  <si>
    <t>РГ2.08.00.001 Плита</t>
  </si>
  <si>
    <t>РГ2.10.00.005 Заглушка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</si>
  <si>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</si>
  <si>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</si>
  <si>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</si>
  <si>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</si>
  <si>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</si>
  <si>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</si>
  <si>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РТО1500.1800.850.6_Улан-Удэ</t>
  </si>
  <si>
    <t>6 шт.</t>
  </si>
  <si>
    <t>РТО1400.1800.1500.10_Херсон_6934</t>
  </si>
  <si>
    <t>РГО1200.1700.1200.16_Бельцы_7042</t>
  </si>
  <si>
    <t>РТО1500.2000.800.10_Егорьевск_7151</t>
  </si>
  <si>
    <t>РТО1400.2000.1200.8_Орск_7168</t>
  </si>
  <si>
    <t>РГО1400.1700.800.16_7231_Нижнекамскнефтехим</t>
  </si>
  <si>
    <t>РТО1100.1600.850.10_7297_Магнитогорск</t>
  </si>
  <si>
    <t>РТО1100.1400.850.10_7297_Магнитогорск</t>
  </si>
  <si>
    <t>РГО1600.2200.1200.16_Солигорск_7353</t>
  </si>
  <si>
    <t>РТО1200.1500.850.10_Стерлитамак_7385</t>
  </si>
  <si>
    <t>РТО2000.3100.850.14_Алматы_7384</t>
  </si>
  <si>
    <t>8 шт.</t>
  </si>
  <si>
    <t>РТО2300.2000.1200.8_Краснодар_7400</t>
  </si>
  <si>
    <t>РТО1200.1500.1200.8_Одесса_7476</t>
  </si>
  <si>
    <t>4 шт.</t>
  </si>
  <si>
    <t>РТО900.1300.850.6_Саянск_7496</t>
  </si>
  <si>
    <t>ФОТ основных рабочих решетки грабельной</t>
  </si>
  <si>
    <t>Расчетное время на изготовление грабельной</t>
  </si>
  <si>
    <t>Время на изготовление ЭРПЭ</t>
  </si>
  <si>
    <t>Стоимость привода, евро/шт без НДС</t>
  </si>
  <si>
    <t>Привода цепей:</t>
  </si>
  <si>
    <t>Степень защиты IP</t>
  </si>
  <si>
    <t>Привода щётки:</t>
  </si>
  <si>
    <t>Привод цепей</t>
  </si>
  <si>
    <t>Степень защиты привода IP</t>
  </si>
  <si>
    <t>Вес привода, кг</t>
  </si>
  <si>
    <t>Себестоимость привода, евро/шт без НДС</t>
  </si>
  <si>
    <t>Себестоимость привода цепи, евро/шт без НДС</t>
  </si>
  <si>
    <t>Привод цепи</t>
  </si>
  <si>
    <t>Расчет стоимости металла решетки</t>
  </si>
  <si>
    <t>руб./кг без НДС</t>
  </si>
  <si>
    <t>Высота выгркузки, мм</t>
  </si>
  <si>
    <t>Прозор решетки, мм</t>
  </si>
  <si>
    <t>Процент переработки метала (отходы)</t>
  </si>
  <si>
    <t>Вес металла решетки по модели, кг</t>
  </si>
  <si>
    <t>Вес заготовки, кг</t>
  </si>
  <si>
    <t>Стоимость металла, руб</t>
  </si>
  <si>
    <t>Привода</t>
  </si>
  <si>
    <t>Вал щётки</t>
  </si>
  <si>
    <t>Расход промывной вод на промывку решетки с перфорированным экраном ЭРПЭ</t>
  </si>
  <si>
    <t>Расход промывной воды при давлении 5 бар, м3/ч</t>
  </si>
  <si>
    <t>Расход промывной воды при давлении 5 бар, л/с</t>
  </si>
  <si>
    <t>Расход промывной воды при давлении 7 бар, м3/ч</t>
  </si>
  <si>
    <t>Количество форсунок, шт</t>
  </si>
  <si>
    <t>Величина твердых включений не более в промывной воде не более 250 мкм;</t>
  </si>
  <si>
    <t>Подвод промывной воды G 1 1/2</t>
  </si>
  <si>
    <t>Шиина канала в месте установки ешетки, мм</t>
  </si>
  <si>
    <t>Количество фосунок, шт</t>
  </si>
  <si>
    <t>Минимальный расход помывной воды, л/с</t>
  </si>
  <si>
    <t>Максимальный асход промывной воды, л/с</t>
  </si>
  <si>
    <t>Стоимость комплекта щёток очистки экрана</t>
  </si>
  <si>
    <t>Губина канала в месте установки решетки, мм</t>
  </si>
  <si>
    <t>Зазор воды до верха канала, мм</t>
  </si>
  <si>
    <t>Характеристики фильтровальных элементов</t>
  </si>
  <si>
    <t>Боковой зазор на сторону между рамой и стенкой канала, мм</t>
  </si>
  <si>
    <t>Диаметр перфорации, мм</t>
  </si>
  <si>
    <t>Толщина металла при ширине до 900 мм, мм</t>
  </si>
  <si>
    <t>Толщина металла при ширине более 900 мм, мм</t>
  </si>
  <si>
    <t>Открытая поверхность, %</t>
  </si>
  <si>
    <t>коэф геометрии отверстия</t>
  </si>
  <si>
    <t>Ширина порога рамы решетки, мм</t>
  </si>
  <si>
    <t>Ширина фильтровального полотна, мм</t>
  </si>
  <si>
    <t>Угол установки решетки к горизонту, град</t>
  </si>
  <si>
    <t>Высота порога решетки, мм</t>
  </si>
  <si>
    <t>Площадь фильтровального экрана, м2</t>
  </si>
  <si>
    <t>Живое сечение фильтровального экрана, м2</t>
  </si>
  <si>
    <t>Расчетная максимальная скорость воды в прозорах, м/с</t>
  </si>
  <si>
    <t>Максимальная производительность по чистой воде, м3/ч</t>
  </si>
  <si>
    <t>Коэффициент геометрии отверстия</t>
  </si>
  <si>
    <t>Степень засорения, %</t>
  </si>
  <si>
    <t>Живое сечение ф-го полотна, м2</t>
  </si>
  <si>
    <t>Скорость в прозорах, м/с</t>
  </si>
  <si>
    <t>Расчетный расход</t>
  </si>
  <si>
    <t>SK2282AZ-90L/4</t>
  </si>
  <si>
    <t>Комплект базовых комплектующих и крепежа</t>
  </si>
  <si>
    <t>Направляющие цепей, звездочуи</t>
  </si>
  <si>
    <t>Узел подшипниковый  UCF 207 NSK 1 шт.</t>
  </si>
  <si>
    <t>Узел подшипниковый  UCF 211 NSK 2 шт.</t>
  </si>
  <si>
    <t>Болт М   6*16 нерж/ст А2 - 2 шт.</t>
  </si>
  <si>
    <t>Болт М   6*20 нерж/ст А2 - 26 шт.</t>
  </si>
  <si>
    <t>Болт М   6*25 нерж/ст А2 - 10 шт.</t>
  </si>
  <si>
    <t>Болт М   8*  18 нерж/ст А2 - 32 шт.</t>
  </si>
  <si>
    <t>Болт М   8*  20 нерж/ст А2 - 8 шт.</t>
  </si>
  <si>
    <t>Болт М   8*  22 нерж/ст А2 - 7 шт.</t>
  </si>
  <si>
    <t>Болт М   8*  25 нерж/ст А2 - 133 шт.</t>
  </si>
  <si>
    <t>Болт М   8*  30 нерж/ст А2 - 65 шт.</t>
  </si>
  <si>
    <t>Болт М   8*  45 нерж/ст А2 - 6 шт.</t>
  </si>
  <si>
    <t>Болт М 10*  25 нерж/ст А2 - 5 шт.</t>
  </si>
  <si>
    <t>Болт М 10*  30 нерж/ст А2 - 24 шт.</t>
  </si>
  <si>
    <t>Болт М 10*  65 нерж/ст А2 - 14 шт.</t>
  </si>
  <si>
    <t>Болт М 10*  65 нерж/ст А2 - 3 шт.</t>
  </si>
  <si>
    <t>Болт М 12*  30 нерж/ст А2 - 6 шт.</t>
  </si>
  <si>
    <t>Болт М 12*  35 нерж/ст А2 - 1 шт.</t>
  </si>
  <si>
    <t>Болт М 12*  45 нерж/ст А2 - 5 шт.</t>
  </si>
  <si>
    <t>Болт М 12*  50 нерж/ст А2 - 16 шт.</t>
  </si>
  <si>
    <t>Болт М 16*  45 нерж/ст А2 - 4 шт.</t>
  </si>
  <si>
    <t>Болт М 16*  50 нерж/ст А2 - 8 шт.</t>
  </si>
  <si>
    <t>Винт  4*20 нерж/ст.с кругл. Гол. - 4 шт.</t>
  </si>
  <si>
    <t>Гайка М 4 нерж/ст самоконтр. - 4 шт.</t>
  </si>
  <si>
    <t>Гайка М 6 нерж/ст - 6 шт.</t>
  </si>
  <si>
    <t>Гайка М 6 нерж/ст самоконтр. - 146 шт.</t>
  </si>
  <si>
    <t>Гайка М 8 нерж/ст - 105 шт.</t>
  </si>
  <si>
    <t>Гайка М 8 нерж/ст - 87 шт.</t>
  </si>
  <si>
    <t>Гайка М 8 нерж/ст самоконтр.А2 - 40 шт.</t>
  </si>
  <si>
    <t>Гайка М10 нерж/ст - 42 шт.</t>
  </si>
  <si>
    <t>Гайка М12 нерж/ст А2 - 28 шт.</t>
  </si>
  <si>
    <t>Замок 060-2-0-15-30 - 9 шт.</t>
  </si>
  <si>
    <t>Капсула М12*110 - 4 шт.</t>
  </si>
  <si>
    <t>Капсула М16*125 - 4 шт.</t>
  </si>
  <si>
    <t>Ключ 267-15 - 1 шт.</t>
  </si>
  <si>
    <t>Лента конвейерная черная 500-2ЕР-200-2-1-РБ - 0,252 м2.</t>
  </si>
  <si>
    <t>Лента резин.черн.500xEP320/2Х3Х1хМхСЕ*7мм-8мм - 1,15 м2.</t>
  </si>
  <si>
    <t>Лента резин.черн.500xEP320/2Х3Х1хМхСЕ*7мм-8мм - 3,39 м2.</t>
  </si>
  <si>
    <t>Наклейка 20*60-место строповки - 4 шт.</t>
  </si>
  <si>
    <t>Наклейка 250*400мм Фон-000-п/ц-1440 - 1 шт.</t>
  </si>
  <si>
    <t>Ручка бугельная - 10 шт.</t>
  </si>
  <si>
    <t>Уплотнитель EPDM 150А 10*40мм с клеев.TNT (черный) - 5,45 пм.</t>
  </si>
  <si>
    <t>Хомут силовой GBS 60-63 нерж/ст - 8 шт.</t>
  </si>
  <si>
    <t>Шайба   Д6 нерж/ст гров - 4 шт.</t>
  </si>
  <si>
    <t>Шайба   Д6 нерж/ст увеличен. - 2 шт.</t>
  </si>
  <si>
    <t>Шайба   Д6,4 нерж/ст плоск - 114 шт.</t>
  </si>
  <si>
    <t>Шайба   Д8 нерж/ст гров - 205 шт.</t>
  </si>
  <si>
    <t>Шайба   Д8 нерж/ст плоск - 116 шт.</t>
  </si>
  <si>
    <t>Шайба   Д8 нерж/ст плоск - 207 шт.</t>
  </si>
  <si>
    <t>Шайба   Д8,4 нерж/ст плоск.,увелич. - 4 шт.</t>
  </si>
  <si>
    <t>Шайба Д10 нерж/ст гров - 43 шт.</t>
  </si>
  <si>
    <t>Шайба Д10,5 нерж/ст плоск.,увелич. - 15 шт.</t>
  </si>
  <si>
    <t>Шайба Д10,5 нерж/ст плоск.А2 - 12 шт.</t>
  </si>
  <si>
    <t>Шайба Д12 нерж/ст гров - 28 шт.</t>
  </si>
  <si>
    <t>Шайба Д13 нерж/ст плоск - 30 шт.</t>
  </si>
  <si>
    <t>Шайба Д16 нерж/ст гров - 20 шт.</t>
  </si>
  <si>
    <t>Шайба Д17 нерж/ст плоск - 24 шт.</t>
  </si>
  <si>
    <t>Шайба стопорная D11 нерж/ст - 4 шт.</t>
  </si>
  <si>
    <t>Шильд 20*20-ЗМ-7955 знак заземления - 2 шт.</t>
  </si>
  <si>
    <t>Шильд 70*110-ЗМ 7955-РТО РГО-решетки - 1 шт.</t>
  </si>
  <si>
    <t>Шпилька D12 резьбовая н/ст - 0,58 м.</t>
  </si>
  <si>
    <t>Шпилька D16 резьбовая н/ст А2 - 1,28 м.</t>
  </si>
  <si>
    <t>Шпилька D16 резьбовая н/ст А2 - 0,28 м.</t>
  </si>
  <si>
    <t>Шпонка   8*10 ст.45 - 0,12 м.</t>
  </si>
  <si>
    <t>Шпонка   9*14 ст.45 - 0,165 м.</t>
  </si>
  <si>
    <t>Саморез 4,2*13 оц - 1000 шт.</t>
  </si>
  <si>
    <t>Стоимость базового комплекта, руб без НДС</t>
  </si>
  <si>
    <t>Стоимость крепежа панелей</t>
  </si>
  <si>
    <t>Заклепка 4,0*10 вытяжная</t>
  </si>
  <si>
    <t>Винт  5*12 нерж/ст шестигр.гол.</t>
  </si>
  <si>
    <t>Количество крепежа на 1 панель</t>
  </si>
  <si>
    <t>Расчётное кол-во</t>
  </si>
  <si>
    <t>Количество пластин, шт</t>
  </si>
  <si>
    <t>Транспор</t>
  </si>
  <si>
    <t>Стоимость комплектующих ШУ, евро без НДС</t>
  </si>
  <si>
    <t>Комплектация ШУ</t>
  </si>
  <si>
    <t>ВПУ, евро без НДС</t>
  </si>
  <si>
    <t>Степень защиты ВПУ</t>
  </si>
  <si>
    <t>Итого комплектующие ШУ, евро без НДС</t>
  </si>
  <si>
    <t xml:space="preserve"> </t>
  </si>
  <si>
    <t>Стоимость комплектующих ШУ, руб без НДС</t>
  </si>
  <si>
    <t>Характеристики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</si>
  <si>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</si>
  <si>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</si>
  <si>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</si>
  <si>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</si>
  <si>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Технические характеристики</t>
  </si>
  <si>
    <t>м3/ч</t>
  </si>
  <si>
    <t>мм.</t>
  </si>
  <si>
    <t>ширина канала -</t>
  </si>
  <si>
    <t>глубина канала -</t>
  </si>
  <si>
    <t>высота выгрузки отбросов -</t>
  </si>
  <si>
    <t>вес решетки в сборе -</t>
  </si>
  <si>
    <t>кВт.</t>
  </si>
  <si>
    <t>материал исполнения -</t>
  </si>
  <si>
    <t>комплектация ШУ -</t>
  </si>
  <si>
    <t>Информация для формирования ТКП Word</t>
  </si>
  <si>
    <t>Архивный номер -</t>
  </si>
  <si>
    <t>arhN</t>
  </si>
  <si>
    <t>Имя файла -</t>
  </si>
  <si>
    <t>Маркировка -</t>
  </si>
  <si>
    <t xml:space="preserve">Комплектация ШУ - </t>
  </si>
  <si>
    <t>Комплектация ШУ для комплекта поставки -</t>
  </si>
  <si>
    <t>Комплектация ВПУ для комплекта поставки -</t>
  </si>
  <si>
    <t>Крепежи ВПУ и ШУ -</t>
  </si>
  <si>
    <t xml:space="preserve">Позиция </t>
  </si>
  <si>
    <t>Себестоимость изделия, руб без НДС</t>
  </si>
  <si>
    <t>Себестоимость ШУ, руб без НДС</t>
  </si>
  <si>
    <t>Мощность привода, кВт.</t>
  </si>
  <si>
    <t>Стоимость крепежа панелей, руб без НДС</t>
  </si>
  <si>
    <t>Стоимость комплектующих системы промывки</t>
  </si>
  <si>
    <t>Стоимость форсунки, руб/шт без НДС</t>
  </si>
  <si>
    <t>Форсунка 632-606-1Y-CA-OO-O</t>
  </si>
  <si>
    <t>Стоимость форсунок за конмплект, руб без НДС</t>
  </si>
  <si>
    <t>Клапан соленоидный Ду-25</t>
  </si>
  <si>
    <t>Стоимость системы промывкки, руб без НДС</t>
  </si>
  <si>
    <t xml:space="preserve">Рукав -шланг 50 мм /16атм, 8,3 м. </t>
  </si>
  <si>
    <t>Кран шаров DN-40 (48,3) PN-16-T-200 B-B н/ст</t>
  </si>
  <si>
    <t>Фильтр косой сетчат DN-40 Вр-Вр AISI304</t>
  </si>
  <si>
    <t>Угольник 90гр 11/2-40 ВВ-ВВ нерж/ст - 2 шт;</t>
  </si>
  <si>
    <t>Производительность по чистой воде -</t>
  </si>
  <si>
    <t>привод щётки -</t>
  </si>
  <si>
    <t>привод цепей -</t>
  </si>
  <si>
    <t>Протокол связи -</t>
  </si>
  <si>
    <t>÷</t>
  </si>
  <si>
    <t xml:space="preserve">Расход промывной воды - </t>
  </si>
  <si>
    <t xml:space="preserve">Решетка с перфорированным ступенчатым экраном. </t>
  </si>
  <si>
    <t>перфорация -</t>
  </si>
  <si>
    <t>Руб. с НДС (20%)</t>
  </si>
  <si>
    <t>PR_Mark</t>
  </si>
  <si>
    <t>Перфорация</t>
  </si>
  <si>
    <t>[PR_gap]</t>
  </si>
  <si>
    <t>Ширина канала в месте установки, W</t>
  </si>
  <si>
    <t>[PR_W]</t>
  </si>
  <si>
    <t>Глубина канала в месте установки, Hc</t>
  </si>
  <si>
    <t>[PR_Hc]</t>
  </si>
  <si>
    <t>Высота выгрузки отбросов, Hl</t>
  </si>
  <si>
    <t>[PR_H1]</t>
  </si>
  <si>
    <t>Высота решётки, H</t>
  </si>
  <si>
    <t>[PR_H]</t>
  </si>
  <si>
    <t>Полная ширина решетки, Wf</t>
  </si>
  <si>
    <t>[PR_Wf]</t>
  </si>
  <si>
    <t>Габаритная толщина решетки в рабочем положении, L</t>
  </si>
  <si>
    <t>[PR_L]</t>
  </si>
  <si>
    <t>Угол установки решетки</t>
  </si>
  <si>
    <t>[PR_ang]</t>
  </si>
  <si>
    <t>Максимальная пропускная способность по чистой воде</t>
  </si>
  <si>
    <t>[PR_Qmax]</t>
  </si>
  <si>
    <t>Мгновенный расход промывной воды</t>
  </si>
  <si>
    <t>[PR_Qpr]</t>
  </si>
  <si>
    <t>Мощность привода цепи</t>
  </si>
  <si>
    <t>[PR_kw_chep]</t>
  </si>
  <si>
    <t>Мощность привода щетки</t>
  </si>
  <si>
    <t>[PR_kw_brush]</t>
  </si>
  <si>
    <t>Степень защиты эл. двигателя по ГОСТ 14254-96</t>
  </si>
  <si>
    <t>[PR_IP]</t>
  </si>
  <si>
    <t>Масса решётки, не более</t>
  </si>
  <si>
    <t>[PR_weight]</t>
  </si>
  <si>
    <r>
      <t>Рама</t>
    </r>
    <r>
      <rPr>
        <sz val="11"/>
        <color indexed="8"/>
        <rFont val="Calibri"/>
        <family val="2"/>
        <charset val="204"/>
      </rPr>
      <t xml:space="preserve">, </t>
    </r>
    <r>
      <rPr>
        <sz val="12"/>
        <color indexed="8"/>
        <rFont val="Times New Roman"/>
        <family val="1"/>
        <charset val="204"/>
      </rPr>
      <t>экран, крепежи</t>
    </r>
  </si>
  <si>
    <t>[PR_mat]</t>
  </si>
  <si>
    <t>PR_CP1</t>
  </si>
  <si>
    <t>PR_comp_cp</t>
  </si>
  <si>
    <t>PR_comp_lcp</t>
  </si>
  <si>
    <t>PR_comp_lev1</t>
  </si>
  <si>
    <t>Комплектация ВПУ для ДУ -</t>
  </si>
  <si>
    <t>PR_comp_lev2</t>
  </si>
  <si>
    <t>PR_comp_NET_CH</t>
  </si>
  <si>
    <t>НЕТ ШУ и ВПУ в комплекте поставки</t>
  </si>
  <si>
    <t>PR_comp_cp1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</si>
  <si>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</si>
  <si>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</si>
  <si>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</si>
  <si>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</si>
  <si>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</si>
  <si>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</si>
  <si>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</si>
  <si>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ШУ-ЭРПЭ</t>
  </si>
  <si>
    <t>ПЭ 1000</t>
  </si>
  <si>
    <t>руб/м2 без НДС</t>
  </si>
  <si>
    <t>Гидравлический расчет решеток ЭРПЭ</t>
  </si>
  <si>
    <t>Уровень в канале за решеткой, мм</t>
  </si>
  <si>
    <t>Потери напора на решетке, мм</t>
  </si>
  <si>
    <t>Расчетная скорость воды в канале перед решеткой, м/с</t>
  </si>
  <si>
    <t>fullWidth</t>
  </si>
  <si>
    <t>fullHeight</t>
  </si>
  <si>
    <t>fullMontWidth</t>
  </si>
  <si>
    <t>instAngel</t>
  </si>
  <si>
    <t>maxQ</t>
  </si>
  <si>
    <t>washWaterConsumption</t>
  </si>
  <si>
    <t>chainDrivePower</t>
  </si>
  <si>
    <t>brushDrivePower</t>
  </si>
  <si>
    <t>weight</t>
  </si>
  <si>
    <t>Class variable</t>
  </si>
  <si>
    <t>cpDescription</t>
  </si>
  <si>
    <t>Срок поставки</t>
  </si>
  <si>
    <t>term</t>
  </si>
  <si>
    <t>100 мм ширины фильтровальной пластины AISI 304</t>
  </si>
  <si>
    <t>Стоимость комплекта панелей.</t>
  </si>
  <si>
    <t>Изменения</t>
  </si>
  <si>
    <t>Автор</t>
  </si>
  <si>
    <t>Махлай К. А.</t>
  </si>
  <si>
    <t>Скорректирован расчет стоимости фильтровальных панелей для решеток из различных металлов. Сейчас при смене металла в стоимостб панелей вводится корректирующий коэффициент.</t>
  </si>
  <si>
    <t>Уровень воды в канале перед решеткой, мм</t>
  </si>
  <si>
    <t xml:space="preserve">Часовая тарифная ставка для ЭМУ </t>
  </si>
  <si>
    <t>Отдельно выделена часовая тарифная ставка для ЭМУ (сборка ШУ – электромех. Участок) - 340 руб/н.ч.</t>
  </si>
  <si>
    <t>Журба М. С.</t>
  </si>
  <si>
    <t>Повышение стоимости приводов Nord на 2022. Повішение на 8%</t>
  </si>
  <si>
    <t>Кузнецов А. (Nord)</t>
  </si>
  <si>
    <t>Повышение стоимости комплектующих ШУ на 10%</t>
  </si>
  <si>
    <t>Юзко Н. Н.
Чернышов А. А.</t>
  </si>
  <si>
    <t>Стоимость цепи (базовая AISI 304 в 2021)</t>
  </si>
  <si>
    <t>Стоимость цепи с учетом материала (шаг 200 мм). Базовая на 2020 год.</t>
  </si>
  <si>
    <t>Тип оборудования</t>
  </si>
  <si>
    <t>eqip_code</t>
  </si>
  <si>
    <t xml:space="preserve">Отображает в sql что расчет скорректирован </t>
  </si>
  <si>
    <t>manualChange</t>
  </si>
  <si>
    <t>manager</t>
  </si>
  <si>
    <t>country</t>
  </si>
  <si>
    <t>Город</t>
  </si>
  <si>
    <t>city</t>
  </si>
  <si>
    <t>object</t>
  </si>
  <si>
    <t>position</t>
  </si>
  <si>
    <t>Компания от которой оформленно ТКП</t>
  </si>
  <si>
    <t>company</t>
  </si>
  <si>
    <t>location</t>
  </si>
  <si>
    <t>Номер предложения по архиву</t>
  </si>
  <si>
    <t>proposal_ID</t>
  </si>
  <si>
    <t>gap</t>
  </si>
  <si>
    <t>channelWidth</t>
  </si>
  <si>
    <t>channelDepth</t>
  </si>
  <si>
    <t>Высота выгрузки отбросов, мм</t>
  </si>
  <si>
    <t>unloadH</t>
  </si>
  <si>
    <t xml:space="preserve">Степень защиты привода </t>
  </si>
  <si>
    <t>driveIP</t>
  </si>
  <si>
    <t>Материал исполнения</t>
  </si>
  <si>
    <t>material</t>
  </si>
  <si>
    <t>Наличие шкафа управления оборудовагием</t>
  </si>
  <si>
    <t>controlPanel</t>
  </si>
  <si>
    <t>Наличие протокола связи</t>
  </si>
  <si>
    <t>connection</t>
  </si>
  <si>
    <t>Себестоимость шакафа управления</t>
  </si>
  <si>
    <t>controlPanel_price</t>
  </si>
  <si>
    <t>Себестоимость оборудования</t>
  </si>
  <si>
    <t>price</t>
  </si>
  <si>
    <t>Вес изделия, кг.</t>
  </si>
  <si>
    <t>Мощность привода</t>
  </si>
  <si>
    <t>power</t>
  </si>
  <si>
    <t>Максимальный расход м3/ч</t>
  </si>
  <si>
    <t>qMax</t>
  </si>
  <si>
    <t>mark</t>
  </si>
  <si>
    <t>Описание оборудования для ТКП</t>
  </si>
  <si>
    <t>description_to_rdc</t>
  </si>
  <si>
    <t>Блан организации</t>
  </si>
  <si>
    <t>ТПП Экополимер</t>
  </si>
  <si>
    <t>Cооружение установки оборудования</t>
  </si>
  <si>
    <t>Объект -</t>
  </si>
  <si>
    <t>Object</t>
  </si>
  <si>
    <t>Менеджер -</t>
  </si>
  <si>
    <t>Man</t>
  </si>
  <si>
    <t>Город (организации выдавшей ТКП) -</t>
  </si>
  <si>
    <t>City</t>
  </si>
  <si>
    <t>Год -</t>
  </si>
  <si>
    <t>year</t>
  </si>
  <si>
    <t>Дата -</t>
  </si>
  <si>
    <t>Data</t>
  </si>
  <si>
    <t>Компания от которй ТКП -</t>
  </si>
  <si>
    <t>prop_comp</t>
  </si>
  <si>
    <t>Mark1</t>
  </si>
  <si>
    <t>Mark2</t>
  </si>
  <si>
    <t>Mark3</t>
  </si>
  <si>
    <t>Mark4</t>
  </si>
  <si>
    <t>Условия по ставки и цены -</t>
  </si>
  <si>
    <t>money</t>
  </si>
  <si>
    <t>PR_gap</t>
  </si>
  <si>
    <t>PR_W</t>
  </si>
  <si>
    <t>PR_Hc</t>
  </si>
  <si>
    <t>PR_H1</t>
  </si>
  <si>
    <t>PR_H</t>
  </si>
  <si>
    <t>PR_Wf</t>
  </si>
  <si>
    <t>PR_L</t>
  </si>
  <si>
    <t>PR_ang</t>
  </si>
  <si>
    <t>PR_Qmax</t>
  </si>
  <si>
    <t>PR_Qpr</t>
  </si>
  <si>
    <t>Рама, экран, крепежи</t>
  </si>
  <si>
    <t>PR_kw_chep</t>
  </si>
  <si>
    <t>PR_kw_brush</t>
  </si>
  <si>
    <t>PR_IP</t>
  </si>
  <si>
    <t>PR_weight</t>
  </si>
  <si>
    <t>PR_mat</t>
  </si>
  <si>
    <t>PR_comp_krepez_net</t>
  </si>
  <si>
    <t>PR_22</t>
  </si>
  <si>
    <t>22.02.2022</t>
  </si>
  <si>
    <t>Ахметшин Ю. М.</t>
  </si>
  <si>
    <t>Казахстан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</si>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</sst>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\ [$€-1]"/>
    <numFmt numFmtId="165" formatCode="#,##0.0"/>
    <numFmt numFmtId="166" formatCode="#,##0.0000"/>
  </numFmts>
  <fonts count="6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name val="Arial Cyr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b/>
      <sz val="10"/>
      <name val="Arial Cyr"/>
      <charset val="204"/>
    </font>
    <font>
      <b/>
      <sz val="12"/>
      <name val="Arial Cyr"/>
      <family val="2"/>
      <charset val="204"/>
    </font>
    <font>
      <b/>
      <sz val="10"/>
      <name val="Arial Cyr"/>
      <family val="2"/>
      <charset val="204"/>
    </font>
    <font>
      <b/>
      <i/>
      <sz val="14"/>
      <name val="Times New Roman"/>
      <family val="1"/>
      <charset val="204"/>
    </font>
    <font>
      <sz val="10"/>
      <name val="Calibri"/>
      <family val="2"/>
      <charset val="204"/>
    </font>
    <font>
      <b/>
      <i/>
      <sz val="11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8"/>
      <name val="Arial Cyr"/>
      <charset val="204"/>
    </font>
    <font>
      <b/>
      <sz val="10"/>
      <name val="Arial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11"/>
      <color indexed="10"/>
      <name val="Calibri"/>
      <family val="2"/>
      <charset val="204"/>
    </font>
    <font>
      <sz val="11"/>
      <name val="Calibri"/>
      <family val="2"/>
      <charset val="204"/>
    </font>
    <font>
      <sz val="11"/>
      <color indexed="8"/>
      <name val="Times New Roman"/>
      <family val="1"/>
      <charset val="204"/>
    </font>
    <font>
      <i/>
      <sz val="10"/>
      <name val="Arial Cyr"/>
      <charset val="204"/>
    </font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i/>
      <sz val="11"/>
      <color theme="0" tint="-0.249977111117893"/>
      <name val="Calibri"/>
      <family val="2"/>
      <charset val="204"/>
      <scheme val="minor"/>
    </font>
    <font>
      <sz val="10"/>
      <color rgb="FFFF0000"/>
      <name val="Arial Cyr"/>
      <charset val="204"/>
    </font>
    <font>
      <i/>
      <sz val="10"/>
      <color rgb="FFFF0000"/>
      <name val="Arial Cyr"/>
      <charset val="204"/>
    </font>
    <font>
      <i/>
      <u/>
      <sz val="11"/>
      <color theme="1"/>
      <name val="Calibri"/>
      <family val="2"/>
      <charset val="204"/>
      <scheme val="minor"/>
    </font>
    <font>
      <b/>
      <sz val="10"/>
      <color rgb="FF7030A0"/>
      <name val="Arial"/>
      <family val="2"/>
      <charset val="204"/>
    </font>
    <font>
      <b/>
      <sz val="10"/>
      <color theme="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  <charset val="204"/>
    </font>
    <font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i/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rgb="FFFF0000"/>
      <name val="Arial"/>
      <family val="2"/>
      <charset val="204"/>
    </font>
    <font>
      <b/>
      <sz val="11"/>
      <color theme="1"/>
      <name val="Times New Roman"/>
      <family val="1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i/>
      <sz val="10"/>
      <color theme="1"/>
      <name val="Arial Cyr"/>
      <charset val="204"/>
    </font>
    <font>
      <sz val="10"/>
      <color theme="1"/>
      <name val="Arial Cyr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</borders>
  <cellStyleXfs count="3">
    <xf numFmtId="0" fontId="0" fillId="0" borderId="0"/>
    <xf numFmtId="0" fontId="3" fillId="0" borderId="0"/>
    <xf numFmtId="0" fontId="37" fillId="0" borderId="0"/>
  </cellStyleXfs>
  <cellXfs count="519">
    <xf numFmtId="0" fontId="0" fillId="0" borderId="0" xfId="0"/>
    <xf numFmtId="0" fontId="4" fillId="0" borderId="0" xfId="1" applyFont="1" applyAlignment="1">
      <alignment horizontal="center" vertical="center" wrapText="1"/>
    </xf>
    <xf numFmtId="0" fontId="4" fillId="0" borderId="0" xfId="1" applyFont="1" applyAlignment="1">
      <alignment wrapText="1"/>
    </xf>
    <xf numFmtId="0" fontId="4" fillId="3" borderId="0" xfId="1" applyFont="1" applyFill="1" applyAlignment="1">
      <alignment wrapText="1"/>
    </xf>
    <xf numFmtId="0" fontId="4" fillId="3" borderId="0" xfId="1" applyFont="1" applyFill="1" applyAlignment="1">
      <alignment horizontal="center" vertical="center"/>
    </xf>
    <xf numFmtId="0" fontId="4" fillId="3" borderId="0" xfId="1" applyFont="1" applyFill="1"/>
    <xf numFmtId="0" fontId="5" fillId="0" borderId="0" xfId="1" applyFont="1" applyAlignment="1">
      <alignment wrapText="1"/>
    </xf>
    <xf numFmtId="14" fontId="4" fillId="0" borderId="0" xfId="1" applyNumberFormat="1" applyFont="1" applyAlignment="1">
      <alignment horizontal="center" vertical="center" wrapText="1"/>
    </xf>
    <xf numFmtId="0" fontId="6" fillId="3" borderId="0" xfId="1" applyFont="1" applyFill="1" applyAlignment="1">
      <alignment wrapText="1"/>
    </xf>
    <xf numFmtId="0" fontId="6" fillId="3" borderId="0" xfId="1" applyFont="1" applyFill="1" applyAlignment="1">
      <alignment horizontal="center" vertical="center"/>
    </xf>
    <xf numFmtId="0" fontId="6" fillId="3" borderId="0" xfId="1" applyFont="1" applyFill="1"/>
    <xf numFmtId="2" fontId="4" fillId="0" borderId="0" xfId="1" applyNumberFormat="1" applyFont="1" applyAlignment="1">
      <alignment horizontal="center" vertical="center" wrapText="1"/>
    </xf>
    <xf numFmtId="0" fontId="5" fillId="0" borderId="0" xfId="1" applyFont="1" applyAlignment="1">
      <alignment vertical="center" wrapText="1"/>
    </xf>
    <xf numFmtId="0" fontId="4" fillId="0" borderId="1" xfId="1" applyFont="1" applyBorder="1" applyAlignment="1">
      <alignment wrapText="1"/>
    </xf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wrapText="1"/>
    </xf>
    <xf numFmtId="0" fontId="4" fillId="0" borderId="0" xfId="1" applyFont="1" applyBorder="1" applyAlignment="1">
      <alignment horizontal="center" vertical="center" wrapText="1"/>
    </xf>
    <xf numFmtId="0" fontId="4" fillId="0" borderId="4" xfId="1" applyFont="1" applyBorder="1" applyAlignment="1">
      <alignment wrapText="1"/>
    </xf>
    <xf numFmtId="0" fontId="4" fillId="0" borderId="5" xfId="1" applyFont="1" applyBorder="1" applyAlignment="1">
      <alignment horizontal="center" vertical="center" wrapText="1"/>
    </xf>
    <xf numFmtId="164" fontId="4" fillId="0" borderId="0" xfId="1" applyNumberFormat="1" applyFont="1" applyAlignment="1">
      <alignment horizontal="center" vertical="center" wrapText="1"/>
    </xf>
    <xf numFmtId="3" fontId="4" fillId="0" borderId="0" xfId="1" applyNumberFormat="1" applyFont="1" applyAlignment="1">
      <alignment horizontal="center" vertical="center" wrapText="1"/>
    </xf>
    <xf numFmtId="0" fontId="4" fillId="0" borderId="0" xfId="1" applyFont="1" applyAlignment="1">
      <alignment horizontal="left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0" fontId="4" fillId="0" borderId="0" xfId="1" applyFont="1"/>
    <xf numFmtId="0" fontId="4" fillId="0" borderId="2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wrapText="1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0" fillId="4" borderId="0" xfId="1" applyFont="1" applyFill="1" applyAlignment="1"/>
    <xf numFmtId="3" fontId="7" fillId="4" borderId="5" xfId="1" applyNumberFormat="1" applyFont="1" applyFill="1" applyBorder="1" applyAlignment="1">
      <alignment horizontal="center"/>
    </xf>
    <xf numFmtId="0" fontId="41" fillId="4" borderId="0" xfId="1" applyFont="1" applyFill="1"/>
    <xf numFmtId="0" fontId="8" fillId="0" borderId="12" xfId="1" applyFont="1" applyBorder="1"/>
    <xf numFmtId="14" fontId="9" fillId="5" borderId="9" xfId="1" applyNumberFormat="1" applyFont="1" applyFill="1" applyBorder="1" applyAlignment="1">
      <alignment horizontal="left" vertical="center"/>
    </xf>
    <xf numFmtId="14" fontId="9" fillId="5" borderId="10" xfId="1" applyNumberFormat="1" applyFont="1" applyFill="1" applyBorder="1" applyAlignment="1">
      <alignment vertical="center"/>
    </xf>
    <xf numFmtId="14" fontId="9" fillId="5" borderId="11" xfId="1" applyNumberFormat="1" applyFont="1" applyFill="1" applyBorder="1" applyAlignment="1">
      <alignment vertical="center"/>
    </xf>
    <xf numFmtId="0" fontId="8" fillId="0" borderId="0" xfId="1" applyFont="1"/>
    <xf numFmtId="0" fontId="3" fillId="0" borderId="0" xfId="1"/>
    <xf numFmtId="4" fontId="9" fillId="5" borderId="9" xfId="1" applyNumberFormat="1" applyFont="1" applyFill="1" applyBorder="1" applyAlignment="1">
      <alignment horizontal="left" vertical="center"/>
    </xf>
    <xf numFmtId="49" fontId="9" fillId="5" borderId="9" xfId="1" applyNumberFormat="1" applyFont="1" applyFill="1" applyBorder="1" applyAlignment="1">
      <alignment vertical="center"/>
    </xf>
    <xf numFmtId="3" fontId="9" fillId="5" borderId="9" xfId="1" applyNumberFormat="1" applyFont="1" applyFill="1" applyBorder="1" applyAlignment="1">
      <alignment horizontal="left" vertical="center"/>
    </xf>
    <xf numFmtId="0" fontId="3" fillId="0" borderId="13" xfId="1" applyBorder="1" applyAlignment="1">
      <alignment horizontal="center" vertical="center" wrapText="1"/>
    </xf>
    <xf numFmtId="3" fontId="3" fillId="0" borderId="14" xfId="1" applyNumberFormat="1" applyBorder="1" applyAlignment="1">
      <alignment vertical="center" wrapText="1"/>
    </xf>
    <xf numFmtId="3" fontId="3" fillId="0" borderId="13" xfId="1" applyNumberFormat="1" applyBorder="1" applyAlignment="1">
      <alignment vertical="center" wrapText="1"/>
    </xf>
    <xf numFmtId="0" fontId="3" fillId="0" borderId="0" xfId="1" applyFill="1" applyBorder="1" applyAlignment="1">
      <alignment wrapText="1"/>
    </xf>
    <xf numFmtId="0" fontId="3" fillId="0" borderId="0" xfId="1" applyAlignment="1">
      <alignment wrapText="1"/>
    </xf>
    <xf numFmtId="0" fontId="11" fillId="0" borderId="15" xfId="1" applyFont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3" fontId="12" fillId="2" borderId="16" xfId="1" applyNumberFormat="1" applyFont="1" applyFill="1" applyBorder="1" applyAlignment="1">
      <alignment horizontal="center" vertical="center"/>
    </xf>
    <xf numFmtId="0" fontId="3" fillId="0" borderId="0" xfId="1" applyFill="1" applyBorder="1"/>
    <xf numFmtId="0" fontId="10" fillId="0" borderId="0" xfId="1" applyFont="1" applyFill="1" applyBorder="1"/>
    <xf numFmtId="0" fontId="14" fillId="0" borderId="0" xfId="1" applyFont="1" applyBorder="1" applyAlignment="1">
      <alignment horizontal="left" vertical="center"/>
    </xf>
    <xf numFmtId="0" fontId="12" fillId="0" borderId="0" xfId="1" applyFont="1" applyFill="1" applyBorder="1"/>
    <xf numFmtId="0" fontId="3" fillId="0" borderId="0" xfId="1" applyFill="1" applyBorder="1" applyAlignment="1"/>
    <xf numFmtId="3" fontId="12" fillId="2" borderId="17" xfId="1" applyNumberFormat="1" applyFont="1" applyFill="1" applyBorder="1" applyAlignment="1">
      <alignment horizontal="center" vertical="center"/>
    </xf>
    <xf numFmtId="3" fontId="12" fillId="2" borderId="18" xfId="1" applyNumberFormat="1" applyFont="1" applyFill="1" applyBorder="1" applyAlignment="1">
      <alignment horizontal="center" vertical="center"/>
    </xf>
    <xf numFmtId="3" fontId="12" fillId="2" borderId="19" xfId="1" applyNumberFormat="1" applyFont="1" applyFill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7" fillId="0" borderId="20" xfId="1" applyFont="1" applyFill="1" applyBorder="1" applyAlignment="1"/>
    <xf numFmtId="3" fontId="7" fillId="0" borderId="20" xfId="1" applyNumberFormat="1" applyFont="1" applyFill="1" applyBorder="1" applyAlignment="1">
      <alignment horizontal="right"/>
    </xf>
    <xf numFmtId="0" fontId="7" fillId="0" borderId="20" xfId="1" applyFont="1" applyFill="1" applyBorder="1" applyAlignment="1">
      <alignment horizontal="left"/>
    </xf>
    <xf numFmtId="0" fontId="15" fillId="0" borderId="20" xfId="1" applyFont="1" applyFill="1" applyBorder="1"/>
    <xf numFmtId="3" fontId="3" fillId="0" borderId="0" xfId="1" applyNumberFormat="1" applyAlignment="1">
      <alignment horizontal="center" vertical="center"/>
    </xf>
    <xf numFmtId="3" fontId="3" fillId="0" borderId="12" xfId="1" applyNumberFormat="1" applyBorder="1" applyAlignment="1">
      <alignment vertical="center"/>
    </xf>
    <xf numFmtId="2" fontId="3" fillId="0" borderId="0" xfId="1" applyNumberFormat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0" xfId="1" applyBorder="1"/>
    <xf numFmtId="0" fontId="3" fillId="0" borderId="0" xfId="1" applyAlignment="1">
      <alignment horizontal="center"/>
    </xf>
    <xf numFmtId="9" fontId="3" fillId="0" borderId="0" xfId="1" applyNumberFormat="1" applyAlignment="1">
      <alignment horizontal="center"/>
    </xf>
    <xf numFmtId="3" fontId="3" fillId="0" borderId="0" xfId="1" applyNumberFormat="1" applyBorder="1" applyAlignment="1">
      <alignment vertical="center"/>
    </xf>
    <xf numFmtId="0" fontId="3" fillId="0" borderId="0" xfId="1" applyAlignment="1">
      <alignment horizontal="right"/>
    </xf>
    <xf numFmtId="0" fontId="11" fillId="0" borderId="21" xfId="1" applyFont="1" applyBorder="1" applyAlignment="1">
      <alignment wrapText="1"/>
    </xf>
    <xf numFmtId="4" fontId="12" fillId="5" borderId="22" xfId="1" applyNumberFormat="1" applyFont="1" applyFill="1" applyBorder="1" applyAlignment="1">
      <alignment horizontal="center" vertical="center"/>
    </xf>
    <xf numFmtId="3" fontId="3" fillId="0" borderId="22" xfId="1" applyNumberFormat="1" applyBorder="1" applyAlignment="1">
      <alignment vertical="center"/>
    </xf>
    <xf numFmtId="3" fontId="3" fillId="0" borderId="23" xfId="1" applyNumberFormat="1" applyBorder="1" applyAlignment="1">
      <alignment vertical="center"/>
    </xf>
    <xf numFmtId="3" fontId="3" fillId="0" borderId="0" xfId="1" applyNumberFormat="1"/>
    <xf numFmtId="0" fontId="3" fillId="0" borderId="24" xfId="1" applyBorder="1"/>
    <xf numFmtId="0" fontId="16" fillId="0" borderId="0" xfId="1" applyFont="1" applyBorder="1" applyAlignment="1">
      <alignment horizontal="center"/>
    </xf>
    <xf numFmtId="3" fontId="11" fillId="0" borderId="25" xfId="1" applyNumberFormat="1" applyFont="1" applyBorder="1"/>
    <xf numFmtId="0" fontId="11" fillId="0" borderId="0" xfId="1" applyFont="1"/>
    <xf numFmtId="0" fontId="11" fillId="0" borderId="24" xfId="1" applyFont="1" applyBorder="1" applyAlignment="1">
      <alignment wrapText="1"/>
    </xf>
    <xf numFmtId="3" fontId="3" fillId="0" borderId="0" xfId="1" applyNumberFormat="1" applyBorder="1" applyAlignment="1">
      <alignment horizontal="center" vertical="center"/>
    </xf>
    <xf numFmtId="3" fontId="3" fillId="5" borderId="25" xfId="1" applyNumberFormat="1" applyFill="1" applyBorder="1" applyAlignment="1">
      <alignment vertical="center"/>
    </xf>
    <xf numFmtId="0" fontId="3" fillId="0" borderId="24" xfId="1" applyBorder="1" applyAlignment="1">
      <alignment wrapText="1"/>
    </xf>
    <xf numFmtId="3" fontId="3" fillId="0" borderId="0" xfId="1" applyNumberFormat="1" applyBorder="1"/>
    <xf numFmtId="0" fontId="3" fillId="0" borderId="26" xfId="1" applyBorder="1"/>
    <xf numFmtId="0" fontId="16" fillId="0" borderId="27" xfId="1" applyFont="1" applyBorder="1" applyAlignment="1">
      <alignment horizontal="center"/>
    </xf>
    <xf numFmtId="3" fontId="3" fillId="0" borderId="27" xfId="1" applyNumberFormat="1" applyBorder="1"/>
    <xf numFmtId="3" fontId="11" fillId="0" borderId="28" xfId="1" applyNumberFormat="1" applyFont="1" applyBorder="1"/>
    <xf numFmtId="9" fontId="11" fillId="5" borderId="29" xfId="1" applyNumberFormat="1" applyFont="1" applyFill="1" applyBorder="1" applyAlignment="1">
      <alignment horizontal="center" vertical="center"/>
    </xf>
    <xf numFmtId="3" fontId="3" fillId="6" borderId="29" xfId="1" applyNumberFormat="1" applyFill="1" applyBorder="1" applyAlignment="1">
      <alignment vertical="center"/>
    </xf>
    <xf numFmtId="3" fontId="3" fillId="6" borderId="30" xfId="1" applyNumberFormat="1" applyFill="1" applyBorder="1" applyAlignment="1">
      <alignment vertical="center"/>
    </xf>
    <xf numFmtId="9" fontId="16" fillId="0" borderId="0" xfId="1" applyNumberFormat="1" applyFont="1" applyBorder="1" applyAlignment="1">
      <alignment horizontal="center" vertical="center"/>
    </xf>
    <xf numFmtId="3" fontId="3" fillId="6" borderId="12" xfId="1" applyNumberFormat="1" applyFill="1" applyBorder="1" applyAlignment="1">
      <alignment vertical="center"/>
    </xf>
    <xf numFmtId="3" fontId="3" fillId="6" borderId="31" xfId="1" applyNumberFormat="1" applyFill="1" applyBorder="1" applyAlignment="1">
      <alignment vertical="center"/>
    </xf>
    <xf numFmtId="0" fontId="3" fillId="0" borderId="26" xfId="1" applyBorder="1" applyAlignment="1">
      <alignment wrapText="1"/>
    </xf>
    <xf numFmtId="0" fontId="3" fillId="0" borderId="27" xfId="1" applyBorder="1"/>
    <xf numFmtId="3" fontId="3" fillId="0" borderId="28" xfId="1" applyNumberFormat="1" applyBorder="1"/>
    <xf numFmtId="3" fontId="0" fillId="5" borderId="0" xfId="0" applyNumberFormat="1" applyFill="1"/>
    <xf numFmtId="0" fontId="42" fillId="0" borderId="0" xfId="0" applyFont="1"/>
    <xf numFmtId="0" fontId="3" fillId="0" borderId="32" xfId="1" applyBorder="1"/>
    <xf numFmtId="0" fontId="11" fillId="0" borderId="16" xfId="1" applyFont="1" applyBorder="1" applyAlignment="1">
      <alignment wrapText="1"/>
    </xf>
    <xf numFmtId="3" fontId="17" fillId="0" borderId="33" xfId="1" applyNumberFormat="1" applyFont="1" applyBorder="1" applyAlignment="1">
      <alignment horizontal="center" vertical="center"/>
    </xf>
    <xf numFmtId="164" fontId="43" fillId="0" borderId="0" xfId="1" applyNumberFormat="1" applyFont="1"/>
    <xf numFmtId="0" fontId="3" fillId="0" borderId="0" xfId="1" applyAlignment="1">
      <alignment vertical="center"/>
    </xf>
    <xf numFmtId="9" fontId="3" fillId="0" borderId="0" xfId="1" applyNumberFormat="1" applyAlignment="1">
      <alignment horizontal="right" vertical="center"/>
    </xf>
    <xf numFmtId="3" fontId="3" fillId="0" borderId="0" xfId="1" applyNumberFormat="1" applyAlignment="1">
      <alignment horizontal="right" vertical="center"/>
    </xf>
    <xf numFmtId="3" fontId="3" fillId="0" borderId="0" xfId="1" applyNumberFormat="1" applyAlignment="1">
      <alignment vertical="center"/>
    </xf>
    <xf numFmtId="3" fontId="44" fillId="0" borderId="0" xfId="1" applyNumberFormat="1" applyFont="1"/>
    <xf numFmtId="4" fontId="44" fillId="0" borderId="0" xfId="1" applyNumberFormat="1" applyFont="1"/>
    <xf numFmtId="9" fontId="44" fillId="0" borderId="0" xfId="1" applyNumberFormat="1" applyFont="1" applyAlignment="1">
      <alignment horizontal="right" vertical="center"/>
    </xf>
    <xf numFmtId="3" fontId="0" fillId="0" borderId="0" xfId="0" applyNumberFormat="1"/>
    <xf numFmtId="3" fontId="0" fillId="0" borderId="0" xfId="0" applyNumberFormat="1" applyAlignment="1">
      <alignment wrapText="1"/>
    </xf>
    <xf numFmtId="0" fontId="11" fillId="7" borderId="22" xfId="1" applyFont="1" applyFill="1" applyBorder="1" applyAlignment="1"/>
    <xf numFmtId="0" fontId="11" fillId="7" borderId="21" xfId="1" applyFont="1" applyFill="1" applyBorder="1" applyAlignment="1">
      <alignment horizontal="left"/>
    </xf>
    <xf numFmtId="3" fontId="17" fillId="0" borderId="22" xfId="1" applyNumberFormat="1" applyFont="1" applyBorder="1" applyAlignment="1">
      <alignment horizontal="center" vertical="center"/>
    </xf>
    <xf numFmtId="0" fontId="11" fillId="0" borderId="0" xfId="1" applyFont="1" applyBorder="1" applyAlignment="1">
      <alignment wrapText="1"/>
    </xf>
    <xf numFmtId="3" fontId="17" fillId="0" borderId="0" xfId="1" applyNumberFormat="1" applyFont="1" applyBorder="1" applyAlignment="1">
      <alignment horizontal="center" vertical="center"/>
    </xf>
    <xf numFmtId="0" fontId="0" fillId="0" borderId="0" xfId="0" applyBorder="1"/>
    <xf numFmtId="0" fontId="3" fillId="0" borderId="15" xfId="1" applyBorder="1"/>
    <xf numFmtId="0" fontId="0" fillId="0" borderId="34" xfId="0" applyBorder="1"/>
    <xf numFmtId="0" fontId="11" fillId="7" borderId="16" xfId="1" applyFont="1" applyFill="1" applyBorder="1" applyAlignment="1">
      <alignment horizontal="left"/>
    </xf>
    <xf numFmtId="0" fontId="11" fillId="7" borderId="33" xfId="1" applyFont="1" applyFill="1" applyBorder="1" applyAlignment="1">
      <alignment horizontal="center"/>
    </xf>
    <xf numFmtId="0" fontId="11" fillId="0" borderId="26" xfId="1" applyFont="1" applyBorder="1" applyAlignment="1">
      <alignment wrapText="1"/>
    </xf>
    <xf numFmtId="3" fontId="17" fillId="0" borderId="27" xfId="1" applyNumberFormat="1" applyFont="1" applyBorder="1" applyAlignment="1">
      <alignment horizontal="center" vertical="center"/>
    </xf>
    <xf numFmtId="0" fontId="3" fillId="0" borderId="35" xfId="1" applyBorder="1"/>
    <xf numFmtId="0" fontId="11" fillId="7" borderId="33" xfId="1" applyFont="1" applyFill="1" applyBorder="1" applyAlignment="1"/>
    <xf numFmtId="0" fontId="40" fillId="7" borderId="0" xfId="1" applyFont="1" applyFill="1" applyAlignment="1"/>
    <xf numFmtId="3" fontId="7" fillId="7" borderId="0" xfId="1" applyNumberFormat="1" applyFont="1" applyFill="1" applyBorder="1" applyAlignment="1">
      <alignment horizontal="center"/>
    </xf>
    <xf numFmtId="0" fontId="41" fillId="7" borderId="0" xfId="1" applyFont="1" applyFill="1"/>
    <xf numFmtId="3" fontId="14" fillId="7" borderId="17" xfId="1" applyNumberFormat="1" applyFont="1" applyFill="1" applyBorder="1" applyAlignment="1">
      <alignment horizontal="center" vertical="center"/>
    </xf>
    <xf numFmtId="3" fontId="14" fillId="7" borderId="36" xfId="1" applyNumberFormat="1" applyFont="1" applyFill="1" applyBorder="1" applyAlignment="1">
      <alignment horizontal="center" vertical="center"/>
    </xf>
    <xf numFmtId="4" fontId="14" fillId="7" borderId="18" xfId="1" applyNumberFormat="1" applyFont="1" applyFill="1" applyBorder="1" applyAlignment="1">
      <alignment horizontal="center" vertical="center"/>
    </xf>
    <xf numFmtId="0" fontId="40" fillId="7" borderId="0" xfId="1" applyFont="1" applyFill="1" applyBorder="1" applyAlignment="1"/>
    <xf numFmtId="0" fontId="41" fillId="7" borderId="0" xfId="1" applyFont="1" applyFill="1" applyBorder="1"/>
    <xf numFmtId="0" fontId="40" fillId="8" borderId="0" xfId="1" applyFont="1" applyFill="1" applyAlignment="1"/>
    <xf numFmtId="3" fontId="7" fillId="8" borderId="0" xfId="1" applyNumberFormat="1" applyFont="1" applyFill="1" applyBorder="1" applyAlignment="1"/>
    <xf numFmtId="0" fontId="41" fillId="8" borderId="0" xfId="1" applyFont="1" applyFill="1"/>
    <xf numFmtId="0" fontId="45" fillId="0" borderId="0" xfId="0" applyFont="1"/>
    <xf numFmtId="0" fontId="18" fillId="5" borderId="0" xfId="1" applyFont="1" applyFill="1" applyBorder="1"/>
    <xf numFmtId="0" fontId="18" fillId="5" borderId="0" xfId="1" applyFont="1" applyFill="1"/>
    <xf numFmtId="0" fontId="3" fillId="9" borderId="0" xfId="1" applyFill="1"/>
    <xf numFmtId="0" fontId="3" fillId="0" borderId="0" xfId="1" applyBorder="1" applyAlignment="1">
      <alignment horizontal="center" vertical="center"/>
    </xf>
    <xf numFmtId="0" fontId="3" fillId="0" borderId="0" xfId="1" applyBorder="1" applyAlignment="1">
      <alignment horizontal="center" vertical="center" wrapText="1"/>
    </xf>
    <xf numFmtId="0" fontId="3" fillId="0" borderId="25" xfId="1" applyBorder="1" applyAlignment="1">
      <alignment horizontal="center" vertical="center" wrapText="1"/>
    </xf>
    <xf numFmtId="0" fontId="3" fillId="3" borderId="12" xfId="1" applyFill="1" applyBorder="1"/>
    <xf numFmtId="0" fontId="38" fillId="0" borderId="0" xfId="1" applyFont="1" applyBorder="1" applyAlignment="1">
      <alignment horizontal="center" vertical="center"/>
    </xf>
    <xf numFmtId="0" fontId="20" fillId="0" borderId="0" xfId="1" applyFont="1" applyBorder="1"/>
    <xf numFmtId="0" fontId="3" fillId="0" borderId="25" xfId="1" applyBorder="1"/>
    <xf numFmtId="0" fontId="3" fillId="5" borderId="12" xfId="1" applyFill="1" applyBorder="1"/>
    <xf numFmtId="0" fontId="39" fillId="10" borderId="12" xfId="1" applyFont="1" applyFill="1" applyBorder="1"/>
    <xf numFmtId="0" fontId="3" fillId="0" borderId="0" xfId="1" applyFill="1"/>
    <xf numFmtId="0" fontId="38" fillId="0" borderId="37" xfId="1" applyFont="1" applyBorder="1" applyAlignment="1">
      <alignment horizontal="center" vertical="center" wrapText="1"/>
    </xf>
    <xf numFmtId="0" fontId="38" fillId="0" borderId="12" xfId="1" applyFont="1" applyBorder="1" applyAlignment="1">
      <alignment horizontal="center" vertical="center"/>
    </xf>
    <xf numFmtId="0" fontId="38" fillId="3" borderId="12" xfId="1" applyFont="1" applyFill="1" applyBorder="1" applyAlignment="1">
      <alignment horizontal="center" vertical="center" wrapText="1"/>
    </xf>
    <xf numFmtId="0" fontId="38" fillId="5" borderId="9" xfId="1" applyFont="1" applyFill="1" applyBorder="1" applyAlignment="1">
      <alignment horizontal="center" vertical="center" wrapText="1"/>
    </xf>
    <xf numFmtId="0" fontId="38" fillId="0" borderId="9" xfId="1" applyFont="1" applyBorder="1" applyAlignment="1">
      <alignment horizontal="center" vertical="center"/>
    </xf>
    <xf numFmtId="0" fontId="38" fillId="0" borderId="10" xfId="1" applyFont="1" applyBorder="1"/>
    <xf numFmtId="0" fontId="38" fillId="0" borderId="10" xfId="1" applyFont="1" applyBorder="1" applyAlignment="1">
      <alignment horizontal="center" vertical="center"/>
    </xf>
    <xf numFmtId="0" fontId="38" fillId="0" borderId="38" xfId="1" applyFont="1" applyBorder="1"/>
    <xf numFmtId="0" fontId="3" fillId="0" borderId="0" xfId="1" applyBorder="1" applyAlignment="1">
      <alignment horizontal="left"/>
    </xf>
    <xf numFmtId="0" fontId="3" fillId="0" borderId="39" xfId="1" applyBorder="1" applyAlignment="1">
      <alignment horizontal="center" vertical="center" wrapText="1"/>
    </xf>
    <xf numFmtId="0" fontId="3" fillId="0" borderId="40" xfId="1" applyBorder="1" applyAlignment="1">
      <alignment vertical="center" wrapText="1"/>
    </xf>
    <xf numFmtId="3" fontId="3" fillId="3" borderId="40" xfId="1" applyNumberFormat="1" applyFill="1" applyBorder="1" applyAlignment="1">
      <alignment horizontal="right" vertical="center" wrapText="1"/>
    </xf>
    <xf numFmtId="3" fontId="3" fillId="5" borderId="9" xfId="1" applyNumberFormat="1" applyFill="1" applyBorder="1" applyAlignment="1">
      <alignment horizontal="right" vertical="center" wrapText="1"/>
    </xf>
    <xf numFmtId="0" fontId="28" fillId="11" borderId="65" xfId="1" applyNumberFormat="1" applyFont="1" applyFill="1" applyBorder="1" applyAlignment="1">
      <alignment horizontal="center" vertical="center" wrapText="1"/>
    </xf>
    <xf numFmtId="0" fontId="28" fillId="11" borderId="66" xfId="1" applyNumberFormat="1" applyFont="1" applyFill="1" applyBorder="1" applyAlignment="1">
      <alignment horizontal="center" vertical="center"/>
    </xf>
    <xf numFmtId="0" fontId="28" fillId="11" borderId="66" xfId="1" applyNumberFormat="1" applyFont="1" applyFill="1" applyBorder="1" applyAlignment="1">
      <alignment horizontal="center" vertical="center" wrapText="1"/>
    </xf>
    <xf numFmtId="0" fontId="3" fillId="0" borderId="37" xfId="1" applyBorder="1" applyAlignment="1">
      <alignment horizontal="center" vertical="center" wrapText="1"/>
    </xf>
    <xf numFmtId="0" fontId="3" fillId="0" borderId="12" xfId="1" applyBorder="1" applyAlignment="1">
      <alignment vertical="center" wrapText="1"/>
    </xf>
    <xf numFmtId="0" fontId="28" fillId="0" borderId="67" xfId="1" applyNumberFormat="1" applyFont="1" applyFill="1" applyBorder="1" applyAlignment="1">
      <alignment horizontal="center" vertical="center" wrapText="1"/>
    </xf>
    <xf numFmtId="0" fontId="46" fillId="7" borderId="68" xfId="1" applyNumberFormat="1" applyFont="1" applyFill="1" applyBorder="1" applyAlignment="1">
      <alignment horizontal="center" vertical="center"/>
    </xf>
    <xf numFmtId="0" fontId="28" fillId="0" borderId="68" xfId="1" applyNumberFormat="1" applyFont="1" applyFill="1" applyBorder="1" applyAlignment="1">
      <alignment horizontal="center" vertical="center"/>
    </xf>
    <xf numFmtId="3" fontId="3" fillId="3" borderId="12" xfId="1" applyNumberFormat="1" applyFill="1" applyBorder="1" applyAlignment="1">
      <alignment horizontal="right" vertical="center" wrapText="1"/>
    </xf>
    <xf numFmtId="3" fontId="3" fillId="5" borderId="0" xfId="1" applyNumberFormat="1" applyFill="1" applyBorder="1" applyAlignment="1">
      <alignment horizontal="right" vertical="center" wrapText="1"/>
    </xf>
    <xf numFmtId="1" fontId="29" fillId="0" borderId="69" xfId="1" applyNumberFormat="1" applyFont="1" applyFill="1" applyBorder="1" applyAlignment="1">
      <alignment horizontal="center" vertical="center" wrapText="1"/>
    </xf>
    <xf numFmtId="0" fontId="29" fillId="0" borderId="70" xfId="1" applyNumberFormat="1" applyFont="1" applyFill="1" applyBorder="1" applyAlignment="1">
      <alignment horizontal="left" vertical="center" wrapText="1"/>
    </xf>
    <xf numFmtId="0" fontId="30" fillId="0" borderId="70" xfId="1" applyNumberFormat="1" applyFont="1" applyFill="1" applyBorder="1" applyAlignment="1">
      <alignment horizontal="center" vertical="center" wrapText="1"/>
    </xf>
    <xf numFmtId="3" fontId="3" fillId="7" borderId="9" xfId="1" applyNumberFormat="1" applyFill="1" applyBorder="1" applyAlignment="1">
      <alignment horizontal="right" vertical="center" wrapText="1"/>
    </xf>
    <xf numFmtId="1" fontId="29" fillId="0" borderId="71" xfId="1" applyNumberFormat="1" applyFont="1" applyFill="1" applyBorder="1" applyAlignment="1">
      <alignment horizontal="center" vertical="center" wrapText="1"/>
    </xf>
    <xf numFmtId="0" fontId="29" fillId="0" borderId="72" xfId="1" applyNumberFormat="1" applyFont="1" applyFill="1" applyBorder="1" applyAlignment="1">
      <alignment horizontal="left" vertical="center" wrapText="1"/>
    </xf>
    <xf numFmtId="0" fontId="30" fillId="0" borderId="72" xfId="1" applyNumberFormat="1" applyFont="1" applyFill="1" applyBorder="1" applyAlignment="1">
      <alignment horizontal="center" vertical="center" wrapText="1"/>
    </xf>
    <xf numFmtId="0" fontId="3" fillId="0" borderId="41" xfId="1" applyBorder="1" applyAlignment="1">
      <alignment horizontal="center" vertical="center" wrapText="1"/>
    </xf>
    <xf numFmtId="0" fontId="3" fillId="0" borderId="13" xfId="1" applyBorder="1" applyAlignment="1">
      <alignment horizontal="left" vertical="center" wrapText="1"/>
    </xf>
    <xf numFmtId="3" fontId="3" fillId="3" borderId="13" xfId="1" applyNumberFormat="1" applyFill="1" applyBorder="1" applyAlignment="1">
      <alignment horizontal="right" vertical="center" wrapText="1"/>
    </xf>
    <xf numFmtId="3" fontId="3" fillId="0" borderId="1" xfId="1" applyNumberFormat="1" applyFill="1" applyBorder="1" applyAlignment="1">
      <alignment horizontal="right" vertical="center" wrapText="1"/>
    </xf>
    <xf numFmtId="0" fontId="3" fillId="0" borderId="42" xfId="1" applyBorder="1" applyAlignment="1">
      <alignment horizontal="center" vertical="center" wrapText="1"/>
    </xf>
    <xf numFmtId="0" fontId="3" fillId="0" borderId="43" xfId="1" applyBorder="1" applyAlignment="1">
      <alignment horizontal="left" vertical="center" wrapText="1"/>
    </xf>
    <xf numFmtId="3" fontId="3" fillId="0" borderId="43" xfId="1" applyNumberFormat="1" applyBorder="1" applyAlignment="1">
      <alignment horizontal="right" vertical="center" wrapText="1"/>
    </xf>
    <xf numFmtId="3" fontId="3" fillId="0" borderId="3" xfId="1" applyNumberFormat="1" applyFill="1" applyBorder="1" applyAlignment="1">
      <alignment horizontal="right" vertical="center" wrapText="1"/>
    </xf>
    <xf numFmtId="0" fontId="29" fillId="0" borderId="72" xfId="1" applyNumberFormat="1" applyFont="1" applyFill="1" applyBorder="1" applyAlignment="1">
      <alignment horizontal="left" vertical="center"/>
    </xf>
    <xf numFmtId="0" fontId="29" fillId="0" borderId="72" xfId="1" applyFont="1" applyFill="1" applyBorder="1" applyAlignment="1"/>
    <xf numFmtId="0" fontId="3" fillId="0" borderId="72" xfId="1" applyFill="1" applyBorder="1" applyAlignment="1"/>
    <xf numFmtId="0" fontId="3" fillId="0" borderId="73" xfId="1" applyFill="1" applyBorder="1" applyAlignment="1"/>
    <xf numFmtId="0" fontId="3" fillId="0" borderId="40" xfId="1" applyBorder="1" applyAlignment="1">
      <alignment horizontal="left" vertical="center" wrapText="1"/>
    </xf>
    <xf numFmtId="3" fontId="3" fillId="0" borderId="40" xfId="1" applyNumberFormat="1" applyBorder="1" applyAlignment="1">
      <alignment horizontal="right" vertical="center" wrapText="1"/>
    </xf>
    <xf numFmtId="3" fontId="3" fillId="5" borderId="40" xfId="1" applyNumberFormat="1" applyFill="1" applyBorder="1" applyAlignment="1">
      <alignment horizontal="right" vertical="center" wrapText="1"/>
    </xf>
    <xf numFmtId="3" fontId="3" fillId="0" borderId="12" xfId="1" applyNumberFormat="1" applyBorder="1" applyAlignment="1">
      <alignment horizontal="right" vertical="center" wrapText="1"/>
    </xf>
    <xf numFmtId="0" fontId="3" fillId="0" borderId="12" xfId="1" applyFill="1" applyBorder="1" applyAlignment="1">
      <alignment vertical="center" wrapText="1"/>
    </xf>
    <xf numFmtId="0" fontId="3" fillId="0" borderId="24" xfId="1" applyBorder="1" applyAlignment="1">
      <alignment horizontal="center" vertical="center"/>
    </xf>
    <xf numFmtId="3" fontId="3" fillId="0" borderId="0" xfId="1" applyNumberFormat="1" applyBorder="1" applyAlignment="1">
      <alignment horizontal="right" vertical="center" indent="1"/>
    </xf>
    <xf numFmtId="3" fontId="3" fillId="0" borderId="0" xfId="1" applyNumberFormat="1" applyFill="1" applyBorder="1" applyAlignment="1">
      <alignment horizontal="right" vertical="center" indent="1"/>
    </xf>
    <xf numFmtId="0" fontId="3" fillId="0" borderId="44" xfId="1" applyBorder="1" applyAlignment="1">
      <alignment horizontal="left"/>
    </xf>
    <xf numFmtId="3" fontId="30" fillId="0" borderId="72" xfId="1" applyNumberFormat="1" applyFont="1" applyFill="1" applyBorder="1" applyAlignment="1">
      <alignment horizontal="center" vertical="center" wrapText="1"/>
    </xf>
    <xf numFmtId="0" fontId="38" fillId="0" borderId="0" xfId="1" applyFont="1" applyBorder="1" applyAlignment="1">
      <alignment vertical="center"/>
    </xf>
    <xf numFmtId="0" fontId="47" fillId="0" borderId="16" xfId="1" applyFont="1" applyBorder="1" applyAlignment="1">
      <alignment horizontal="left" vertical="center"/>
    </xf>
    <xf numFmtId="0" fontId="3" fillId="0" borderId="33" xfId="1" applyBorder="1"/>
    <xf numFmtId="0" fontId="3" fillId="0" borderId="45" xfId="1" applyBorder="1"/>
    <xf numFmtId="0" fontId="3" fillId="0" borderId="0" xfId="1" applyBorder="1" applyAlignment="1">
      <alignment vertical="center"/>
    </xf>
    <xf numFmtId="0" fontId="29" fillId="0" borderId="72" xfId="1" applyFont="1" applyFill="1" applyBorder="1"/>
    <xf numFmtId="0" fontId="3" fillId="0" borderId="39" xfId="1" applyBorder="1"/>
    <xf numFmtId="3" fontId="3" fillId="0" borderId="4" xfId="1" applyNumberFormat="1" applyBorder="1" applyAlignment="1">
      <alignment horizontal="right" vertical="center" indent="1"/>
    </xf>
    <xf numFmtId="3" fontId="3" fillId="0" borderId="46" xfId="1" applyNumberFormat="1" applyFill="1" applyBorder="1" applyAlignment="1">
      <alignment horizontal="left" vertical="center"/>
    </xf>
    <xf numFmtId="0" fontId="3" fillId="0" borderId="37" xfId="1" applyBorder="1"/>
    <xf numFmtId="165" fontId="3" fillId="0" borderId="9" xfId="1" applyNumberFormat="1" applyBorder="1" applyAlignment="1">
      <alignment horizontal="right" vertical="center" indent="1"/>
    </xf>
    <xf numFmtId="0" fontId="3" fillId="0" borderId="38" xfId="1" applyBorder="1"/>
    <xf numFmtId="0" fontId="48" fillId="0" borderId="37" xfId="1" applyFont="1" applyBorder="1"/>
    <xf numFmtId="0" fontId="3" fillId="0" borderId="12" xfId="1" applyBorder="1"/>
    <xf numFmtId="0" fontId="3" fillId="0" borderId="9" xfId="1" applyBorder="1"/>
    <xf numFmtId="0" fontId="3" fillId="0" borderId="11" xfId="1" applyBorder="1"/>
    <xf numFmtId="0" fontId="3" fillId="0" borderId="12" xfId="1" applyBorder="1" applyAlignment="1"/>
    <xf numFmtId="0" fontId="3" fillId="0" borderId="10" xfId="1" applyBorder="1" applyAlignment="1"/>
    <xf numFmtId="0" fontId="3" fillId="0" borderId="38" xfId="1" applyBorder="1" applyAlignment="1"/>
    <xf numFmtId="0" fontId="49" fillId="0" borderId="37" xfId="1" applyFont="1" applyBorder="1"/>
    <xf numFmtId="0" fontId="47" fillId="0" borderId="47" xfId="1" applyFont="1" applyBorder="1" applyAlignment="1">
      <alignment horizontal="right" vertical="center"/>
    </xf>
    <xf numFmtId="166" fontId="38" fillId="0" borderId="48" xfId="1" applyNumberFormat="1" applyFont="1" applyBorder="1" applyAlignment="1">
      <alignment horizontal="right" vertical="center" indent="1"/>
    </xf>
    <xf numFmtId="0" fontId="3" fillId="0" borderId="28" xfId="1" applyBorder="1"/>
    <xf numFmtId="0" fontId="50" fillId="0" borderId="47" xfId="1" applyFont="1" applyBorder="1"/>
    <xf numFmtId="0" fontId="3" fillId="0" borderId="49" xfId="1" applyBorder="1"/>
    <xf numFmtId="0" fontId="3" fillId="0" borderId="14" xfId="1" applyBorder="1"/>
    <xf numFmtId="0" fontId="3" fillId="0" borderId="50" xfId="1" applyBorder="1"/>
    <xf numFmtId="0" fontId="3" fillId="0" borderId="49" xfId="1" applyBorder="1" applyAlignment="1"/>
    <xf numFmtId="0" fontId="3" fillId="12" borderId="21" xfId="1" applyFill="1" applyBorder="1"/>
    <xf numFmtId="0" fontId="3" fillId="12" borderId="22" xfId="1" applyFill="1" applyBorder="1"/>
    <xf numFmtId="0" fontId="3" fillId="12" borderId="23" xfId="1" applyFill="1" applyBorder="1"/>
    <xf numFmtId="0" fontId="3" fillId="13" borderId="39" xfId="1" applyFill="1" applyBorder="1"/>
    <xf numFmtId="3" fontId="3" fillId="13" borderId="29" xfId="1" applyNumberFormat="1" applyFill="1" applyBorder="1" applyAlignment="1">
      <alignment horizontal="right" vertical="center" indent="1"/>
    </xf>
    <xf numFmtId="3" fontId="3" fillId="13" borderId="46" xfId="1" applyNumberFormat="1" applyFill="1" applyBorder="1" applyAlignment="1">
      <alignment horizontal="left" vertical="center"/>
    </xf>
    <xf numFmtId="0" fontId="3" fillId="12" borderId="24" xfId="1" applyFill="1" applyBorder="1"/>
    <xf numFmtId="0" fontId="3" fillId="12" borderId="0" xfId="1" applyFill="1" applyBorder="1"/>
    <xf numFmtId="166" fontId="51" fillId="0" borderId="16" xfId="1" applyNumberFormat="1" applyFont="1" applyBorder="1"/>
    <xf numFmtId="0" fontId="51" fillId="0" borderId="45" xfId="1" applyFont="1" applyBorder="1"/>
    <xf numFmtId="0" fontId="3" fillId="12" borderId="25" xfId="1" applyFill="1" applyBorder="1"/>
    <xf numFmtId="3" fontId="3" fillId="0" borderId="12" xfId="1" applyNumberFormat="1" applyBorder="1" applyAlignment="1">
      <alignment horizontal="right" vertical="center" indent="1"/>
    </xf>
    <xf numFmtId="3" fontId="3" fillId="0" borderId="31" xfId="1" applyNumberFormat="1" applyFill="1" applyBorder="1" applyAlignment="1">
      <alignment horizontal="left" vertical="center"/>
    </xf>
    <xf numFmtId="0" fontId="3" fillId="12" borderId="26" xfId="1" applyFill="1" applyBorder="1"/>
    <xf numFmtId="0" fontId="3" fillId="12" borderId="27" xfId="1" applyFill="1" applyBorder="1"/>
    <xf numFmtId="0" fontId="3" fillId="12" borderId="28" xfId="1" applyFill="1" applyBorder="1"/>
    <xf numFmtId="0" fontId="3" fillId="13" borderId="37" xfId="1" applyFill="1" applyBorder="1" applyAlignment="1">
      <alignment wrapText="1"/>
    </xf>
    <xf numFmtId="0" fontId="3" fillId="13" borderId="12" xfId="1" applyFill="1" applyBorder="1" applyAlignment="1">
      <alignment horizontal="right" vertical="center" indent="1"/>
    </xf>
    <xf numFmtId="0" fontId="3" fillId="13" borderId="31" xfId="1" applyFill="1" applyBorder="1" applyAlignment="1">
      <alignment vertical="center"/>
    </xf>
    <xf numFmtId="0" fontId="47" fillId="0" borderId="47" xfId="1" applyFont="1" applyFill="1" applyBorder="1" applyAlignment="1">
      <alignment horizontal="right" vertical="center"/>
    </xf>
    <xf numFmtId="166" fontId="38" fillId="0" borderId="49" xfId="1" applyNumberFormat="1" applyFont="1" applyFill="1" applyBorder="1" applyAlignment="1">
      <alignment horizontal="right" vertical="center" indent="1"/>
    </xf>
    <xf numFmtId="0" fontId="3" fillId="0" borderId="51" xfId="1" applyBorder="1"/>
    <xf numFmtId="0" fontId="50" fillId="5" borderId="16" xfId="1" applyFont="1" applyFill="1" applyBorder="1"/>
    <xf numFmtId="0" fontId="50" fillId="14" borderId="45" xfId="1" applyFont="1" applyFill="1" applyBorder="1"/>
    <xf numFmtId="0" fontId="3" fillId="0" borderId="22" xfId="1" applyFill="1" applyBorder="1" applyAlignment="1">
      <alignment wrapText="1"/>
    </xf>
    <xf numFmtId="0" fontId="3" fillId="0" borderId="22" xfId="1" applyBorder="1" applyAlignment="1">
      <alignment horizontal="right" vertical="center" indent="1"/>
    </xf>
    <xf numFmtId="0" fontId="3" fillId="0" borderId="22" xfId="1" applyFill="1" applyBorder="1" applyAlignment="1">
      <alignment vertical="center"/>
    </xf>
    <xf numFmtId="0" fontId="50" fillId="0" borderId="0" xfId="1" applyFont="1" applyBorder="1"/>
    <xf numFmtId="4" fontId="50" fillId="14" borderId="16" xfId="1" applyNumberFormat="1" applyFont="1" applyFill="1" applyBorder="1"/>
    <xf numFmtId="0" fontId="30" fillId="0" borderId="72" xfId="1" applyFont="1" applyFill="1" applyBorder="1" applyAlignment="1">
      <alignment horizontal="center"/>
    </xf>
    <xf numFmtId="3" fontId="52" fillId="6" borderId="12" xfId="1" applyNumberFormat="1" applyFont="1" applyFill="1" applyBorder="1" applyAlignment="1">
      <alignment horizontal="center" vertical="center"/>
    </xf>
    <xf numFmtId="0" fontId="3" fillId="0" borderId="12" xfId="1" applyBorder="1" applyAlignment="1">
      <alignment horizontal="center" vertical="center"/>
    </xf>
    <xf numFmtId="3" fontId="3" fillId="0" borderId="11" xfId="1" applyNumberFormat="1" applyBorder="1" applyAlignment="1">
      <alignment horizontal="center" vertical="center"/>
    </xf>
    <xf numFmtId="0" fontId="3" fillId="0" borderId="40" xfId="1" applyBorder="1"/>
    <xf numFmtId="0" fontId="3" fillId="0" borderId="13" xfId="1" applyBorder="1"/>
    <xf numFmtId="0" fontId="43" fillId="0" borderId="12" xfId="1" applyFont="1" applyBorder="1" applyAlignment="1">
      <alignment horizontal="center" vertical="center"/>
    </xf>
    <xf numFmtId="165" fontId="11" fillId="0" borderId="11" xfId="1" applyNumberFormat="1" applyFont="1" applyBorder="1" applyAlignment="1">
      <alignment horizontal="center" vertical="center"/>
    </xf>
    <xf numFmtId="0" fontId="32" fillId="0" borderId="0" xfId="1" applyFont="1" applyFill="1" applyAlignment="1">
      <alignment vertical="center" wrapText="1"/>
    </xf>
    <xf numFmtId="0" fontId="3" fillId="0" borderId="4" xfId="1" applyBorder="1"/>
    <xf numFmtId="0" fontId="3" fillId="0" borderId="8" xfId="1" applyBorder="1"/>
    <xf numFmtId="4" fontId="43" fillId="0" borderId="11" xfId="1" applyNumberFormat="1" applyFont="1" applyBorder="1" applyAlignment="1">
      <alignment horizontal="center" vertical="center"/>
    </xf>
    <xf numFmtId="0" fontId="29" fillId="0" borderId="74" xfId="1" applyNumberFormat="1" applyFont="1" applyFill="1" applyBorder="1" applyAlignment="1">
      <alignment horizontal="left" vertical="center"/>
    </xf>
    <xf numFmtId="0" fontId="29" fillId="0" borderId="75" xfId="1" applyNumberFormat="1" applyFont="1" applyFill="1" applyBorder="1" applyAlignment="1">
      <alignment horizontal="left" vertical="center"/>
    </xf>
    <xf numFmtId="0" fontId="29" fillId="0" borderId="76" xfId="1" applyNumberFormat="1" applyFont="1" applyFill="1" applyBorder="1" applyAlignment="1">
      <alignment horizontal="left" vertical="center"/>
    </xf>
    <xf numFmtId="3" fontId="43" fillId="0" borderId="11" xfId="1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42" fillId="0" borderId="0" xfId="0" applyFont="1" applyAlignment="1">
      <alignment wrapText="1"/>
    </xf>
    <xf numFmtId="0" fontId="0" fillId="0" borderId="12" xfId="0" applyBorder="1" applyAlignment="1">
      <alignment wrapText="1"/>
    </xf>
    <xf numFmtId="0" fontId="53" fillId="0" borderId="0" xfId="0" applyFont="1" applyAlignment="1">
      <alignment wrapText="1"/>
    </xf>
    <xf numFmtId="0" fontId="54" fillId="0" borderId="0" xfId="0" applyFont="1" applyAlignment="1">
      <alignment wrapText="1"/>
    </xf>
    <xf numFmtId="0" fontId="55" fillId="0" borderId="12" xfId="0" applyFont="1" applyBorder="1" applyAlignment="1">
      <alignment wrapText="1"/>
    </xf>
    <xf numFmtId="4" fontId="0" fillId="0" borderId="0" xfId="0" applyNumberFormat="1" applyAlignment="1">
      <alignment wrapText="1"/>
    </xf>
    <xf numFmtId="164" fontId="0" fillId="0" borderId="0" xfId="0" applyNumberFormat="1"/>
    <xf numFmtId="0" fontId="11" fillId="0" borderId="16" xfId="1" applyFont="1" applyBorder="1" applyAlignment="1">
      <alignment vertical="center" wrapText="1"/>
    </xf>
    <xf numFmtId="0" fontId="30" fillId="0" borderId="0" xfId="0" applyFont="1"/>
    <xf numFmtId="0" fontId="30" fillId="0" borderId="0" xfId="0" applyFont="1" applyAlignment="1">
      <alignment horizontal="right"/>
    </xf>
    <xf numFmtId="3" fontId="30" fillId="0" borderId="0" xfId="0" applyNumberFormat="1" applyFont="1" applyAlignment="1">
      <alignment horizontal="right"/>
    </xf>
    <xf numFmtId="0" fontId="30" fillId="0" borderId="0" xfId="1" applyFont="1" applyAlignment="1">
      <alignment horizontal="center" vertical="center"/>
    </xf>
    <xf numFmtId="0" fontId="30" fillId="0" borderId="12" xfId="1" applyFont="1" applyFill="1" applyBorder="1" applyAlignment="1">
      <alignment horizontal="center" vertical="center"/>
    </xf>
    <xf numFmtId="0" fontId="56" fillId="0" borderId="12" xfId="1" applyFont="1" applyFill="1" applyBorder="1" applyAlignment="1">
      <alignment horizontal="center" vertical="center"/>
    </xf>
    <xf numFmtId="3" fontId="30" fillId="0" borderId="0" xfId="0" applyNumberFormat="1" applyFont="1"/>
    <xf numFmtId="0" fontId="30" fillId="0" borderId="0" xfId="0" applyFont="1" applyFill="1"/>
    <xf numFmtId="0" fontId="30" fillId="0" borderId="0" xfId="1" applyFont="1" applyFill="1" applyBorder="1" applyAlignment="1">
      <alignment horizontal="center" vertical="center"/>
    </xf>
    <xf numFmtId="2" fontId="56" fillId="0" borderId="0" xfId="0" applyNumberFormat="1" applyFont="1"/>
    <xf numFmtId="0" fontId="56" fillId="0" borderId="0" xfId="0" applyFont="1"/>
    <xf numFmtId="3" fontId="56" fillId="0" borderId="0" xfId="0" applyNumberFormat="1" applyFont="1"/>
    <xf numFmtId="0" fontId="30" fillId="0" borderId="0" xfId="1" applyFont="1"/>
    <xf numFmtId="4" fontId="14" fillId="7" borderId="19" xfId="1" applyNumberFormat="1" applyFont="1" applyFill="1" applyBorder="1" applyAlignment="1">
      <alignment horizontal="center" vertical="center"/>
    </xf>
    <xf numFmtId="0" fontId="40" fillId="8" borderId="0" xfId="0" applyFont="1" applyFill="1" applyAlignment="1"/>
    <xf numFmtId="3" fontId="7" fillId="8" borderId="0" xfId="0" applyNumberFormat="1" applyFont="1" applyFill="1" applyBorder="1" applyAlignment="1">
      <alignment horizontal="right"/>
    </xf>
    <xf numFmtId="0" fontId="41" fillId="8" borderId="0" xfId="0" applyFont="1" applyFill="1"/>
    <xf numFmtId="0" fontId="57" fillId="0" borderId="0" xfId="0" applyFont="1"/>
    <xf numFmtId="0" fontId="57" fillId="0" borderId="52" xfId="0" applyFont="1" applyBorder="1"/>
    <xf numFmtId="0" fontId="57" fillId="0" borderId="53" xfId="0" applyFont="1" applyBorder="1"/>
    <xf numFmtId="0" fontId="57" fillId="0" borderId="54" xfId="0" applyFont="1" applyBorder="1"/>
    <xf numFmtId="0" fontId="57" fillId="0" borderId="24" xfId="0" applyFont="1" applyBorder="1"/>
    <xf numFmtId="0" fontId="58" fillId="0" borderId="39" xfId="0" applyFont="1" applyBorder="1"/>
    <xf numFmtId="0" fontId="58" fillId="0" borderId="40" xfId="0" applyFont="1" applyBorder="1"/>
    <xf numFmtId="0" fontId="58" fillId="0" borderId="55" xfId="0" applyFont="1" applyBorder="1"/>
    <xf numFmtId="0" fontId="58" fillId="0" borderId="37" xfId="0" applyFont="1" applyBorder="1"/>
    <xf numFmtId="0" fontId="58" fillId="0" borderId="12" xfId="0" applyFont="1" applyBorder="1"/>
    <xf numFmtId="0" fontId="58" fillId="0" borderId="31" xfId="0" applyFont="1" applyBorder="1"/>
    <xf numFmtId="0" fontId="57" fillId="0" borderId="26" xfId="0" applyFont="1" applyBorder="1"/>
    <xf numFmtId="0" fontId="58" fillId="0" borderId="47" xfId="0" applyFont="1" applyBorder="1"/>
    <xf numFmtId="0" fontId="58" fillId="0" borderId="49" xfId="0" applyFont="1" applyBorder="1"/>
    <xf numFmtId="0" fontId="58" fillId="0" borderId="51" xfId="0" applyFont="1" applyBorder="1"/>
    <xf numFmtId="3" fontId="59" fillId="0" borderId="0" xfId="0" applyNumberFormat="1" applyFont="1"/>
    <xf numFmtId="0" fontId="57" fillId="0" borderId="12" xfId="0" applyFont="1" applyBorder="1"/>
    <xf numFmtId="0" fontId="57" fillId="0" borderId="12" xfId="0" applyFont="1" applyBorder="1" applyAlignment="1">
      <alignment vertical="center"/>
    </xf>
    <xf numFmtId="0" fontId="57" fillId="0" borderId="12" xfId="0" applyFont="1" applyBorder="1" applyAlignment="1">
      <alignment vertical="center" wrapText="1"/>
    </xf>
    <xf numFmtId="0" fontId="57" fillId="0" borderId="0" xfId="0" applyFont="1" applyAlignment="1">
      <alignment wrapText="1"/>
    </xf>
    <xf numFmtId="0" fontId="57" fillId="0" borderId="12" xfId="0" applyFont="1" applyBorder="1" applyAlignment="1">
      <alignment horizontal="center" vertical="center" wrapText="1"/>
    </xf>
    <xf numFmtId="0" fontId="57" fillId="0" borderId="12" xfId="0" applyFont="1" applyBorder="1" applyAlignment="1">
      <alignment horizontal="center" vertical="center"/>
    </xf>
    <xf numFmtId="165" fontId="57" fillId="0" borderId="12" xfId="0" applyNumberFormat="1" applyFont="1" applyBorder="1" applyAlignment="1">
      <alignment horizontal="center" vertical="center"/>
    </xf>
    <xf numFmtId="10" fontId="57" fillId="0" borderId="12" xfId="0" applyNumberFormat="1" applyFont="1" applyBorder="1" applyAlignment="1">
      <alignment horizontal="center" vertical="center"/>
    </xf>
    <xf numFmtId="2" fontId="57" fillId="5" borderId="12" xfId="0" applyNumberFormat="1" applyFont="1" applyFill="1" applyBorder="1" applyAlignment="1">
      <alignment horizontal="center" vertical="center"/>
    </xf>
    <xf numFmtId="4" fontId="57" fillId="0" borderId="12" xfId="0" applyNumberFormat="1" applyFont="1" applyBorder="1"/>
    <xf numFmtId="0" fontId="57" fillId="5" borderId="12" xfId="0" applyFont="1" applyFill="1" applyBorder="1"/>
    <xf numFmtId="3" fontId="12" fillId="3" borderId="15" xfId="1" applyNumberFormat="1" applyFont="1" applyFill="1" applyBorder="1" applyAlignment="1">
      <alignment horizontal="center" vertical="center"/>
    </xf>
    <xf numFmtId="3" fontId="55" fillId="0" borderId="0" xfId="0" applyNumberFormat="1" applyFont="1"/>
    <xf numFmtId="0" fontId="30" fillId="0" borderId="24" xfId="1" applyFont="1" applyBorder="1"/>
    <xf numFmtId="3" fontId="30" fillId="0" borderId="0" xfId="1" applyNumberFormat="1" applyFont="1"/>
    <xf numFmtId="0" fontId="30" fillId="0" borderId="24" xfId="1" applyFont="1" applyBorder="1" applyAlignment="1">
      <alignment vertical="center"/>
    </xf>
    <xf numFmtId="0" fontId="30" fillId="0" borderId="0" xfId="1" applyFont="1" applyBorder="1"/>
    <xf numFmtId="3" fontId="30" fillId="0" borderId="0" xfId="1" applyNumberFormat="1" applyFont="1" applyFill="1" applyBorder="1"/>
    <xf numFmtId="3" fontId="30" fillId="0" borderId="0" xfId="1" applyNumberFormat="1" applyFont="1" applyAlignment="1">
      <alignment vertical="center"/>
    </xf>
    <xf numFmtId="164" fontId="60" fillId="0" borderId="0" xfId="1" applyNumberFormat="1" applyFont="1" applyFill="1" applyBorder="1" applyAlignment="1">
      <alignment horizontal="right" vertical="center"/>
    </xf>
    <xf numFmtId="0" fontId="61" fillId="0" borderId="0" xfId="1" applyFont="1"/>
    <xf numFmtId="3" fontId="30" fillId="0" borderId="0" xfId="1" applyNumberFormat="1" applyFont="1" applyAlignment="1">
      <alignment wrapText="1"/>
    </xf>
    <xf numFmtId="0" fontId="30" fillId="0" borderId="1" xfId="1" applyFont="1" applyBorder="1"/>
    <xf numFmtId="0" fontId="30" fillId="0" borderId="3" xfId="1" applyFont="1" applyBorder="1"/>
    <xf numFmtId="0" fontId="30" fillId="0" borderId="4" xfId="1" applyFont="1" applyBorder="1"/>
    <xf numFmtId="4" fontId="44" fillId="0" borderId="0" xfId="1" applyNumberFormat="1" applyFont="1" applyAlignment="1">
      <alignment horizontal="center" vertical="center"/>
    </xf>
    <xf numFmtId="3" fontId="62" fillId="0" borderId="0" xfId="1" applyNumberFormat="1" applyFont="1" applyAlignment="1">
      <alignment horizontal="center" vertical="center"/>
    </xf>
    <xf numFmtId="2" fontId="62" fillId="0" borderId="0" xfId="1" applyNumberFormat="1" applyFont="1" applyAlignment="1">
      <alignment horizontal="center" vertical="center"/>
    </xf>
    <xf numFmtId="0" fontId="62" fillId="0" borderId="0" xfId="1" applyFont="1" applyAlignment="1">
      <alignment horizontal="center" vertical="center"/>
    </xf>
    <xf numFmtId="0" fontId="59" fillId="0" borderId="7" xfId="1" applyFont="1" applyBorder="1" applyAlignment="1">
      <alignment horizontal="center" vertical="center" wrapText="1"/>
    </xf>
    <xf numFmtId="0" fontId="59" fillId="0" borderId="8" xfId="1" applyFont="1" applyBorder="1" applyAlignment="1">
      <alignment horizontal="center" vertical="center" wrapText="1"/>
    </xf>
    <xf numFmtId="0" fontId="56" fillId="0" borderId="6" xfId="1" applyFont="1" applyBorder="1" applyAlignment="1">
      <alignment horizontal="center"/>
    </xf>
    <xf numFmtId="0" fontId="56" fillId="0" borderId="7" xfId="1" applyFont="1" applyBorder="1" applyAlignment="1">
      <alignment horizontal="center"/>
    </xf>
    <xf numFmtId="0" fontId="56" fillId="0" borderId="8" xfId="1" applyFont="1" applyBorder="1" applyAlignment="1">
      <alignment horizontal="center"/>
    </xf>
    <xf numFmtId="0" fontId="3" fillId="0" borderId="0" xfId="1" applyAlignment="1">
      <alignment horizontal="center" vertical="center" wrapText="1"/>
    </xf>
    <xf numFmtId="1" fontId="3" fillId="0" borderId="0" xfId="1" applyNumberFormat="1" applyAlignment="1">
      <alignment horizontal="center" vertical="center"/>
    </xf>
    <xf numFmtId="4" fontId="3" fillId="0" borderId="0" xfId="1" quotePrefix="1" applyNumberFormat="1" applyAlignment="1">
      <alignment horizontal="center" vertical="center"/>
    </xf>
    <xf numFmtId="0" fontId="11" fillId="0" borderId="0" xfId="1" applyFont="1" applyAlignment="1">
      <alignment horizontal="right"/>
    </xf>
    <xf numFmtId="49" fontId="3" fillId="0" borderId="0" xfId="1" applyNumberFormat="1" applyAlignment="1">
      <alignment horizontal="center" vertical="center"/>
    </xf>
    <xf numFmtId="0" fontId="33" fillId="0" borderId="0" xfId="0" applyFont="1" applyFill="1" applyAlignment="1">
      <alignment horizontal="left"/>
    </xf>
    <xf numFmtId="0" fontId="55" fillId="0" borderId="0" xfId="0" applyFont="1"/>
    <xf numFmtId="0" fontId="3" fillId="0" borderId="0" xfId="1" applyAlignment="1">
      <alignment horizontal="right" vertical="center"/>
    </xf>
    <xf numFmtId="0" fontId="16" fillId="0" borderId="0" xfId="1" applyFont="1" applyAlignment="1">
      <alignment horizontal="center"/>
    </xf>
    <xf numFmtId="4" fontId="3" fillId="0" borderId="0" xfId="1" applyNumberFormat="1" applyAlignment="1">
      <alignment horizontal="center" vertical="center"/>
    </xf>
    <xf numFmtId="0" fontId="3" fillId="0" borderId="0" xfId="1" applyNumberFormat="1" applyAlignment="1">
      <alignment horizontal="center" vertical="center"/>
    </xf>
    <xf numFmtId="0" fontId="3" fillId="0" borderId="0" xfId="1" applyNumberFormat="1"/>
    <xf numFmtId="9" fontId="34" fillId="0" borderId="0" xfId="1" applyNumberFormat="1" applyFont="1" applyAlignment="1">
      <alignment horizontal="center"/>
    </xf>
    <xf numFmtId="0" fontId="3" fillId="0" borderId="0" xfId="1" applyFill="1" applyAlignment="1">
      <alignment horizontal="right"/>
    </xf>
    <xf numFmtId="3" fontId="3" fillId="0" borderId="0" xfId="1" applyNumberFormat="1" applyFill="1" applyAlignment="1">
      <alignment horizontal="left"/>
    </xf>
    <xf numFmtId="0" fontId="3" fillId="0" borderId="0" xfId="1" applyFill="1" applyAlignment="1">
      <alignment horizontal="left"/>
    </xf>
    <xf numFmtId="4" fontId="3" fillId="0" borderId="0" xfId="1" applyNumberFormat="1" applyFill="1" applyAlignment="1">
      <alignment horizontal="left"/>
    </xf>
    <xf numFmtId="0" fontId="3" fillId="10" borderId="0" xfId="1" applyFill="1"/>
    <xf numFmtId="0" fontId="3" fillId="10" borderId="0" xfId="1" applyFill="1" applyAlignment="1">
      <alignment horizontal="right"/>
    </xf>
    <xf numFmtId="3" fontId="3" fillId="10" borderId="0" xfId="1" applyNumberFormat="1" applyFill="1" applyAlignment="1">
      <alignment horizontal="left"/>
    </xf>
    <xf numFmtId="0" fontId="3" fillId="10" borderId="0" xfId="1" applyFill="1" applyAlignment="1">
      <alignment horizontal="left"/>
    </xf>
    <xf numFmtId="1" fontId="3" fillId="10" borderId="0" xfId="1" applyNumberFormat="1" applyFill="1" applyAlignment="1">
      <alignment horizontal="left"/>
    </xf>
    <xf numFmtId="4" fontId="3" fillId="10" borderId="0" xfId="1" applyNumberFormat="1" applyFill="1" applyAlignment="1">
      <alignment horizontal="left"/>
    </xf>
    <xf numFmtId="3" fontId="3" fillId="0" borderId="0" xfId="1" applyNumberFormat="1" applyAlignment="1">
      <alignment horizontal="center"/>
    </xf>
    <xf numFmtId="0" fontId="12" fillId="0" borderId="0" xfId="1" applyFont="1"/>
    <xf numFmtId="0" fontId="3" fillId="0" borderId="0" xfId="1" applyAlignment="1">
      <alignment horizontal="left" vertical="center"/>
    </xf>
    <xf numFmtId="0" fontId="37" fillId="0" borderId="0" xfId="1" applyFont="1"/>
    <xf numFmtId="3" fontId="57" fillId="5" borderId="12" xfId="0" applyNumberFormat="1" applyFont="1" applyFill="1" applyBorder="1"/>
    <xf numFmtId="3" fontId="57" fillId="5" borderId="12" xfId="0" applyNumberFormat="1" applyFont="1" applyFill="1" applyBorder="1" applyAlignment="1">
      <alignment vertical="center"/>
    </xf>
    <xf numFmtId="0" fontId="3" fillId="0" borderId="3" xfId="1" applyFill="1" applyBorder="1"/>
    <xf numFmtId="0" fontId="11" fillId="0" borderId="3" xfId="1" applyFont="1" applyBorder="1" applyAlignment="1">
      <alignment horizontal="left"/>
    </xf>
    <xf numFmtId="0" fontId="3" fillId="10" borderId="3" xfId="1" applyFill="1" applyBorder="1"/>
    <xf numFmtId="14" fontId="4" fillId="0" borderId="0" xfId="1" applyNumberFormat="1" applyFont="1" applyAlignment="1">
      <alignment horizontal="center" vertical="center"/>
    </xf>
    <xf numFmtId="14" fontId="3" fillId="0" borderId="0" xfId="1" applyNumberForma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37" fillId="0" borderId="0" xfId="2" applyAlignment="1">
      <alignment vertical="center"/>
    </xf>
    <xf numFmtId="0" fontId="37" fillId="0" borderId="0" xfId="2" applyAlignment="1">
      <alignment vertical="center" wrapText="1"/>
    </xf>
    <xf numFmtId="4" fontId="44" fillId="0" borderId="0" xfId="1" applyNumberFormat="1" applyFont="1" applyAlignment="1">
      <alignment horizontal="right"/>
    </xf>
    <xf numFmtId="3" fontId="44" fillId="0" borderId="0" xfId="1" applyNumberFormat="1" applyFont="1" applyAlignment="1">
      <alignment horizontal="right"/>
    </xf>
    <xf numFmtId="3" fontId="3" fillId="0" borderId="0" xfId="1" applyNumberFormat="1" applyAlignment="1">
      <alignment horizontal="right"/>
    </xf>
    <xf numFmtId="3" fontId="67" fillId="0" borderId="0" xfId="1" applyNumberFormat="1" applyFont="1" applyAlignment="1">
      <alignment horizontal="right"/>
    </xf>
    <xf numFmtId="164" fontId="68" fillId="0" borderId="0" xfId="1" applyNumberFormat="1" applyFont="1"/>
    <xf numFmtId="0" fontId="3" fillId="12" borderId="12" xfId="1" applyFill="1" applyBorder="1" applyAlignment="1">
      <alignment horizontal="right" vertical="center" wrapText="1"/>
    </xf>
    <xf numFmtId="3" fontId="3" fillId="12" borderId="12" xfId="1" applyNumberFormat="1" applyFill="1" applyBorder="1" applyAlignment="1">
      <alignment horizontal="left" vertical="center" wrapText="1"/>
    </xf>
    <xf numFmtId="3" fontId="3" fillId="12" borderId="12" xfId="1" applyNumberFormat="1" applyFill="1" applyBorder="1" applyAlignment="1">
      <alignment horizontal="left" wrapText="1"/>
    </xf>
    <xf numFmtId="0" fontId="3" fillId="0" borderId="0" xfId="1" applyAlignment="1">
      <alignment horizontal="left"/>
    </xf>
    <xf numFmtId="0" fontId="8" fillId="0" borderId="12" xfId="0" applyFont="1" applyBorder="1"/>
    <xf numFmtId="49" fontId="9" fillId="5" borderId="9" xfId="0" applyNumberFormat="1" applyFont="1" applyFill="1" applyBorder="1" applyAlignment="1">
      <alignment vertical="center"/>
    </xf>
    <xf numFmtId="4" fontId="3" fillId="12" borderId="12" xfId="1" applyNumberFormat="1" applyFill="1" applyBorder="1" applyAlignment="1">
      <alignment horizontal="left" wrapText="1"/>
    </xf>
    <xf numFmtId="0" fontId="3" fillId="12" borderId="12" xfId="1" applyFill="1" applyBorder="1" applyAlignment="1">
      <alignment horizontal="left" vertical="center" wrapText="1"/>
    </xf>
    <xf numFmtId="0" fontId="3" fillId="12" borderId="12" xfId="1" applyFill="1" applyBorder="1" applyAlignment="1">
      <alignment horizontal="left" wrapText="1"/>
    </xf>
    <xf numFmtId="0" fontId="3" fillId="12" borderId="12" xfId="1" applyFill="1" applyBorder="1" applyAlignment="1">
      <alignment vertical="center" wrapText="1"/>
    </xf>
    <xf numFmtId="1" fontId="3" fillId="12" borderId="12" xfId="1" applyNumberFormat="1" applyFill="1" applyBorder="1" applyAlignment="1">
      <alignment horizontal="left" wrapText="1"/>
    </xf>
    <xf numFmtId="0" fontId="3" fillId="0" borderId="0" xfId="1" applyAlignment="1">
      <alignment horizontal="left" wrapText="1"/>
    </xf>
    <xf numFmtId="0" fontId="40" fillId="4" borderId="0" xfId="1" applyFont="1" applyFill="1" applyAlignment="1">
      <alignment horizontal="left"/>
    </xf>
    <xf numFmtId="0" fontId="40" fillId="7" borderId="0" xfId="1" applyFont="1" applyFill="1" applyAlignment="1">
      <alignment horizontal="left"/>
    </xf>
    <xf numFmtId="0" fontId="3" fillId="0" borderId="21" xfId="1" applyNumberFormat="1" applyBorder="1" applyAlignment="1">
      <alignment horizontal="left" vertical="top" wrapText="1"/>
    </xf>
    <xf numFmtId="0" fontId="3" fillId="0" borderId="22" xfId="1" applyNumberFormat="1" applyBorder="1" applyAlignment="1">
      <alignment horizontal="left" vertical="top" wrapText="1"/>
    </xf>
    <xf numFmtId="0" fontId="3" fillId="0" borderId="23" xfId="1" applyNumberFormat="1" applyBorder="1" applyAlignment="1">
      <alignment horizontal="left" vertical="top" wrapText="1"/>
    </xf>
    <xf numFmtId="0" fontId="3" fillId="0" borderId="24" xfId="1" applyNumberFormat="1" applyBorder="1" applyAlignment="1">
      <alignment horizontal="left" vertical="top" wrapText="1"/>
    </xf>
    <xf numFmtId="0" fontId="3" fillId="0" borderId="0" xfId="1" applyNumberFormat="1" applyBorder="1" applyAlignment="1">
      <alignment horizontal="left" vertical="top" wrapText="1"/>
    </xf>
    <xf numFmtId="0" fontId="3" fillId="0" borderId="25" xfId="1" applyNumberFormat="1" applyBorder="1" applyAlignment="1">
      <alignment horizontal="left" vertical="top" wrapText="1"/>
    </xf>
    <xf numFmtId="0" fontId="3" fillId="0" borderId="26" xfId="1" applyNumberFormat="1" applyBorder="1" applyAlignment="1">
      <alignment horizontal="left" vertical="top" wrapText="1"/>
    </xf>
    <xf numFmtId="0" fontId="3" fillId="0" borderId="27" xfId="1" applyNumberFormat="1" applyBorder="1" applyAlignment="1">
      <alignment horizontal="left" vertical="top" wrapText="1"/>
    </xf>
    <xf numFmtId="0" fontId="3" fillId="0" borderId="28" xfId="1" applyNumberFormat="1" applyBorder="1" applyAlignment="1">
      <alignment horizontal="left" vertical="top" wrapText="1"/>
    </xf>
    <xf numFmtId="0" fontId="13" fillId="0" borderId="17" xfId="1" applyFont="1" applyBorder="1" applyAlignment="1">
      <alignment horizontal="left" vertical="center"/>
    </xf>
    <xf numFmtId="0" fontId="13" fillId="0" borderId="36" xfId="1" applyFont="1" applyBorder="1" applyAlignment="1">
      <alignment horizontal="left" vertical="center"/>
    </xf>
    <xf numFmtId="0" fontId="13" fillId="0" borderId="19" xfId="1" applyFont="1" applyBorder="1" applyAlignment="1">
      <alignment horizontal="left" vertical="center"/>
    </xf>
    <xf numFmtId="0" fontId="14" fillId="0" borderId="56" xfId="1" applyFont="1" applyBorder="1" applyAlignment="1">
      <alignment horizontal="right" vertical="center"/>
    </xf>
    <xf numFmtId="0" fontId="14" fillId="0" borderId="57" xfId="1" applyFont="1" applyBorder="1" applyAlignment="1">
      <alignment horizontal="right" vertical="center"/>
    </xf>
    <xf numFmtId="0" fontId="14" fillId="0" borderId="37" xfId="1" applyFont="1" applyBorder="1" applyAlignment="1">
      <alignment horizontal="right" vertical="center"/>
    </xf>
    <xf numFmtId="0" fontId="14" fillId="0" borderId="9" xfId="1" applyFont="1" applyBorder="1" applyAlignment="1">
      <alignment horizontal="right" vertical="center"/>
    </xf>
    <xf numFmtId="0" fontId="14" fillId="0" borderId="47" xfId="1" applyFont="1" applyBorder="1" applyAlignment="1">
      <alignment horizontal="right" vertical="center"/>
    </xf>
    <xf numFmtId="0" fontId="14" fillId="0" borderId="14" xfId="1" applyFont="1" applyBorder="1" applyAlignment="1">
      <alignment horizontal="right" vertical="center"/>
    </xf>
    <xf numFmtId="0" fontId="14" fillId="0" borderId="58" xfId="1" applyFont="1" applyBorder="1" applyAlignment="1">
      <alignment horizontal="right" vertical="center"/>
    </xf>
    <xf numFmtId="0" fontId="14" fillId="0" borderId="38" xfId="1" applyFont="1" applyBorder="1" applyAlignment="1">
      <alignment horizontal="right" vertical="center"/>
    </xf>
    <xf numFmtId="0" fontId="13" fillId="0" borderId="18" xfId="1" applyFont="1" applyBorder="1" applyAlignment="1">
      <alignment horizontal="left" vertical="center"/>
    </xf>
    <xf numFmtId="0" fontId="14" fillId="0" borderId="56" xfId="1" applyFont="1" applyBorder="1" applyAlignment="1">
      <alignment horizontal="right" vertical="center" wrapText="1"/>
    </xf>
    <xf numFmtId="0" fontId="14" fillId="0" borderId="57" xfId="1" applyFont="1" applyBorder="1" applyAlignment="1">
      <alignment horizontal="right" vertical="center" wrapText="1"/>
    </xf>
    <xf numFmtId="0" fontId="14" fillId="0" borderId="41" xfId="1" applyFont="1" applyBorder="1" applyAlignment="1">
      <alignment horizontal="right" vertical="center" wrapText="1"/>
    </xf>
    <xf numFmtId="0" fontId="14" fillId="0" borderId="1" xfId="1" applyFont="1" applyBorder="1" applyAlignment="1">
      <alignment horizontal="right" vertical="center" wrapText="1"/>
    </xf>
    <xf numFmtId="0" fontId="40" fillId="7" borderId="0" xfId="1" applyFont="1" applyFill="1" applyBorder="1" applyAlignment="1">
      <alignment horizontal="left"/>
    </xf>
    <xf numFmtId="0" fontId="40" fillId="8" borderId="0" xfId="0" applyFont="1" applyFill="1" applyAlignment="1">
      <alignment horizontal="left"/>
    </xf>
    <xf numFmtId="0" fontId="40" fillId="8" borderId="0" xfId="1" applyFont="1" applyFill="1" applyAlignment="1">
      <alignment horizontal="left"/>
    </xf>
    <xf numFmtId="0" fontId="63" fillId="3" borderId="12" xfId="0" applyFont="1" applyFill="1" applyBorder="1" applyAlignment="1">
      <alignment horizontal="center"/>
    </xf>
    <xf numFmtId="0" fontId="63" fillId="3" borderId="9" xfId="0" applyFont="1" applyFill="1" applyBorder="1" applyAlignment="1">
      <alignment horizontal="center"/>
    </xf>
    <xf numFmtId="0" fontId="63" fillId="3" borderId="10" xfId="0" applyFont="1" applyFill="1" applyBorder="1" applyAlignment="1">
      <alignment horizontal="center"/>
    </xf>
    <xf numFmtId="0" fontId="63" fillId="3" borderId="11" xfId="0" applyFont="1" applyFill="1" applyBorder="1" applyAlignment="1">
      <alignment horizontal="center"/>
    </xf>
    <xf numFmtId="0" fontId="3" fillId="0" borderId="9" xfId="1" applyBorder="1" applyAlignment="1">
      <alignment horizontal="left" wrapText="1"/>
    </xf>
    <xf numFmtId="0" fontId="3" fillId="0" borderId="10" xfId="1" applyBorder="1" applyAlignment="1">
      <alignment horizontal="left" wrapText="1"/>
    </xf>
    <xf numFmtId="0" fontId="3" fillId="0" borderId="38" xfId="1" applyBorder="1" applyAlignment="1">
      <alignment horizontal="left" wrapText="1"/>
    </xf>
    <xf numFmtId="0" fontId="28" fillId="0" borderId="78" xfId="1" applyNumberFormat="1" applyFont="1" applyFill="1" applyBorder="1" applyAlignment="1">
      <alignment horizontal="center" vertical="center"/>
    </xf>
    <xf numFmtId="0" fontId="28" fillId="0" borderId="79" xfId="1" applyNumberFormat="1" applyFont="1" applyFill="1" applyBorder="1" applyAlignment="1">
      <alignment horizontal="center" vertical="center"/>
    </xf>
    <xf numFmtId="0" fontId="28" fillId="0" borderId="80" xfId="1" applyNumberFormat="1" applyFont="1" applyFill="1" applyBorder="1" applyAlignment="1">
      <alignment horizontal="center" vertical="center"/>
    </xf>
    <xf numFmtId="0" fontId="65" fillId="5" borderId="16" xfId="1" applyFont="1" applyFill="1" applyBorder="1" applyAlignment="1">
      <alignment horizontal="left" vertical="center"/>
    </xf>
    <xf numFmtId="0" fontId="65" fillId="5" borderId="33" xfId="1" applyFont="1" applyFill="1" applyBorder="1" applyAlignment="1">
      <alignment horizontal="left" vertical="center"/>
    </xf>
    <xf numFmtId="0" fontId="65" fillId="5" borderId="45" xfId="1" applyFont="1" applyFill="1" applyBorder="1" applyAlignment="1">
      <alignment horizontal="left" vertical="center"/>
    </xf>
    <xf numFmtId="0" fontId="19" fillId="9" borderId="3" xfId="1" applyFont="1" applyFill="1" applyBorder="1" applyAlignment="1">
      <alignment horizontal="left"/>
    </xf>
    <xf numFmtId="0" fontId="19" fillId="9" borderId="0" xfId="1" applyFont="1" applyFill="1" applyBorder="1" applyAlignment="1">
      <alignment horizontal="left"/>
    </xf>
    <xf numFmtId="0" fontId="21" fillId="0" borderId="81" xfId="1" applyFont="1" applyBorder="1" applyAlignment="1">
      <alignment horizontal="center"/>
    </xf>
    <xf numFmtId="0" fontId="21" fillId="0" borderId="82" xfId="1" applyFont="1" applyBorder="1" applyAlignment="1">
      <alignment horizontal="center"/>
    </xf>
    <xf numFmtId="0" fontId="21" fillId="0" borderId="83" xfId="1" applyFont="1" applyBorder="1" applyAlignment="1">
      <alignment horizontal="center"/>
    </xf>
    <xf numFmtId="0" fontId="28" fillId="11" borderId="66" xfId="1" applyNumberFormat="1" applyFont="1" applyFill="1" applyBorder="1" applyAlignment="1">
      <alignment horizontal="center" vertical="center"/>
    </xf>
    <xf numFmtId="0" fontId="28" fillId="11" borderId="84" xfId="1" applyNumberFormat="1" applyFont="1" applyFill="1" applyBorder="1" applyAlignment="1">
      <alignment horizontal="center" vertical="center"/>
    </xf>
    <xf numFmtId="0" fontId="29" fillId="0" borderId="74" xfId="1" applyNumberFormat="1" applyFont="1" applyFill="1" applyBorder="1" applyAlignment="1">
      <alignment horizontal="left" vertical="center"/>
    </xf>
    <xf numFmtId="0" fontId="29" fillId="0" borderId="75" xfId="1" applyNumberFormat="1" applyFont="1" applyFill="1" applyBorder="1" applyAlignment="1">
      <alignment horizontal="left" vertical="center"/>
    </xf>
    <xf numFmtId="0" fontId="29" fillId="0" borderId="76" xfId="1" applyNumberFormat="1" applyFont="1" applyFill="1" applyBorder="1" applyAlignment="1">
      <alignment horizontal="left" vertical="center"/>
    </xf>
    <xf numFmtId="0" fontId="29" fillId="0" borderId="70" xfId="1" applyNumberFormat="1" applyFont="1" applyFill="1" applyBorder="1" applyAlignment="1">
      <alignment horizontal="left" vertical="center"/>
    </xf>
    <xf numFmtId="0" fontId="29" fillId="0" borderId="77" xfId="1" applyNumberFormat="1" applyFont="1" applyFill="1" applyBorder="1" applyAlignment="1">
      <alignment horizontal="left" vertical="center"/>
    </xf>
    <xf numFmtId="0" fontId="3" fillId="7" borderId="9" xfId="1" applyFill="1" applyBorder="1" applyAlignment="1">
      <alignment horizontal="left" wrapText="1"/>
    </xf>
    <xf numFmtId="0" fontId="3" fillId="7" borderId="10" xfId="1" applyFill="1" applyBorder="1" applyAlignment="1">
      <alignment horizontal="left" wrapText="1"/>
    </xf>
    <xf numFmtId="0" fontId="3" fillId="7" borderId="38" xfId="1" applyFill="1" applyBorder="1" applyAlignment="1">
      <alignment horizontal="left" wrapText="1"/>
    </xf>
    <xf numFmtId="0" fontId="29" fillId="0" borderId="72" xfId="1" applyNumberFormat="1" applyFont="1" applyFill="1" applyBorder="1" applyAlignment="1">
      <alignment horizontal="left" vertical="center"/>
    </xf>
    <xf numFmtId="0" fontId="29" fillId="0" borderId="73" xfId="1" applyNumberFormat="1" applyFont="1" applyFill="1" applyBorder="1" applyAlignment="1">
      <alignment horizontal="left" vertical="center"/>
    </xf>
    <xf numFmtId="0" fontId="3" fillId="0" borderId="1" xfId="1" applyBorder="1" applyAlignment="1">
      <alignment horizontal="left" vertical="center" wrapText="1"/>
    </xf>
    <xf numFmtId="0" fontId="3" fillId="0" borderId="2" xfId="1" applyBorder="1" applyAlignment="1">
      <alignment horizontal="left" vertical="center" wrapText="1"/>
    </xf>
    <xf numFmtId="0" fontId="3" fillId="0" borderId="62" xfId="1" applyBorder="1" applyAlignment="1">
      <alignment horizontal="left" vertical="center" wrapText="1"/>
    </xf>
    <xf numFmtId="0" fontId="3" fillId="0" borderId="3" xfId="1" applyBorder="1" applyAlignment="1">
      <alignment horizontal="left" vertical="center" wrapText="1"/>
    </xf>
    <xf numFmtId="0" fontId="3" fillId="0" borderId="0" xfId="1" applyBorder="1" applyAlignment="1">
      <alignment horizontal="left" vertical="center" wrapText="1"/>
    </xf>
    <xf numFmtId="0" fontId="3" fillId="0" borderId="25" xfId="1" applyBorder="1" applyAlignment="1">
      <alignment horizontal="left" vertical="center" wrapText="1"/>
    </xf>
    <xf numFmtId="0" fontId="3" fillId="0" borderId="4" xfId="1" applyBorder="1" applyAlignment="1">
      <alignment horizontal="left" vertical="center" wrapText="1"/>
    </xf>
    <xf numFmtId="0" fontId="3" fillId="0" borderId="5" xfId="1" applyBorder="1" applyAlignment="1">
      <alignment horizontal="left" vertical="center" wrapText="1"/>
    </xf>
    <xf numFmtId="0" fontId="3" fillId="0" borderId="46" xfId="1" applyBorder="1" applyAlignment="1">
      <alignment horizontal="left" vertical="center" wrapText="1"/>
    </xf>
    <xf numFmtId="0" fontId="3" fillId="13" borderId="9" xfId="1" applyFill="1" applyBorder="1" applyAlignment="1">
      <alignment horizontal="left" wrapText="1"/>
    </xf>
    <xf numFmtId="0" fontId="3" fillId="13" borderId="10" xfId="1" applyFill="1" applyBorder="1" applyAlignment="1">
      <alignment horizontal="left" wrapText="1"/>
    </xf>
    <xf numFmtId="0" fontId="3" fillId="13" borderId="38" xfId="1" applyFill="1" applyBorder="1" applyAlignment="1">
      <alignment horizontal="left" wrapText="1"/>
    </xf>
    <xf numFmtId="0" fontId="38" fillId="0" borderId="21" xfId="1" applyFont="1" applyBorder="1" applyAlignment="1">
      <alignment horizontal="left" vertical="center"/>
    </xf>
    <xf numFmtId="0" fontId="38" fillId="0" borderId="22" xfId="1" applyFont="1" applyBorder="1" applyAlignment="1">
      <alignment horizontal="left" vertical="center"/>
    </xf>
    <xf numFmtId="0" fontId="38" fillId="0" borderId="23" xfId="1" applyFont="1" applyBorder="1" applyAlignment="1">
      <alignment horizontal="left" vertical="center"/>
    </xf>
    <xf numFmtId="0" fontId="38" fillId="0" borderId="24" xfId="1" applyFont="1" applyBorder="1" applyAlignment="1">
      <alignment horizontal="center" vertical="center"/>
    </xf>
    <xf numFmtId="0" fontId="38" fillId="0" borderId="0" xfId="1" applyFont="1" applyBorder="1" applyAlignment="1">
      <alignment horizontal="center" vertical="center"/>
    </xf>
    <xf numFmtId="0" fontId="38" fillId="0" borderId="25" xfId="1" applyFont="1" applyBorder="1" applyAlignment="1">
      <alignment horizontal="center" vertical="center"/>
    </xf>
    <xf numFmtId="0" fontId="64" fillId="0" borderId="56" xfId="1" applyFont="1" applyBorder="1" applyAlignment="1">
      <alignment horizontal="center" vertical="center" wrapText="1"/>
    </xf>
    <xf numFmtId="0" fontId="64" fillId="0" borderId="37" xfId="1" applyFont="1" applyBorder="1" applyAlignment="1">
      <alignment horizontal="center" vertical="center" wrapText="1"/>
    </xf>
    <xf numFmtId="0" fontId="64" fillId="0" borderId="29" xfId="1" applyFont="1" applyBorder="1" applyAlignment="1">
      <alignment horizontal="center" vertical="center" wrapText="1"/>
    </xf>
    <xf numFmtId="0" fontId="64" fillId="0" borderId="12" xfId="1" applyFont="1" applyBorder="1" applyAlignment="1">
      <alignment horizontal="center" vertical="center" wrapText="1"/>
    </xf>
    <xf numFmtId="0" fontId="64" fillId="0" borderId="29" xfId="1" applyFont="1" applyFill="1" applyBorder="1" applyAlignment="1">
      <alignment horizontal="center" vertical="center" wrapText="1"/>
    </xf>
    <xf numFmtId="0" fontId="64" fillId="0" borderId="12" xfId="1" applyFont="1" applyFill="1" applyBorder="1" applyAlignment="1">
      <alignment horizontal="center" vertical="center" wrapText="1"/>
    </xf>
    <xf numFmtId="0" fontId="64" fillId="0" borderId="12" xfId="1" applyFont="1" applyFill="1" applyBorder="1" applyAlignment="1">
      <alignment horizontal="center" vertical="center"/>
    </xf>
    <xf numFmtId="0" fontId="3" fillId="13" borderId="26" xfId="1" applyFill="1" applyBorder="1" applyAlignment="1">
      <alignment horizontal="center" vertical="center"/>
    </xf>
    <xf numFmtId="0" fontId="3" fillId="13" borderId="27" xfId="1" applyFill="1" applyBorder="1" applyAlignment="1">
      <alignment horizontal="center" vertical="center"/>
    </xf>
    <xf numFmtId="0" fontId="3" fillId="13" borderId="28" xfId="1" applyFill="1" applyBorder="1" applyAlignment="1">
      <alignment horizontal="center" vertical="center"/>
    </xf>
    <xf numFmtId="0" fontId="64" fillId="0" borderId="60" xfId="1" applyFont="1" applyBorder="1" applyAlignment="1">
      <alignment horizontal="center" vertical="center" wrapText="1"/>
    </xf>
    <xf numFmtId="0" fontId="64" fillId="0" borderId="22" xfId="1" applyFont="1" applyBorder="1" applyAlignment="1">
      <alignment horizontal="center" vertical="center" wrapText="1"/>
    </xf>
    <xf numFmtId="0" fontId="64" fillId="0" borderId="3" xfId="1" applyFont="1" applyBorder="1" applyAlignment="1">
      <alignment horizontal="center" vertical="center" wrapText="1"/>
    </xf>
    <xf numFmtId="0" fontId="64" fillId="0" borderId="0" xfId="1" applyFont="1" applyBorder="1" applyAlignment="1">
      <alignment horizontal="center" vertical="center" wrapText="1"/>
    </xf>
    <xf numFmtId="0" fontId="64" fillId="0" borderId="61" xfId="1" applyFont="1" applyBorder="1" applyAlignment="1">
      <alignment horizontal="center" vertical="center" wrapText="1"/>
    </xf>
    <xf numFmtId="0" fontId="64" fillId="0" borderId="40" xfId="1" applyFont="1" applyBorder="1" applyAlignment="1">
      <alignment horizontal="center" vertical="center" wrapText="1"/>
    </xf>
    <xf numFmtId="0" fontId="64" fillId="0" borderId="22" xfId="1" applyFont="1" applyBorder="1" applyAlignment="1">
      <alignment horizontal="center" vertical="center"/>
    </xf>
    <xf numFmtId="0" fontId="64" fillId="0" borderId="23" xfId="1" applyFont="1" applyBorder="1" applyAlignment="1">
      <alignment horizontal="center" vertical="center"/>
    </xf>
    <xf numFmtId="0" fontId="64" fillId="0" borderId="5" xfId="1" applyFont="1" applyBorder="1" applyAlignment="1">
      <alignment horizontal="center" vertical="center"/>
    </xf>
    <xf numFmtId="0" fontId="64" fillId="0" borderId="46" xfId="1" applyFont="1" applyBorder="1" applyAlignment="1">
      <alignment horizontal="center" vertical="center"/>
    </xf>
    <xf numFmtId="0" fontId="3" fillId="0" borderId="59" xfId="1" applyBorder="1" applyAlignment="1">
      <alignment horizontal="center"/>
    </xf>
    <xf numFmtId="0" fontId="3" fillId="0" borderId="44" xfId="1" applyBorder="1" applyAlignment="1">
      <alignment horizontal="center"/>
    </xf>
    <xf numFmtId="0" fontId="66" fillId="0" borderId="0" xfId="0" applyFont="1" applyAlignment="1">
      <alignment horizontal="center"/>
    </xf>
    <xf numFmtId="0" fontId="57" fillId="0" borderId="17" xfId="0" applyFont="1" applyBorder="1" applyAlignment="1">
      <alignment horizontal="center" vertical="center"/>
    </xf>
    <xf numFmtId="0" fontId="57" fillId="0" borderId="19" xfId="0" applyFont="1" applyBorder="1" applyAlignment="1">
      <alignment horizontal="center" vertical="center"/>
    </xf>
    <xf numFmtId="0" fontId="57" fillId="0" borderId="63" xfId="0" applyFont="1" applyBorder="1" applyAlignment="1">
      <alignment horizontal="center"/>
    </xf>
    <xf numFmtId="0" fontId="57" fillId="0" borderId="61" xfId="0" applyFont="1" applyBorder="1" applyAlignment="1">
      <alignment horizontal="center"/>
    </xf>
    <xf numFmtId="0" fontId="57" fillId="0" borderId="64" xfId="0" applyFont="1" applyBorder="1" applyAlignment="1">
      <alignment horizontal="center"/>
    </xf>
  </cellXfs>
  <cellStyles count="3">
    <cellStyle name="Обычный" xfId="0" builtinId="0"/>
    <cellStyle name="Обычный 2" xfId="1"/>
    <cellStyle name="Обычный 3" xfId="2"/>
  </cellStyles>
  <dxfs count="2">
    <dxf>
      <font>
        <b/>
        <i val="0"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66675</xdr:colOff>
      <xdr:row>14</xdr:row>
      <xdr:rowOff>9525</xdr:rowOff>
    </xdr:from>
    <xdr:to>
      <xdr:col>13</xdr:col>
      <xdr:colOff>238125</xdr:colOff>
      <xdr:row>28</xdr:row>
      <xdr:rowOff>76200</xdr:rowOff>
    </xdr:to>
    <xdr:pic>
      <xdr:nvPicPr>
        <xdr:cNvPr id="42055" name="Рисунок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54125" y="2962275"/>
          <a:ext cx="5476875" cy="2752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533400</xdr:colOff>
      <xdr:row>14</xdr:row>
      <xdr:rowOff>47625</xdr:rowOff>
    </xdr:from>
    <xdr:to>
      <xdr:col>18</xdr:col>
      <xdr:colOff>561975</xdr:colOff>
      <xdr:row>27</xdr:row>
      <xdr:rowOff>171450</xdr:rowOff>
    </xdr:to>
    <xdr:pic>
      <xdr:nvPicPr>
        <xdr:cNvPr id="42056" name="Рисунок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26275" y="3000375"/>
          <a:ext cx="3619500" cy="2619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4;&#1058;&#1057;&#1058;&#1054;&#1049;&#1053;&#1048;&#105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4;&#1041;&#1054;&#1056;&#1059;&#1044;&#1054;&#1042;&#1040;&#1053;&#1048;&#1045;%20&#1069;&#1050;&#1054;&#1055;&#1054;&#1051;&#1048;&#1052;&#1045;&#1056;/8.%20&#1053;&#1054;&#1042;&#1067;&#1045;%20&#1062;&#1045;&#1053;&#1067;/VBA/NotPublic/&#1054;&#1058;&#1057;&#1058;&#1054;&#1049;&#1053;&#1048;&#105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4;&#1041;&#1054;&#1056;&#1059;&#1044;&#1054;&#1042;&#1040;&#1053;&#1048;&#1045;%20&#1069;&#1050;&#1054;&#1055;&#1054;&#1051;&#1048;&#1052;&#1045;&#1056;/8.%20&#1053;&#1054;&#1042;&#1067;&#1045;%20&#1062;&#1045;&#1053;&#1067;/VBA/NotPublic/&#1056;&#1045;&#1064;&#1045;&#1058;&#1050;&#1040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4;&#1041;&#1054;&#1056;&#1059;&#1044;&#1054;&#1042;&#1040;&#1053;&#1048;&#1045;%20&#1069;&#1050;&#1054;&#1055;&#1054;&#1051;&#1048;&#1052;&#1045;&#1056;/8.%20&#1053;&#1054;&#1042;&#1067;&#1045;%20&#1062;&#1045;&#1053;&#1067;/VBA/NotPublic/&#1055;&#1056;&#1045;&#1057;&#105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"/>
      <sheetName val="Цена 2016"/>
      <sheetName val="Подбор"/>
      <sheetName val="ФОТ"/>
      <sheetName val="Фото"/>
      <sheetName val="Спецификация"/>
    </sheetNames>
    <sheetDataSet>
      <sheetData sheetId="0"/>
      <sheetData sheetId="1"/>
      <sheetData sheetId="2">
        <row r="49">
          <cell r="M49" t="str">
            <v>Илоскреб</v>
          </cell>
          <cell r="O49">
            <v>18</v>
          </cell>
          <cell r="P49" t="str">
            <v>CS</v>
          </cell>
          <cell r="Q49" t="str">
            <v>CS</v>
          </cell>
        </row>
        <row r="50">
          <cell r="M50" t="str">
            <v>Илосос</v>
          </cell>
          <cell r="O50">
            <v>20</v>
          </cell>
          <cell r="P50" t="str">
            <v>AISI 201</v>
          </cell>
          <cell r="Q50" t="str">
            <v>АМг3М</v>
          </cell>
        </row>
        <row r="51">
          <cell r="O51">
            <v>24</v>
          </cell>
          <cell r="P51" t="str">
            <v>AISI 304</v>
          </cell>
          <cell r="Q51" t="str">
            <v>AISI 201</v>
          </cell>
        </row>
        <row r="52">
          <cell r="O52">
            <v>28</v>
          </cell>
          <cell r="P52" t="str">
            <v>AISI 316</v>
          </cell>
          <cell r="Q52" t="str">
            <v>AISI 304</v>
          </cell>
        </row>
        <row r="53">
          <cell r="O53">
            <v>30</v>
          </cell>
          <cell r="P53" t="str">
            <v>AISI 321</v>
          </cell>
          <cell r="Q53" t="str">
            <v>AISI 316</v>
          </cell>
        </row>
        <row r="54">
          <cell r="O54">
            <v>40</v>
          </cell>
          <cell r="Q54" t="str">
            <v>AISI 321</v>
          </cell>
        </row>
        <row r="60">
          <cell r="M60" t="str">
            <v>EUR</v>
          </cell>
        </row>
        <row r="61">
          <cell r="M61" t="str">
            <v xml:space="preserve">RUB </v>
          </cell>
        </row>
        <row r="62">
          <cell r="M62" t="str">
            <v>BYR</v>
          </cell>
        </row>
        <row r="63">
          <cell r="M63" t="str">
            <v>USD</v>
          </cell>
        </row>
        <row r="64">
          <cell r="M64" t="str">
            <v>UAH</v>
          </cell>
        </row>
        <row r="65">
          <cell r="M65" t="str">
            <v>KZT</v>
          </cell>
        </row>
      </sheetData>
      <sheetData sheetId="3"/>
      <sheetData sheetId="4">
        <row r="2">
          <cell r="A2">
            <v>0</v>
          </cell>
        </row>
        <row r="3">
          <cell r="A3">
            <v>1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"/>
      <sheetName val="Цена 2016"/>
      <sheetName val="Подбор"/>
      <sheetName val="ФОТ"/>
      <sheetName val="Фото"/>
      <sheetName val="Спецификация"/>
    </sheetNames>
    <sheetDataSet>
      <sheetData sheetId="0"/>
      <sheetData sheetId="1"/>
      <sheetData sheetId="2">
        <row r="49">
          <cell r="M49" t="str">
            <v>Илоскреб</v>
          </cell>
          <cell r="O49">
            <v>18</v>
          </cell>
          <cell r="P49" t="str">
            <v>CS</v>
          </cell>
          <cell r="Q49" t="str">
            <v>CS</v>
          </cell>
        </row>
        <row r="50">
          <cell r="M50" t="str">
            <v>Илосос</v>
          </cell>
          <cell r="O50">
            <v>20</v>
          </cell>
          <cell r="P50" t="str">
            <v>AISI 201</v>
          </cell>
          <cell r="Q50" t="str">
            <v>АМг3М</v>
          </cell>
        </row>
        <row r="51">
          <cell r="O51">
            <v>24</v>
          </cell>
          <cell r="P51" t="str">
            <v>AISI 304</v>
          </cell>
          <cell r="Q51" t="str">
            <v>AISI 201</v>
          </cell>
        </row>
        <row r="52">
          <cell r="O52">
            <v>28</v>
          </cell>
          <cell r="P52" t="str">
            <v>AISI 316</v>
          </cell>
          <cell r="Q52" t="str">
            <v>AISI 304</v>
          </cell>
        </row>
        <row r="53">
          <cell r="O53">
            <v>30</v>
          </cell>
          <cell r="P53" t="str">
            <v>AISI 321</v>
          </cell>
          <cell r="Q53" t="str">
            <v>AISI 316</v>
          </cell>
        </row>
        <row r="54">
          <cell r="O54">
            <v>40</v>
          </cell>
          <cell r="Q54" t="str">
            <v>AISI 321</v>
          </cell>
        </row>
        <row r="60">
          <cell r="M60" t="str">
            <v>EUR</v>
          </cell>
        </row>
        <row r="61">
          <cell r="M61" t="str">
            <v xml:space="preserve">RUB </v>
          </cell>
        </row>
        <row r="62">
          <cell r="M62" t="str">
            <v>BYR</v>
          </cell>
        </row>
        <row r="63">
          <cell r="M63" t="str">
            <v>USD</v>
          </cell>
        </row>
        <row r="64">
          <cell r="M64" t="str">
            <v>UAH</v>
          </cell>
        </row>
        <row r="65">
          <cell r="M65" t="str">
            <v>KZT</v>
          </cell>
        </row>
      </sheetData>
      <sheetData sheetId="3"/>
      <sheetData sheetId="4">
        <row r="2">
          <cell r="A2">
            <v>0</v>
          </cell>
        </row>
        <row r="3">
          <cell r="A3">
            <v>0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"/>
      <sheetName val="ТХ"/>
      <sheetName val="Гидравлика"/>
      <sheetName val="Подбор"/>
      <sheetName val="Цена 2016"/>
      <sheetName val="ФОТ и Комлектующие"/>
      <sheetName val="Спецификация"/>
    </sheetNames>
    <sheetDataSet>
      <sheetData sheetId="0"/>
      <sheetData sheetId="1"/>
      <sheetData sheetId="2"/>
      <sheetData sheetId="3">
        <row r="15">
          <cell r="B15">
            <v>1000</v>
          </cell>
        </row>
        <row r="55">
          <cell r="M55">
            <v>6</v>
          </cell>
          <cell r="P55" t="str">
            <v>IP 55</v>
          </cell>
        </row>
        <row r="56">
          <cell r="M56">
            <v>8</v>
          </cell>
          <cell r="P56" t="str">
            <v>IP 66</v>
          </cell>
        </row>
        <row r="57">
          <cell r="M57">
            <v>10</v>
          </cell>
          <cell r="P57" t="str">
            <v>IP 67</v>
          </cell>
        </row>
        <row r="58">
          <cell r="M58">
            <v>12</v>
          </cell>
          <cell r="P58" t="str">
            <v>IP 68</v>
          </cell>
        </row>
        <row r="59">
          <cell r="M59">
            <v>14</v>
          </cell>
        </row>
        <row r="60">
          <cell r="M60">
            <v>16</v>
          </cell>
        </row>
        <row r="61">
          <cell r="M61">
            <v>20</v>
          </cell>
        </row>
        <row r="62">
          <cell r="M62">
            <v>40</v>
          </cell>
        </row>
        <row r="111">
          <cell r="Z111" t="str">
            <v xml:space="preserve">Ширина </v>
          </cell>
        </row>
        <row r="112">
          <cell r="Z112">
            <v>400</v>
          </cell>
        </row>
        <row r="113">
          <cell r="Z113">
            <v>400</v>
          </cell>
        </row>
        <row r="114">
          <cell r="Z114">
            <v>400</v>
          </cell>
        </row>
        <row r="115">
          <cell r="Z115">
            <v>400</v>
          </cell>
        </row>
        <row r="116">
          <cell r="Z116">
            <v>400</v>
          </cell>
        </row>
        <row r="117">
          <cell r="Z117">
            <v>400</v>
          </cell>
        </row>
        <row r="118">
          <cell r="Z118">
            <v>400</v>
          </cell>
        </row>
        <row r="119">
          <cell r="Z119">
            <v>400</v>
          </cell>
        </row>
        <row r="120">
          <cell r="Z120">
            <v>400</v>
          </cell>
        </row>
        <row r="121">
          <cell r="Z121">
            <v>450</v>
          </cell>
        </row>
        <row r="122">
          <cell r="Z122">
            <v>450</v>
          </cell>
        </row>
        <row r="123">
          <cell r="Z123">
            <v>450</v>
          </cell>
        </row>
        <row r="124">
          <cell r="Z124">
            <v>450</v>
          </cell>
        </row>
        <row r="125">
          <cell r="Z125">
            <v>450</v>
          </cell>
        </row>
        <row r="126">
          <cell r="Z126">
            <v>450</v>
          </cell>
        </row>
        <row r="127">
          <cell r="Z127">
            <v>450</v>
          </cell>
        </row>
        <row r="128">
          <cell r="Z128">
            <v>450</v>
          </cell>
        </row>
        <row r="129">
          <cell r="Z129">
            <v>450</v>
          </cell>
        </row>
        <row r="130">
          <cell r="Z130">
            <v>450</v>
          </cell>
        </row>
        <row r="131">
          <cell r="Z131">
            <v>450</v>
          </cell>
        </row>
        <row r="132">
          <cell r="Z132">
            <v>450</v>
          </cell>
        </row>
        <row r="133">
          <cell r="Z133">
            <v>500</v>
          </cell>
        </row>
        <row r="134">
          <cell r="Z134">
            <v>500</v>
          </cell>
        </row>
        <row r="135">
          <cell r="Z135">
            <v>500</v>
          </cell>
        </row>
        <row r="136">
          <cell r="Z136">
            <v>500</v>
          </cell>
        </row>
        <row r="137">
          <cell r="Z137">
            <v>500</v>
          </cell>
        </row>
        <row r="138">
          <cell r="Z138">
            <v>500</v>
          </cell>
        </row>
        <row r="139">
          <cell r="Z139">
            <v>500</v>
          </cell>
        </row>
        <row r="140">
          <cell r="Z140">
            <v>500</v>
          </cell>
        </row>
        <row r="141">
          <cell r="Z141">
            <v>500</v>
          </cell>
        </row>
        <row r="142">
          <cell r="Z142">
            <v>500</v>
          </cell>
        </row>
        <row r="143">
          <cell r="Z143">
            <v>500</v>
          </cell>
        </row>
        <row r="144">
          <cell r="Z144">
            <v>500</v>
          </cell>
        </row>
        <row r="145">
          <cell r="Z145">
            <v>500</v>
          </cell>
        </row>
        <row r="146">
          <cell r="Z146">
            <v>500</v>
          </cell>
        </row>
        <row r="147">
          <cell r="Z147">
            <v>500</v>
          </cell>
        </row>
        <row r="148">
          <cell r="Z148">
            <v>550</v>
          </cell>
        </row>
        <row r="149">
          <cell r="Z149">
            <v>550</v>
          </cell>
        </row>
        <row r="150">
          <cell r="Z150">
            <v>550</v>
          </cell>
        </row>
        <row r="151">
          <cell r="Z151">
            <v>550</v>
          </cell>
        </row>
        <row r="152">
          <cell r="Z152">
            <v>550</v>
          </cell>
        </row>
        <row r="153">
          <cell r="Z153">
            <v>550</v>
          </cell>
        </row>
        <row r="154">
          <cell r="Z154">
            <v>550</v>
          </cell>
        </row>
        <row r="155">
          <cell r="Z155">
            <v>550</v>
          </cell>
        </row>
        <row r="156">
          <cell r="Z156">
            <v>550</v>
          </cell>
        </row>
        <row r="157">
          <cell r="Z157">
            <v>550</v>
          </cell>
        </row>
        <row r="158">
          <cell r="Z158">
            <v>550</v>
          </cell>
        </row>
        <row r="159">
          <cell r="Z159">
            <v>550</v>
          </cell>
        </row>
        <row r="160">
          <cell r="Z160">
            <v>550</v>
          </cell>
        </row>
        <row r="161">
          <cell r="Z161">
            <v>550</v>
          </cell>
        </row>
        <row r="162">
          <cell r="Z162">
            <v>550</v>
          </cell>
        </row>
        <row r="163">
          <cell r="Z163">
            <v>550</v>
          </cell>
        </row>
        <row r="164">
          <cell r="Z164">
            <v>600</v>
          </cell>
        </row>
        <row r="165">
          <cell r="Z165">
            <v>600</v>
          </cell>
        </row>
        <row r="166">
          <cell r="Z166">
            <v>600</v>
          </cell>
        </row>
        <row r="167">
          <cell r="Z167">
            <v>600</v>
          </cell>
        </row>
        <row r="168">
          <cell r="Z168">
            <v>600</v>
          </cell>
        </row>
        <row r="169">
          <cell r="Z169">
            <v>600</v>
          </cell>
        </row>
        <row r="170">
          <cell r="Z170">
            <v>600</v>
          </cell>
        </row>
        <row r="171">
          <cell r="Z171">
            <v>600</v>
          </cell>
        </row>
        <row r="172">
          <cell r="Z172">
            <v>600</v>
          </cell>
        </row>
        <row r="173">
          <cell r="Z173">
            <v>600</v>
          </cell>
        </row>
        <row r="174">
          <cell r="Z174">
            <v>600</v>
          </cell>
        </row>
        <row r="175">
          <cell r="Z175">
            <v>600</v>
          </cell>
        </row>
        <row r="176">
          <cell r="Z176">
            <v>600</v>
          </cell>
        </row>
        <row r="177">
          <cell r="Z177">
            <v>600</v>
          </cell>
        </row>
        <row r="178">
          <cell r="Z178">
            <v>600</v>
          </cell>
        </row>
        <row r="179">
          <cell r="Z179">
            <v>600</v>
          </cell>
        </row>
        <row r="180">
          <cell r="Z180">
            <v>600</v>
          </cell>
        </row>
        <row r="181">
          <cell r="Z181">
            <v>600</v>
          </cell>
        </row>
        <row r="182">
          <cell r="Z182">
            <v>650</v>
          </cell>
        </row>
        <row r="183">
          <cell r="Z183">
            <v>650</v>
          </cell>
        </row>
        <row r="184">
          <cell r="Z184">
            <v>650</v>
          </cell>
        </row>
        <row r="185">
          <cell r="Z185">
            <v>650</v>
          </cell>
        </row>
        <row r="186">
          <cell r="Z186">
            <v>650</v>
          </cell>
        </row>
        <row r="187">
          <cell r="Z187">
            <v>650</v>
          </cell>
        </row>
        <row r="188">
          <cell r="Z188">
            <v>650</v>
          </cell>
        </row>
        <row r="189">
          <cell r="Z189">
            <v>650</v>
          </cell>
        </row>
        <row r="190">
          <cell r="Z190">
            <v>650</v>
          </cell>
        </row>
        <row r="191">
          <cell r="Z191">
            <v>650</v>
          </cell>
        </row>
        <row r="192">
          <cell r="Z192">
            <v>650</v>
          </cell>
        </row>
        <row r="193">
          <cell r="Z193">
            <v>650</v>
          </cell>
        </row>
        <row r="194">
          <cell r="Z194">
            <v>650</v>
          </cell>
        </row>
        <row r="195">
          <cell r="Z195">
            <v>650</v>
          </cell>
        </row>
        <row r="196">
          <cell r="Z196">
            <v>650</v>
          </cell>
        </row>
        <row r="197">
          <cell r="Z197">
            <v>650</v>
          </cell>
        </row>
        <row r="198">
          <cell r="Z198">
            <v>650</v>
          </cell>
        </row>
        <row r="199">
          <cell r="Z199">
            <v>650</v>
          </cell>
        </row>
        <row r="200">
          <cell r="Z200">
            <v>650</v>
          </cell>
        </row>
        <row r="201">
          <cell r="Z201">
            <v>700</v>
          </cell>
        </row>
        <row r="202">
          <cell r="Z202">
            <v>700</v>
          </cell>
        </row>
        <row r="203">
          <cell r="Z203">
            <v>700</v>
          </cell>
        </row>
        <row r="204">
          <cell r="Z204">
            <v>700</v>
          </cell>
        </row>
        <row r="205">
          <cell r="Z205">
            <v>700</v>
          </cell>
        </row>
        <row r="206">
          <cell r="Z206">
            <v>700</v>
          </cell>
        </row>
        <row r="207">
          <cell r="Z207">
            <v>700</v>
          </cell>
        </row>
        <row r="208">
          <cell r="Z208">
            <v>700</v>
          </cell>
        </row>
        <row r="209">
          <cell r="Z209">
            <v>700</v>
          </cell>
        </row>
        <row r="210">
          <cell r="Z210">
            <v>700</v>
          </cell>
        </row>
        <row r="211">
          <cell r="Z211">
            <v>700</v>
          </cell>
        </row>
        <row r="212">
          <cell r="Z212">
            <v>700</v>
          </cell>
        </row>
        <row r="213">
          <cell r="Z213">
            <v>700</v>
          </cell>
        </row>
        <row r="214">
          <cell r="Z214">
            <v>700</v>
          </cell>
        </row>
        <row r="215">
          <cell r="Z215">
            <v>700</v>
          </cell>
        </row>
        <row r="216">
          <cell r="Z216">
            <v>700</v>
          </cell>
        </row>
        <row r="217">
          <cell r="Z217">
            <v>700</v>
          </cell>
        </row>
        <row r="218">
          <cell r="Z218">
            <v>700</v>
          </cell>
        </row>
        <row r="219">
          <cell r="Z219">
            <v>700</v>
          </cell>
        </row>
        <row r="220">
          <cell r="Z220">
            <v>700</v>
          </cell>
        </row>
        <row r="221">
          <cell r="Z221">
            <v>700</v>
          </cell>
        </row>
        <row r="222">
          <cell r="Z222">
            <v>750</v>
          </cell>
        </row>
        <row r="223">
          <cell r="Z223">
            <v>750</v>
          </cell>
        </row>
        <row r="224">
          <cell r="Z224">
            <v>750</v>
          </cell>
        </row>
        <row r="225">
          <cell r="Z225">
            <v>750</v>
          </cell>
        </row>
        <row r="226">
          <cell r="Z226">
            <v>750</v>
          </cell>
        </row>
        <row r="227">
          <cell r="Z227">
            <v>750</v>
          </cell>
        </row>
        <row r="228">
          <cell r="Z228">
            <v>750</v>
          </cell>
        </row>
        <row r="229">
          <cell r="Z229">
            <v>750</v>
          </cell>
        </row>
        <row r="230">
          <cell r="Z230">
            <v>750</v>
          </cell>
        </row>
        <row r="231">
          <cell r="Z231">
            <v>750</v>
          </cell>
        </row>
        <row r="232">
          <cell r="Z232">
            <v>750</v>
          </cell>
        </row>
        <row r="233">
          <cell r="Z233">
            <v>750</v>
          </cell>
        </row>
        <row r="234">
          <cell r="Z234">
            <v>750</v>
          </cell>
        </row>
        <row r="235">
          <cell r="Z235">
            <v>750</v>
          </cell>
        </row>
        <row r="236">
          <cell r="Z236">
            <v>750</v>
          </cell>
        </row>
        <row r="237">
          <cell r="Z237">
            <v>750</v>
          </cell>
        </row>
        <row r="238">
          <cell r="Z238">
            <v>750</v>
          </cell>
        </row>
        <row r="239">
          <cell r="Z239">
            <v>750</v>
          </cell>
        </row>
        <row r="240">
          <cell r="Z240">
            <v>750</v>
          </cell>
        </row>
        <row r="241">
          <cell r="Z241">
            <v>750</v>
          </cell>
        </row>
        <row r="242">
          <cell r="Z242">
            <v>750</v>
          </cell>
        </row>
        <row r="243">
          <cell r="Z243">
            <v>750</v>
          </cell>
        </row>
        <row r="244">
          <cell r="Z244">
            <v>800</v>
          </cell>
        </row>
        <row r="245">
          <cell r="Z245">
            <v>800</v>
          </cell>
        </row>
        <row r="246">
          <cell r="Z246">
            <v>800</v>
          </cell>
        </row>
        <row r="247">
          <cell r="Z247">
            <v>800</v>
          </cell>
        </row>
        <row r="248">
          <cell r="Z248">
            <v>800</v>
          </cell>
        </row>
        <row r="249">
          <cell r="Z249">
            <v>800</v>
          </cell>
        </row>
        <row r="250">
          <cell r="Z250">
            <v>800</v>
          </cell>
        </row>
        <row r="251">
          <cell r="Z251">
            <v>800</v>
          </cell>
        </row>
        <row r="252">
          <cell r="Z252">
            <v>800</v>
          </cell>
        </row>
        <row r="253">
          <cell r="Z253">
            <v>800</v>
          </cell>
        </row>
        <row r="254">
          <cell r="Z254">
            <v>800</v>
          </cell>
        </row>
        <row r="255">
          <cell r="Z255">
            <v>800</v>
          </cell>
        </row>
        <row r="256">
          <cell r="Z256">
            <v>800</v>
          </cell>
        </row>
        <row r="257">
          <cell r="Z257">
            <v>800</v>
          </cell>
        </row>
        <row r="258">
          <cell r="Z258">
            <v>800</v>
          </cell>
        </row>
        <row r="259">
          <cell r="Z259">
            <v>800</v>
          </cell>
        </row>
        <row r="260">
          <cell r="Z260">
            <v>800</v>
          </cell>
        </row>
        <row r="261">
          <cell r="Z261">
            <v>800</v>
          </cell>
        </row>
        <row r="262">
          <cell r="Z262">
            <v>800</v>
          </cell>
        </row>
        <row r="263">
          <cell r="Z263">
            <v>800</v>
          </cell>
        </row>
        <row r="264">
          <cell r="Z264">
            <v>800</v>
          </cell>
        </row>
        <row r="265">
          <cell r="Z265">
            <v>800</v>
          </cell>
        </row>
        <row r="266">
          <cell r="Z266">
            <v>800</v>
          </cell>
        </row>
        <row r="267">
          <cell r="Z267">
            <v>800</v>
          </cell>
        </row>
        <row r="268">
          <cell r="Z268">
            <v>900</v>
          </cell>
        </row>
        <row r="269">
          <cell r="Z269">
            <v>900</v>
          </cell>
        </row>
        <row r="270">
          <cell r="Z270">
            <v>900</v>
          </cell>
        </row>
        <row r="271">
          <cell r="Z271">
            <v>900</v>
          </cell>
        </row>
        <row r="272">
          <cell r="Z272">
            <v>900</v>
          </cell>
        </row>
        <row r="273">
          <cell r="Z273">
            <v>900</v>
          </cell>
        </row>
        <row r="274">
          <cell r="Z274">
            <v>900</v>
          </cell>
        </row>
        <row r="275">
          <cell r="Z275">
            <v>900</v>
          </cell>
        </row>
        <row r="276">
          <cell r="Z276">
            <v>900</v>
          </cell>
        </row>
        <row r="277">
          <cell r="Z277">
            <v>900</v>
          </cell>
        </row>
        <row r="278">
          <cell r="Z278">
            <v>900</v>
          </cell>
        </row>
        <row r="279">
          <cell r="Z279">
            <v>900</v>
          </cell>
        </row>
        <row r="280">
          <cell r="Z280">
            <v>900</v>
          </cell>
        </row>
        <row r="281">
          <cell r="Z281">
            <v>900</v>
          </cell>
        </row>
        <row r="282">
          <cell r="Z282">
            <v>900</v>
          </cell>
        </row>
        <row r="283">
          <cell r="Z283">
            <v>900</v>
          </cell>
        </row>
        <row r="284">
          <cell r="Z284">
            <v>900</v>
          </cell>
        </row>
        <row r="285">
          <cell r="Z285">
            <v>900</v>
          </cell>
        </row>
        <row r="286">
          <cell r="Z286">
            <v>900</v>
          </cell>
        </row>
        <row r="287">
          <cell r="Z287">
            <v>900</v>
          </cell>
        </row>
        <row r="288">
          <cell r="Z288">
            <v>900</v>
          </cell>
        </row>
        <row r="289">
          <cell r="Z289">
            <v>900</v>
          </cell>
        </row>
        <row r="290">
          <cell r="Z290">
            <v>900</v>
          </cell>
        </row>
        <row r="291">
          <cell r="Z291">
            <v>900</v>
          </cell>
        </row>
        <row r="292">
          <cell r="Z292">
            <v>900</v>
          </cell>
        </row>
        <row r="293">
          <cell r="Z293">
            <v>1000</v>
          </cell>
        </row>
        <row r="294">
          <cell r="Z294">
            <v>1000</v>
          </cell>
        </row>
        <row r="295">
          <cell r="Z295">
            <v>1000</v>
          </cell>
        </row>
        <row r="296">
          <cell r="Z296">
            <v>1000</v>
          </cell>
        </row>
        <row r="297">
          <cell r="Z297">
            <v>1000</v>
          </cell>
        </row>
        <row r="298">
          <cell r="Z298">
            <v>1000</v>
          </cell>
        </row>
        <row r="299">
          <cell r="Z299">
            <v>1000</v>
          </cell>
        </row>
        <row r="300">
          <cell r="Z300">
            <v>1000</v>
          </cell>
        </row>
        <row r="301">
          <cell r="Z301">
            <v>1000</v>
          </cell>
        </row>
        <row r="302">
          <cell r="Z302">
            <v>1000</v>
          </cell>
        </row>
        <row r="303">
          <cell r="Z303">
            <v>1000</v>
          </cell>
        </row>
        <row r="304">
          <cell r="Z304">
            <v>1000</v>
          </cell>
        </row>
        <row r="305">
          <cell r="Z305">
            <v>1000</v>
          </cell>
        </row>
        <row r="306">
          <cell r="Z306">
            <v>1000</v>
          </cell>
        </row>
        <row r="307">
          <cell r="Z307">
            <v>1000</v>
          </cell>
        </row>
        <row r="308">
          <cell r="Z308">
            <v>1000</v>
          </cell>
        </row>
        <row r="309">
          <cell r="Z309">
            <v>1000</v>
          </cell>
        </row>
        <row r="310">
          <cell r="Z310">
            <v>1000</v>
          </cell>
        </row>
        <row r="311">
          <cell r="Z311">
            <v>1000</v>
          </cell>
        </row>
        <row r="312">
          <cell r="Z312">
            <v>1000</v>
          </cell>
        </row>
        <row r="313">
          <cell r="Z313">
            <v>1000</v>
          </cell>
        </row>
        <row r="314">
          <cell r="Z314">
            <v>1000</v>
          </cell>
        </row>
        <row r="315">
          <cell r="Z315">
            <v>1000</v>
          </cell>
        </row>
        <row r="316">
          <cell r="Z316">
            <v>1000</v>
          </cell>
        </row>
        <row r="317">
          <cell r="Z317">
            <v>1100</v>
          </cell>
        </row>
        <row r="318">
          <cell r="Z318">
            <v>1100</v>
          </cell>
        </row>
        <row r="319">
          <cell r="Z319">
            <v>1100</v>
          </cell>
        </row>
        <row r="320">
          <cell r="Z320">
            <v>1100</v>
          </cell>
        </row>
        <row r="321">
          <cell r="Z321">
            <v>1100</v>
          </cell>
        </row>
        <row r="322">
          <cell r="Z322">
            <v>1100</v>
          </cell>
        </row>
        <row r="323">
          <cell r="Z323">
            <v>1100</v>
          </cell>
        </row>
        <row r="324">
          <cell r="Z324">
            <v>1100</v>
          </cell>
        </row>
        <row r="325">
          <cell r="Z325">
            <v>1100</v>
          </cell>
        </row>
        <row r="326">
          <cell r="Z326">
            <v>1100</v>
          </cell>
        </row>
        <row r="327">
          <cell r="Z327">
            <v>1100</v>
          </cell>
        </row>
        <row r="328">
          <cell r="Z328">
            <v>1100</v>
          </cell>
        </row>
        <row r="329">
          <cell r="Z329">
            <v>1100</v>
          </cell>
        </row>
        <row r="330">
          <cell r="Z330">
            <v>1100</v>
          </cell>
        </row>
        <row r="331">
          <cell r="Z331">
            <v>1100</v>
          </cell>
        </row>
        <row r="332">
          <cell r="Z332">
            <v>1100</v>
          </cell>
        </row>
        <row r="333">
          <cell r="Z333">
            <v>1100</v>
          </cell>
        </row>
        <row r="334">
          <cell r="Z334">
            <v>1100</v>
          </cell>
        </row>
        <row r="335">
          <cell r="Z335">
            <v>1100</v>
          </cell>
        </row>
        <row r="336">
          <cell r="Z336">
            <v>1100</v>
          </cell>
        </row>
        <row r="337">
          <cell r="Z337">
            <v>1100</v>
          </cell>
        </row>
        <row r="338">
          <cell r="Z338">
            <v>1100</v>
          </cell>
        </row>
        <row r="339">
          <cell r="Z339">
            <v>1100</v>
          </cell>
        </row>
        <row r="340">
          <cell r="Z340">
            <v>1200</v>
          </cell>
        </row>
        <row r="341">
          <cell r="Z341">
            <v>1200</v>
          </cell>
        </row>
        <row r="342">
          <cell r="Z342">
            <v>1200</v>
          </cell>
        </row>
        <row r="343">
          <cell r="Z343">
            <v>1200</v>
          </cell>
        </row>
        <row r="344">
          <cell r="Z344">
            <v>1200</v>
          </cell>
        </row>
        <row r="345">
          <cell r="Z345">
            <v>1200</v>
          </cell>
        </row>
        <row r="346">
          <cell r="Z346">
            <v>1200</v>
          </cell>
        </row>
        <row r="347">
          <cell r="Z347">
            <v>1200</v>
          </cell>
        </row>
        <row r="348">
          <cell r="Z348">
            <v>1200</v>
          </cell>
        </row>
        <row r="349">
          <cell r="Z349">
            <v>1200</v>
          </cell>
        </row>
        <row r="350">
          <cell r="Z350">
            <v>1200</v>
          </cell>
        </row>
        <row r="351">
          <cell r="Z351">
            <v>1200</v>
          </cell>
        </row>
        <row r="352">
          <cell r="Z352">
            <v>1200</v>
          </cell>
        </row>
        <row r="353">
          <cell r="Z353">
            <v>1200</v>
          </cell>
        </row>
        <row r="354">
          <cell r="Z354">
            <v>1200</v>
          </cell>
        </row>
        <row r="355">
          <cell r="Z355">
            <v>1200</v>
          </cell>
        </row>
        <row r="356">
          <cell r="Z356">
            <v>1200</v>
          </cell>
        </row>
        <row r="357">
          <cell r="Z357">
            <v>1200</v>
          </cell>
        </row>
        <row r="358">
          <cell r="Z358">
            <v>1200</v>
          </cell>
        </row>
        <row r="359">
          <cell r="Z359">
            <v>1200</v>
          </cell>
        </row>
        <row r="360">
          <cell r="Z360">
            <v>1200</v>
          </cell>
        </row>
        <row r="361">
          <cell r="Z361">
            <v>1200</v>
          </cell>
        </row>
        <row r="362">
          <cell r="Z362">
            <v>1300</v>
          </cell>
        </row>
        <row r="363">
          <cell r="Z363">
            <v>1300</v>
          </cell>
        </row>
        <row r="364">
          <cell r="Z364">
            <v>1300</v>
          </cell>
        </row>
        <row r="365">
          <cell r="Z365">
            <v>1300</v>
          </cell>
        </row>
        <row r="366">
          <cell r="Z366">
            <v>1300</v>
          </cell>
        </row>
        <row r="367">
          <cell r="Z367">
            <v>1300</v>
          </cell>
        </row>
        <row r="368">
          <cell r="Z368">
            <v>1300</v>
          </cell>
        </row>
        <row r="369">
          <cell r="Z369">
            <v>1300</v>
          </cell>
        </row>
        <row r="370">
          <cell r="Z370">
            <v>1300</v>
          </cell>
        </row>
        <row r="371">
          <cell r="Z371">
            <v>1300</v>
          </cell>
        </row>
        <row r="372">
          <cell r="Z372">
            <v>1300</v>
          </cell>
        </row>
        <row r="373">
          <cell r="Z373">
            <v>1300</v>
          </cell>
        </row>
        <row r="374">
          <cell r="Z374">
            <v>1300</v>
          </cell>
        </row>
        <row r="375">
          <cell r="Z375">
            <v>1300</v>
          </cell>
        </row>
        <row r="376">
          <cell r="Z376">
            <v>1300</v>
          </cell>
        </row>
        <row r="377">
          <cell r="Z377">
            <v>1300</v>
          </cell>
        </row>
        <row r="378">
          <cell r="Z378">
            <v>1300</v>
          </cell>
        </row>
        <row r="379">
          <cell r="Z379">
            <v>1300</v>
          </cell>
        </row>
        <row r="380">
          <cell r="Z380">
            <v>1300</v>
          </cell>
        </row>
        <row r="381">
          <cell r="Z381">
            <v>1300</v>
          </cell>
        </row>
        <row r="382">
          <cell r="Z382">
            <v>1300</v>
          </cell>
        </row>
        <row r="383">
          <cell r="Z383">
            <v>1400</v>
          </cell>
        </row>
        <row r="384">
          <cell r="Z384">
            <v>1400</v>
          </cell>
        </row>
        <row r="385">
          <cell r="Z385">
            <v>1400</v>
          </cell>
        </row>
        <row r="386">
          <cell r="Z386">
            <v>1400</v>
          </cell>
        </row>
        <row r="387">
          <cell r="Z387">
            <v>1400</v>
          </cell>
        </row>
        <row r="388">
          <cell r="Z388">
            <v>1400</v>
          </cell>
        </row>
        <row r="389">
          <cell r="Z389">
            <v>1400</v>
          </cell>
        </row>
        <row r="390">
          <cell r="Z390">
            <v>1400</v>
          </cell>
        </row>
        <row r="391">
          <cell r="Z391">
            <v>1400</v>
          </cell>
        </row>
        <row r="392">
          <cell r="Z392">
            <v>1400</v>
          </cell>
        </row>
        <row r="393">
          <cell r="Z393">
            <v>1400</v>
          </cell>
        </row>
        <row r="394">
          <cell r="Z394">
            <v>1400</v>
          </cell>
        </row>
        <row r="395">
          <cell r="Z395">
            <v>1400</v>
          </cell>
        </row>
        <row r="396">
          <cell r="Z396">
            <v>1400</v>
          </cell>
        </row>
        <row r="397">
          <cell r="Z397">
            <v>1400</v>
          </cell>
        </row>
        <row r="398">
          <cell r="Z398">
            <v>1400</v>
          </cell>
        </row>
        <row r="399">
          <cell r="Z399">
            <v>1400</v>
          </cell>
        </row>
        <row r="400">
          <cell r="Z400">
            <v>1400</v>
          </cell>
        </row>
        <row r="401">
          <cell r="Z401">
            <v>1400</v>
          </cell>
        </row>
        <row r="402">
          <cell r="Z402">
            <v>1400</v>
          </cell>
        </row>
        <row r="403">
          <cell r="Z403">
            <v>1500</v>
          </cell>
        </row>
        <row r="404">
          <cell r="Z404">
            <v>1500</v>
          </cell>
        </row>
        <row r="405">
          <cell r="Z405">
            <v>1500</v>
          </cell>
        </row>
        <row r="406">
          <cell r="Z406">
            <v>1500</v>
          </cell>
        </row>
        <row r="407">
          <cell r="Z407">
            <v>1500</v>
          </cell>
        </row>
        <row r="408">
          <cell r="Z408">
            <v>1500</v>
          </cell>
        </row>
        <row r="409">
          <cell r="Z409">
            <v>1500</v>
          </cell>
        </row>
        <row r="410">
          <cell r="Z410">
            <v>1500</v>
          </cell>
        </row>
        <row r="411">
          <cell r="Z411">
            <v>1500</v>
          </cell>
        </row>
        <row r="412">
          <cell r="Z412">
            <v>1500</v>
          </cell>
        </row>
        <row r="413">
          <cell r="Z413">
            <v>1500</v>
          </cell>
        </row>
        <row r="414">
          <cell r="Z414">
            <v>1500</v>
          </cell>
        </row>
        <row r="415">
          <cell r="Z415">
            <v>1500</v>
          </cell>
        </row>
        <row r="416">
          <cell r="Z416">
            <v>1500</v>
          </cell>
        </row>
        <row r="417">
          <cell r="Z417">
            <v>1500</v>
          </cell>
        </row>
        <row r="418">
          <cell r="Z418">
            <v>1500</v>
          </cell>
        </row>
        <row r="419">
          <cell r="Z419">
            <v>1500</v>
          </cell>
        </row>
        <row r="420">
          <cell r="Z420">
            <v>1500</v>
          </cell>
        </row>
        <row r="421">
          <cell r="Z421">
            <v>1500</v>
          </cell>
        </row>
        <row r="422">
          <cell r="Z422">
            <v>1600</v>
          </cell>
        </row>
        <row r="423">
          <cell r="Z423">
            <v>1600</v>
          </cell>
        </row>
        <row r="424">
          <cell r="Z424">
            <v>1600</v>
          </cell>
        </row>
        <row r="425">
          <cell r="Z425">
            <v>1600</v>
          </cell>
        </row>
        <row r="426">
          <cell r="Z426">
            <v>1600</v>
          </cell>
        </row>
        <row r="427">
          <cell r="Z427">
            <v>1600</v>
          </cell>
        </row>
        <row r="428">
          <cell r="Z428">
            <v>1600</v>
          </cell>
        </row>
        <row r="429">
          <cell r="Z429">
            <v>1600</v>
          </cell>
        </row>
        <row r="430">
          <cell r="Z430">
            <v>1600</v>
          </cell>
        </row>
        <row r="431">
          <cell r="Z431">
            <v>1600</v>
          </cell>
        </row>
        <row r="432">
          <cell r="Z432">
            <v>1600</v>
          </cell>
        </row>
        <row r="433">
          <cell r="Z433">
            <v>1600</v>
          </cell>
        </row>
        <row r="434">
          <cell r="Z434">
            <v>1600</v>
          </cell>
        </row>
        <row r="435">
          <cell r="Z435">
            <v>1600</v>
          </cell>
        </row>
        <row r="436">
          <cell r="Z436">
            <v>1600</v>
          </cell>
        </row>
        <row r="437">
          <cell r="Z437">
            <v>1600</v>
          </cell>
        </row>
        <row r="438">
          <cell r="Z438">
            <v>1600</v>
          </cell>
        </row>
        <row r="439">
          <cell r="Z439">
            <v>1600</v>
          </cell>
        </row>
        <row r="440">
          <cell r="Z440">
            <v>1700</v>
          </cell>
        </row>
        <row r="441">
          <cell r="Z441">
            <v>1700</v>
          </cell>
        </row>
        <row r="442">
          <cell r="Z442">
            <v>1700</v>
          </cell>
        </row>
        <row r="443">
          <cell r="Z443">
            <v>1700</v>
          </cell>
        </row>
        <row r="444">
          <cell r="Z444">
            <v>1700</v>
          </cell>
        </row>
        <row r="445">
          <cell r="Z445">
            <v>1700</v>
          </cell>
        </row>
        <row r="446">
          <cell r="Z446">
            <v>1700</v>
          </cell>
        </row>
        <row r="447">
          <cell r="Z447">
            <v>1700</v>
          </cell>
        </row>
        <row r="448">
          <cell r="Z448">
            <v>1700</v>
          </cell>
        </row>
        <row r="449">
          <cell r="Z449">
            <v>1700</v>
          </cell>
        </row>
        <row r="450">
          <cell r="Z450">
            <v>1700</v>
          </cell>
        </row>
        <row r="451">
          <cell r="Z451">
            <v>1700</v>
          </cell>
        </row>
        <row r="452">
          <cell r="Z452">
            <v>1700</v>
          </cell>
        </row>
        <row r="453">
          <cell r="Z453">
            <v>1700</v>
          </cell>
        </row>
        <row r="454">
          <cell r="Z454">
            <v>1700</v>
          </cell>
        </row>
        <row r="455">
          <cell r="Z455">
            <v>1700</v>
          </cell>
        </row>
        <row r="456">
          <cell r="Z456">
            <v>1700</v>
          </cell>
        </row>
        <row r="457">
          <cell r="Z457">
            <v>1800</v>
          </cell>
        </row>
        <row r="458">
          <cell r="Z458">
            <v>1800</v>
          </cell>
        </row>
        <row r="459">
          <cell r="Z459">
            <v>1800</v>
          </cell>
        </row>
        <row r="460">
          <cell r="Z460">
            <v>1800</v>
          </cell>
        </row>
        <row r="461">
          <cell r="Z461">
            <v>1800</v>
          </cell>
        </row>
        <row r="462">
          <cell r="Z462">
            <v>1800</v>
          </cell>
        </row>
        <row r="463">
          <cell r="Z463">
            <v>1800</v>
          </cell>
        </row>
        <row r="464">
          <cell r="Z464">
            <v>1800</v>
          </cell>
        </row>
        <row r="465">
          <cell r="Z465">
            <v>1800</v>
          </cell>
        </row>
        <row r="466">
          <cell r="Z466">
            <v>1800</v>
          </cell>
        </row>
        <row r="467">
          <cell r="Z467">
            <v>1800</v>
          </cell>
        </row>
        <row r="468">
          <cell r="Z468">
            <v>1800</v>
          </cell>
        </row>
        <row r="469">
          <cell r="Z469">
            <v>1800</v>
          </cell>
        </row>
        <row r="470">
          <cell r="Z470">
            <v>1800</v>
          </cell>
        </row>
        <row r="471">
          <cell r="Z471">
            <v>1800</v>
          </cell>
        </row>
        <row r="472">
          <cell r="Z472">
            <v>1800</v>
          </cell>
        </row>
        <row r="473">
          <cell r="Z473">
            <v>1900</v>
          </cell>
        </row>
        <row r="474">
          <cell r="Z474">
            <v>1900</v>
          </cell>
        </row>
        <row r="475">
          <cell r="Z475">
            <v>1900</v>
          </cell>
        </row>
        <row r="476">
          <cell r="Z476">
            <v>1900</v>
          </cell>
        </row>
        <row r="477">
          <cell r="Z477">
            <v>1900</v>
          </cell>
        </row>
        <row r="478">
          <cell r="Z478">
            <v>1900</v>
          </cell>
        </row>
        <row r="479">
          <cell r="Z479">
            <v>1900</v>
          </cell>
        </row>
        <row r="480">
          <cell r="Z480">
            <v>1900</v>
          </cell>
        </row>
        <row r="481">
          <cell r="Z481">
            <v>1900</v>
          </cell>
        </row>
        <row r="482">
          <cell r="Z482">
            <v>1900</v>
          </cell>
        </row>
        <row r="483">
          <cell r="Z483">
            <v>1900</v>
          </cell>
        </row>
        <row r="484">
          <cell r="Z484">
            <v>1900</v>
          </cell>
        </row>
        <row r="485">
          <cell r="Z485">
            <v>1900</v>
          </cell>
        </row>
        <row r="486">
          <cell r="Z486">
            <v>1900</v>
          </cell>
        </row>
        <row r="487">
          <cell r="Z487">
            <v>1900</v>
          </cell>
        </row>
        <row r="488">
          <cell r="Z488">
            <v>2000</v>
          </cell>
        </row>
        <row r="489">
          <cell r="Z489">
            <v>2000</v>
          </cell>
        </row>
        <row r="490">
          <cell r="Z490">
            <v>2000</v>
          </cell>
        </row>
        <row r="491">
          <cell r="Z491">
            <v>2000</v>
          </cell>
        </row>
        <row r="492">
          <cell r="Z492">
            <v>2000</v>
          </cell>
        </row>
        <row r="493">
          <cell r="Z493">
            <v>2000</v>
          </cell>
        </row>
        <row r="494">
          <cell r="Z494">
            <v>2000</v>
          </cell>
        </row>
        <row r="495">
          <cell r="Z495">
            <v>2000</v>
          </cell>
        </row>
        <row r="496">
          <cell r="Z496">
            <v>2000</v>
          </cell>
        </row>
        <row r="497">
          <cell r="Z497">
            <v>2000</v>
          </cell>
        </row>
        <row r="498">
          <cell r="Z498">
            <v>2000</v>
          </cell>
        </row>
        <row r="499">
          <cell r="Z499">
            <v>2000</v>
          </cell>
        </row>
        <row r="500">
          <cell r="Z500">
            <v>2000</v>
          </cell>
        </row>
        <row r="501">
          <cell r="Z501">
            <v>2000</v>
          </cell>
        </row>
        <row r="502">
          <cell r="Z502">
            <v>2100</v>
          </cell>
        </row>
        <row r="503">
          <cell r="Z503">
            <v>2100</v>
          </cell>
        </row>
        <row r="504">
          <cell r="Z504">
            <v>2100</v>
          </cell>
        </row>
        <row r="505">
          <cell r="Z505">
            <v>2100</v>
          </cell>
        </row>
        <row r="506">
          <cell r="Z506">
            <v>2100</v>
          </cell>
        </row>
        <row r="507">
          <cell r="Z507">
            <v>2100</v>
          </cell>
        </row>
        <row r="508">
          <cell r="Z508">
            <v>2100</v>
          </cell>
        </row>
        <row r="509">
          <cell r="Z509">
            <v>2100</v>
          </cell>
        </row>
        <row r="510">
          <cell r="Z510">
            <v>2100</v>
          </cell>
        </row>
        <row r="511">
          <cell r="Z511">
            <v>2100</v>
          </cell>
        </row>
        <row r="512">
          <cell r="Z512">
            <v>2100</v>
          </cell>
        </row>
        <row r="513">
          <cell r="Z513">
            <v>2100</v>
          </cell>
        </row>
        <row r="514">
          <cell r="Z514">
            <v>2100</v>
          </cell>
        </row>
        <row r="515">
          <cell r="Z515">
            <v>2200</v>
          </cell>
        </row>
        <row r="516">
          <cell r="Z516">
            <v>2200</v>
          </cell>
        </row>
        <row r="517">
          <cell r="Z517">
            <v>2200</v>
          </cell>
        </row>
        <row r="518">
          <cell r="Z518">
            <v>2200</v>
          </cell>
        </row>
        <row r="519">
          <cell r="Z519">
            <v>2200</v>
          </cell>
        </row>
        <row r="520">
          <cell r="Z520">
            <v>2200</v>
          </cell>
        </row>
        <row r="521">
          <cell r="Z521">
            <v>2200</v>
          </cell>
        </row>
        <row r="522">
          <cell r="Z522">
            <v>2200</v>
          </cell>
        </row>
        <row r="523">
          <cell r="Z523">
            <v>2200</v>
          </cell>
        </row>
        <row r="524">
          <cell r="Z524">
            <v>2200</v>
          </cell>
        </row>
        <row r="525">
          <cell r="Z525">
            <v>2200</v>
          </cell>
        </row>
        <row r="526">
          <cell r="Z526">
            <v>2200</v>
          </cell>
        </row>
        <row r="527">
          <cell r="Z527">
            <v>2300</v>
          </cell>
        </row>
        <row r="528">
          <cell r="Z528">
            <v>2300</v>
          </cell>
        </row>
        <row r="529">
          <cell r="Z529">
            <v>2300</v>
          </cell>
        </row>
        <row r="530">
          <cell r="Z530">
            <v>2300</v>
          </cell>
        </row>
        <row r="531">
          <cell r="Z531">
            <v>2300</v>
          </cell>
        </row>
        <row r="532">
          <cell r="Z532">
            <v>2300</v>
          </cell>
        </row>
        <row r="533">
          <cell r="Z533">
            <v>2300</v>
          </cell>
        </row>
        <row r="534">
          <cell r="Z534">
            <v>2300</v>
          </cell>
        </row>
        <row r="535">
          <cell r="Z535">
            <v>2300</v>
          </cell>
        </row>
        <row r="536">
          <cell r="Z536">
            <v>2300</v>
          </cell>
        </row>
        <row r="537">
          <cell r="Z537">
            <v>2300</v>
          </cell>
        </row>
        <row r="538">
          <cell r="Z538">
            <v>2400</v>
          </cell>
        </row>
        <row r="539">
          <cell r="Z539">
            <v>2400</v>
          </cell>
        </row>
        <row r="540">
          <cell r="Z540">
            <v>2400</v>
          </cell>
        </row>
        <row r="541">
          <cell r="Z541">
            <v>2400</v>
          </cell>
        </row>
        <row r="542">
          <cell r="Z542">
            <v>2400</v>
          </cell>
        </row>
        <row r="543">
          <cell r="Z543">
            <v>2400</v>
          </cell>
        </row>
        <row r="544">
          <cell r="Z544">
            <v>2400</v>
          </cell>
        </row>
        <row r="545">
          <cell r="Z545">
            <v>2400</v>
          </cell>
        </row>
        <row r="546">
          <cell r="Z546">
            <v>2400</v>
          </cell>
        </row>
        <row r="547">
          <cell r="Z547">
            <v>2400</v>
          </cell>
        </row>
      </sheetData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"/>
      <sheetName val="Подбор"/>
      <sheetName val="Цена 2016"/>
      <sheetName val="ФОТ"/>
      <sheetName val="Спецификация"/>
    </sheetNames>
    <sheetDataSet>
      <sheetData sheetId="0"/>
      <sheetData sheetId="1">
        <row r="11">
          <cell r="M11" t="str">
            <v>Давиденко А.Ю.</v>
          </cell>
        </row>
        <row r="12">
          <cell r="M12" t="str">
            <v>Дёмкин Ю.А.</v>
          </cell>
        </row>
        <row r="13">
          <cell r="M13" t="str">
            <v>Ерченко В.В.</v>
          </cell>
        </row>
        <row r="14">
          <cell r="M14" t="str">
            <v>Кирнес Н.Ф.</v>
          </cell>
        </row>
        <row r="15">
          <cell r="M15" t="str">
            <v>Костин Ю.В.</v>
          </cell>
        </row>
        <row r="16">
          <cell r="M16" t="str">
            <v>Котляр А.А.</v>
          </cell>
        </row>
        <row r="17">
          <cell r="M17" t="str">
            <v>Логинов И.А.</v>
          </cell>
        </row>
        <row r="18">
          <cell r="M18" t="str">
            <v xml:space="preserve">Рулев Н.А. </v>
          </cell>
        </row>
        <row r="19">
          <cell r="M19" t="str">
            <v>Тульчинский А.Г.</v>
          </cell>
        </row>
        <row r="20">
          <cell r="M20" t="str">
            <v>Тютюнник Д.В.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2"/>
  <sheetViews>
    <sheetView tabSelected="1" topLeftCell="B1" workbookViewId="0">
      <selection activeCell="C23" sqref="C23"/>
    </sheetView>
  </sheetViews>
  <sheetFormatPr defaultRowHeight="12.75" x14ac:dyDescent="0.2"/>
  <cols>
    <col min="1" max="1" width="61.42578125" style="50" customWidth="1"/>
    <col min="2" max="2" width="21.140625" style="50" customWidth="1"/>
    <col min="3" max="3" width="96.5703125" style="412" customWidth="1"/>
    <col min="4" max="16384" width="9.140625" style="50"/>
  </cols>
  <sheetData>
    <row r="1" spans="1:3" x14ac:dyDescent="0.2">
      <c r="A1" s="401" t="s">
        <v>477</v>
      </c>
      <c r="B1" s="402" t="s">
        <v>478</v>
      </c>
      <c r="C1" s="403">
        <f>Цена!B9</f>
        <v>8648</v>
      </c>
    </row>
    <row r="2" spans="1:3" x14ac:dyDescent="0.2">
      <c r="A2" s="401" t="s">
        <v>635</v>
      </c>
      <c r="B2" s="402" t="s">
        <v>636</v>
      </c>
      <c r="C2" s="403" t="str">
        <f>CONCATENATE(Цена!B6," ",Цена!B7)</f>
        <v>0 0</v>
      </c>
    </row>
    <row r="3" spans="1:3" x14ac:dyDescent="0.2">
      <c r="A3" s="401" t="s">
        <v>637</v>
      </c>
      <c r="B3" s="402" t="s">
        <v>638</v>
      </c>
      <c r="C3" s="403" t="str">
        <f>Цена!B4</f>
        <v>Ахметшин Ю. М.</v>
      </c>
    </row>
    <row r="4" spans="1:3" x14ac:dyDescent="0.2">
      <c r="A4" s="401" t="s">
        <v>639</v>
      </c>
      <c r="B4" s="402" t="s">
        <v>640</v>
      </c>
      <c r="C4" s="403" t="str">
        <f>IF(Цена!B11="НПФ Экополимер","Харьков","Москва")</f>
        <v>Москва</v>
      </c>
    </row>
    <row r="5" spans="1:3" x14ac:dyDescent="0.2">
      <c r="A5" s="401" t="s">
        <v>641</v>
      </c>
      <c r="B5" s="402" t="s">
        <v>642</v>
      </c>
      <c r="C5" s="403">
        <f ca="1">YEAR(TODAY())</f>
        <v>2022</v>
      </c>
    </row>
    <row r="6" spans="1:3" x14ac:dyDescent="0.2">
      <c r="A6" s="401" t="s">
        <v>643</v>
      </c>
      <c r="B6" s="402" t="s">
        <v>644</v>
      </c>
      <c r="C6" s="403" t="str">
        <f>Цена!B2</f>
        <v>22.02.2022</v>
      </c>
    </row>
    <row r="7" spans="1:3" x14ac:dyDescent="0.2">
      <c r="A7" s="401" t="s">
        <v>645</v>
      </c>
      <c r="B7" s="402" t="s">
        <v>646</v>
      </c>
      <c r="C7" s="403" t="str">
        <f>Цена!B11</f>
        <v>ТПП Экополимер</v>
      </c>
    </row>
    <row r="8" spans="1:3" x14ac:dyDescent="0.2">
      <c r="A8" s="401" t="s">
        <v>480</v>
      </c>
      <c r="B8" s="408" t="s">
        <v>670</v>
      </c>
      <c r="C8" s="409" t="str">
        <f>Цена!I4</f>
        <v>ЭРПЭ 1000.1300.850.6</v>
      </c>
    </row>
    <row r="9" spans="1:3" x14ac:dyDescent="0.2">
      <c r="A9" s="401"/>
      <c r="B9" s="408" t="s">
        <v>647</v>
      </c>
      <c r="C9" s="409" t="str">
        <f>C8</f>
        <v>ЭРПЭ 1000.1300.850.6</v>
      </c>
    </row>
    <row r="10" spans="1:3" x14ac:dyDescent="0.2">
      <c r="A10" s="401"/>
      <c r="B10" s="408" t="s">
        <v>648</v>
      </c>
      <c r="C10" s="409" t="str">
        <f>C8</f>
        <v>ЭРПЭ 1000.1300.850.6</v>
      </c>
    </row>
    <row r="11" spans="1:3" x14ac:dyDescent="0.2">
      <c r="A11" s="401"/>
      <c r="B11" s="408" t="s">
        <v>649</v>
      </c>
      <c r="C11" s="409" t="str">
        <f>C8</f>
        <v>ЭРПЭ 1000.1300.850.6</v>
      </c>
    </row>
    <row r="12" spans="1:3" x14ac:dyDescent="0.2">
      <c r="A12" s="401"/>
      <c r="B12" s="408" t="s">
        <v>650</v>
      </c>
      <c r="C12" s="409" t="str">
        <f>C8</f>
        <v>ЭРПЭ 1000.1300.850.6</v>
      </c>
    </row>
    <row r="13" spans="1:3" x14ac:dyDescent="0.2">
      <c r="A13" s="401" t="s">
        <v>510</v>
      </c>
      <c r="B13" s="408" t="s">
        <v>653</v>
      </c>
      <c r="C13" s="403">
        <f>Цена!E16</f>
        <v>6</v>
      </c>
    </row>
    <row r="14" spans="1:3" x14ac:dyDescent="0.2">
      <c r="A14" s="401" t="s">
        <v>512</v>
      </c>
      <c r="B14" s="410" t="s">
        <v>654</v>
      </c>
      <c r="C14" s="403">
        <f>Цена!B16</f>
        <v>1000</v>
      </c>
    </row>
    <row r="15" spans="1:3" x14ac:dyDescent="0.2">
      <c r="A15" s="401" t="s">
        <v>514</v>
      </c>
      <c r="B15" s="408" t="s">
        <v>655</v>
      </c>
      <c r="C15" s="403">
        <f>Цена!C16</f>
        <v>1300</v>
      </c>
    </row>
    <row r="16" spans="1:3" x14ac:dyDescent="0.2">
      <c r="A16" s="401" t="s">
        <v>516</v>
      </c>
      <c r="B16" s="410" t="s">
        <v>656</v>
      </c>
      <c r="C16" s="403">
        <f>Цена!D16</f>
        <v>850</v>
      </c>
    </row>
    <row r="17" spans="1:3" x14ac:dyDescent="0.2">
      <c r="A17" s="401" t="s">
        <v>518</v>
      </c>
      <c r="B17" s="408" t="s">
        <v>657</v>
      </c>
      <c r="C17" s="403">
        <f>C15+C16+1350</f>
        <v>3500</v>
      </c>
    </row>
    <row r="18" spans="1:3" x14ac:dyDescent="0.2">
      <c r="A18" s="401" t="s">
        <v>520</v>
      </c>
      <c r="B18" s="410" t="s">
        <v>658</v>
      </c>
      <c r="C18" s="403">
        <f>C14+890</f>
        <v>1890</v>
      </c>
    </row>
    <row r="19" spans="1:3" x14ac:dyDescent="0.2">
      <c r="A19" s="401" t="s">
        <v>522</v>
      </c>
      <c r="B19" s="408" t="s">
        <v>659</v>
      </c>
      <c r="C19" s="403">
        <f>MROUND(C17/TAN(RADIANS(C20))+520,10)</f>
        <v>2540</v>
      </c>
    </row>
    <row r="20" spans="1:3" x14ac:dyDescent="0.2">
      <c r="A20" s="401" t="s">
        <v>524</v>
      </c>
      <c r="B20" s="410" t="s">
        <v>660</v>
      </c>
      <c r="C20" s="409">
        <v>60</v>
      </c>
    </row>
    <row r="21" spans="1:3" x14ac:dyDescent="0.2">
      <c r="A21" s="401" t="s">
        <v>526</v>
      </c>
      <c r="B21" s="408" t="s">
        <v>661</v>
      </c>
      <c r="C21" s="411">
        <f ca="1">Спецификация!C6</f>
        <v>1000</v>
      </c>
    </row>
    <row r="22" spans="1:3" x14ac:dyDescent="0.2">
      <c r="A22" s="401" t="s">
        <v>528</v>
      </c>
      <c r="B22" s="410" t="s">
        <v>662</v>
      </c>
      <c r="C22" s="409" t="str">
        <f ca="1">CONCATENATE(Промывка!B16," ÷ ",Промывка!B17)</f>
        <v>0,75 ÷ 0,89</v>
      </c>
    </row>
    <row r="23" spans="1:3" x14ac:dyDescent="0.2">
      <c r="A23" s="401" t="s">
        <v>530</v>
      </c>
      <c r="B23" s="408" t="s">
        <v>664</v>
      </c>
      <c r="C23" s="407">
        <f ca="1">Спецификация!C14</f>
        <v>0.75</v>
      </c>
    </row>
    <row r="24" spans="1:3" x14ac:dyDescent="0.2">
      <c r="A24" s="401" t="s">
        <v>532</v>
      </c>
      <c r="B24" s="410" t="s">
        <v>665</v>
      </c>
      <c r="C24" s="407">
        <f ca="1">Спецификация!C12</f>
        <v>1.5</v>
      </c>
    </row>
    <row r="25" spans="1:3" x14ac:dyDescent="0.2">
      <c r="A25" s="401" t="s">
        <v>534</v>
      </c>
      <c r="B25" s="408" t="s">
        <v>666</v>
      </c>
      <c r="C25" s="409" t="str">
        <f>CONCATENATE("IP ",Цена!D20)</f>
        <v>IP 55</v>
      </c>
    </row>
    <row r="26" spans="1:3" x14ac:dyDescent="0.2">
      <c r="A26" s="401" t="s">
        <v>536</v>
      </c>
      <c r="B26" s="410" t="s">
        <v>667</v>
      </c>
      <c r="C26" s="403">
        <f ca="1">Спецификация!C2</f>
        <v>1100</v>
      </c>
    </row>
    <row r="27" spans="1:3" x14ac:dyDescent="0.2">
      <c r="A27" s="401" t="s">
        <v>663</v>
      </c>
      <c r="B27" s="408" t="s">
        <v>668</v>
      </c>
      <c r="C27" s="403" t="str">
        <f>Цена!D23</f>
        <v>AISI 201</v>
      </c>
    </row>
    <row r="28" spans="1:3" x14ac:dyDescent="0.2">
      <c r="A28" s="401" t="s">
        <v>481</v>
      </c>
      <c r="B28" s="410" t="s">
        <v>540</v>
      </c>
      <c r="C28" s="403" t="str">
        <f>IF(Цена!D24="Да","в комплекте с ШУ и ВПУ.","без ШУ.")</f>
        <v>без ШУ.</v>
      </c>
    </row>
    <row r="29" spans="1:3" x14ac:dyDescent="0.2">
      <c r="A29" s="401" t="s">
        <v>483</v>
      </c>
      <c r="B29" s="410" t="s">
        <v>546</v>
      </c>
      <c r="C29" s="403">
        <f>C30</f>
        <v>-2</v>
      </c>
    </row>
    <row r="30" spans="1:3" x14ac:dyDescent="0.2">
      <c r="A30" s="401" t="s">
        <v>484</v>
      </c>
      <c r="B30" s="410" t="s">
        <v>669</v>
      </c>
      <c r="C30" s="403">
        <f>IF(Цена!D24="Да",-1,-2)</f>
        <v>-2</v>
      </c>
    </row>
    <row r="31" spans="1:3" x14ac:dyDescent="0.2">
      <c r="A31" s="401" t="s">
        <v>574</v>
      </c>
      <c r="B31" s="410" t="s">
        <v>575</v>
      </c>
      <c r="C31" s="403" t="str">
        <f>IF(C25="IP 68","14÷16","8÷10")</f>
        <v>8÷10</v>
      </c>
    </row>
    <row r="32" spans="1:3" ht="25.5" x14ac:dyDescent="0.2">
      <c r="A32" s="401" t="s">
        <v>651</v>
      </c>
      <c r="B32" s="410" t="s">
        <v>652</v>
      </c>
      <c r="C32" s="403" t="str">
        <f>IF(tkp_params!C7="НПФ Экополимер","Цены указанны в гривнах с НДС (20%) на условии склад производителя г. Харьков","Цены указаны в рублях РФ с НДС 20% на условии склад производителя п. Полотняный Завод (Калужская обл.)")</f>
        <v>Цены указаны в рублях РФ с НДС 20% на условии склад производителя п. Полотняный Завод (Калужская обл.)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L22"/>
  <sheetViews>
    <sheetView workbookViewId="0">
      <selection activeCell="B10" sqref="B10"/>
    </sheetView>
  </sheetViews>
  <sheetFormatPr defaultRowHeight="12.75" x14ac:dyDescent="0.2"/>
  <cols>
    <col min="1" max="1" width="44.7109375" style="303" customWidth="1"/>
    <col min="2" max="2" width="10" style="303" customWidth="1"/>
    <col min="3" max="3" width="9.140625" style="303"/>
    <col min="4" max="4" width="20.42578125" style="303" customWidth="1"/>
    <col min="5" max="5" width="26.28515625" style="303" customWidth="1"/>
    <col min="6" max="6" width="9.140625" style="303"/>
    <col min="7" max="7" width="16" style="303" customWidth="1"/>
    <col min="8" max="8" width="12.140625" style="303" customWidth="1"/>
    <col min="9" max="9" width="15" style="303" customWidth="1"/>
    <col min="10" max="10" width="35" style="303" customWidth="1"/>
    <col min="11" max="11" width="10.42578125" style="303" customWidth="1"/>
    <col min="12" max="12" width="59.42578125" style="303" customWidth="1"/>
    <col min="13" max="13" width="12.5703125" style="303" customWidth="1"/>
    <col min="14" max="15" width="9.140625" style="303"/>
    <col min="16" max="16" width="12.28515625" style="303" customWidth="1"/>
    <col min="17" max="16384" width="9.140625" style="303"/>
  </cols>
  <sheetData>
    <row r="1" spans="1:12" customFormat="1" ht="15.75" thickBot="1" x14ac:dyDescent="0.3">
      <c r="A1" s="126" t="s">
        <v>165</v>
      </c>
      <c r="B1" s="131"/>
      <c r="C1" s="124"/>
      <c r="E1" s="42" t="s">
        <v>152</v>
      </c>
      <c r="F1" s="349">
        <f>Цена!B3</f>
        <v>95</v>
      </c>
      <c r="G1" s="42"/>
      <c r="H1" s="42"/>
      <c r="I1" s="42"/>
      <c r="J1" s="114"/>
      <c r="K1" s="42"/>
      <c r="L1" s="42"/>
    </row>
    <row r="2" spans="1:12" customFormat="1" ht="15" x14ac:dyDescent="0.25">
      <c r="A2" s="337" t="s">
        <v>454</v>
      </c>
      <c r="B2" s="343">
        <f>Параметры!B59</f>
        <v>1045</v>
      </c>
      <c r="C2" s="125"/>
      <c r="E2" s="338" t="s">
        <v>455</v>
      </c>
      <c r="F2" s="350" t="str">
        <f>Цена!D24</f>
        <v>Нет</v>
      </c>
      <c r="G2" s="42"/>
      <c r="H2" s="42"/>
      <c r="I2" s="303"/>
      <c r="J2" s="303"/>
      <c r="K2" s="303"/>
    </row>
    <row r="3" spans="1:12" customFormat="1" ht="15" customHeight="1" x14ac:dyDescent="0.25">
      <c r="A3" s="339" t="s">
        <v>120</v>
      </c>
      <c r="B3" s="343">
        <f ca="1">OFFSET(J7,MATCH(1,I8:I10,0),1,1,1)</f>
        <v>0</v>
      </c>
      <c r="C3" s="125"/>
      <c r="E3" s="342" t="s">
        <v>120</v>
      </c>
      <c r="F3" s="351" t="str">
        <f>Цена!D25</f>
        <v>Нет</v>
      </c>
      <c r="G3" s="42"/>
      <c r="H3" s="42"/>
      <c r="I3" s="303"/>
      <c r="J3" s="13" t="s">
        <v>91</v>
      </c>
      <c r="K3" s="22" t="s">
        <v>93</v>
      </c>
    </row>
    <row r="4" spans="1:12" customFormat="1" ht="15" x14ac:dyDescent="0.25">
      <c r="A4" s="337" t="s">
        <v>456</v>
      </c>
      <c r="B4" s="343">
        <f ca="1">OFFSET(J3,MATCH(1,I4:I6,0),1,1,1)</f>
        <v>66</v>
      </c>
      <c r="C4" s="125"/>
      <c r="E4" s="338" t="s">
        <v>457</v>
      </c>
      <c r="F4" s="352">
        <f>IF(Цена!D20=55,54,IF(Цена!D20=66,65,IF(Цена!D20=68,67)))</f>
        <v>54</v>
      </c>
      <c r="G4" s="108"/>
      <c r="H4" s="42"/>
      <c r="I4" s="344">
        <f>IF(F4=54,1,0)</f>
        <v>1</v>
      </c>
      <c r="J4" s="15" t="s">
        <v>92</v>
      </c>
      <c r="K4" s="353">
        <f>Параметры!B52</f>
        <v>66</v>
      </c>
    </row>
    <row r="5" spans="1:12" customFormat="1" ht="15" x14ac:dyDescent="0.25">
      <c r="A5" s="303"/>
      <c r="B5" s="345"/>
      <c r="C5" s="125"/>
      <c r="E5" s="109"/>
      <c r="F5" s="111"/>
      <c r="G5" s="108"/>
      <c r="H5" s="42"/>
      <c r="I5" s="344">
        <f>IF(F4=65,1,0)</f>
        <v>0</v>
      </c>
      <c r="J5" s="15" t="s">
        <v>94</v>
      </c>
      <c r="K5" s="353">
        <f>Параметры!B53</f>
        <v>88</v>
      </c>
    </row>
    <row r="6" spans="1:12" customFormat="1" ht="15.75" thickBot="1" x14ac:dyDescent="0.3">
      <c r="A6" s="303" t="s">
        <v>458</v>
      </c>
      <c r="B6" s="343">
        <f ca="1">SUM(B2:B4)</f>
        <v>1111</v>
      </c>
      <c r="C6" s="125"/>
      <c r="E6" s="71"/>
      <c r="F6" s="71"/>
      <c r="G6" s="71"/>
      <c r="H6" s="71"/>
      <c r="I6" s="344">
        <f>IF(F4=67,1,0)</f>
        <v>0</v>
      </c>
      <c r="J6" s="17" t="s">
        <v>95</v>
      </c>
      <c r="K6" s="354">
        <f>Параметры!B54</f>
        <v>198</v>
      </c>
    </row>
    <row r="7" spans="1:12" customFormat="1" ht="27" thickBot="1" x14ac:dyDescent="0.3">
      <c r="A7" s="106" t="s">
        <v>460</v>
      </c>
      <c r="B7" s="107">
        <f ca="1">MROUND(B6*F1,1)</f>
        <v>105545</v>
      </c>
      <c r="C7" s="124"/>
      <c r="E7" s="42"/>
      <c r="F7" s="42"/>
      <c r="G7" s="42"/>
      <c r="H7" s="42"/>
      <c r="I7" s="303"/>
      <c r="J7" s="303"/>
      <c r="K7" s="303"/>
    </row>
    <row r="8" spans="1:12" customFormat="1" ht="15" x14ac:dyDescent="0.25">
      <c r="A8" s="303"/>
      <c r="B8" s="303"/>
      <c r="C8" s="303"/>
      <c r="E8" s="42"/>
      <c r="F8" s="42"/>
      <c r="G8" s="42"/>
      <c r="H8" s="42"/>
      <c r="I8" s="344">
        <f>IF(J8=$F$3,1,0)</f>
        <v>1</v>
      </c>
      <c r="J8" s="346" t="s">
        <v>106</v>
      </c>
      <c r="K8" s="355">
        <v>0</v>
      </c>
    </row>
    <row r="9" spans="1:12" x14ac:dyDescent="0.2">
      <c r="A9" s="340"/>
      <c r="B9" s="341"/>
      <c r="C9" s="338"/>
      <c r="D9" s="338"/>
      <c r="I9" s="344">
        <f>IF(J9=$F$3,1,0)</f>
        <v>0</v>
      </c>
      <c r="J9" s="347" t="s">
        <v>109</v>
      </c>
      <c r="K9" s="356">
        <f>Параметры!B56</f>
        <v>0</v>
      </c>
    </row>
    <row r="10" spans="1:12" x14ac:dyDescent="0.2">
      <c r="C10" s="338"/>
      <c r="I10" s="344">
        <f>IF(J10=$F$3,1,0)</f>
        <v>0</v>
      </c>
      <c r="J10" s="348" t="s">
        <v>111</v>
      </c>
      <c r="K10" s="357">
        <f>Параметры!B57</f>
        <v>264</v>
      </c>
    </row>
    <row r="11" spans="1:12" x14ac:dyDescent="0.2">
      <c r="C11" s="338"/>
    </row>
    <row r="12" spans="1:12" x14ac:dyDescent="0.2">
      <c r="C12" s="338"/>
    </row>
    <row r="13" spans="1:12" x14ac:dyDescent="0.2">
      <c r="C13" s="338"/>
      <c r="D13" s="338"/>
    </row>
    <row r="14" spans="1:12" x14ac:dyDescent="0.2">
      <c r="B14" s="345"/>
    </row>
    <row r="15" spans="1:12" x14ac:dyDescent="0.2">
      <c r="B15" s="345"/>
    </row>
    <row r="16" spans="1:12" x14ac:dyDescent="0.2">
      <c r="B16" s="345"/>
    </row>
    <row r="17" spans="2:10" x14ac:dyDescent="0.2">
      <c r="B17" s="345"/>
    </row>
    <row r="18" spans="2:10" x14ac:dyDescent="0.2">
      <c r="B18" s="345"/>
      <c r="J18" s="303" t="s">
        <v>459</v>
      </c>
    </row>
    <row r="19" spans="2:10" x14ac:dyDescent="0.2">
      <c r="B19" s="345"/>
    </row>
    <row r="20" spans="2:10" x14ac:dyDescent="0.2">
      <c r="B20" s="345"/>
    </row>
    <row r="21" spans="2:10" x14ac:dyDescent="0.2">
      <c r="B21" s="345"/>
    </row>
    <row r="22" spans="2:10" x14ac:dyDescent="0.2">
      <c r="B22" s="345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/>
  <dimension ref="A1:IV89"/>
  <sheetViews>
    <sheetView topLeftCell="A75" workbookViewId="0">
      <selection activeCell="G94" sqref="G94"/>
    </sheetView>
  </sheetViews>
  <sheetFormatPr defaultRowHeight="15" x14ac:dyDescent="0.25"/>
  <cols>
    <col min="1" max="1" width="59.7109375" style="282" customWidth="1"/>
    <col min="2" max="2" width="9.140625" style="282"/>
    <col min="3" max="4" width="11.5703125" style="282" bestFit="1" customWidth="1"/>
    <col min="5" max="16384" width="9.140625" style="282"/>
  </cols>
  <sheetData>
    <row r="1" spans="1:12" customFormat="1" ht="15.75" thickBot="1" x14ac:dyDescent="0.3">
      <c r="A1" s="126" t="s">
        <v>379</v>
      </c>
      <c r="B1" s="131"/>
      <c r="C1" s="124"/>
      <c r="E1" s="42" t="s">
        <v>152</v>
      </c>
      <c r="F1" s="114">
        <f>Цена!B3</f>
        <v>95</v>
      </c>
      <c r="G1" s="42"/>
      <c r="H1" s="42"/>
      <c r="I1" s="42"/>
      <c r="J1" s="114"/>
      <c r="K1" s="42"/>
      <c r="L1" s="42"/>
    </row>
    <row r="2" spans="1:12" customFormat="1" x14ac:dyDescent="0.25">
      <c r="A2" s="282" t="s">
        <v>380</v>
      </c>
      <c r="B2">
        <v>47000</v>
      </c>
      <c r="C2" s="125"/>
      <c r="E2" s="42"/>
      <c r="F2" s="42"/>
      <c r="G2" s="42"/>
      <c r="H2" s="42"/>
    </row>
    <row r="3" spans="1:12" customFormat="1" x14ac:dyDescent="0.25">
      <c r="A3" t="s">
        <v>381</v>
      </c>
      <c r="B3">
        <v>1000</v>
      </c>
      <c r="C3" s="125"/>
      <c r="E3" s="109"/>
      <c r="F3" s="110"/>
      <c r="G3" s="108"/>
      <c r="H3" s="42"/>
    </row>
    <row r="4" spans="1:12" customFormat="1" x14ac:dyDescent="0.25">
      <c r="A4" t="s">
        <v>382</v>
      </c>
      <c r="B4">
        <v>3000</v>
      </c>
      <c r="C4" s="125"/>
      <c r="E4" s="109"/>
      <c r="F4" s="111"/>
      <c r="G4" s="108"/>
      <c r="H4" s="42"/>
    </row>
    <row r="5" spans="1:12" customFormat="1" x14ac:dyDescent="0.25">
      <c r="A5" t="s">
        <v>383</v>
      </c>
      <c r="B5">
        <v>7.5</v>
      </c>
      <c r="C5" s="125"/>
      <c r="E5" s="71"/>
      <c r="F5" s="71"/>
      <c r="G5" s="71"/>
      <c r="H5" s="71"/>
    </row>
    <row r="6" spans="1:12" customFormat="1" x14ac:dyDescent="0.25">
      <c r="A6" t="s">
        <v>384</v>
      </c>
      <c r="B6">
        <v>128</v>
      </c>
      <c r="C6" s="125"/>
      <c r="E6" s="42"/>
      <c r="F6" s="42"/>
      <c r="G6" s="42"/>
      <c r="H6" s="42"/>
    </row>
    <row r="7" spans="1:12" customFormat="1" x14ac:dyDescent="0.25">
      <c r="A7" t="s">
        <v>385</v>
      </c>
      <c r="B7">
        <v>28.23</v>
      </c>
      <c r="C7" s="125"/>
      <c r="E7" s="42"/>
      <c r="F7" s="42"/>
      <c r="G7" s="42"/>
      <c r="H7" s="42"/>
    </row>
    <row r="8" spans="1:12" customFormat="1" x14ac:dyDescent="0.25">
      <c r="A8" t="s">
        <v>386</v>
      </c>
      <c r="B8" s="116">
        <v>205.48000000000002</v>
      </c>
      <c r="C8" s="125"/>
      <c r="E8" s="50"/>
      <c r="F8" s="112"/>
      <c r="G8" s="42"/>
      <c r="H8" s="42"/>
    </row>
    <row r="9" spans="1:12" customFormat="1" x14ac:dyDescent="0.25">
      <c r="A9" t="s">
        <v>387</v>
      </c>
      <c r="B9">
        <v>38.130000000000003</v>
      </c>
      <c r="C9" s="125"/>
      <c r="E9" s="42"/>
      <c r="F9" s="42"/>
      <c r="G9" s="42"/>
      <c r="H9" s="42"/>
    </row>
    <row r="10" spans="1:12" customFormat="1" x14ac:dyDescent="0.25">
      <c r="A10" t="s">
        <v>388</v>
      </c>
      <c r="B10">
        <v>56</v>
      </c>
      <c r="C10" s="125"/>
      <c r="E10" s="42"/>
      <c r="F10" s="42"/>
      <c r="G10" s="42"/>
      <c r="H10" s="42"/>
    </row>
    <row r="11" spans="1:12" customFormat="1" x14ac:dyDescent="0.25">
      <c r="A11" t="s">
        <v>389</v>
      </c>
      <c r="B11">
        <v>741.44</v>
      </c>
      <c r="C11" s="125"/>
      <c r="E11" s="42"/>
      <c r="F11" s="42"/>
      <c r="G11" s="42"/>
      <c r="H11" s="42"/>
    </row>
    <row r="12" spans="1:12" customFormat="1" x14ac:dyDescent="0.25">
      <c r="A12" t="s">
        <v>390</v>
      </c>
      <c r="B12">
        <v>372.02</v>
      </c>
      <c r="C12" s="125"/>
      <c r="E12" s="71"/>
      <c r="F12" s="71"/>
      <c r="G12" s="71"/>
      <c r="H12" s="71"/>
    </row>
    <row r="13" spans="1:12" customFormat="1" x14ac:dyDescent="0.25">
      <c r="A13" t="s">
        <v>391</v>
      </c>
      <c r="B13">
        <v>105.02</v>
      </c>
      <c r="C13" s="125"/>
      <c r="E13" s="71"/>
      <c r="F13" s="71"/>
      <c r="G13" s="71"/>
      <c r="H13" s="71"/>
    </row>
    <row r="14" spans="1:12" customFormat="1" x14ac:dyDescent="0.25">
      <c r="A14" t="s">
        <v>392</v>
      </c>
      <c r="B14">
        <v>47.01</v>
      </c>
      <c r="C14" s="125"/>
      <c r="E14" s="42"/>
      <c r="F14" s="42"/>
      <c r="G14" s="42"/>
      <c r="H14" s="42"/>
    </row>
    <row r="15" spans="1:12" customFormat="1" x14ac:dyDescent="0.25">
      <c r="A15" t="s">
        <v>393</v>
      </c>
      <c r="B15">
        <v>247.63</v>
      </c>
      <c r="C15" s="125"/>
      <c r="E15" s="42"/>
      <c r="F15" s="42"/>
      <c r="G15" s="42"/>
      <c r="H15" s="42"/>
    </row>
    <row r="16" spans="1:12" customFormat="1" x14ac:dyDescent="0.25">
      <c r="A16" t="s">
        <v>394</v>
      </c>
      <c r="B16" s="116">
        <v>340.03000000000003</v>
      </c>
      <c r="C16" s="125"/>
      <c r="E16" s="50"/>
      <c r="F16" s="112"/>
      <c r="G16" s="42"/>
      <c r="H16" s="42"/>
    </row>
    <row r="17" spans="1:8" customFormat="1" x14ac:dyDescent="0.25">
      <c r="A17" t="s">
        <v>395</v>
      </c>
      <c r="B17">
        <v>72.87</v>
      </c>
      <c r="C17" s="125"/>
      <c r="E17" s="42"/>
      <c r="F17" s="42"/>
      <c r="G17" s="42"/>
      <c r="H17" s="42"/>
    </row>
    <row r="18" spans="1:8" customFormat="1" x14ac:dyDescent="0.25">
      <c r="A18" t="s">
        <v>396</v>
      </c>
      <c r="B18">
        <v>86.19</v>
      </c>
      <c r="C18" s="125"/>
      <c r="E18" s="42"/>
      <c r="F18" s="42"/>
      <c r="G18" s="42"/>
      <c r="H18" s="42"/>
    </row>
    <row r="19" spans="1:8" customFormat="1" x14ac:dyDescent="0.25">
      <c r="A19" t="s">
        <v>397</v>
      </c>
      <c r="B19">
        <v>16.100000000000001</v>
      </c>
      <c r="C19" s="125"/>
      <c r="E19" s="42"/>
      <c r="F19" s="42"/>
      <c r="G19" s="42"/>
      <c r="H19" s="42"/>
    </row>
    <row r="20" spans="1:8" customFormat="1" x14ac:dyDescent="0.25">
      <c r="A20" t="s">
        <v>398</v>
      </c>
      <c r="B20">
        <v>149.25</v>
      </c>
      <c r="C20" s="125"/>
      <c r="E20" s="42"/>
      <c r="F20" s="42"/>
      <c r="G20" s="42"/>
      <c r="H20" s="42"/>
    </row>
    <row r="21" spans="1:8" customFormat="1" x14ac:dyDescent="0.25">
      <c r="A21" t="s">
        <v>399</v>
      </c>
      <c r="B21">
        <v>327.48</v>
      </c>
      <c r="C21" s="125"/>
      <c r="E21" s="42"/>
      <c r="F21" s="42"/>
      <c r="G21" s="42"/>
      <c r="H21" s="42"/>
    </row>
    <row r="22" spans="1:8" customFormat="1" x14ac:dyDescent="0.25">
      <c r="A22" t="s">
        <v>400</v>
      </c>
      <c r="B22" s="116">
        <v>238.8</v>
      </c>
      <c r="C22" s="125"/>
      <c r="E22" s="50"/>
      <c r="F22" s="112"/>
      <c r="G22" s="42"/>
      <c r="H22" s="42"/>
    </row>
    <row r="23" spans="1:8" customFormat="1" x14ac:dyDescent="0.25">
      <c r="A23" t="s">
        <v>401</v>
      </c>
      <c r="B23">
        <v>341.76</v>
      </c>
      <c r="C23" s="125"/>
      <c r="E23" s="42"/>
      <c r="F23" s="42"/>
      <c r="G23" s="42"/>
      <c r="H23" s="42"/>
    </row>
    <row r="24" spans="1:8" customFormat="1" x14ac:dyDescent="0.25">
      <c r="A24" t="s">
        <v>402</v>
      </c>
      <c r="B24">
        <v>9.32</v>
      </c>
      <c r="C24" s="125"/>
      <c r="E24" s="71"/>
      <c r="F24" s="71"/>
      <c r="G24" s="71"/>
      <c r="H24" s="71"/>
    </row>
    <row r="25" spans="1:8" customFormat="1" x14ac:dyDescent="0.25">
      <c r="A25" t="s">
        <v>403</v>
      </c>
      <c r="B25">
        <v>5.2</v>
      </c>
      <c r="C25" s="125"/>
      <c r="E25" s="42"/>
      <c r="F25" s="42"/>
      <c r="G25" s="42"/>
      <c r="H25" s="42"/>
    </row>
    <row r="26" spans="1:8" customFormat="1" x14ac:dyDescent="0.25">
      <c r="A26" t="s">
        <v>404</v>
      </c>
      <c r="B26">
        <v>9.3000000000000007</v>
      </c>
      <c r="C26" s="125"/>
      <c r="E26" s="42"/>
      <c r="F26" s="42"/>
      <c r="G26" s="42"/>
      <c r="H26" s="42"/>
    </row>
    <row r="27" spans="1:8" customFormat="1" x14ac:dyDescent="0.25">
      <c r="A27" t="s">
        <v>405</v>
      </c>
      <c r="B27" s="116">
        <v>188.34</v>
      </c>
      <c r="C27" s="125"/>
      <c r="E27" s="50"/>
      <c r="F27" s="112"/>
      <c r="G27" s="42"/>
      <c r="H27" s="42"/>
    </row>
    <row r="28" spans="1:8" customFormat="1" x14ac:dyDescent="0.25">
      <c r="A28" t="s">
        <v>406</v>
      </c>
      <c r="B28">
        <v>209.48000000000002</v>
      </c>
      <c r="C28" s="125"/>
      <c r="E28" s="42"/>
      <c r="F28" s="42"/>
      <c r="G28" s="42"/>
      <c r="H28" s="42"/>
    </row>
    <row r="29" spans="1:8" customFormat="1" x14ac:dyDescent="0.25">
      <c r="A29" t="s">
        <v>407</v>
      </c>
      <c r="B29">
        <v>174.54</v>
      </c>
      <c r="C29" s="125"/>
      <c r="E29" s="42"/>
      <c r="F29" s="42"/>
      <c r="G29" s="42"/>
      <c r="H29" s="42"/>
    </row>
    <row r="30" spans="1:8" customFormat="1" x14ac:dyDescent="0.25">
      <c r="A30" t="s">
        <v>408</v>
      </c>
      <c r="B30">
        <v>102.71000000000001</v>
      </c>
      <c r="C30" s="125"/>
      <c r="E30" s="42"/>
      <c r="F30" s="42"/>
      <c r="G30" s="42"/>
      <c r="H30" s="42"/>
    </row>
    <row r="31" spans="1:8" customFormat="1" x14ac:dyDescent="0.25">
      <c r="A31" t="s">
        <v>409</v>
      </c>
      <c r="B31">
        <v>177.72</v>
      </c>
      <c r="C31" s="125"/>
      <c r="E31" s="71"/>
      <c r="F31" s="71"/>
      <c r="G31" s="71"/>
      <c r="H31" s="71"/>
    </row>
    <row r="32" spans="1:8" customFormat="1" x14ac:dyDescent="0.25">
      <c r="A32" t="s">
        <v>410</v>
      </c>
      <c r="B32">
        <v>169.98</v>
      </c>
      <c r="C32" s="125"/>
      <c r="E32" s="71"/>
      <c r="F32" s="71"/>
      <c r="G32" s="71"/>
      <c r="H32" s="71"/>
    </row>
    <row r="33" spans="1:8" customFormat="1" x14ac:dyDescent="0.25">
      <c r="A33" t="s">
        <v>411</v>
      </c>
      <c r="B33">
        <v>782.5</v>
      </c>
      <c r="C33" s="125"/>
      <c r="E33" s="71"/>
      <c r="F33" s="71"/>
      <c r="G33" s="71"/>
      <c r="H33" s="71"/>
    </row>
    <row r="34" spans="1:8" customFormat="1" x14ac:dyDescent="0.25">
      <c r="A34" t="s">
        <v>412</v>
      </c>
      <c r="B34">
        <v>569.62</v>
      </c>
      <c r="C34" s="125"/>
      <c r="E34" s="42"/>
      <c r="F34" s="42"/>
      <c r="G34" s="42"/>
      <c r="H34" s="42"/>
    </row>
    <row r="35" spans="1:8" customFormat="1" x14ac:dyDescent="0.25">
      <c r="A35" t="s">
        <v>413</v>
      </c>
      <c r="B35">
        <v>678.96</v>
      </c>
      <c r="C35" s="125"/>
      <c r="E35" s="42"/>
      <c r="F35" s="42"/>
      <c r="G35" s="42"/>
      <c r="H35" s="42"/>
    </row>
    <row r="36" spans="1:8" customFormat="1" x14ac:dyDescent="0.25">
      <c r="A36" t="s">
        <v>414</v>
      </c>
      <c r="B36" s="116">
        <v>32.5</v>
      </c>
      <c r="C36" s="125"/>
      <c r="E36" s="50"/>
      <c r="F36" s="112"/>
      <c r="G36" s="42"/>
      <c r="H36" s="42"/>
    </row>
    <row r="37" spans="1:8" customFormat="1" x14ac:dyDescent="0.25">
      <c r="A37" t="s">
        <v>415</v>
      </c>
      <c r="B37">
        <v>260.39999999999998</v>
      </c>
      <c r="C37" s="125"/>
      <c r="E37" s="42"/>
      <c r="F37" s="42"/>
      <c r="G37" s="42"/>
      <c r="H37" s="42"/>
    </row>
    <row r="38" spans="1:8" customFormat="1" x14ac:dyDescent="0.25">
      <c r="A38" t="s">
        <v>416</v>
      </c>
      <c r="B38">
        <v>1587</v>
      </c>
      <c r="C38" s="125"/>
      <c r="E38" s="42"/>
      <c r="F38" s="42"/>
      <c r="G38" s="42"/>
      <c r="H38" s="42"/>
    </row>
    <row r="39" spans="1:8" customFormat="1" x14ac:dyDescent="0.25">
      <c r="A39" t="s">
        <v>417</v>
      </c>
      <c r="B39">
        <v>4678.2</v>
      </c>
      <c r="C39" s="125"/>
      <c r="E39" s="42"/>
      <c r="F39" s="42"/>
      <c r="G39" s="42"/>
      <c r="H39" s="42"/>
    </row>
    <row r="40" spans="1:8" customFormat="1" x14ac:dyDescent="0.25">
      <c r="A40" t="s">
        <v>418</v>
      </c>
      <c r="B40">
        <v>9</v>
      </c>
      <c r="C40" s="125"/>
      <c r="E40" s="71"/>
      <c r="F40" s="71"/>
      <c r="G40" s="71"/>
      <c r="H40" s="71"/>
    </row>
    <row r="41" spans="1:8" customFormat="1" x14ac:dyDescent="0.25">
      <c r="A41" t="s">
        <v>419</v>
      </c>
      <c r="B41">
        <v>133.33000000000001</v>
      </c>
      <c r="C41" s="125"/>
      <c r="E41" s="71"/>
      <c r="F41" s="71"/>
      <c r="G41" s="71"/>
      <c r="H41" s="71"/>
    </row>
    <row r="42" spans="1:8" customFormat="1" x14ac:dyDescent="0.25">
      <c r="A42" t="s">
        <v>420</v>
      </c>
      <c r="B42">
        <v>3014.91</v>
      </c>
      <c r="C42" s="125"/>
      <c r="E42" s="42"/>
      <c r="F42" s="42"/>
      <c r="G42" s="42"/>
      <c r="H42" s="42"/>
    </row>
    <row r="43" spans="1:8" customFormat="1" x14ac:dyDescent="0.25">
      <c r="A43" t="s">
        <v>421</v>
      </c>
      <c r="B43">
        <v>365.48</v>
      </c>
      <c r="C43" s="125"/>
      <c r="E43" s="42"/>
      <c r="F43" s="42"/>
      <c r="G43" s="42"/>
      <c r="H43" s="42"/>
    </row>
    <row r="44" spans="1:8" customFormat="1" x14ac:dyDescent="0.25">
      <c r="A44" t="s">
        <v>422</v>
      </c>
      <c r="B44" s="116">
        <v>1540.53</v>
      </c>
      <c r="C44" s="125"/>
      <c r="E44" s="50"/>
      <c r="F44" s="112"/>
      <c r="G44" s="42"/>
      <c r="H44" s="42"/>
    </row>
    <row r="45" spans="1:8" customFormat="1" x14ac:dyDescent="0.25">
      <c r="A45" t="s">
        <v>423</v>
      </c>
      <c r="B45">
        <v>2.2000000000000002</v>
      </c>
      <c r="C45" s="125"/>
      <c r="E45" s="42"/>
      <c r="F45" s="42"/>
      <c r="G45" s="42"/>
      <c r="H45" s="42"/>
    </row>
    <row r="46" spans="1:8" customFormat="1" x14ac:dyDescent="0.25">
      <c r="A46" t="s">
        <v>424</v>
      </c>
      <c r="B46">
        <v>2.0300000000000002</v>
      </c>
      <c r="C46" s="125"/>
      <c r="E46" s="42"/>
      <c r="F46" s="42"/>
      <c r="G46" s="42"/>
      <c r="H46" s="42"/>
    </row>
    <row r="47" spans="1:8" customFormat="1" x14ac:dyDescent="0.25">
      <c r="A47" t="s">
        <v>425</v>
      </c>
      <c r="B47">
        <v>50.44</v>
      </c>
      <c r="C47" s="125"/>
      <c r="E47" s="42"/>
      <c r="F47" s="42"/>
      <c r="G47" s="42"/>
      <c r="H47" s="42"/>
    </row>
    <row r="48" spans="1:8" customFormat="1" x14ac:dyDescent="0.25">
      <c r="A48" t="s">
        <v>426</v>
      </c>
      <c r="B48">
        <v>130.79</v>
      </c>
      <c r="C48" s="125"/>
      <c r="E48" s="42"/>
      <c r="F48" s="42"/>
      <c r="G48" s="42"/>
      <c r="H48" s="42"/>
    </row>
    <row r="49" spans="1:8" customFormat="1" x14ac:dyDescent="0.25">
      <c r="A49" t="s">
        <v>427</v>
      </c>
      <c r="B49">
        <v>74.010000000000005</v>
      </c>
      <c r="C49" s="125"/>
      <c r="E49" s="42"/>
      <c r="F49" s="42"/>
      <c r="G49" s="42"/>
      <c r="H49" s="42"/>
    </row>
    <row r="50" spans="1:8" customFormat="1" x14ac:dyDescent="0.25">
      <c r="A50" t="s">
        <v>428</v>
      </c>
      <c r="B50" s="116">
        <v>138.18</v>
      </c>
      <c r="C50" s="125"/>
      <c r="E50" s="50"/>
      <c r="F50" s="112"/>
      <c r="G50" s="42"/>
      <c r="H50" s="42"/>
    </row>
    <row r="51" spans="1:8" customFormat="1" x14ac:dyDescent="0.25">
      <c r="A51" t="s">
        <v>429</v>
      </c>
      <c r="B51">
        <v>13.4</v>
      </c>
      <c r="C51" s="125"/>
      <c r="E51" s="42"/>
      <c r="F51" s="42"/>
      <c r="G51" s="42"/>
      <c r="H51" s="42"/>
    </row>
    <row r="52" spans="1:8" customFormat="1" x14ac:dyDescent="0.25">
      <c r="A52" t="s">
        <v>430</v>
      </c>
      <c r="B52">
        <v>53.69</v>
      </c>
      <c r="C52" s="125"/>
      <c r="E52" s="71"/>
      <c r="F52" s="71"/>
      <c r="G52" s="71"/>
      <c r="H52" s="71"/>
    </row>
    <row r="53" spans="1:8" customFormat="1" x14ac:dyDescent="0.25">
      <c r="A53" t="s">
        <v>431</v>
      </c>
      <c r="B53">
        <v>112.5</v>
      </c>
      <c r="C53" s="125"/>
      <c r="E53" s="42"/>
      <c r="F53" s="42"/>
      <c r="G53" s="42"/>
      <c r="H53" s="42"/>
    </row>
    <row r="54" spans="1:8" customFormat="1" x14ac:dyDescent="0.25">
      <c r="A54" t="s">
        <v>432</v>
      </c>
      <c r="B54" s="116">
        <v>14.700000000000001</v>
      </c>
      <c r="C54" s="125"/>
      <c r="E54" s="50"/>
      <c r="F54" s="112"/>
      <c r="G54" s="42"/>
      <c r="H54" s="42"/>
    </row>
    <row r="55" spans="1:8" customFormat="1" x14ac:dyDescent="0.25">
      <c r="A55" t="s">
        <v>433</v>
      </c>
      <c r="B55">
        <v>41.89</v>
      </c>
      <c r="C55" s="125"/>
      <c r="E55" s="42"/>
      <c r="F55" s="42"/>
      <c r="G55" s="42"/>
      <c r="H55" s="42"/>
    </row>
    <row r="56" spans="1:8" customFormat="1" x14ac:dyDescent="0.25">
      <c r="A56" t="s">
        <v>434</v>
      </c>
      <c r="B56">
        <v>100.01</v>
      </c>
      <c r="C56" s="125"/>
      <c r="E56" s="42"/>
      <c r="F56" s="42"/>
      <c r="G56" s="42"/>
      <c r="H56" s="42"/>
    </row>
    <row r="57" spans="1:8" customFormat="1" x14ac:dyDescent="0.25">
      <c r="A57" t="s">
        <v>435</v>
      </c>
      <c r="B57">
        <v>69.820000000000007</v>
      </c>
      <c r="C57" s="125"/>
      <c r="E57" s="42"/>
      <c r="F57" s="42"/>
      <c r="G57" s="42"/>
      <c r="H57" s="42"/>
    </row>
    <row r="58" spans="1:8" customFormat="1" x14ac:dyDescent="0.25">
      <c r="A58" t="s">
        <v>436</v>
      </c>
      <c r="B58">
        <v>93.16</v>
      </c>
      <c r="C58" s="125"/>
      <c r="E58" s="42"/>
      <c r="F58" s="42"/>
      <c r="G58" s="42"/>
      <c r="H58" s="42"/>
    </row>
    <row r="59" spans="1:8" customFormat="1" x14ac:dyDescent="0.25">
      <c r="A59" t="s">
        <v>437</v>
      </c>
      <c r="B59">
        <v>39.33</v>
      </c>
      <c r="C59" s="125"/>
      <c r="E59" s="42"/>
      <c r="F59" s="42"/>
      <c r="G59" s="42"/>
      <c r="H59" s="42"/>
    </row>
    <row r="60" spans="1:8" customFormat="1" x14ac:dyDescent="0.25">
      <c r="A60" t="s">
        <v>438</v>
      </c>
      <c r="B60" s="116">
        <v>58.33</v>
      </c>
      <c r="C60" s="125"/>
      <c r="E60" s="50"/>
      <c r="F60" s="112"/>
      <c r="G60" s="42"/>
      <c r="H60" s="42"/>
    </row>
    <row r="61" spans="1:8" customFormat="1" x14ac:dyDescent="0.25">
      <c r="A61" t="s">
        <v>439</v>
      </c>
      <c r="B61">
        <v>205</v>
      </c>
      <c r="C61" s="125"/>
      <c r="E61" s="42"/>
      <c r="F61" s="42"/>
      <c r="G61" s="42"/>
      <c r="H61" s="42"/>
    </row>
    <row r="62" spans="1:8" customFormat="1" x14ac:dyDescent="0.25">
      <c r="A62" t="s">
        <v>440</v>
      </c>
      <c r="B62">
        <v>165.68</v>
      </c>
      <c r="C62" s="125"/>
      <c r="E62" s="42"/>
      <c r="F62" s="42"/>
      <c r="G62" s="42"/>
      <c r="H62" s="42"/>
    </row>
    <row r="63" spans="1:8" customFormat="1" x14ac:dyDescent="0.25">
      <c r="A63" t="s">
        <v>441</v>
      </c>
      <c r="B63">
        <v>651.04</v>
      </c>
      <c r="C63" s="125"/>
      <c r="E63" s="42"/>
      <c r="F63" s="42"/>
      <c r="G63" s="42"/>
      <c r="H63" s="42"/>
    </row>
    <row r="64" spans="1:8" customFormat="1" x14ac:dyDescent="0.25">
      <c r="A64" t="s">
        <v>442</v>
      </c>
      <c r="B64">
        <v>142.96</v>
      </c>
      <c r="C64" s="125"/>
      <c r="E64" s="42"/>
      <c r="F64" s="42"/>
      <c r="G64" s="42"/>
      <c r="H64" s="42"/>
    </row>
    <row r="65" spans="1:8" customFormat="1" x14ac:dyDescent="0.25">
      <c r="A65" t="s">
        <v>443</v>
      </c>
      <c r="B65" s="116">
        <v>29.8</v>
      </c>
      <c r="C65" s="125"/>
      <c r="E65" s="50"/>
      <c r="F65" s="112"/>
      <c r="G65" s="42"/>
      <c r="H65" s="42"/>
    </row>
    <row r="66" spans="1:8" customFormat="1" x14ac:dyDescent="0.25">
      <c r="A66" t="s">
        <v>444</v>
      </c>
      <c r="B66">
        <v>54.43</v>
      </c>
      <c r="C66" s="125"/>
      <c r="E66" s="42"/>
      <c r="F66" s="42"/>
      <c r="G66" s="42"/>
      <c r="H66" s="42"/>
    </row>
    <row r="67" spans="1:8" customFormat="1" ht="15.75" thickBot="1" x14ac:dyDescent="0.3">
      <c r="A67" t="s">
        <v>445</v>
      </c>
      <c r="B67">
        <v>450.49</v>
      </c>
      <c r="C67" s="125"/>
      <c r="E67" s="42"/>
      <c r="F67" s="42"/>
      <c r="G67" s="42"/>
      <c r="H67" s="42"/>
    </row>
    <row r="68" spans="1:8" customFormat="1" ht="15.75" thickBot="1" x14ac:dyDescent="0.3">
      <c r="A68" s="106" t="s">
        <v>446</v>
      </c>
      <c r="B68" s="107">
        <f>SUM(B2:B67)</f>
        <v>71941.839999999982</v>
      </c>
      <c r="C68" s="124"/>
      <c r="E68" s="42"/>
      <c r="F68" s="42"/>
      <c r="G68" s="42"/>
      <c r="H68" s="42"/>
    </row>
    <row r="69" spans="1:8" customFormat="1" ht="15.75" thickBot="1" x14ac:dyDescent="0.3">
      <c r="E69" s="42"/>
      <c r="F69" s="42"/>
      <c r="G69" s="42"/>
      <c r="H69" s="42"/>
    </row>
    <row r="70" spans="1:8" customFormat="1" ht="15.75" thickBot="1" x14ac:dyDescent="0.3">
      <c r="A70" s="126" t="s">
        <v>447</v>
      </c>
      <c r="B70" s="127"/>
      <c r="C70" s="124"/>
      <c r="E70" s="42"/>
      <c r="F70" s="42"/>
      <c r="G70" s="42"/>
      <c r="H70" s="42"/>
    </row>
    <row r="71" spans="1:8" customFormat="1" x14ac:dyDescent="0.25">
      <c r="A71" s="143" t="s">
        <v>450</v>
      </c>
      <c r="C71" s="125"/>
      <c r="E71" s="42"/>
      <c r="F71" s="113"/>
      <c r="G71" s="42"/>
      <c r="H71" s="42"/>
    </row>
    <row r="72" spans="1:8" customFormat="1" x14ac:dyDescent="0.25">
      <c r="A72" t="s">
        <v>448</v>
      </c>
      <c r="B72">
        <v>4</v>
      </c>
      <c r="C72" s="125"/>
      <c r="E72" s="42"/>
      <c r="F72" s="42"/>
      <c r="G72" s="42"/>
      <c r="H72" s="42"/>
    </row>
    <row r="73" spans="1:8" customFormat="1" x14ac:dyDescent="0.25">
      <c r="A73" t="s">
        <v>449</v>
      </c>
      <c r="B73">
        <v>6</v>
      </c>
      <c r="C73" s="125"/>
      <c r="E73" s="109"/>
      <c r="F73" s="110"/>
      <c r="G73" s="108"/>
      <c r="H73" s="42"/>
    </row>
    <row r="74" spans="1:8" customFormat="1" x14ac:dyDescent="0.25">
      <c r="A74" s="143" t="s">
        <v>451</v>
      </c>
      <c r="C74" s="125"/>
      <c r="E74" s="42"/>
      <c r="F74" s="42"/>
      <c r="G74" s="42"/>
      <c r="H74" s="42"/>
    </row>
    <row r="75" spans="1:8" customFormat="1" x14ac:dyDescent="0.25">
      <c r="A75" t="s">
        <v>452</v>
      </c>
      <c r="B75" s="336">
        <f>Панели!B6</f>
        <v>41</v>
      </c>
      <c r="C75" s="125"/>
      <c r="E75" s="50"/>
      <c r="F75" s="112"/>
      <c r="G75" s="42"/>
      <c r="H75" s="42"/>
    </row>
    <row r="76" spans="1:8" customFormat="1" x14ac:dyDescent="0.25">
      <c r="A76" t="s">
        <v>448</v>
      </c>
      <c r="B76">
        <f>3.5*B72*B75</f>
        <v>574</v>
      </c>
      <c r="C76" s="125"/>
      <c r="E76" s="42"/>
      <c r="F76" s="42"/>
      <c r="G76" s="42"/>
      <c r="H76" s="42"/>
    </row>
    <row r="77" spans="1:8" customFormat="1" ht="15.75" thickBot="1" x14ac:dyDescent="0.3">
      <c r="A77" t="s">
        <v>449</v>
      </c>
      <c r="B77">
        <f>4*B73*B75</f>
        <v>984</v>
      </c>
      <c r="C77" s="125"/>
      <c r="E77" s="42"/>
      <c r="F77" s="42"/>
      <c r="G77" s="42"/>
      <c r="H77" s="42"/>
    </row>
    <row r="78" spans="1:8" customFormat="1" ht="15.75" thickBot="1" x14ac:dyDescent="0.3">
      <c r="A78" s="106" t="s">
        <v>489</v>
      </c>
      <c r="B78" s="107">
        <f>B77+B76</f>
        <v>1558</v>
      </c>
      <c r="C78" s="124"/>
      <c r="E78" s="42"/>
      <c r="F78" s="42"/>
      <c r="G78" s="42"/>
      <c r="H78" s="42"/>
    </row>
    <row r="79" spans="1:8" customFormat="1" ht="15.75" thickBot="1" x14ac:dyDescent="0.3">
      <c r="E79" s="42"/>
      <c r="F79" s="42"/>
      <c r="G79" s="42"/>
      <c r="H79" s="42"/>
    </row>
    <row r="80" spans="1:8" customFormat="1" ht="15.75" thickBot="1" x14ac:dyDescent="0.3">
      <c r="A80" s="126" t="s">
        <v>490</v>
      </c>
      <c r="B80" s="127"/>
      <c r="C80" s="124"/>
      <c r="E80" s="42"/>
      <c r="F80" s="42"/>
      <c r="G80" s="42"/>
      <c r="H80" s="42"/>
    </row>
    <row r="81" spans="1:256" customFormat="1" x14ac:dyDescent="0.25">
      <c r="A81" t="s">
        <v>348</v>
      </c>
      <c r="B81" s="364">
        <f ca="1">Промывка!B15</f>
        <v>9</v>
      </c>
      <c r="C81" s="125"/>
      <c r="E81" s="42"/>
      <c r="F81" s="113"/>
      <c r="G81" s="42"/>
      <c r="H81" s="42"/>
    </row>
    <row r="82" spans="1:256" customFormat="1" x14ac:dyDescent="0.25">
      <c r="A82" t="s">
        <v>491</v>
      </c>
      <c r="B82" s="336">
        <f>Параметры!B47</f>
        <v>320</v>
      </c>
      <c r="C82" s="125"/>
      <c r="E82" s="42"/>
      <c r="F82" s="42"/>
      <c r="G82" s="42"/>
      <c r="H82" s="42"/>
    </row>
    <row r="83" spans="1:256" customFormat="1" x14ac:dyDescent="0.25">
      <c r="A83" s="143" t="s">
        <v>493</v>
      </c>
      <c r="B83" s="116">
        <f ca="1">B82*B81</f>
        <v>2880</v>
      </c>
      <c r="C83" s="125"/>
      <c r="E83" s="109"/>
      <c r="F83" s="110"/>
      <c r="G83" s="108"/>
      <c r="H83" s="42"/>
    </row>
    <row r="84" spans="1:256" customFormat="1" x14ac:dyDescent="0.25">
      <c r="A84" s="143" t="s">
        <v>494</v>
      </c>
      <c r="B84" s="116">
        <f>Параметры!B48</f>
        <v>2500</v>
      </c>
      <c r="C84" s="125"/>
      <c r="E84" s="42"/>
      <c r="F84" s="42"/>
      <c r="G84" s="42"/>
      <c r="H84" s="42"/>
    </row>
    <row r="85" spans="1:256" customFormat="1" x14ac:dyDescent="0.25">
      <c r="A85" t="s">
        <v>496</v>
      </c>
      <c r="B85" s="336">
        <v>3100</v>
      </c>
      <c r="C85" s="125"/>
      <c r="E85" s="50"/>
      <c r="F85" s="112"/>
      <c r="G85" s="42"/>
      <c r="H85" s="42"/>
    </row>
    <row r="86" spans="1:256" customFormat="1" x14ac:dyDescent="0.25">
      <c r="A86" t="s">
        <v>497</v>
      </c>
      <c r="B86">
        <v>650</v>
      </c>
      <c r="C86" s="125"/>
      <c r="E86" s="42"/>
      <c r="F86" s="42"/>
      <c r="G86" s="42"/>
      <c r="H86" s="42"/>
    </row>
    <row r="87" spans="1:256" customFormat="1" x14ac:dyDescent="0.25">
      <c r="A87" s="363" t="s">
        <v>498</v>
      </c>
      <c r="B87">
        <v>1500</v>
      </c>
      <c r="C87" s="125"/>
      <c r="E87" s="42"/>
      <c r="F87" s="42"/>
      <c r="G87" s="42"/>
      <c r="H87" s="42"/>
    </row>
    <row r="88" spans="1:256" customFormat="1" ht="15.75" thickBot="1" x14ac:dyDescent="0.3">
      <c r="A88" s="363" t="s">
        <v>499</v>
      </c>
      <c r="B88">
        <f>500*2</f>
        <v>1000</v>
      </c>
      <c r="C88" s="125"/>
      <c r="D88" s="363"/>
      <c r="E88" s="363"/>
      <c r="F88" s="363"/>
      <c r="G88" s="363"/>
      <c r="H88" s="363"/>
      <c r="I88" s="363"/>
      <c r="J88" s="363"/>
      <c r="K88" s="363"/>
      <c r="L88" s="363"/>
      <c r="M88" s="363"/>
      <c r="N88" s="363"/>
      <c r="O88" s="363"/>
      <c r="P88" s="363"/>
      <c r="Q88" s="363"/>
      <c r="R88" s="363"/>
      <c r="S88" s="363"/>
      <c r="T88" s="363"/>
      <c r="U88" s="363"/>
      <c r="V88" s="363"/>
      <c r="W88" s="363"/>
      <c r="X88" s="363"/>
      <c r="Y88" s="363"/>
      <c r="Z88" s="363"/>
      <c r="AA88" s="363"/>
      <c r="AB88" s="363"/>
      <c r="AC88" s="363"/>
      <c r="AD88" s="363"/>
      <c r="AE88" s="363"/>
      <c r="AF88" s="363"/>
      <c r="AG88" s="363"/>
      <c r="AH88" s="363"/>
      <c r="AI88" s="363"/>
      <c r="AJ88" s="363"/>
      <c r="AK88" s="363"/>
      <c r="AL88" s="363"/>
      <c r="AM88" s="363"/>
      <c r="AN88" s="363"/>
      <c r="AO88" s="363"/>
      <c r="AP88" s="363"/>
      <c r="AQ88" s="363"/>
      <c r="AR88" s="363"/>
      <c r="AS88" s="363"/>
      <c r="AT88" s="363"/>
      <c r="AU88" s="363"/>
      <c r="AV88" s="363"/>
      <c r="AW88" s="363"/>
      <c r="AX88" s="363"/>
      <c r="AY88" s="363"/>
      <c r="AZ88" s="363"/>
      <c r="BA88" s="363"/>
      <c r="BB88" s="363"/>
      <c r="BC88" s="363"/>
      <c r="BD88" s="363"/>
      <c r="BE88" s="363"/>
      <c r="BF88" s="363"/>
      <c r="BG88" s="363"/>
      <c r="BH88" s="363"/>
      <c r="BI88" s="363"/>
      <c r="BJ88" s="363"/>
      <c r="BK88" s="363"/>
      <c r="BL88" s="363"/>
      <c r="BM88" s="363"/>
      <c r="BN88" s="363"/>
      <c r="BO88" s="363"/>
      <c r="BP88" s="363"/>
      <c r="BQ88" s="363"/>
      <c r="BR88" s="363"/>
      <c r="BS88" s="363"/>
      <c r="BT88" s="363"/>
      <c r="BU88" s="363"/>
      <c r="BV88" s="363"/>
      <c r="BW88" s="363"/>
      <c r="BX88" s="363"/>
      <c r="BY88" s="363"/>
      <c r="BZ88" s="363"/>
      <c r="CA88" s="363"/>
      <c r="CB88" s="363"/>
      <c r="CC88" s="363"/>
      <c r="CD88" s="363"/>
      <c r="CE88" s="363"/>
      <c r="CF88" s="363"/>
      <c r="CG88" s="363"/>
      <c r="CH88" s="363"/>
      <c r="CI88" s="363"/>
      <c r="CJ88" s="363"/>
      <c r="CK88" s="363"/>
      <c r="CL88" s="363"/>
      <c r="CM88" s="363"/>
      <c r="CN88" s="363"/>
      <c r="CO88" s="363"/>
      <c r="CP88" s="363"/>
      <c r="CQ88" s="363"/>
      <c r="CR88" s="363"/>
      <c r="CS88" s="363"/>
      <c r="CT88" s="363"/>
      <c r="CU88" s="363"/>
      <c r="CV88" s="363"/>
      <c r="CW88" s="363"/>
      <c r="CX88" s="363"/>
      <c r="CY88" s="363"/>
      <c r="CZ88" s="363"/>
      <c r="DA88" s="363"/>
      <c r="DB88" s="363"/>
      <c r="DC88" s="363"/>
      <c r="DD88" s="363"/>
      <c r="DE88" s="363"/>
      <c r="DF88" s="363"/>
      <c r="DG88" s="363"/>
      <c r="DH88" s="363"/>
      <c r="DI88" s="363"/>
      <c r="DJ88" s="363"/>
      <c r="DK88" s="363"/>
      <c r="DL88" s="363"/>
      <c r="DM88" s="363"/>
      <c r="DN88" s="363"/>
      <c r="DO88" s="363"/>
      <c r="DP88" s="363"/>
      <c r="DQ88" s="363"/>
      <c r="DR88" s="363"/>
      <c r="DS88" s="363"/>
      <c r="DT88" s="363"/>
      <c r="DU88" s="363"/>
      <c r="DV88" s="363"/>
      <c r="DW88" s="363"/>
      <c r="DX88" s="363"/>
      <c r="DY88" s="363"/>
      <c r="DZ88" s="363"/>
      <c r="EA88" s="363"/>
      <c r="EB88" s="363"/>
      <c r="EC88" s="363"/>
      <c r="ED88" s="363"/>
      <c r="EE88" s="363"/>
      <c r="EF88" s="363"/>
      <c r="EG88" s="363"/>
      <c r="EH88" s="363"/>
      <c r="EI88" s="363"/>
      <c r="EJ88" s="363"/>
      <c r="EK88" s="363"/>
      <c r="EL88" s="363"/>
      <c r="EM88" s="363"/>
      <c r="EN88" s="363"/>
      <c r="EO88" s="363"/>
      <c r="EP88" s="363"/>
      <c r="EQ88" s="363"/>
      <c r="ER88" s="363"/>
      <c r="ES88" s="363"/>
      <c r="ET88" s="363"/>
      <c r="EU88" s="363"/>
      <c r="EV88" s="363"/>
      <c r="EW88" s="363"/>
      <c r="EX88" s="363"/>
      <c r="EY88" s="363"/>
      <c r="EZ88" s="363"/>
      <c r="FA88" s="363"/>
      <c r="FB88" s="363"/>
      <c r="FC88" s="363"/>
      <c r="FD88" s="363"/>
      <c r="FE88" s="363"/>
      <c r="FF88" s="363"/>
      <c r="FG88" s="363"/>
      <c r="FH88" s="363"/>
      <c r="FI88" s="363"/>
      <c r="FJ88" s="363"/>
      <c r="FK88" s="363"/>
      <c r="FL88" s="363"/>
      <c r="FM88" s="363"/>
      <c r="FN88" s="363"/>
      <c r="FO88" s="363"/>
      <c r="FP88" s="363"/>
      <c r="FQ88" s="363"/>
      <c r="FR88" s="363"/>
      <c r="FS88" s="363"/>
      <c r="FT88" s="363"/>
      <c r="FU88" s="363"/>
      <c r="FV88" s="363"/>
      <c r="FW88" s="363"/>
      <c r="FX88" s="363"/>
      <c r="FY88" s="363"/>
      <c r="FZ88" s="363"/>
      <c r="GA88" s="363"/>
      <c r="GB88" s="363"/>
      <c r="GC88" s="363"/>
      <c r="GD88" s="363"/>
      <c r="GE88" s="363"/>
      <c r="GF88" s="363"/>
      <c r="GG88" s="363"/>
      <c r="GH88" s="363"/>
      <c r="GI88" s="363"/>
      <c r="GJ88" s="363"/>
      <c r="GK88" s="363"/>
      <c r="GL88" s="363"/>
      <c r="GM88" s="363"/>
      <c r="GN88" s="363"/>
      <c r="GO88" s="363"/>
      <c r="GP88" s="363"/>
      <c r="GQ88" s="363"/>
      <c r="GR88" s="363"/>
      <c r="GS88" s="363"/>
      <c r="GT88" s="363"/>
      <c r="GU88" s="363"/>
      <c r="GV88" s="363"/>
      <c r="GW88" s="363"/>
      <c r="GX88" s="363"/>
      <c r="GY88" s="363"/>
      <c r="GZ88" s="363"/>
      <c r="HA88" s="363"/>
      <c r="HB88" s="363"/>
      <c r="HC88" s="363"/>
      <c r="HD88" s="363"/>
      <c r="HE88" s="363"/>
      <c r="HF88" s="363"/>
      <c r="HG88" s="363"/>
      <c r="HH88" s="363"/>
      <c r="HI88" s="363"/>
      <c r="HJ88" s="363"/>
      <c r="HK88" s="363"/>
      <c r="HL88" s="363"/>
      <c r="HM88" s="363"/>
      <c r="HN88" s="363"/>
      <c r="HO88" s="363"/>
      <c r="HP88" s="363"/>
      <c r="HQ88" s="363"/>
      <c r="HR88" s="363"/>
      <c r="HS88" s="363"/>
      <c r="HT88" s="363"/>
      <c r="HU88" s="363"/>
      <c r="HV88" s="363"/>
      <c r="HW88" s="363"/>
      <c r="HX88" s="363"/>
      <c r="HY88" s="363"/>
      <c r="HZ88" s="363"/>
      <c r="IA88" s="363"/>
      <c r="IB88" s="363"/>
      <c r="IC88" s="363"/>
      <c r="ID88" s="363"/>
      <c r="IE88" s="363"/>
      <c r="IF88" s="363"/>
      <c r="IG88" s="363"/>
      <c r="IH88" s="363"/>
      <c r="II88" s="363"/>
      <c r="IJ88" s="363"/>
      <c r="IK88" s="363"/>
      <c r="IL88" s="363"/>
      <c r="IM88" s="363"/>
      <c r="IN88" s="363"/>
      <c r="IO88" s="363"/>
      <c r="IP88" s="363"/>
      <c r="IQ88" s="363"/>
      <c r="IR88" s="363"/>
      <c r="IS88" s="363"/>
      <c r="IT88" s="363"/>
      <c r="IU88" s="363"/>
      <c r="IV88" s="363"/>
    </row>
    <row r="89" spans="1:256" customFormat="1" ht="15.75" thickBot="1" x14ac:dyDescent="0.3">
      <c r="A89" s="106" t="s">
        <v>495</v>
      </c>
      <c r="B89" s="107">
        <f ca="1">SUM(B83:B88)</f>
        <v>11630</v>
      </c>
      <c r="C89" s="124"/>
      <c r="E89" s="42"/>
      <c r="F89" s="42"/>
      <c r="G89" s="42"/>
      <c r="H89" s="42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J20"/>
  <sheetViews>
    <sheetView workbookViewId="0">
      <selection activeCell="D13" sqref="D13:E13"/>
    </sheetView>
  </sheetViews>
  <sheetFormatPr defaultRowHeight="15" x14ac:dyDescent="0.25"/>
  <cols>
    <col min="1" max="1" width="41.7109375" customWidth="1"/>
    <col min="5" max="5" width="12.5703125" customWidth="1"/>
    <col min="6" max="6" width="11.7109375" customWidth="1"/>
    <col min="7" max="7" width="12" customWidth="1"/>
  </cols>
  <sheetData>
    <row r="1" spans="1:10" x14ac:dyDescent="0.25">
      <c r="F1" t="s">
        <v>5</v>
      </c>
      <c r="G1" t="s">
        <v>6</v>
      </c>
      <c r="H1" t="s">
        <v>7</v>
      </c>
    </row>
    <row r="2" spans="1:10" x14ac:dyDescent="0.25">
      <c r="A2" t="s">
        <v>0</v>
      </c>
      <c r="B2">
        <v>855</v>
      </c>
      <c r="E2" t="s">
        <v>4</v>
      </c>
      <c r="F2">
        <f>1200</f>
        <v>1200</v>
      </c>
      <c r="G2" s="103">
        <f>Цена!B16</f>
        <v>1000</v>
      </c>
      <c r="H2">
        <f>G2-F2</f>
        <v>-200</v>
      </c>
      <c r="I2">
        <f>H2/100</f>
        <v>-2</v>
      </c>
      <c r="J2">
        <f>I2*B5</f>
        <v>-46</v>
      </c>
    </row>
    <row r="3" spans="1:10" x14ac:dyDescent="0.25">
      <c r="A3" t="s">
        <v>1</v>
      </c>
      <c r="B3">
        <v>11</v>
      </c>
      <c r="E3" t="s">
        <v>8</v>
      </c>
      <c r="F3">
        <v>2000</v>
      </c>
      <c r="G3" s="103">
        <f>Цена!C16</f>
        <v>1300</v>
      </c>
      <c r="H3">
        <f>G3-F3</f>
        <v>-700</v>
      </c>
      <c r="I3">
        <f>H3/100</f>
        <v>-7</v>
      </c>
      <c r="J3">
        <f>I3*B3</f>
        <v>-77</v>
      </c>
    </row>
    <row r="4" spans="1:10" x14ac:dyDescent="0.25">
      <c r="A4" t="s">
        <v>2</v>
      </c>
      <c r="B4">
        <v>20</v>
      </c>
      <c r="E4" t="s">
        <v>9</v>
      </c>
      <c r="F4">
        <v>1500</v>
      </c>
      <c r="G4" s="103">
        <f>Цена!D16</f>
        <v>850</v>
      </c>
      <c r="H4">
        <f>G4-F4</f>
        <v>-650</v>
      </c>
      <c r="I4">
        <f>H4/100</f>
        <v>-6.5</v>
      </c>
      <c r="J4">
        <f>I4*B4</f>
        <v>-130</v>
      </c>
    </row>
    <row r="5" spans="1:10" x14ac:dyDescent="0.25">
      <c r="A5" t="s">
        <v>3</v>
      </c>
      <c r="B5">
        <v>23</v>
      </c>
    </row>
    <row r="7" spans="1:10" x14ac:dyDescent="0.25">
      <c r="A7" t="s">
        <v>29</v>
      </c>
      <c r="B7">
        <f>B2+SUM(J2:J4)</f>
        <v>602</v>
      </c>
      <c r="C7" t="s">
        <v>10</v>
      </c>
    </row>
    <row r="8" spans="1:10" x14ac:dyDescent="0.25">
      <c r="A8" t="s">
        <v>30</v>
      </c>
      <c r="B8" s="116">
        <f>Цепи!B14</f>
        <v>21</v>
      </c>
      <c r="C8" t="s">
        <v>10</v>
      </c>
    </row>
    <row r="9" spans="1:10" x14ac:dyDescent="0.25">
      <c r="A9" t="s">
        <v>150</v>
      </c>
      <c r="B9">
        <f>Панели!B14</f>
        <v>123</v>
      </c>
      <c r="C9" t="s">
        <v>10</v>
      </c>
    </row>
    <row r="10" spans="1:10" x14ac:dyDescent="0.25">
      <c r="A10" t="s">
        <v>151</v>
      </c>
      <c r="B10">
        <f>Панели!B13</f>
        <v>57.4</v>
      </c>
      <c r="C10" t="s">
        <v>10</v>
      </c>
    </row>
    <row r="11" spans="1:10" x14ac:dyDescent="0.25">
      <c r="A11" t="s">
        <v>169</v>
      </c>
      <c r="B11" s="116">
        <f>Щётка!B11</f>
        <v>42</v>
      </c>
      <c r="C11" t="s">
        <v>10</v>
      </c>
    </row>
    <row r="12" spans="1:10" x14ac:dyDescent="0.25">
      <c r="A12" t="s">
        <v>343</v>
      </c>
      <c r="B12" s="116">
        <f>Щётка!B10</f>
        <v>14</v>
      </c>
      <c r="C12" t="s">
        <v>10</v>
      </c>
    </row>
    <row r="13" spans="1:10" x14ac:dyDescent="0.25">
      <c r="A13" t="s">
        <v>33</v>
      </c>
      <c r="B13">
        <f ca="1">Привода!B11</f>
        <v>34</v>
      </c>
      <c r="C13" t="s">
        <v>10</v>
      </c>
    </row>
    <row r="14" spans="1:10" x14ac:dyDescent="0.25">
      <c r="A14" t="s">
        <v>32</v>
      </c>
      <c r="B14">
        <f ca="1">Привода!B4</f>
        <v>79</v>
      </c>
      <c r="C14" t="s">
        <v>10</v>
      </c>
    </row>
    <row r="15" spans="1:10" x14ac:dyDescent="0.25">
      <c r="A15" t="s">
        <v>34</v>
      </c>
      <c r="B15">
        <v>9</v>
      </c>
      <c r="C15" t="s">
        <v>10</v>
      </c>
    </row>
    <row r="16" spans="1:10" x14ac:dyDescent="0.25">
      <c r="A16" t="s">
        <v>35</v>
      </c>
      <c r="B16">
        <v>24</v>
      </c>
      <c r="C16" t="s">
        <v>10</v>
      </c>
    </row>
    <row r="18" spans="1:3" x14ac:dyDescent="0.25">
      <c r="A18" t="s">
        <v>31</v>
      </c>
      <c r="B18">
        <f ca="1">SUM(B7:B17)</f>
        <v>1005.4</v>
      </c>
      <c r="C18" t="s">
        <v>10</v>
      </c>
    </row>
    <row r="20" spans="1:3" x14ac:dyDescent="0.25">
      <c r="A20" t="s">
        <v>144</v>
      </c>
      <c r="B20" s="116">
        <f>B7+B15+B10+B12</f>
        <v>682.4</v>
      </c>
      <c r="C20" t="s">
        <v>10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L16"/>
  <sheetViews>
    <sheetView workbookViewId="0">
      <selection sqref="A1:IV16"/>
    </sheetView>
  </sheetViews>
  <sheetFormatPr defaultRowHeight="15" x14ac:dyDescent="0.25"/>
  <cols>
    <col min="1" max="1" width="48.5703125" customWidth="1"/>
    <col min="3" max="3" width="11.5703125" customWidth="1"/>
    <col min="5" max="5" width="51" style="42" customWidth="1"/>
    <col min="6" max="6" width="13.140625" style="42" customWidth="1"/>
    <col min="7" max="7" width="10.28515625" style="42" customWidth="1"/>
    <col min="8" max="8" width="16.42578125" style="42" customWidth="1"/>
  </cols>
  <sheetData>
    <row r="1" spans="1:12" ht="15.75" thickBot="1" x14ac:dyDescent="0.3">
      <c r="A1" s="126" t="s">
        <v>165</v>
      </c>
      <c r="B1" s="131"/>
      <c r="C1" s="124"/>
      <c r="E1" s="42" t="s">
        <v>152</v>
      </c>
      <c r="F1" s="114">
        <f>Цена!B3</f>
        <v>95</v>
      </c>
      <c r="I1" s="42"/>
      <c r="J1" s="114"/>
      <c r="K1" s="42"/>
      <c r="L1" s="42"/>
    </row>
    <row r="2" spans="1:12" x14ac:dyDescent="0.25">
      <c r="A2" s="143" t="s">
        <v>51</v>
      </c>
      <c r="B2" t="s">
        <v>51</v>
      </c>
      <c r="C2" s="125" t="s">
        <v>52</v>
      </c>
      <c r="E2" s="42" t="s">
        <v>173</v>
      </c>
      <c r="F2" s="113">
        <f>Параметры!B46</f>
        <v>4200</v>
      </c>
      <c r="G2" s="42" t="s">
        <v>172</v>
      </c>
    </row>
    <row r="3" spans="1:12" x14ac:dyDescent="0.25">
      <c r="A3" t="s">
        <v>50</v>
      </c>
      <c r="B3">
        <v>900</v>
      </c>
      <c r="C3" s="125"/>
    </row>
    <row r="4" spans="1:12" x14ac:dyDescent="0.25">
      <c r="A4" t="s">
        <v>49</v>
      </c>
      <c r="B4">
        <v>18</v>
      </c>
      <c r="C4" s="125"/>
      <c r="E4" s="109"/>
      <c r="F4" s="110"/>
      <c r="G4" s="108"/>
    </row>
    <row r="5" spans="1:12" x14ac:dyDescent="0.25">
      <c r="A5" t="s">
        <v>53</v>
      </c>
      <c r="B5">
        <f>105-34-Щётка!B4</f>
        <v>53</v>
      </c>
      <c r="C5" s="125"/>
      <c r="E5" s="109"/>
      <c r="F5" s="111"/>
      <c r="G5" s="108"/>
    </row>
    <row r="6" spans="1:12" x14ac:dyDescent="0.25">
      <c r="A6" t="s">
        <v>54</v>
      </c>
      <c r="B6">
        <f>ROUNDUP(B3/100,1)</f>
        <v>9</v>
      </c>
      <c r="C6" s="125"/>
      <c r="E6" s="71"/>
      <c r="F6" s="71"/>
      <c r="G6" s="71"/>
      <c r="H6" s="71"/>
    </row>
    <row r="7" spans="1:12" x14ac:dyDescent="0.25">
      <c r="A7" t="s">
        <v>166</v>
      </c>
      <c r="B7">
        <f>B5+B4</f>
        <v>71</v>
      </c>
      <c r="C7" s="125"/>
    </row>
    <row r="8" spans="1:12" x14ac:dyDescent="0.25">
      <c r="A8" s="143" t="s">
        <v>167</v>
      </c>
      <c r="C8" s="125"/>
    </row>
    <row r="9" spans="1:12" x14ac:dyDescent="0.25">
      <c r="A9" t="s">
        <v>50</v>
      </c>
      <c r="B9" s="116">
        <f>Цена!B16-300</f>
        <v>700</v>
      </c>
      <c r="C9" s="125"/>
      <c r="E9" s="50"/>
      <c r="F9" s="112"/>
    </row>
    <row r="10" spans="1:12" x14ac:dyDescent="0.25">
      <c r="A10" t="s">
        <v>49</v>
      </c>
      <c r="B10">
        <f>MROUND(B4*B9/B3,1)</f>
        <v>14</v>
      </c>
      <c r="C10" s="125"/>
    </row>
    <row r="11" spans="1:12" x14ac:dyDescent="0.25">
      <c r="A11" t="s">
        <v>53</v>
      </c>
      <c r="B11">
        <f>6*B12</f>
        <v>42</v>
      </c>
      <c r="C11" s="125"/>
    </row>
    <row r="12" spans="1:12" ht="15.75" thickBot="1" x14ac:dyDescent="0.3">
      <c r="A12" t="s">
        <v>54</v>
      </c>
      <c r="B12">
        <f>ROUNDUP(B9/100,0)</f>
        <v>7</v>
      </c>
      <c r="C12" s="125"/>
    </row>
    <row r="13" spans="1:12" ht="15.75" thickBot="1" x14ac:dyDescent="0.3">
      <c r="A13" s="106" t="s">
        <v>168</v>
      </c>
      <c r="B13" s="107">
        <f>B11+B10</f>
        <v>56</v>
      </c>
      <c r="C13" s="124"/>
    </row>
    <row r="14" spans="1:12" ht="15.75" thickBot="1" x14ac:dyDescent="0.3"/>
    <row r="15" spans="1:12" ht="15.75" thickBot="1" x14ac:dyDescent="0.3">
      <c r="A15" s="126" t="s">
        <v>355</v>
      </c>
      <c r="B15" s="127"/>
      <c r="C15" s="124"/>
    </row>
    <row r="16" spans="1:12" ht="15.75" thickBot="1" x14ac:dyDescent="0.3">
      <c r="A16" s="106" t="s">
        <v>174</v>
      </c>
      <c r="B16" s="107">
        <f>B12*F2</f>
        <v>29400</v>
      </c>
      <c r="C16" s="12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0"/>
  <dimension ref="A1:L15"/>
  <sheetViews>
    <sheetView workbookViewId="0">
      <selection activeCell="J3" sqref="J3:K7"/>
    </sheetView>
  </sheetViews>
  <sheetFormatPr defaultRowHeight="15" x14ac:dyDescent="0.25"/>
  <cols>
    <col min="1" max="1" width="53" customWidth="1"/>
    <col min="5" max="5" width="51" style="42" customWidth="1"/>
    <col min="6" max="6" width="13.140625" style="42" customWidth="1"/>
    <col min="7" max="7" width="10.28515625" style="42" customWidth="1"/>
    <col min="8" max="8" width="16.42578125" style="42" customWidth="1"/>
    <col min="10" max="10" width="9.140625" customWidth="1"/>
    <col min="11" max="11" width="16.85546875" customWidth="1"/>
  </cols>
  <sheetData>
    <row r="1" spans="1:12" ht="15.75" thickBot="1" x14ac:dyDescent="0.3">
      <c r="A1" s="126" t="s">
        <v>334</v>
      </c>
      <c r="B1" s="131"/>
      <c r="C1" s="124"/>
      <c r="F1" s="114"/>
      <c r="I1" s="42"/>
      <c r="J1" s="114"/>
      <c r="K1" s="42"/>
      <c r="L1" s="42"/>
    </row>
    <row r="2" spans="1:12" x14ac:dyDescent="0.25">
      <c r="A2" t="s">
        <v>339</v>
      </c>
      <c r="B2" s="116">
        <f>Вес!B20</f>
        <v>682.4</v>
      </c>
      <c r="C2" s="125"/>
      <c r="E2" s="291"/>
      <c r="F2" s="292"/>
      <c r="G2" s="291"/>
      <c r="H2" s="291"/>
      <c r="I2" s="291"/>
      <c r="J2" s="291"/>
      <c r="K2" s="291"/>
      <c r="L2" s="42"/>
    </row>
    <row r="3" spans="1:12" ht="15.75" thickBot="1" x14ac:dyDescent="0.3">
      <c r="A3" t="s">
        <v>340</v>
      </c>
      <c r="B3" s="116">
        <f>MROUND(B2/F9,5)</f>
        <v>855</v>
      </c>
      <c r="C3" s="125"/>
      <c r="E3" s="291" t="s">
        <v>11</v>
      </c>
      <c r="F3" s="293">
        <f>Цена!B16</f>
        <v>1000</v>
      </c>
      <c r="G3" s="291"/>
      <c r="H3" s="291"/>
      <c r="I3" s="291"/>
      <c r="J3" s="294" t="s">
        <v>127</v>
      </c>
      <c r="K3" s="294" t="s">
        <v>335</v>
      </c>
      <c r="L3" s="42"/>
    </row>
    <row r="4" spans="1:12" ht="15.75" thickBot="1" x14ac:dyDescent="0.3">
      <c r="A4" s="106" t="s">
        <v>341</v>
      </c>
      <c r="B4" s="107">
        <f ca="1">MROUND(B3*G8*(1+F10),1)</f>
        <v>180533</v>
      </c>
      <c r="C4" s="124"/>
      <c r="E4" s="291" t="s">
        <v>12</v>
      </c>
      <c r="F4" s="293">
        <f>Цена!C16</f>
        <v>1300</v>
      </c>
      <c r="G4" s="291"/>
      <c r="H4" s="291"/>
      <c r="I4" s="291"/>
      <c r="J4" s="295" t="s">
        <v>76</v>
      </c>
      <c r="K4" s="296">
        <f>Параметры!B11</f>
        <v>205</v>
      </c>
    </row>
    <row r="5" spans="1:12" x14ac:dyDescent="0.25">
      <c r="B5" s="116"/>
      <c r="C5" s="123"/>
      <c r="E5" s="291" t="s">
        <v>336</v>
      </c>
      <c r="F5" s="293">
        <f>Цена!D16</f>
        <v>850</v>
      </c>
      <c r="G5" s="291"/>
      <c r="H5" s="291"/>
      <c r="I5" s="291"/>
      <c r="J5" s="295" t="s">
        <v>78</v>
      </c>
      <c r="K5" s="296">
        <f>Параметры!B12</f>
        <v>275</v>
      </c>
    </row>
    <row r="6" spans="1:12" x14ac:dyDescent="0.25">
      <c r="B6" s="116"/>
      <c r="C6" s="123"/>
      <c r="E6" s="291" t="s">
        <v>337</v>
      </c>
      <c r="F6" s="297">
        <f>Цена!E16</f>
        <v>6</v>
      </c>
      <c r="G6" s="291"/>
      <c r="H6" s="291"/>
      <c r="I6" s="291"/>
      <c r="J6" s="295" t="s">
        <v>79</v>
      </c>
      <c r="K6" s="296">
        <f>Параметры!B13</f>
        <v>390</v>
      </c>
    </row>
    <row r="7" spans="1:12" x14ac:dyDescent="0.25">
      <c r="B7" s="116"/>
      <c r="C7" s="123"/>
      <c r="E7" s="291"/>
      <c r="F7" s="297"/>
      <c r="G7" s="291"/>
      <c r="H7" s="291"/>
      <c r="I7" s="291"/>
      <c r="J7" s="295" t="s">
        <v>80</v>
      </c>
      <c r="K7" s="296">
        <f>Параметры!B14</f>
        <v>310</v>
      </c>
    </row>
    <row r="8" spans="1:12" x14ac:dyDescent="0.25">
      <c r="B8" s="116"/>
      <c r="C8" s="123"/>
      <c r="E8" s="291" t="s">
        <v>127</v>
      </c>
      <c r="F8" s="293" t="str">
        <f>Цена!D23</f>
        <v>AISI 201</v>
      </c>
      <c r="G8" s="291">
        <f ca="1">OFFSET(J3,MATCH(F8,J4:J7,0),1,1,1)</f>
        <v>205</v>
      </c>
      <c r="H8" s="291" t="s">
        <v>335</v>
      </c>
      <c r="I8" s="291"/>
      <c r="J8" s="291"/>
      <c r="K8" s="291"/>
    </row>
    <row r="9" spans="1:12" x14ac:dyDescent="0.25">
      <c r="B9" s="116"/>
      <c r="C9" s="123"/>
      <c r="E9" s="291" t="s">
        <v>338</v>
      </c>
      <c r="F9" s="300">
        <f>Параметры!B30</f>
        <v>0.8</v>
      </c>
      <c r="G9" s="291"/>
      <c r="H9" s="291"/>
      <c r="I9" s="298"/>
      <c r="J9" s="298"/>
      <c r="K9" s="298"/>
    </row>
    <row r="10" spans="1:12" x14ac:dyDescent="0.25">
      <c r="B10" s="116"/>
      <c r="C10" s="123"/>
      <c r="E10" s="291" t="s">
        <v>73</v>
      </c>
      <c r="F10" s="301">
        <f>Параметры!B5</f>
        <v>0.03</v>
      </c>
      <c r="G10" s="291"/>
      <c r="H10" s="291"/>
      <c r="I10" s="291"/>
      <c r="J10" s="299"/>
      <c r="K10" s="299"/>
    </row>
    <row r="11" spans="1:12" x14ac:dyDescent="0.25">
      <c r="C11" s="123"/>
      <c r="E11" s="291"/>
      <c r="F11" s="302"/>
      <c r="G11" s="291"/>
      <c r="H11" s="291"/>
      <c r="I11" s="291"/>
      <c r="J11" s="291"/>
      <c r="K11" s="291"/>
    </row>
    <row r="12" spans="1:12" x14ac:dyDescent="0.25">
      <c r="C12" s="123"/>
      <c r="E12" s="291"/>
      <c r="F12" s="293"/>
      <c r="G12" s="291"/>
      <c r="H12" s="291"/>
      <c r="I12" s="291"/>
      <c r="J12" s="291"/>
      <c r="K12" s="291"/>
    </row>
    <row r="13" spans="1:12" x14ac:dyDescent="0.25">
      <c r="G13" s="291"/>
      <c r="H13" s="291"/>
      <c r="I13" s="291"/>
      <c r="J13" s="291"/>
      <c r="K13" s="291"/>
    </row>
    <row r="14" spans="1:12" x14ac:dyDescent="0.25">
      <c r="G14" s="303"/>
      <c r="H14" s="303"/>
      <c r="I14" s="291"/>
      <c r="J14" s="291"/>
      <c r="K14" s="291"/>
    </row>
    <row r="15" spans="1:12" x14ac:dyDescent="0.25">
      <c r="I15" s="303"/>
      <c r="J15" s="303"/>
      <c r="K15" s="303"/>
    </row>
  </sheetData>
  <pageMargins left="0.7" right="0.7" top="0.75" bottom="0.75" header="0.3" footer="0.3"/>
  <pageSetup paperSize="0" orientation="portrait" horizontalDpi="0" verticalDpi="0" copies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4"/>
  <dimension ref="A1:L17"/>
  <sheetViews>
    <sheetView workbookViewId="0">
      <selection activeCell="F26" sqref="F26"/>
    </sheetView>
  </sheetViews>
  <sheetFormatPr defaultRowHeight="15" x14ac:dyDescent="0.25"/>
  <cols>
    <col min="1" max="1" width="53" customWidth="1"/>
    <col min="5" max="5" width="51" style="42" customWidth="1"/>
    <col min="6" max="6" width="13.140625" style="42" customWidth="1"/>
    <col min="7" max="7" width="10.28515625" style="42" customWidth="1"/>
    <col min="8" max="8" width="16.42578125" style="42" customWidth="1"/>
    <col min="9" max="9" width="12.5703125" customWidth="1"/>
  </cols>
  <sheetData>
    <row r="1" spans="1:12" ht="15.75" thickBot="1" x14ac:dyDescent="0.3">
      <c r="A1" s="126" t="s">
        <v>160</v>
      </c>
      <c r="B1" s="131"/>
      <c r="C1" s="124"/>
      <c r="E1" s="42" t="s">
        <v>152</v>
      </c>
      <c r="F1" s="396">
        <f>Цена!B3</f>
        <v>95</v>
      </c>
      <c r="I1" s="42"/>
      <c r="J1" s="114"/>
      <c r="K1" s="42"/>
      <c r="L1" s="42"/>
    </row>
    <row r="2" spans="1:12" x14ac:dyDescent="0.25">
      <c r="A2" t="s">
        <v>11</v>
      </c>
      <c r="B2" s="116">
        <f>Вес!G2</f>
        <v>1000</v>
      </c>
      <c r="C2" s="125"/>
      <c r="E2" s="42" t="s">
        <v>590</v>
      </c>
      <c r="F2" s="397">
        <f>Параметры!B44</f>
        <v>4250</v>
      </c>
      <c r="G2" s="42" t="s">
        <v>89</v>
      </c>
      <c r="I2" s="109"/>
      <c r="J2" s="115"/>
      <c r="K2" s="42"/>
      <c r="L2" s="42"/>
    </row>
    <row r="3" spans="1:12" x14ac:dyDescent="0.25">
      <c r="A3" t="s">
        <v>12</v>
      </c>
      <c r="B3" s="116">
        <f>Вес!G3</f>
        <v>1300</v>
      </c>
      <c r="C3" s="125"/>
      <c r="E3" s="42" t="s">
        <v>119</v>
      </c>
      <c r="F3" s="398" t="str">
        <f>Цена!D23</f>
        <v>AISI 201</v>
      </c>
      <c r="I3" s="42"/>
      <c r="J3" s="113"/>
      <c r="K3" s="42"/>
      <c r="L3" s="42"/>
    </row>
    <row r="4" spans="1:12" x14ac:dyDescent="0.25">
      <c r="A4" t="s">
        <v>13</v>
      </c>
      <c r="B4" s="116">
        <f>Вес!G4</f>
        <v>850</v>
      </c>
      <c r="C4" s="125"/>
      <c r="E4" s="109"/>
      <c r="F4" s="110"/>
      <c r="G4" s="108"/>
    </row>
    <row r="5" spans="1:12" x14ac:dyDescent="0.25">
      <c r="A5" t="s">
        <v>14</v>
      </c>
      <c r="B5" s="116">
        <v>60</v>
      </c>
      <c r="C5" s="125"/>
      <c r="E5" s="109" t="str">
        <f>CONCATENATE("Цепь из ",F3)</f>
        <v>Цепь из AISI 201</v>
      </c>
      <c r="F5" s="399">
        <f ca="1">MROUND(F2/275*OFFSET(I8,MATCH(F3,H9:H12,0),0,1,1),1)</f>
        <v>3168</v>
      </c>
      <c r="G5" s="400" t="str">
        <f>G2</f>
        <v>руб/м.п. без НДС</v>
      </c>
    </row>
    <row r="6" spans="1:12" x14ac:dyDescent="0.25">
      <c r="A6" t="s">
        <v>15</v>
      </c>
      <c r="B6" s="116">
        <v>380</v>
      </c>
      <c r="C6" s="125"/>
      <c r="E6" s="71"/>
      <c r="F6" s="71"/>
      <c r="G6" s="71"/>
    </row>
    <row r="7" spans="1:12" x14ac:dyDescent="0.25">
      <c r="A7" t="s">
        <v>16</v>
      </c>
      <c r="B7" s="116">
        <v>275</v>
      </c>
      <c r="C7" s="125"/>
    </row>
    <row r="8" spans="1:12" x14ac:dyDescent="0.25">
      <c r="A8" t="s">
        <v>17</v>
      </c>
      <c r="B8" s="116">
        <v>900</v>
      </c>
      <c r="C8" s="125"/>
      <c r="H8" s="294" t="s">
        <v>127</v>
      </c>
      <c r="I8" s="294" t="s">
        <v>335</v>
      </c>
    </row>
    <row r="9" spans="1:12" x14ac:dyDescent="0.25">
      <c r="A9" t="s">
        <v>18</v>
      </c>
      <c r="B9" s="116">
        <f>MROUND((B3+B4+B8-B7)/SIN(RADIANS(B5)),1)</f>
        <v>3204</v>
      </c>
      <c r="C9" s="125"/>
      <c r="E9" s="50"/>
      <c r="F9" s="112"/>
      <c r="H9" s="295" t="s">
        <v>76</v>
      </c>
      <c r="I9" s="296">
        <f>Параметры!B11</f>
        <v>205</v>
      </c>
    </row>
    <row r="10" spans="1:12" x14ac:dyDescent="0.25">
      <c r="A10" t="s">
        <v>19</v>
      </c>
      <c r="B10" s="116">
        <f>MROUND((B9*2+PI()*B6),1)</f>
        <v>7602</v>
      </c>
      <c r="C10" s="125"/>
      <c r="H10" s="295" t="s">
        <v>78</v>
      </c>
      <c r="I10" s="296">
        <f>Параметры!B12</f>
        <v>275</v>
      </c>
    </row>
    <row r="11" spans="1:12" x14ac:dyDescent="0.25">
      <c r="A11" t="s">
        <v>20</v>
      </c>
      <c r="B11">
        <f>ROUNDUP(B10/1000,1)</f>
        <v>7.6999999999999993</v>
      </c>
      <c r="C11" s="125"/>
      <c r="H11" s="295" t="s">
        <v>79</v>
      </c>
      <c r="I11" s="296">
        <f>Параметры!B13</f>
        <v>390</v>
      </c>
    </row>
    <row r="12" spans="1:12" ht="15.75" thickBot="1" x14ac:dyDescent="0.3">
      <c r="A12" t="s">
        <v>28</v>
      </c>
      <c r="B12">
        <v>1.3</v>
      </c>
      <c r="C12" s="125"/>
      <c r="H12" s="295" t="s">
        <v>80</v>
      </c>
      <c r="I12" s="296">
        <f>Параметры!B14</f>
        <v>310</v>
      </c>
    </row>
    <row r="13" spans="1:12" x14ac:dyDescent="0.25">
      <c r="A13" s="76" t="s">
        <v>20</v>
      </c>
      <c r="B13" s="120">
        <f>ROUNDUP(B11*2,0)</f>
        <v>16</v>
      </c>
      <c r="C13" s="105"/>
    </row>
    <row r="14" spans="1:12" ht="15.75" thickBot="1" x14ac:dyDescent="0.3">
      <c r="A14" s="128" t="s">
        <v>161</v>
      </c>
      <c r="B14" s="129">
        <f>MROUND(B13*B12,1)</f>
        <v>21</v>
      </c>
      <c r="C14" s="130"/>
    </row>
    <row r="15" spans="1:12" ht="15.75" thickBot="1" x14ac:dyDescent="0.3"/>
    <row r="16" spans="1:12" ht="15.75" thickBot="1" x14ac:dyDescent="0.3">
      <c r="A16" s="126" t="s">
        <v>162</v>
      </c>
      <c r="B16" s="127"/>
      <c r="C16" s="124"/>
    </row>
    <row r="17" spans="1:3" ht="15.75" thickBot="1" x14ac:dyDescent="0.3">
      <c r="A17" s="106" t="s">
        <v>163</v>
      </c>
      <c r="B17" s="107">
        <f ca="1">MROUND(B13*F5,1)</f>
        <v>50688</v>
      </c>
      <c r="C17" s="124"/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1"/>
  <dimension ref="A1:K19"/>
  <sheetViews>
    <sheetView workbookViewId="0">
      <selection activeCell="E15" sqref="E15"/>
    </sheetView>
  </sheetViews>
  <sheetFormatPr defaultRowHeight="15" x14ac:dyDescent="0.25"/>
  <cols>
    <col min="1" max="1" width="47.5703125" customWidth="1"/>
    <col min="5" max="5" width="51" style="42" customWidth="1"/>
    <col min="6" max="6" width="13.140625" style="42" customWidth="1"/>
    <col min="7" max="7" width="21.85546875" style="42" customWidth="1"/>
    <col min="8" max="8" width="16.42578125" style="42" customWidth="1"/>
    <col min="9" max="9" width="13.85546875" customWidth="1"/>
    <col min="10" max="10" width="15.42578125" customWidth="1"/>
  </cols>
  <sheetData>
    <row r="1" spans="1:11" x14ac:dyDescent="0.25">
      <c r="A1" s="119" t="s">
        <v>156</v>
      </c>
      <c r="B1" s="118"/>
      <c r="C1" s="105"/>
      <c r="E1" s="42" t="s">
        <v>152</v>
      </c>
      <c r="F1" s="114">
        <f>Цена!B3</f>
        <v>95</v>
      </c>
    </row>
    <row r="2" spans="1:11" x14ac:dyDescent="0.25">
      <c r="A2" t="s">
        <v>154</v>
      </c>
      <c r="B2" s="117">
        <f>Цена!B16</f>
        <v>1000</v>
      </c>
      <c r="C2" s="125"/>
      <c r="E2" s="42" t="s">
        <v>576</v>
      </c>
      <c r="F2" s="113">
        <f>Параметры!B45</f>
        <v>250</v>
      </c>
      <c r="G2" s="42" t="s">
        <v>147</v>
      </c>
      <c r="I2" s="294" t="s">
        <v>127</v>
      </c>
      <c r="J2" s="294" t="s">
        <v>335</v>
      </c>
    </row>
    <row r="3" spans="1:11" x14ac:dyDescent="0.25">
      <c r="A3" t="s">
        <v>26</v>
      </c>
      <c r="B3" s="117">
        <f>B2-250</f>
        <v>750</v>
      </c>
      <c r="C3" s="125"/>
      <c r="I3" s="295" t="s">
        <v>76</v>
      </c>
      <c r="J3" s="296">
        <f>Параметры!B11</f>
        <v>205</v>
      </c>
      <c r="K3">
        <f>IF(I3=$F$4,1,0)</f>
        <v>1</v>
      </c>
    </row>
    <row r="4" spans="1:11" x14ac:dyDescent="0.25">
      <c r="A4" t="s">
        <v>21</v>
      </c>
      <c r="B4">
        <f>Цепи!B11</f>
        <v>7.6999999999999993</v>
      </c>
      <c r="C4" s="125"/>
      <c r="E4" s="109" t="s">
        <v>119</v>
      </c>
      <c r="F4" s="110" t="str">
        <f>Цена!D23</f>
        <v>AISI 201</v>
      </c>
      <c r="G4" s="108"/>
      <c r="I4" s="295" t="s">
        <v>78</v>
      </c>
      <c r="J4" s="296">
        <f>Параметры!B12</f>
        <v>275</v>
      </c>
      <c r="K4">
        <f>IF(I4=$F$4,1,0)</f>
        <v>0</v>
      </c>
    </row>
    <row r="5" spans="1:11" s="42" customFormat="1" ht="15.75" thickBot="1" x14ac:dyDescent="0.3">
      <c r="A5" t="s">
        <v>22</v>
      </c>
      <c r="B5">
        <v>190</v>
      </c>
      <c r="C5" s="125"/>
      <c r="E5" s="109" t="str">
        <f>CONCATENATE("Стоимость 100 мм панели из ",F4)</f>
        <v>Стоимость 100 мм панели из AISI 201</v>
      </c>
      <c r="F5" s="111">
        <f ca="1">F2/J4*OFFSET(I2,MATCH(1,K3:K6,0),1,1,1)</f>
        <v>186.36363636363635</v>
      </c>
      <c r="G5" s="108"/>
      <c r="I5" s="295" t="s">
        <v>79</v>
      </c>
      <c r="J5" s="296">
        <f>Параметры!B13</f>
        <v>390</v>
      </c>
      <c r="K5">
        <f>IF(I5=$F$4,1,0)</f>
        <v>0</v>
      </c>
    </row>
    <row r="6" spans="1:11" ht="15.75" thickBot="1" x14ac:dyDescent="0.3">
      <c r="A6" s="106" t="s">
        <v>23</v>
      </c>
      <c r="B6" s="107">
        <f>ROUNDUP(B4/B5*1000,0)</f>
        <v>41</v>
      </c>
      <c r="C6" s="124"/>
      <c r="I6" s="295" t="s">
        <v>80</v>
      </c>
      <c r="J6" s="296">
        <f>Параметры!B14</f>
        <v>310</v>
      </c>
      <c r="K6">
        <f>IF(I6=$F$4,1,0)</f>
        <v>0</v>
      </c>
    </row>
    <row r="7" spans="1:11" s="123" customFormat="1" ht="15.75" thickBot="1" x14ac:dyDescent="0.3">
      <c r="A7" s="121"/>
      <c r="B7" s="122"/>
      <c r="C7" s="71"/>
      <c r="E7" s="71"/>
      <c r="F7" s="71"/>
      <c r="G7" s="71"/>
      <c r="H7" s="71"/>
      <c r="I7" s="291"/>
      <c r="J7" s="291"/>
    </row>
    <row r="8" spans="1:11" ht="15.75" thickBot="1" x14ac:dyDescent="0.3">
      <c r="A8" s="126" t="s">
        <v>159</v>
      </c>
      <c r="B8" s="127"/>
      <c r="C8" s="124"/>
    </row>
    <row r="9" spans="1:11" x14ac:dyDescent="0.25">
      <c r="A9" t="s">
        <v>24</v>
      </c>
      <c r="B9">
        <v>4</v>
      </c>
      <c r="C9" s="125"/>
    </row>
    <row r="10" spans="1:11" x14ac:dyDescent="0.25">
      <c r="A10" t="s">
        <v>157</v>
      </c>
      <c r="B10">
        <f>B9*B3/1000</f>
        <v>3</v>
      </c>
      <c r="C10" s="125"/>
    </row>
    <row r="11" spans="1:11" x14ac:dyDescent="0.25">
      <c r="A11" t="s">
        <v>25</v>
      </c>
      <c r="B11">
        <v>1.4</v>
      </c>
      <c r="C11" s="125"/>
    </row>
    <row r="12" spans="1:11" x14ac:dyDescent="0.25">
      <c r="A12" t="s">
        <v>27</v>
      </c>
      <c r="B12">
        <f>B10+B11</f>
        <v>4.4000000000000004</v>
      </c>
      <c r="C12" s="125"/>
      <c r="E12" s="50"/>
      <c r="F12" s="112"/>
    </row>
    <row r="13" spans="1:11" x14ac:dyDescent="0.25">
      <c r="A13" t="s">
        <v>148</v>
      </c>
      <c r="B13">
        <f>B11*B6</f>
        <v>57.4</v>
      </c>
      <c r="C13" s="125"/>
    </row>
    <row r="14" spans="1:11" s="42" customFormat="1" ht="15.75" thickBot="1" x14ac:dyDescent="0.3">
      <c r="A14" t="s">
        <v>158</v>
      </c>
      <c r="B14">
        <f>B6*B10</f>
        <v>123</v>
      </c>
      <c r="C14" s="125"/>
    </row>
    <row r="15" spans="1:11" ht="15.75" thickBot="1" x14ac:dyDescent="0.3">
      <c r="A15" s="106" t="s">
        <v>149</v>
      </c>
      <c r="B15" s="107">
        <f>B13+B14</f>
        <v>180.4</v>
      </c>
      <c r="C15" s="124"/>
    </row>
    <row r="16" spans="1:11" s="123" customFormat="1" ht="15.75" thickBot="1" x14ac:dyDescent="0.3">
      <c r="A16" s="121"/>
      <c r="B16" s="122"/>
      <c r="C16" s="71"/>
      <c r="E16" s="71"/>
      <c r="F16" s="71"/>
      <c r="G16" s="71"/>
      <c r="H16" s="71"/>
    </row>
    <row r="17" spans="1:3" ht="15.75" thickBot="1" x14ac:dyDescent="0.3">
      <c r="A17" s="126" t="s">
        <v>170</v>
      </c>
      <c r="B17" s="127"/>
      <c r="C17" s="124"/>
    </row>
    <row r="18" spans="1:3" ht="15.75" thickBot="1" x14ac:dyDescent="0.3">
      <c r="A18" t="s">
        <v>155</v>
      </c>
      <c r="B18" s="117">
        <f ca="1">MROUND(F5*B3/100,1)</f>
        <v>1398</v>
      </c>
      <c r="C18" s="125"/>
    </row>
    <row r="19" spans="1:3" ht="15.75" thickBot="1" x14ac:dyDescent="0.3">
      <c r="A19" s="106" t="s">
        <v>577</v>
      </c>
      <c r="B19" s="107">
        <f ca="1">B18*B6</f>
        <v>57318</v>
      </c>
      <c r="C19" s="124"/>
    </row>
  </sheetData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U16"/>
  <sheetViews>
    <sheetView topLeftCell="C1" workbookViewId="0">
      <selection activeCell="H7" sqref="H7"/>
    </sheetView>
  </sheetViews>
  <sheetFormatPr defaultRowHeight="15" x14ac:dyDescent="0.25"/>
  <cols>
    <col min="1" max="1" width="49.42578125" customWidth="1"/>
    <col min="2" max="2" width="9.5703125" bestFit="1" customWidth="1"/>
    <col min="5" max="5" width="51" style="42" customWidth="1"/>
    <col min="6" max="6" width="13.140625" style="42" customWidth="1"/>
    <col min="7" max="7" width="21.85546875" style="42" customWidth="1"/>
    <col min="8" max="8" width="23.85546875" customWidth="1"/>
    <col min="9" max="9" width="14.28515625" style="104" customWidth="1"/>
    <col min="14" max="14" width="28.28515625" customWidth="1"/>
    <col min="19" max="19" width="19.140625" customWidth="1"/>
  </cols>
  <sheetData>
    <row r="1" spans="1:21" s="282" customFormat="1" x14ac:dyDescent="0.25">
      <c r="A1" s="119" t="s">
        <v>328</v>
      </c>
      <c r="B1" s="118"/>
      <c r="C1" s="105"/>
      <c r="D1"/>
      <c r="E1" s="42" t="s">
        <v>152</v>
      </c>
      <c r="F1" s="114">
        <f>Цена!B3</f>
        <v>95</v>
      </c>
      <c r="G1" s="42"/>
    </row>
    <row r="2" spans="1:21" s="282" customFormat="1" x14ac:dyDescent="0.25">
      <c r="A2" t="s">
        <v>329</v>
      </c>
      <c r="B2" s="117">
        <f>Цена!D20</f>
        <v>55</v>
      </c>
      <c r="C2" s="125"/>
      <c r="D2"/>
      <c r="E2" s="42" t="s">
        <v>153</v>
      </c>
      <c r="F2" s="113">
        <f>Параметры!B45</f>
        <v>250</v>
      </c>
      <c r="G2" s="42" t="s">
        <v>147</v>
      </c>
    </row>
    <row r="3" spans="1:21" s="282" customFormat="1" x14ac:dyDescent="0.25">
      <c r="A3" t="s">
        <v>59</v>
      </c>
      <c r="B3" s="288">
        <f ca="1">OFFSET($K$13,MATCH(1,$T$14:$T$16,0),4,1,1)</f>
        <v>0.75</v>
      </c>
      <c r="C3" s="125"/>
      <c r="D3"/>
      <c r="E3" s="42"/>
      <c r="F3" s="42"/>
      <c r="G3" s="42"/>
    </row>
    <row r="4" spans="1:21" s="282" customFormat="1" x14ac:dyDescent="0.25">
      <c r="A4" t="s">
        <v>330</v>
      </c>
      <c r="B4">
        <f ca="1">OFFSET($K$13,MATCH(1,$T$14:$T$16,0),7,1,1)</f>
        <v>79</v>
      </c>
      <c r="C4" s="125"/>
      <c r="D4"/>
      <c r="E4" s="109"/>
      <c r="F4" s="110"/>
      <c r="G4" s="108"/>
    </row>
    <row r="5" spans="1:21" s="282" customFormat="1" ht="15.75" thickBot="1" x14ac:dyDescent="0.3">
      <c r="A5" t="s">
        <v>331</v>
      </c>
      <c r="B5" s="289">
        <f ca="1">OFFSET($K$13,MATCH(1,$T$14:$T$16,0),8,1,1)</f>
        <v>1040</v>
      </c>
      <c r="C5" s="125"/>
      <c r="D5" s="42"/>
      <c r="E5" s="109"/>
      <c r="F5" s="111"/>
      <c r="G5" s="108"/>
      <c r="M5" s="286" t="s">
        <v>36</v>
      </c>
      <c r="T5" s="283"/>
    </row>
    <row r="6" spans="1:21" s="282" customFormat="1" ht="15" customHeight="1" thickBot="1" x14ac:dyDescent="0.3">
      <c r="A6" s="290" t="s">
        <v>332</v>
      </c>
      <c r="B6" s="107">
        <f ca="1">MROUND(F1*B5,1)</f>
        <v>98800</v>
      </c>
      <c r="C6" s="124"/>
      <c r="D6"/>
      <c r="E6" s="42"/>
      <c r="F6" s="42"/>
      <c r="G6" s="42"/>
      <c r="L6" s="282" t="s">
        <v>55</v>
      </c>
      <c r="M6" s="282" t="s">
        <v>56</v>
      </c>
      <c r="N6" s="282" t="s">
        <v>57</v>
      </c>
      <c r="O6" s="282" t="s">
        <v>59</v>
      </c>
      <c r="P6" s="282" t="s">
        <v>60</v>
      </c>
      <c r="Q6" s="282" t="s">
        <v>61</v>
      </c>
      <c r="R6" s="282" t="s">
        <v>62</v>
      </c>
      <c r="S6" s="282" t="s">
        <v>324</v>
      </c>
      <c r="T6" s="283" t="s">
        <v>37</v>
      </c>
    </row>
    <row r="7" spans="1:21" s="282" customFormat="1" ht="15.75" thickBot="1" x14ac:dyDescent="0.3">
      <c r="A7" s="121"/>
      <c r="B7" s="122"/>
      <c r="C7" s="71"/>
      <c r="D7" s="123"/>
      <c r="E7" s="71"/>
      <c r="F7" s="71"/>
      <c r="G7" s="71"/>
      <c r="L7" s="284">
        <v>55</v>
      </c>
      <c r="M7" s="284" t="s">
        <v>58</v>
      </c>
      <c r="N7" s="287" t="str">
        <f>Параметры!A35</f>
        <v>SK2282AZ-90L/4</v>
      </c>
      <c r="O7" s="284">
        <v>1.5</v>
      </c>
      <c r="P7" s="284">
        <v>400</v>
      </c>
      <c r="Q7" s="284">
        <v>50</v>
      </c>
      <c r="R7" s="284">
        <v>34</v>
      </c>
      <c r="S7" s="287">
        <f>Параметры!B35</f>
        <v>550</v>
      </c>
      <c r="T7" s="283">
        <f>IF(L7=Цена!$D$20,1,0)</f>
        <v>1</v>
      </c>
    </row>
    <row r="8" spans="1:21" s="282" customFormat="1" ht="15.75" thickBot="1" x14ac:dyDescent="0.3">
      <c r="A8" s="126" t="s">
        <v>33</v>
      </c>
      <c r="B8" s="127"/>
      <c r="C8" s="124"/>
      <c r="D8"/>
      <c r="E8" s="42"/>
      <c r="F8" s="42"/>
      <c r="G8" s="42"/>
      <c r="L8" s="284">
        <v>66</v>
      </c>
      <c r="M8" s="284" t="s">
        <v>58</v>
      </c>
      <c r="N8" s="287" t="str">
        <f>Параметры!A36</f>
        <v>SK2282AZ-90L/4</v>
      </c>
      <c r="O8" s="284">
        <v>1.5</v>
      </c>
      <c r="P8" s="284">
        <v>400</v>
      </c>
      <c r="Q8" s="284">
        <v>50</v>
      </c>
      <c r="R8" s="284">
        <v>34</v>
      </c>
      <c r="S8" s="287">
        <f>Параметры!B36</f>
        <v>650</v>
      </c>
      <c r="T8" s="283">
        <f>IF(L8=Цена!$D$20,1,0)</f>
        <v>0</v>
      </c>
    </row>
    <row r="9" spans="1:21" s="282" customFormat="1" x14ac:dyDescent="0.25">
      <c r="A9" t="s">
        <v>329</v>
      </c>
      <c r="B9" s="116">
        <f>B2</f>
        <v>55</v>
      </c>
      <c r="C9" s="125"/>
      <c r="D9"/>
      <c r="E9" s="42"/>
      <c r="F9" s="42"/>
      <c r="G9" s="42"/>
      <c r="L9" s="284">
        <v>68</v>
      </c>
      <c r="M9" s="284" t="s">
        <v>58</v>
      </c>
      <c r="N9" s="287" t="str">
        <f>Параметры!A37</f>
        <v>SK2282AZ-90L/4</v>
      </c>
      <c r="O9" s="284">
        <v>1.5</v>
      </c>
      <c r="P9" s="284">
        <v>400</v>
      </c>
      <c r="Q9" s="284">
        <v>50</v>
      </c>
      <c r="R9" s="284">
        <v>34</v>
      </c>
      <c r="S9" s="287">
        <f>Параметры!B37</f>
        <v>4300</v>
      </c>
      <c r="T9" s="283">
        <f>IF(L9=Цена!$D$20,1,0)</f>
        <v>0</v>
      </c>
    </row>
    <row r="10" spans="1:21" s="282" customFormat="1" x14ac:dyDescent="0.25">
      <c r="A10" t="s">
        <v>59</v>
      </c>
      <c r="B10">
        <f ca="1">OFFSET($K$6,MATCH(1,$T$7:$T$9,0),4,1,1)</f>
        <v>1.5</v>
      </c>
      <c r="C10" s="125"/>
      <c r="D10"/>
      <c r="E10" s="42"/>
      <c r="F10" s="42"/>
      <c r="G10" s="42"/>
      <c r="T10" s="283"/>
    </row>
    <row r="11" spans="1:21" s="282" customFormat="1" x14ac:dyDescent="0.25">
      <c r="A11" t="s">
        <v>330</v>
      </c>
      <c r="B11">
        <f ca="1">OFFSET($K$6,MATCH(1,$T$7:$T$9,0),7,1,1)</f>
        <v>34</v>
      </c>
      <c r="C11" s="125"/>
      <c r="D11"/>
      <c r="E11" s="42"/>
      <c r="F11" s="42"/>
      <c r="G11" s="42"/>
      <c r="T11" s="283"/>
    </row>
    <row r="12" spans="1:21" s="282" customFormat="1" ht="15.75" thickBot="1" x14ac:dyDescent="0.3">
      <c r="A12" t="s">
        <v>331</v>
      </c>
      <c r="B12" s="289">
        <f ca="1">OFFSET($K$6,MATCH(1,$T$7:$T$9,0),8,1,1)</f>
        <v>550</v>
      </c>
      <c r="C12" s="125"/>
      <c r="D12"/>
      <c r="E12" s="50"/>
      <c r="F12" s="112"/>
      <c r="G12" s="42"/>
      <c r="M12" s="285" t="s">
        <v>30</v>
      </c>
      <c r="T12" s="283"/>
    </row>
    <row r="13" spans="1:21" ht="30" customHeight="1" thickBot="1" x14ac:dyDescent="0.3">
      <c r="A13" s="290" t="s">
        <v>149</v>
      </c>
      <c r="B13" s="107">
        <f ca="1">MROUND(F1*B12,1)</f>
        <v>52250</v>
      </c>
      <c r="C13" s="124"/>
      <c r="L13" s="282" t="s">
        <v>55</v>
      </c>
      <c r="M13" s="282" t="s">
        <v>56</v>
      </c>
      <c r="N13" s="282" t="s">
        <v>57</v>
      </c>
      <c r="O13" s="282" t="s">
        <v>59</v>
      </c>
      <c r="P13" s="282" t="s">
        <v>60</v>
      </c>
      <c r="Q13" s="282" t="s">
        <v>61</v>
      </c>
      <c r="R13" s="282" t="s">
        <v>62</v>
      </c>
      <c r="S13" s="282" t="s">
        <v>324</v>
      </c>
      <c r="T13" s="283"/>
      <c r="U13" s="282"/>
    </row>
    <row r="14" spans="1:21" x14ac:dyDescent="0.25">
      <c r="C14" s="123"/>
      <c r="D14" s="42"/>
      <c r="L14" s="284">
        <v>55</v>
      </c>
      <c r="M14" s="284" t="s">
        <v>58</v>
      </c>
      <c r="N14" s="287" t="str">
        <f>Параметры!A40</f>
        <v>SK4382AZ-80L/4</v>
      </c>
      <c r="O14" s="284">
        <v>0.75</v>
      </c>
      <c r="P14" s="284">
        <v>400</v>
      </c>
      <c r="Q14" s="284">
        <v>50</v>
      </c>
      <c r="R14" s="284">
        <v>79</v>
      </c>
      <c r="S14" s="287">
        <f>Параметры!B40</f>
        <v>1040</v>
      </c>
      <c r="T14" s="283">
        <f>IF(L14=Цена!$D$20,1,0)</f>
        <v>1</v>
      </c>
      <c r="U14" s="282"/>
    </row>
    <row r="15" spans="1:21" x14ac:dyDescent="0.25">
      <c r="L15" s="284">
        <v>66</v>
      </c>
      <c r="M15" s="284" t="s">
        <v>58</v>
      </c>
      <c r="N15" s="287" t="str">
        <f>Параметры!A41</f>
        <v>SK4382AZ-80L/4</v>
      </c>
      <c r="O15" s="284">
        <v>0.75</v>
      </c>
      <c r="P15" s="284">
        <v>400</v>
      </c>
      <c r="Q15" s="284">
        <v>50</v>
      </c>
      <c r="R15" s="284">
        <v>79</v>
      </c>
      <c r="S15" s="287">
        <f>Параметры!B41</f>
        <v>1130</v>
      </c>
      <c r="T15" s="283">
        <f>IF(L15=Цена!$D$20,1,0)</f>
        <v>0</v>
      </c>
      <c r="U15" s="282"/>
    </row>
    <row r="16" spans="1:21" x14ac:dyDescent="0.25">
      <c r="A16" s="121"/>
      <c r="B16" s="122"/>
      <c r="C16" s="71"/>
      <c r="D16" s="123"/>
      <c r="E16" s="71"/>
      <c r="F16" s="71"/>
      <c r="G16" s="71"/>
      <c r="L16" s="284">
        <v>68</v>
      </c>
      <c r="M16" s="284" t="s">
        <v>58</v>
      </c>
      <c r="N16" s="287" t="str">
        <f>Параметры!A42</f>
        <v>SK4382AZ-80L/4</v>
      </c>
      <c r="O16" s="284">
        <v>0.75</v>
      </c>
      <c r="P16" s="284">
        <v>400</v>
      </c>
      <c r="Q16" s="284">
        <v>50</v>
      </c>
      <c r="R16" s="284">
        <v>79</v>
      </c>
      <c r="S16" s="287">
        <f>Параметры!B42</f>
        <v>4430</v>
      </c>
      <c r="T16" s="283">
        <f>IF(L16=Цена!$D$20,1,0)</f>
        <v>0</v>
      </c>
      <c r="U16" s="282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R17"/>
  <sheetViews>
    <sheetView workbookViewId="0">
      <selection activeCell="C13" sqref="C13"/>
    </sheetView>
  </sheetViews>
  <sheetFormatPr defaultRowHeight="15" x14ac:dyDescent="0.25"/>
  <cols>
    <col min="1" max="1" width="46.28515625" style="308" customWidth="1"/>
    <col min="2" max="16384" width="9.140625" style="308"/>
  </cols>
  <sheetData>
    <row r="1" spans="1:18" ht="15.75" x14ac:dyDescent="0.25">
      <c r="A1" s="513" t="s">
        <v>344</v>
      </c>
      <c r="B1" s="513"/>
      <c r="C1" s="513"/>
      <c r="D1" s="513"/>
      <c r="E1" s="513"/>
      <c r="F1" s="513"/>
      <c r="G1" s="513"/>
      <c r="H1" s="513"/>
      <c r="I1" s="513"/>
      <c r="J1" s="513"/>
      <c r="K1" s="513"/>
      <c r="L1" s="513"/>
      <c r="M1" s="513"/>
      <c r="N1" s="513"/>
      <c r="O1" s="513"/>
      <c r="P1" s="513"/>
      <c r="Q1" s="513"/>
      <c r="R1" s="513"/>
    </row>
    <row r="2" spans="1:18" ht="15.75" thickBot="1" x14ac:dyDescent="0.3"/>
    <row r="3" spans="1:18" ht="15.75" thickBot="1" x14ac:dyDescent="0.3">
      <c r="A3" s="514" t="s">
        <v>64</v>
      </c>
      <c r="B3" s="516" t="s">
        <v>154</v>
      </c>
      <c r="C3" s="517"/>
      <c r="D3" s="517"/>
      <c r="E3" s="517"/>
      <c r="F3" s="517"/>
      <c r="G3" s="517"/>
      <c r="H3" s="517"/>
      <c r="I3" s="517"/>
      <c r="J3" s="517"/>
      <c r="K3" s="517"/>
      <c r="L3" s="517"/>
      <c r="M3" s="517"/>
      <c r="N3" s="517"/>
      <c r="O3" s="517"/>
      <c r="P3" s="517"/>
      <c r="Q3" s="517"/>
      <c r="R3" s="518"/>
    </row>
    <row r="4" spans="1:18" ht="15.75" thickBot="1" x14ac:dyDescent="0.3">
      <c r="A4" s="515"/>
      <c r="B4" s="309">
        <v>1000</v>
      </c>
      <c r="C4" s="310">
        <v>1100</v>
      </c>
      <c r="D4" s="310">
        <v>1200</v>
      </c>
      <c r="E4" s="310">
        <v>1300</v>
      </c>
      <c r="F4" s="310">
        <v>1400</v>
      </c>
      <c r="G4" s="310">
        <v>1500</v>
      </c>
      <c r="H4" s="310">
        <v>1600</v>
      </c>
      <c r="I4" s="310">
        <v>1700</v>
      </c>
      <c r="J4" s="310">
        <v>1800</v>
      </c>
      <c r="K4" s="310">
        <v>1900</v>
      </c>
      <c r="L4" s="310">
        <v>2000</v>
      </c>
      <c r="M4" s="310">
        <v>2100</v>
      </c>
      <c r="N4" s="310">
        <v>2200</v>
      </c>
      <c r="O4" s="310">
        <v>2300</v>
      </c>
      <c r="P4" s="310">
        <v>2400</v>
      </c>
      <c r="Q4" s="310">
        <v>2500</v>
      </c>
      <c r="R4" s="311">
        <v>2600</v>
      </c>
    </row>
    <row r="5" spans="1:18" ht="14.25" customHeight="1" x14ac:dyDescent="0.25">
      <c r="A5" s="312" t="s">
        <v>345</v>
      </c>
      <c r="B5" s="313">
        <f t="shared" ref="B5:R5" si="0">ROUNDUP(B9*4.98*60/1000,1)</f>
        <v>2.7</v>
      </c>
      <c r="C5" s="314">
        <f t="shared" si="0"/>
        <v>3</v>
      </c>
      <c r="D5" s="314">
        <f t="shared" si="0"/>
        <v>3.3000000000000003</v>
      </c>
      <c r="E5" s="314">
        <f t="shared" si="0"/>
        <v>3.6</v>
      </c>
      <c r="F5" s="314">
        <f t="shared" si="0"/>
        <v>3.9</v>
      </c>
      <c r="G5" s="314">
        <f t="shared" si="0"/>
        <v>4.1999999999999993</v>
      </c>
      <c r="H5" s="314">
        <f t="shared" si="0"/>
        <v>4.5</v>
      </c>
      <c r="I5" s="314">
        <f t="shared" si="0"/>
        <v>4.8</v>
      </c>
      <c r="J5" s="314">
        <f t="shared" si="0"/>
        <v>5.0999999999999996</v>
      </c>
      <c r="K5" s="314">
        <f t="shared" si="0"/>
        <v>5.3999999999999995</v>
      </c>
      <c r="L5" s="314">
        <f t="shared" si="0"/>
        <v>5.6999999999999993</v>
      </c>
      <c r="M5" s="314">
        <f t="shared" si="0"/>
        <v>6</v>
      </c>
      <c r="N5" s="314">
        <f t="shared" si="0"/>
        <v>6.3</v>
      </c>
      <c r="O5" s="314">
        <f t="shared" si="0"/>
        <v>6.6</v>
      </c>
      <c r="P5" s="314">
        <f t="shared" si="0"/>
        <v>6.8999999999999995</v>
      </c>
      <c r="Q5" s="314">
        <f t="shared" si="0"/>
        <v>7.1999999999999993</v>
      </c>
      <c r="R5" s="315">
        <f t="shared" si="0"/>
        <v>7.5</v>
      </c>
    </row>
    <row r="6" spans="1:18" ht="14.25" customHeight="1" x14ac:dyDescent="0.25">
      <c r="A6" s="312" t="s">
        <v>346</v>
      </c>
      <c r="B6" s="316">
        <f>MROUND(B5/3600*1000,0.01)</f>
        <v>0.75</v>
      </c>
      <c r="C6" s="317">
        <f t="shared" ref="C6:R6" si="1">MROUND(C5/3600*1000,0.01)</f>
        <v>0.83000000000000007</v>
      </c>
      <c r="D6" s="317">
        <f t="shared" si="1"/>
        <v>0.92</v>
      </c>
      <c r="E6" s="317">
        <f t="shared" si="1"/>
        <v>1</v>
      </c>
      <c r="F6" s="317">
        <f t="shared" si="1"/>
        <v>1.08</v>
      </c>
      <c r="G6" s="317">
        <f t="shared" si="1"/>
        <v>1.17</v>
      </c>
      <c r="H6" s="317">
        <f t="shared" si="1"/>
        <v>1.25</v>
      </c>
      <c r="I6" s="317">
        <f t="shared" si="1"/>
        <v>1.33</v>
      </c>
      <c r="J6" s="317">
        <f t="shared" si="1"/>
        <v>1.42</v>
      </c>
      <c r="K6" s="317">
        <f t="shared" si="1"/>
        <v>1.5</v>
      </c>
      <c r="L6" s="317">
        <f t="shared" si="1"/>
        <v>1.58</v>
      </c>
      <c r="M6" s="317">
        <f t="shared" si="1"/>
        <v>1.67</v>
      </c>
      <c r="N6" s="317">
        <f t="shared" si="1"/>
        <v>1.75</v>
      </c>
      <c r="O6" s="317">
        <f t="shared" si="1"/>
        <v>1.83</v>
      </c>
      <c r="P6" s="317">
        <f t="shared" si="1"/>
        <v>1.92</v>
      </c>
      <c r="Q6" s="317">
        <f t="shared" si="1"/>
        <v>2</v>
      </c>
      <c r="R6" s="318">
        <f t="shared" si="1"/>
        <v>2.08</v>
      </c>
    </row>
    <row r="7" spans="1:18" x14ac:dyDescent="0.25">
      <c r="A7" s="312" t="s">
        <v>347</v>
      </c>
      <c r="B7" s="316">
        <f>ROUNDUP(B9*5.89*60/1000,1)</f>
        <v>3.2</v>
      </c>
      <c r="C7" s="317">
        <f t="shared" ref="C7:R7" si="2">ROUNDUP(C9*5.89*60/1000,1)</f>
        <v>3.6</v>
      </c>
      <c r="D7" s="317">
        <f t="shared" si="2"/>
        <v>3.9</v>
      </c>
      <c r="E7" s="317">
        <f t="shared" si="2"/>
        <v>4.3</v>
      </c>
      <c r="F7" s="317">
        <f t="shared" si="2"/>
        <v>4.5999999999999996</v>
      </c>
      <c r="G7" s="317">
        <f t="shared" si="2"/>
        <v>5</v>
      </c>
      <c r="H7" s="317">
        <f t="shared" si="2"/>
        <v>5.3999999999999995</v>
      </c>
      <c r="I7" s="317">
        <f t="shared" si="2"/>
        <v>5.6999999999999993</v>
      </c>
      <c r="J7" s="317">
        <f t="shared" si="2"/>
        <v>6.1</v>
      </c>
      <c r="K7" s="317">
        <f t="shared" si="2"/>
        <v>6.3999999999999995</v>
      </c>
      <c r="L7" s="317">
        <f t="shared" si="2"/>
        <v>6.8</v>
      </c>
      <c r="M7" s="317">
        <f t="shared" si="2"/>
        <v>7.1</v>
      </c>
      <c r="N7" s="317">
        <f t="shared" si="2"/>
        <v>7.5</v>
      </c>
      <c r="O7" s="317">
        <f t="shared" si="2"/>
        <v>7.8</v>
      </c>
      <c r="P7" s="317">
        <f t="shared" si="2"/>
        <v>8.1999999999999993</v>
      </c>
      <c r="Q7" s="317">
        <f t="shared" si="2"/>
        <v>8.5</v>
      </c>
      <c r="R7" s="318">
        <f t="shared" si="2"/>
        <v>8.9</v>
      </c>
    </row>
    <row r="8" spans="1:18" ht="14.25" customHeight="1" x14ac:dyDescent="0.25">
      <c r="A8" s="312" t="s">
        <v>346</v>
      </c>
      <c r="B8" s="316">
        <f>MROUND(B7/3600*1000,0.01)</f>
        <v>0.89</v>
      </c>
      <c r="C8" s="317">
        <f t="shared" ref="C8:R8" si="3">MROUND(C7/3600*1000,0.01)</f>
        <v>1</v>
      </c>
      <c r="D8" s="317">
        <f t="shared" si="3"/>
        <v>1.08</v>
      </c>
      <c r="E8" s="317">
        <f t="shared" si="3"/>
        <v>1.19</v>
      </c>
      <c r="F8" s="317">
        <f t="shared" si="3"/>
        <v>1.28</v>
      </c>
      <c r="G8" s="317">
        <f t="shared" si="3"/>
        <v>1.3900000000000001</v>
      </c>
      <c r="H8" s="317">
        <f t="shared" si="3"/>
        <v>1.5</v>
      </c>
      <c r="I8" s="317">
        <f t="shared" si="3"/>
        <v>1.58</v>
      </c>
      <c r="J8" s="317">
        <f t="shared" si="3"/>
        <v>1.69</v>
      </c>
      <c r="K8" s="317">
        <f t="shared" si="3"/>
        <v>1.78</v>
      </c>
      <c r="L8" s="317">
        <f t="shared" si="3"/>
        <v>1.8900000000000001</v>
      </c>
      <c r="M8" s="317">
        <f t="shared" si="3"/>
        <v>1.97</v>
      </c>
      <c r="N8" s="317">
        <f t="shared" si="3"/>
        <v>2.08</v>
      </c>
      <c r="O8" s="317">
        <f t="shared" si="3"/>
        <v>2.17</v>
      </c>
      <c r="P8" s="317">
        <f t="shared" si="3"/>
        <v>2.2800000000000002</v>
      </c>
      <c r="Q8" s="317">
        <f t="shared" si="3"/>
        <v>2.36</v>
      </c>
      <c r="R8" s="318">
        <f t="shared" si="3"/>
        <v>2.4700000000000002</v>
      </c>
    </row>
    <row r="9" spans="1:18" ht="15.75" thickBot="1" x14ac:dyDescent="0.3">
      <c r="A9" s="319" t="s">
        <v>348</v>
      </c>
      <c r="B9" s="320">
        <f>ROUNDUP((B4-200)/100,0)+1</f>
        <v>9</v>
      </c>
      <c r="C9" s="321">
        <f t="shared" ref="C9:R9" si="4">ROUNDUP((C4-200)/100,0)+1</f>
        <v>10</v>
      </c>
      <c r="D9" s="321">
        <f t="shared" si="4"/>
        <v>11</v>
      </c>
      <c r="E9" s="321">
        <f t="shared" si="4"/>
        <v>12</v>
      </c>
      <c r="F9" s="321">
        <f t="shared" si="4"/>
        <v>13</v>
      </c>
      <c r="G9" s="321">
        <f t="shared" si="4"/>
        <v>14</v>
      </c>
      <c r="H9" s="321">
        <f t="shared" si="4"/>
        <v>15</v>
      </c>
      <c r="I9" s="321">
        <f t="shared" si="4"/>
        <v>16</v>
      </c>
      <c r="J9" s="321">
        <f t="shared" si="4"/>
        <v>17</v>
      </c>
      <c r="K9" s="321">
        <f t="shared" si="4"/>
        <v>18</v>
      </c>
      <c r="L9" s="321">
        <f t="shared" si="4"/>
        <v>19</v>
      </c>
      <c r="M9" s="321">
        <f t="shared" si="4"/>
        <v>20</v>
      </c>
      <c r="N9" s="321">
        <f t="shared" si="4"/>
        <v>21</v>
      </c>
      <c r="O9" s="321">
        <f t="shared" si="4"/>
        <v>22</v>
      </c>
      <c r="P9" s="321">
        <f t="shared" si="4"/>
        <v>23</v>
      </c>
      <c r="Q9" s="321">
        <f t="shared" si="4"/>
        <v>24</v>
      </c>
      <c r="R9" s="322">
        <f t="shared" si="4"/>
        <v>25</v>
      </c>
    </row>
    <row r="11" spans="1:18" x14ac:dyDescent="0.25">
      <c r="B11" s="308" t="s">
        <v>349</v>
      </c>
    </row>
    <row r="12" spans="1:18" x14ac:dyDescent="0.25">
      <c r="B12" s="308" t="s">
        <v>350</v>
      </c>
    </row>
    <row r="14" spans="1:18" x14ac:dyDescent="0.25">
      <c r="A14" s="308" t="s">
        <v>351</v>
      </c>
      <c r="B14" s="323">
        <f>Цена!B16</f>
        <v>1000</v>
      </c>
    </row>
    <row r="15" spans="1:18" x14ac:dyDescent="0.25">
      <c r="A15" s="308" t="s">
        <v>352</v>
      </c>
      <c r="B15" s="308">
        <f ca="1">OFFSET(A5,4,MATCH(B14,B4:R4,0),1,1)</f>
        <v>9</v>
      </c>
    </row>
    <row r="16" spans="1:18" x14ac:dyDescent="0.25">
      <c r="A16" s="308" t="s">
        <v>353</v>
      </c>
      <c r="B16" s="308">
        <f ca="1">OFFSET(A5,1,MATCH(B14,B4:R4,0),1,1)</f>
        <v>0.75</v>
      </c>
    </row>
    <row r="17" spans="1:2" x14ac:dyDescent="0.25">
      <c r="A17" s="308" t="s">
        <v>354</v>
      </c>
      <c r="B17" s="308">
        <f ca="1">OFFSET(A5,3,MATCH(B14,B4:R4,0),1,1)</f>
        <v>0.89</v>
      </c>
    </row>
  </sheetData>
  <mergeCells count="3">
    <mergeCell ref="A1:R1"/>
    <mergeCell ref="A3:A4"/>
    <mergeCell ref="B3:R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5"/>
  <sheetViews>
    <sheetView workbookViewId="0">
      <selection activeCell="D41" sqref="D41"/>
    </sheetView>
  </sheetViews>
  <sheetFormatPr defaultRowHeight="12.75" x14ac:dyDescent="0.2"/>
  <cols>
    <col min="1" max="1" width="50.85546875" style="42" customWidth="1"/>
    <col min="2" max="2" width="21" style="42" customWidth="1"/>
    <col min="3" max="3" width="50" style="404" customWidth="1"/>
    <col min="4" max="16384" width="9.140625" style="42"/>
  </cols>
  <sheetData>
    <row r="1" spans="1:3" x14ac:dyDescent="0.2">
      <c r="A1" s="401" t="s">
        <v>592</v>
      </c>
      <c r="B1" s="402" t="s">
        <v>593</v>
      </c>
      <c r="C1" s="403">
        <v>4</v>
      </c>
    </row>
    <row r="2" spans="1:3" s="50" customFormat="1" x14ac:dyDescent="0.2">
      <c r="A2" s="401" t="s">
        <v>594</v>
      </c>
      <c r="B2" s="402" t="s">
        <v>595</v>
      </c>
      <c r="C2" s="403">
        <v>1</v>
      </c>
    </row>
    <row r="3" spans="1:3" s="50" customFormat="1" x14ac:dyDescent="0.2">
      <c r="A3" s="401" t="s">
        <v>102</v>
      </c>
      <c r="B3" s="402" t="s">
        <v>596</v>
      </c>
      <c r="C3" s="403" t="str">
        <f>Цена!B4</f>
        <v>Ахметшин Ю. М.</v>
      </c>
    </row>
    <row r="4" spans="1:3" s="50" customFormat="1" x14ac:dyDescent="0.2">
      <c r="A4" s="401" t="s">
        <v>103</v>
      </c>
      <c r="B4" s="402" t="s">
        <v>597</v>
      </c>
      <c r="C4" s="403" t="str">
        <f>Цена!B5</f>
        <v>Казахстан</v>
      </c>
    </row>
    <row r="5" spans="1:3" s="50" customFormat="1" x14ac:dyDescent="0.2">
      <c r="A5" s="401" t="s">
        <v>598</v>
      </c>
      <c r="B5" s="402" t="s">
        <v>599</v>
      </c>
      <c r="C5" s="403">
        <f>Цена!B6</f>
        <v>0</v>
      </c>
    </row>
    <row r="6" spans="1:3" s="50" customFormat="1" x14ac:dyDescent="0.2">
      <c r="A6" s="401" t="s">
        <v>39</v>
      </c>
      <c r="B6" s="402" t="s">
        <v>600</v>
      </c>
      <c r="C6" s="403">
        <f>Цена!B7</f>
        <v>0</v>
      </c>
    </row>
    <row r="7" spans="1:3" s="50" customFormat="1" x14ac:dyDescent="0.2">
      <c r="A7" s="401" t="s">
        <v>112</v>
      </c>
      <c r="B7" s="402" t="s">
        <v>601</v>
      </c>
      <c r="C7" s="403" t="str">
        <f>Цена!B10</f>
        <v/>
      </c>
    </row>
    <row r="8" spans="1:3" s="50" customFormat="1" x14ac:dyDescent="0.2">
      <c r="A8" s="401" t="s">
        <v>602</v>
      </c>
      <c r="B8" s="402" t="s">
        <v>603</v>
      </c>
      <c r="C8" s="403" t="str">
        <f>Цена!B11</f>
        <v>ТПП Экополимер</v>
      </c>
    </row>
    <row r="9" spans="1:3" s="50" customFormat="1" x14ac:dyDescent="0.2">
      <c r="A9" s="401" t="s">
        <v>634</v>
      </c>
      <c r="B9" s="402" t="s">
        <v>604</v>
      </c>
      <c r="C9" s="403">
        <f>Цена!B8</f>
        <v>0</v>
      </c>
    </row>
    <row r="10" spans="1:3" s="50" customFormat="1" x14ac:dyDescent="0.2">
      <c r="A10" s="401" t="s">
        <v>605</v>
      </c>
      <c r="B10" s="402" t="s">
        <v>606</v>
      </c>
      <c r="C10" s="403">
        <f>Цена!B9</f>
        <v>8648</v>
      </c>
    </row>
    <row r="11" spans="1:3" s="50" customFormat="1" x14ac:dyDescent="0.2">
      <c r="A11" s="401" t="s">
        <v>40</v>
      </c>
      <c r="B11" s="402" t="s">
        <v>607</v>
      </c>
      <c r="C11" s="403">
        <f>Цена!E16</f>
        <v>6</v>
      </c>
    </row>
    <row r="12" spans="1:3" s="50" customFormat="1" x14ac:dyDescent="0.2">
      <c r="A12" s="401" t="s">
        <v>11</v>
      </c>
      <c r="B12" s="402" t="s">
        <v>608</v>
      </c>
      <c r="C12" s="403">
        <f>Цена!B16</f>
        <v>1000</v>
      </c>
    </row>
    <row r="13" spans="1:3" s="50" customFormat="1" x14ac:dyDescent="0.2">
      <c r="A13" s="401" t="s">
        <v>12</v>
      </c>
      <c r="B13" s="402" t="s">
        <v>609</v>
      </c>
      <c r="C13" s="403">
        <f>Цена!C16</f>
        <v>1300</v>
      </c>
    </row>
    <row r="14" spans="1:3" s="50" customFormat="1" x14ac:dyDescent="0.2">
      <c r="A14" s="401" t="s">
        <v>610</v>
      </c>
      <c r="B14" s="402" t="s">
        <v>611</v>
      </c>
      <c r="C14" s="403">
        <f>Цена!D16</f>
        <v>850</v>
      </c>
    </row>
    <row r="15" spans="1:3" s="50" customFormat="1" x14ac:dyDescent="0.2">
      <c r="A15" s="401" t="s">
        <v>612</v>
      </c>
      <c r="B15" s="402" t="s">
        <v>613</v>
      </c>
      <c r="C15" s="403" t="str">
        <f>CONCATENATE("IP ",Цена!D20)</f>
        <v>IP 55</v>
      </c>
    </row>
    <row r="16" spans="1:3" s="50" customFormat="1" x14ac:dyDescent="0.2">
      <c r="A16" s="401" t="s">
        <v>614</v>
      </c>
      <c r="B16" s="402" t="s">
        <v>615</v>
      </c>
      <c r="C16" s="403" t="str">
        <f>Цена!D23</f>
        <v>AISI 201</v>
      </c>
    </row>
    <row r="17" spans="1:3" s="50" customFormat="1" x14ac:dyDescent="0.2">
      <c r="A17" s="401" t="s">
        <v>616</v>
      </c>
      <c r="B17" s="402" t="s">
        <v>617</v>
      </c>
      <c r="C17" s="403" t="str">
        <f>Цена!D24</f>
        <v>Нет</v>
      </c>
    </row>
    <row r="18" spans="1:3" s="50" customFormat="1" x14ac:dyDescent="0.2">
      <c r="A18" s="401" t="s">
        <v>618</v>
      </c>
      <c r="B18" s="402" t="s">
        <v>619</v>
      </c>
      <c r="C18" s="403" t="str">
        <f>Цена!D25</f>
        <v>Нет</v>
      </c>
    </row>
    <row r="19" spans="1:3" s="50" customFormat="1" x14ac:dyDescent="0.2">
      <c r="A19" s="401" t="s">
        <v>620</v>
      </c>
      <c r="B19" s="402" t="s">
        <v>621</v>
      </c>
      <c r="C19" s="403">
        <f ca="1">Спецификация!B117</f>
        <v>0</v>
      </c>
    </row>
    <row r="20" spans="1:3" s="50" customFormat="1" x14ac:dyDescent="0.2">
      <c r="A20" s="401" t="s">
        <v>622</v>
      </c>
      <c r="B20" s="402" t="s">
        <v>623</v>
      </c>
      <c r="C20" s="403">
        <f ca="1">Спецификация!B116</f>
        <v>982438</v>
      </c>
    </row>
    <row r="21" spans="1:3" s="50" customFormat="1" x14ac:dyDescent="0.2">
      <c r="A21" s="401" t="s">
        <v>624</v>
      </c>
      <c r="B21" s="402" t="s">
        <v>571</v>
      </c>
      <c r="C21" s="403">
        <f ca="1">Спецификация!C2</f>
        <v>1100</v>
      </c>
    </row>
    <row r="22" spans="1:3" s="50" customFormat="1" x14ac:dyDescent="0.2">
      <c r="A22" s="401" t="s">
        <v>625</v>
      </c>
      <c r="B22" s="402" t="s">
        <v>626</v>
      </c>
      <c r="C22" s="407">
        <f ca="1">Спецификация!D2</f>
        <v>2.25</v>
      </c>
    </row>
    <row r="23" spans="1:3" s="50" customFormat="1" x14ac:dyDescent="0.2">
      <c r="A23" s="401" t="s">
        <v>627</v>
      </c>
      <c r="B23" s="402" t="s">
        <v>628</v>
      </c>
      <c r="C23" s="403">
        <f ca="1">Спецификация!C6</f>
        <v>1000</v>
      </c>
    </row>
    <row r="24" spans="1:3" s="50" customFormat="1" x14ac:dyDescent="0.2">
      <c r="A24" s="401" t="s">
        <v>57</v>
      </c>
      <c r="B24" s="402" t="s">
        <v>629</v>
      </c>
      <c r="C24" s="403" t="str">
        <f>Цена!I4</f>
        <v>ЭРПЭ 1000.1300.850.6</v>
      </c>
    </row>
    <row r="25" spans="1:3" ht="25.5" x14ac:dyDescent="0.2">
      <c r="A25" s="401" t="s">
        <v>630</v>
      </c>
      <c r="B25" s="402" t="s">
        <v>631</v>
      </c>
      <c r="C25" s="403" t="str">
        <f ca="1">CONCATENATE(C24," (",C16,"; ",C22," кВт.; ",C15,"; ",IF(C17="Да","с ШУ и ВПУ","без ШУ"),")")</f>
        <v>ЭРПЭ 1000.1300.850.6 (AISI 201; 2,25 кВт.; IP 55; без ШУ)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C7"/>
  <sheetViews>
    <sheetView workbookViewId="0">
      <selection activeCell="B16" sqref="B16"/>
    </sheetView>
  </sheetViews>
  <sheetFormatPr defaultRowHeight="15" x14ac:dyDescent="0.25"/>
  <cols>
    <col min="1" max="1" width="12.140625" customWidth="1"/>
    <col min="2" max="2" width="80.42578125" customWidth="1"/>
    <col min="3" max="3" width="23" customWidth="1"/>
  </cols>
  <sheetData>
    <row r="1" spans="1:3" s="42" customFormat="1" ht="12.75" x14ac:dyDescent="0.2">
      <c r="A1" s="42" t="s">
        <v>88</v>
      </c>
      <c r="B1" s="50" t="s">
        <v>578</v>
      </c>
      <c r="C1" s="42" t="s">
        <v>579</v>
      </c>
    </row>
    <row r="2" spans="1:3" s="42" customFormat="1" ht="38.25" x14ac:dyDescent="0.2">
      <c r="A2" s="391">
        <v>44462</v>
      </c>
      <c r="B2" s="50" t="s">
        <v>581</v>
      </c>
      <c r="C2" s="383" t="s">
        <v>580</v>
      </c>
    </row>
    <row r="3" spans="1:3" ht="30" x14ac:dyDescent="0.25">
      <c r="A3" s="392">
        <v>44565</v>
      </c>
      <c r="B3" s="282" t="s">
        <v>584</v>
      </c>
      <c r="C3" t="s">
        <v>585</v>
      </c>
    </row>
    <row r="4" spans="1:3" x14ac:dyDescent="0.25">
      <c r="A4" s="392">
        <v>44207</v>
      </c>
      <c r="B4" s="282" t="s">
        <v>586</v>
      </c>
      <c r="C4" s="393" t="s">
        <v>587</v>
      </c>
    </row>
    <row r="5" spans="1:3" ht="30" x14ac:dyDescent="0.25">
      <c r="A5" s="391">
        <v>44579</v>
      </c>
      <c r="B5" s="394" t="s">
        <v>588</v>
      </c>
      <c r="C5" s="395" t="s">
        <v>589</v>
      </c>
    </row>
    <row r="6" spans="1:3" x14ac:dyDescent="0.25">
      <c r="A6" s="393"/>
    </row>
    <row r="7" spans="1:3" x14ac:dyDescent="0.25">
      <c r="A7" s="39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9"/>
  <dimension ref="A1:IV179"/>
  <sheetViews>
    <sheetView zoomScaleNormal="100" workbookViewId="0">
      <selection activeCell="F59" sqref="F59"/>
    </sheetView>
  </sheetViews>
  <sheetFormatPr defaultRowHeight="15" x14ac:dyDescent="0.25"/>
  <cols>
    <col min="1" max="1" width="56.5703125" style="26" customWidth="1"/>
    <col min="2" max="2" width="13" style="25" customWidth="1"/>
    <col min="3" max="3" width="22.140625" style="25" customWidth="1"/>
    <col min="4" max="5" width="18.42578125" style="25" customWidth="1"/>
    <col min="6" max="6" width="24" style="26" customWidth="1"/>
    <col min="7" max="16384" width="9.140625" style="26"/>
  </cols>
  <sheetData>
    <row r="1" spans="1:5" s="2" customFormat="1" ht="30" x14ac:dyDescent="0.25">
      <c r="A1" s="1" t="s">
        <v>64</v>
      </c>
      <c r="B1" s="1" t="s">
        <v>65</v>
      </c>
      <c r="C1" s="1" t="s">
        <v>66</v>
      </c>
      <c r="D1" s="1" t="s">
        <v>67</v>
      </c>
      <c r="E1" s="1" t="s">
        <v>68</v>
      </c>
    </row>
    <row r="2" spans="1:5" s="5" customFormat="1" x14ac:dyDescent="0.25">
      <c r="A2" s="3" t="s">
        <v>69</v>
      </c>
      <c r="B2" s="4"/>
      <c r="C2" s="4"/>
      <c r="D2" s="4"/>
    </row>
    <row r="3" spans="1:5" s="2" customFormat="1" x14ac:dyDescent="0.25">
      <c r="A3" s="2" t="s">
        <v>70</v>
      </c>
      <c r="B3" s="1">
        <v>309</v>
      </c>
      <c r="C3" s="1" t="s">
        <v>71</v>
      </c>
      <c r="D3" s="7">
        <v>44222</v>
      </c>
    </row>
    <row r="4" spans="1:5" s="2" customFormat="1" ht="30" x14ac:dyDescent="0.25">
      <c r="A4" s="2" t="s">
        <v>72</v>
      </c>
      <c r="B4" s="1">
        <v>1.82</v>
      </c>
      <c r="C4" s="1"/>
      <c r="D4" s="7">
        <v>44222</v>
      </c>
    </row>
    <row r="5" spans="1:5" s="2" customFormat="1" x14ac:dyDescent="0.25">
      <c r="A5" s="2" t="s">
        <v>73</v>
      </c>
      <c r="B5" s="1">
        <v>0.03</v>
      </c>
      <c r="C5" s="1"/>
      <c r="D5" s="7">
        <v>44222</v>
      </c>
    </row>
    <row r="6" spans="1:5" s="2" customFormat="1" x14ac:dyDescent="0.25">
      <c r="A6" s="2" t="s">
        <v>152</v>
      </c>
      <c r="B6" s="1">
        <v>95</v>
      </c>
      <c r="C6" s="1"/>
      <c r="D6" s="7">
        <v>44222</v>
      </c>
    </row>
    <row r="7" spans="1:5" s="2" customFormat="1" x14ac:dyDescent="0.25">
      <c r="A7" s="2" t="s">
        <v>583</v>
      </c>
      <c r="B7" s="1">
        <v>340</v>
      </c>
      <c r="C7" s="1" t="s">
        <v>275</v>
      </c>
      <c r="D7" s="7">
        <v>44565</v>
      </c>
    </row>
    <row r="8" spans="1:5" s="2" customFormat="1" x14ac:dyDescent="0.25">
      <c r="B8" s="1"/>
      <c r="C8" s="1"/>
      <c r="D8" s="1"/>
    </row>
    <row r="9" spans="1:5" s="5" customFormat="1" x14ac:dyDescent="0.25">
      <c r="A9" s="3" t="s">
        <v>74</v>
      </c>
      <c r="B9" s="4"/>
      <c r="C9" s="4"/>
      <c r="D9" s="4"/>
    </row>
    <row r="10" spans="1:5" s="2" customFormat="1" x14ac:dyDescent="0.25">
      <c r="A10" s="6" t="s">
        <v>75</v>
      </c>
      <c r="B10" s="1"/>
      <c r="C10" s="1"/>
      <c r="D10" s="1"/>
    </row>
    <row r="11" spans="1:5" s="2" customFormat="1" x14ac:dyDescent="0.25">
      <c r="A11" s="2" t="s">
        <v>76</v>
      </c>
      <c r="B11" s="1">
        <v>205</v>
      </c>
      <c r="C11" s="1" t="s">
        <v>77</v>
      </c>
      <c r="D11" s="7">
        <v>44222</v>
      </c>
    </row>
    <row r="12" spans="1:5" s="2" customFormat="1" x14ac:dyDescent="0.25">
      <c r="A12" s="2" t="s">
        <v>78</v>
      </c>
      <c r="B12" s="1">
        <v>275</v>
      </c>
      <c r="C12" s="1" t="s">
        <v>77</v>
      </c>
      <c r="D12" s="7">
        <v>44222</v>
      </c>
    </row>
    <row r="13" spans="1:5" s="2" customFormat="1" x14ac:dyDescent="0.25">
      <c r="A13" s="2" t="s">
        <v>79</v>
      </c>
      <c r="B13" s="1">
        <v>390</v>
      </c>
      <c r="C13" s="1" t="s">
        <v>77</v>
      </c>
      <c r="D13" s="7">
        <v>44222</v>
      </c>
    </row>
    <row r="14" spans="1:5" s="2" customFormat="1" x14ac:dyDescent="0.25">
      <c r="A14" s="2" t="s">
        <v>80</v>
      </c>
      <c r="B14" s="1">
        <v>310</v>
      </c>
      <c r="C14" s="1" t="s">
        <v>77</v>
      </c>
      <c r="D14" s="7">
        <v>44222</v>
      </c>
    </row>
    <row r="15" spans="1:5" s="2" customFormat="1" x14ac:dyDescent="0.25">
      <c r="A15" s="2" t="s">
        <v>81</v>
      </c>
      <c r="B15" s="1">
        <v>340</v>
      </c>
      <c r="C15" s="1" t="s">
        <v>77</v>
      </c>
      <c r="D15" s="7">
        <v>44242</v>
      </c>
    </row>
    <row r="16" spans="1:5" s="2" customFormat="1" x14ac:dyDescent="0.25">
      <c r="A16" s="2" t="s">
        <v>557</v>
      </c>
      <c r="B16" s="1">
        <v>3650</v>
      </c>
      <c r="C16" s="1" t="s">
        <v>558</v>
      </c>
      <c r="D16" s="7">
        <v>44222</v>
      </c>
    </row>
    <row r="17" spans="1:8" s="2" customFormat="1" x14ac:dyDescent="0.25">
      <c r="B17" s="1"/>
      <c r="C17" s="1"/>
      <c r="D17" s="1"/>
    </row>
    <row r="18" spans="1:8" s="2" customFormat="1" x14ac:dyDescent="0.25">
      <c r="B18" s="1"/>
      <c r="C18" s="1"/>
      <c r="D18" s="1"/>
    </row>
    <row r="19" spans="1:8" s="2" customFormat="1" x14ac:dyDescent="0.25">
      <c r="B19" s="1"/>
      <c r="C19" s="1"/>
      <c r="D19" s="1"/>
    </row>
    <row r="20" spans="1:8" s="2" customFormat="1" x14ac:dyDescent="0.25">
      <c r="B20" s="1"/>
      <c r="C20" s="1"/>
      <c r="D20" s="1"/>
    </row>
    <row r="21" spans="1:8" s="2" customFormat="1" x14ac:dyDescent="0.25">
      <c r="B21" s="1"/>
      <c r="C21" s="1"/>
      <c r="D21" s="1"/>
    </row>
    <row r="22" spans="1:8" s="2" customFormat="1" x14ac:dyDescent="0.25">
      <c r="B22" s="1"/>
      <c r="C22" s="1"/>
      <c r="D22" s="1"/>
    </row>
    <row r="23" spans="1:8" s="2" customFormat="1" x14ac:dyDescent="0.25">
      <c r="B23" s="1"/>
      <c r="C23" s="1"/>
      <c r="D23" s="1"/>
    </row>
    <row r="24" spans="1:8" s="2" customFormat="1" x14ac:dyDescent="0.25">
      <c r="B24" s="1"/>
      <c r="C24" s="1"/>
      <c r="D24" s="1"/>
    </row>
    <row r="25" spans="1:8" s="2" customFormat="1" x14ac:dyDescent="0.25">
      <c r="B25" s="1"/>
      <c r="C25" s="1"/>
      <c r="D25" s="1"/>
    </row>
    <row r="26" spans="1:8" s="2" customFormat="1" x14ac:dyDescent="0.25">
      <c r="B26" s="1"/>
      <c r="C26" s="1"/>
      <c r="D26" s="1"/>
      <c r="E26" s="1"/>
    </row>
    <row r="27" spans="1:8" s="2" customFormat="1" x14ac:dyDescent="0.25">
      <c r="B27" s="1"/>
      <c r="C27" s="1"/>
      <c r="D27" s="1"/>
      <c r="E27" s="1"/>
    </row>
    <row r="28" spans="1:8" s="2" customFormat="1" x14ac:dyDescent="0.25">
      <c r="B28" s="1"/>
      <c r="C28" s="1"/>
      <c r="D28" s="1"/>
      <c r="E28" s="1"/>
    </row>
    <row r="29" spans="1:8" s="5" customFormat="1" ht="15.75" x14ac:dyDescent="0.25">
      <c r="A29" s="8" t="s">
        <v>82</v>
      </c>
      <c r="B29" s="9"/>
      <c r="C29" s="9"/>
      <c r="D29" s="9"/>
      <c r="E29" s="9"/>
      <c r="F29" s="10"/>
      <c r="G29" s="10"/>
      <c r="H29" s="10"/>
    </row>
    <row r="30" spans="1:8" s="2" customFormat="1" x14ac:dyDescent="0.25">
      <c r="A30" s="2" t="s">
        <v>83</v>
      </c>
      <c r="B30" s="11">
        <v>0.8</v>
      </c>
      <c r="C30" s="1"/>
      <c r="D30" s="1"/>
      <c r="E30" s="1"/>
    </row>
    <row r="31" spans="1:8" s="2" customFormat="1" x14ac:dyDescent="0.25">
      <c r="A31" s="2" t="s">
        <v>84</v>
      </c>
      <c r="B31" s="1">
        <v>3</v>
      </c>
      <c r="C31" s="1" t="s">
        <v>85</v>
      </c>
      <c r="D31" s="1"/>
      <c r="E31" s="1"/>
    </row>
    <row r="32" spans="1:8" s="2" customFormat="1" x14ac:dyDescent="0.25">
      <c r="A32" s="2" t="s">
        <v>86</v>
      </c>
      <c r="B32" s="11">
        <v>0.95</v>
      </c>
      <c r="C32" s="1"/>
      <c r="D32" s="1"/>
      <c r="E32" s="1"/>
    </row>
    <row r="33" spans="1:256" s="2" customFormat="1" x14ac:dyDescent="0.25">
      <c r="B33" s="1"/>
      <c r="C33" s="1"/>
      <c r="D33" s="1"/>
      <c r="E33" s="1"/>
    </row>
    <row r="34" spans="1:256" s="2" customFormat="1" ht="30" x14ac:dyDescent="0.25">
      <c r="A34" s="12" t="s">
        <v>327</v>
      </c>
      <c r="B34" s="1" t="s">
        <v>87</v>
      </c>
      <c r="C34" s="1" t="s">
        <v>326</v>
      </c>
      <c r="D34" s="1" t="s">
        <v>88</v>
      </c>
    </row>
    <row r="35" spans="1:256" s="2" customFormat="1" x14ac:dyDescent="0.25">
      <c r="A35" s="2" t="s">
        <v>378</v>
      </c>
      <c r="B35" s="19">
        <f>ROUNDUP(610*1.08/1.2,-1)</f>
        <v>550</v>
      </c>
      <c r="C35" s="1">
        <v>55</v>
      </c>
      <c r="D35" s="7">
        <v>44573</v>
      </c>
      <c r="E35" s="1"/>
    </row>
    <row r="36" spans="1:256" s="2" customFormat="1" x14ac:dyDescent="0.25">
      <c r="A36" s="2" t="s">
        <v>378</v>
      </c>
      <c r="B36" s="19">
        <f>ROUNDUP(720*1.08/1.2,-1)</f>
        <v>650</v>
      </c>
      <c r="C36" s="1">
        <v>66</v>
      </c>
      <c r="D36" s="7">
        <v>44573</v>
      </c>
      <c r="E36" s="1"/>
    </row>
    <row r="37" spans="1:256" s="2" customFormat="1" x14ac:dyDescent="0.25">
      <c r="A37" s="2" t="s">
        <v>378</v>
      </c>
      <c r="B37" s="19">
        <f>MROUND(3977*1.08,10)</f>
        <v>4300</v>
      </c>
      <c r="C37" s="1">
        <v>68</v>
      </c>
      <c r="D37" s="7">
        <v>44573</v>
      </c>
      <c r="E37" s="1"/>
    </row>
    <row r="38" spans="1:256" s="2" customFormat="1" x14ac:dyDescent="0.25">
      <c r="A38" s="12"/>
      <c r="B38" s="1"/>
      <c r="C38" s="1"/>
      <c r="D38" s="1"/>
      <c r="E38" s="1"/>
    </row>
    <row r="39" spans="1:256" s="2" customFormat="1" ht="30" x14ac:dyDescent="0.25">
      <c r="A39" s="12" t="s">
        <v>325</v>
      </c>
      <c r="B39" s="1" t="s">
        <v>87</v>
      </c>
      <c r="C39" s="1" t="s">
        <v>326</v>
      </c>
      <c r="D39" s="1" t="s">
        <v>88</v>
      </c>
    </row>
    <row r="40" spans="1:256" s="2" customFormat="1" x14ac:dyDescent="0.25">
      <c r="A40" s="2" t="s">
        <v>63</v>
      </c>
      <c r="B40" s="19">
        <f>MROUND(960*1.08,10)</f>
        <v>1040</v>
      </c>
      <c r="C40" s="1">
        <v>55</v>
      </c>
      <c r="D40" s="7">
        <v>44573</v>
      </c>
      <c r="E40" s="1"/>
    </row>
    <row r="41" spans="1:256" s="2" customFormat="1" x14ac:dyDescent="0.25">
      <c r="A41" s="2" t="s">
        <v>63</v>
      </c>
      <c r="B41" s="19">
        <f>MROUND(1050*1.08,10)</f>
        <v>1130</v>
      </c>
      <c r="C41" s="1">
        <v>66</v>
      </c>
      <c r="D41" s="7">
        <v>44573</v>
      </c>
      <c r="E41" s="1"/>
    </row>
    <row r="42" spans="1:256" s="2" customFormat="1" x14ac:dyDescent="0.25">
      <c r="A42" s="2" t="s">
        <v>63</v>
      </c>
      <c r="B42" s="19">
        <f>MROUND(4100*1.08,10)</f>
        <v>4430</v>
      </c>
      <c r="C42" s="1">
        <v>68</v>
      </c>
      <c r="D42" s="7">
        <v>44573</v>
      </c>
      <c r="E42" s="1"/>
    </row>
    <row r="43" spans="1:256" s="2" customFormat="1" x14ac:dyDescent="0.25">
      <c r="A43" s="12"/>
      <c r="B43" s="1"/>
      <c r="C43" s="1"/>
      <c r="D43" s="1"/>
      <c r="E43" s="1"/>
    </row>
    <row r="44" spans="1:256" s="2" customFormat="1" ht="30" x14ac:dyDescent="0.25">
      <c r="A44" s="2" t="s">
        <v>591</v>
      </c>
      <c r="B44" s="20">
        <v>4250</v>
      </c>
      <c r="C44" s="21" t="s">
        <v>89</v>
      </c>
      <c r="D44" s="1"/>
      <c r="E44" s="1"/>
    </row>
    <row r="45" spans="1:256" s="2" customFormat="1" x14ac:dyDescent="0.25">
      <c r="A45" s="2" t="s">
        <v>146</v>
      </c>
      <c r="B45" s="20">
        <v>250</v>
      </c>
      <c r="C45" s="21" t="s">
        <v>147</v>
      </c>
      <c r="D45" s="1"/>
      <c r="E45" s="1"/>
    </row>
    <row r="46" spans="1:256" s="2" customFormat="1" x14ac:dyDescent="0.25">
      <c r="A46" s="2" t="s">
        <v>171</v>
      </c>
      <c r="B46" s="20">
        <f>ROUNDUP(32*80*1.4*1.15,-2)</f>
        <v>4200</v>
      </c>
      <c r="C46" s="21" t="s">
        <v>172</v>
      </c>
      <c r="D46" s="1"/>
      <c r="E46" s="1"/>
    </row>
    <row r="47" spans="1:256" s="2" customFormat="1" x14ac:dyDescent="0.25">
      <c r="A47" s="363" t="s">
        <v>492</v>
      </c>
      <c r="B47" s="20">
        <v>320</v>
      </c>
      <c r="C47" s="21" t="s">
        <v>172</v>
      </c>
      <c r="D47" s="1"/>
      <c r="E47" s="1"/>
    </row>
    <row r="48" spans="1:256" s="2" customFormat="1" x14ac:dyDescent="0.25">
      <c r="A48" s="363" t="s">
        <v>494</v>
      </c>
      <c r="B48" s="20">
        <v>2500</v>
      </c>
      <c r="C48" s="21" t="s">
        <v>172</v>
      </c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B48" s="143"/>
      <c r="AC48" s="143"/>
      <c r="AD48" s="143"/>
      <c r="AE48" s="143"/>
      <c r="AF48" s="143"/>
      <c r="AG48" s="143"/>
      <c r="AH48" s="143"/>
      <c r="AI48" s="143"/>
      <c r="AJ48" s="143"/>
      <c r="AK48" s="143"/>
      <c r="AL48" s="143"/>
      <c r="AM48" s="143"/>
      <c r="AN48" s="143"/>
      <c r="AO48" s="143"/>
      <c r="AP48" s="143"/>
      <c r="AQ48" s="143"/>
      <c r="AR48" s="143"/>
      <c r="AS48" s="143"/>
      <c r="AT48" s="143"/>
      <c r="AU48" s="143"/>
      <c r="AV48" s="143"/>
      <c r="AW48" s="143"/>
      <c r="AX48" s="143"/>
      <c r="AY48" s="143"/>
      <c r="AZ48" s="143"/>
      <c r="BA48" s="143"/>
      <c r="BB48" s="143"/>
      <c r="BC48" s="143"/>
      <c r="BD48" s="143"/>
      <c r="BE48" s="143"/>
      <c r="BF48" s="143"/>
      <c r="BG48" s="143"/>
      <c r="BH48" s="143"/>
      <c r="BI48" s="143"/>
      <c r="BJ48" s="143"/>
      <c r="BK48" s="143"/>
      <c r="BL48" s="143"/>
      <c r="BM48" s="143"/>
      <c r="BN48" s="143"/>
      <c r="BO48" s="143"/>
      <c r="BP48" s="143"/>
      <c r="BQ48" s="143"/>
      <c r="BR48" s="143"/>
      <c r="BS48" s="143"/>
      <c r="BT48" s="143"/>
      <c r="BU48" s="143"/>
      <c r="BV48" s="143"/>
      <c r="BW48" s="143"/>
      <c r="BX48" s="143"/>
      <c r="BY48" s="143"/>
      <c r="BZ48" s="143"/>
      <c r="CA48" s="143"/>
      <c r="CB48" s="143"/>
      <c r="CC48" s="143"/>
      <c r="CD48" s="143"/>
      <c r="CE48" s="143"/>
      <c r="CF48" s="143"/>
      <c r="CG48" s="143"/>
      <c r="CH48" s="143"/>
      <c r="CI48" s="143"/>
      <c r="CJ48" s="143"/>
      <c r="CK48" s="143"/>
      <c r="CL48" s="143"/>
      <c r="CM48" s="143"/>
      <c r="CN48" s="143"/>
      <c r="CO48" s="143"/>
      <c r="CP48" s="143"/>
      <c r="CQ48" s="143"/>
      <c r="CR48" s="143"/>
      <c r="CS48" s="143"/>
      <c r="CT48" s="143"/>
      <c r="CU48" s="143"/>
      <c r="CV48" s="143"/>
      <c r="CW48" s="143"/>
      <c r="CX48" s="143"/>
      <c r="CY48" s="143"/>
      <c r="CZ48" s="143"/>
      <c r="DA48" s="143"/>
      <c r="DB48" s="143"/>
      <c r="DC48" s="143"/>
      <c r="DD48" s="143"/>
      <c r="DE48" s="143"/>
      <c r="DF48" s="143"/>
      <c r="DG48" s="143"/>
      <c r="DH48" s="143"/>
      <c r="DI48" s="143"/>
      <c r="DJ48" s="143"/>
      <c r="DK48" s="143"/>
      <c r="DL48" s="143"/>
      <c r="DM48" s="143"/>
      <c r="DN48" s="143"/>
      <c r="DO48" s="143"/>
      <c r="DP48" s="143"/>
      <c r="DQ48" s="143"/>
      <c r="DR48" s="143"/>
      <c r="DS48" s="143"/>
      <c r="DT48" s="143"/>
      <c r="DU48" s="143"/>
      <c r="DV48" s="143"/>
      <c r="DW48" s="143"/>
      <c r="DX48" s="143"/>
      <c r="DY48" s="143"/>
      <c r="DZ48" s="143"/>
      <c r="EA48" s="143"/>
      <c r="EB48" s="143"/>
      <c r="EC48" s="143"/>
      <c r="ED48" s="143"/>
      <c r="EE48" s="143"/>
      <c r="EF48" s="143"/>
      <c r="EG48" s="143"/>
      <c r="EH48" s="143"/>
      <c r="EI48" s="143"/>
      <c r="EJ48" s="143"/>
      <c r="EK48" s="143"/>
      <c r="EL48" s="143"/>
      <c r="EM48" s="143"/>
      <c r="EN48" s="143"/>
      <c r="EO48" s="143"/>
      <c r="EP48" s="143"/>
      <c r="EQ48" s="143"/>
      <c r="ER48" s="143"/>
      <c r="ES48" s="143"/>
      <c r="ET48" s="143"/>
      <c r="EU48" s="143"/>
      <c r="EV48" s="143"/>
      <c r="EW48" s="143"/>
      <c r="EX48" s="143"/>
      <c r="EY48" s="143"/>
      <c r="EZ48" s="143"/>
      <c r="FA48" s="143"/>
      <c r="FB48" s="143"/>
      <c r="FC48" s="143"/>
      <c r="FD48" s="143"/>
      <c r="FE48" s="143"/>
      <c r="FF48" s="143"/>
      <c r="FG48" s="143"/>
      <c r="FH48" s="143"/>
      <c r="FI48" s="143"/>
      <c r="FJ48" s="143"/>
      <c r="FK48" s="143"/>
      <c r="FL48" s="143"/>
      <c r="FM48" s="143"/>
      <c r="FN48" s="143"/>
      <c r="FO48" s="143"/>
      <c r="FP48" s="143"/>
      <c r="FQ48" s="143"/>
      <c r="FR48" s="143"/>
      <c r="FS48" s="143"/>
      <c r="FT48" s="143"/>
      <c r="FU48" s="143"/>
      <c r="FV48" s="143"/>
      <c r="FW48" s="143"/>
      <c r="FX48" s="143"/>
      <c r="FY48" s="143"/>
      <c r="FZ48" s="143"/>
      <c r="GA48" s="143"/>
      <c r="GB48" s="143"/>
      <c r="GC48" s="143"/>
      <c r="GD48" s="143"/>
      <c r="GE48" s="143"/>
      <c r="GF48" s="143"/>
      <c r="GG48" s="143"/>
      <c r="GH48" s="143"/>
      <c r="GI48" s="143"/>
      <c r="GJ48" s="143"/>
      <c r="GK48" s="143"/>
      <c r="GL48" s="143"/>
      <c r="GM48" s="143"/>
      <c r="GN48" s="143"/>
      <c r="GO48" s="143"/>
      <c r="GP48" s="143"/>
      <c r="GQ48" s="143"/>
      <c r="GR48" s="143"/>
      <c r="GS48" s="143"/>
      <c r="GT48" s="143"/>
      <c r="GU48" s="143"/>
      <c r="GV48" s="143"/>
      <c r="GW48" s="143"/>
      <c r="GX48" s="143"/>
      <c r="GY48" s="143"/>
      <c r="GZ48" s="143"/>
      <c r="HA48" s="143"/>
      <c r="HB48" s="143"/>
      <c r="HC48" s="143"/>
      <c r="HD48" s="143"/>
      <c r="HE48" s="143"/>
      <c r="HF48" s="143"/>
      <c r="HG48" s="143"/>
      <c r="HH48" s="143"/>
      <c r="HI48" s="143"/>
      <c r="HJ48" s="143"/>
      <c r="HK48" s="143"/>
      <c r="HL48" s="143"/>
      <c r="HM48" s="143"/>
      <c r="HN48" s="143"/>
      <c r="HO48" s="143"/>
      <c r="HP48" s="143"/>
      <c r="HQ48" s="143"/>
      <c r="HR48" s="143"/>
      <c r="HS48" s="143"/>
      <c r="HT48" s="143"/>
      <c r="HU48" s="143"/>
      <c r="HV48" s="143"/>
      <c r="HW48" s="143"/>
      <c r="HX48" s="143"/>
      <c r="HY48" s="143"/>
      <c r="HZ48" s="143"/>
      <c r="IA48" s="143"/>
      <c r="IB48" s="143"/>
      <c r="IC48" s="143"/>
      <c r="ID48" s="143"/>
      <c r="IE48" s="143"/>
      <c r="IF48" s="143"/>
      <c r="IG48" s="143"/>
      <c r="IH48" s="143"/>
      <c r="II48" s="143"/>
      <c r="IJ48" s="143"/>
      <c r="IK48" s="143"/>
      <c r="IL48" s="143"/>
      <c r="IM48" s="143"/>
      <c r="IN48" s="143"/>
      <c r="IO48" s="143"/>
      <c r="IP48" s="143"/>
      <c r="IQ48" s="143"/>
      <c r="IR48" s="143"/>
      <c r="IS48" s="143"/>
      <c r="IT48" s="143"/>
      <c r="IU48" s="143"/>
      <c r="IV48" s="143"/>
    </row>
    <row r="49" spans="1:8" s="5" customFormat="1" ht="15.75" x14ac:dyDescent="0.25">
      <c r="A49" s="8" t="s">
        <v>90</v>
      </c>
      <c r="B49" s="9"/>
      <c r="C49" s="9"/>
      <c r="D49" s="9"/>
      <c r="E49" s="9"/>
      <c r="F49" s="10"/>
      <c r="G49" s="10"/>
      <c r="H49" s="10"/>
    </row>
    <row r="50" spans="1:8" s="2" customFormat="1" x14ac:dyDescent="0.25">
      <c r="B50" s="1"/>
      <c r="C50" s="1"/>
      <c r="D50" s="1"/>
      <c r="E50" s="1"/>
    </row>
    <row r="51" spans="1:8" s="2" customFormat="1" x14ac:dyDescent="0.25">
      <c r="A51" s="13" t="s">
        <v>91</v>
      </c>
      <c r="B51" s="14"/>
      <c r="C51" s="22"/>
      <c r="D51" s="1"/>
      <c r="E51" s="1"/>
    </row>
    <row r="52" spans="1:8" s="2" customFormat="1" x14ac:dyDescent="0.25">
      <c r="A52" s="15" t="s">
        <v>92</v>
      </c>
      <c r="B52" s="16">
        <f>MROUND(60*1.1,1)</f>
        <v>66</v>
      </c>
      <c r="C52" s="23" t="s">
        <v>93</v>
      </c>
      <c r="D52" s="1"/>
      <c r="E52" s="1"/>
    </row>
    <row r="53" spans="1:8" s="2" customFormat="1" x14ac:dyDescent="0.25">
      <c r="A53" s="15" t="s">
        <v>94</v>
      </c>
      <c r="B53" s="16">
        <f>MROUND(80*1.1,1)</f>
        <v>88</v>
      </c>
      <c r="C53" s="23" t="s">
        <v>93</v>
      </c>
      <c r="D53" s="1"/>
      <c r="E53" s="1"/>
    </row>
    <row r="54" spans="1:8" s="2" customFormat="1" x14ac:dyDescent="0.25">
      <c r="A54" s="17" t="s">
        <v>95</v>
      </c>
      <c r="B54" s="18">
        <f>MROUND(180*1.1,1)</f>
        <v>198</v>
      </c>
      <c r="C54" s="24" t="s">
        <v>93</v>
      </c>
      <c r="D54" s="1"/>
      <c r="E54" s="1"/>
    </row>
    <row r="55" spans="1:8" x14ac:dyDescent="0.25">
      <c r="A55" s="2"/>
    </row>
    <row r="56" spans="1:8" x14ac:dyDescent="0.25">
      <c r="A56" s="13" t="s">
        <v>96</v>
      </c>
      <c r="B56" s="27">
        <v>0</v>
      </c>
      <c r="C56" s="28" t="s">
        <v>93</v>
      </c>
      <c r="D56" s="390"/>
    </row>
    <row r="57" spans="1:8" x14ac:dyDescent="0.25">
      <c r="A57" s="17" t="s">
        <v>97</v>
      </c>
      <c r="B57" s="29">
        <f>MROUND(240*1.1,1)</f>
        <v>264</v>
      </c>
      <c r="C57" s="30" t="s">
        <v>93</v>
      </c>
      <c r="D57" s="390"/>
    </row>
    <row r="58" spans="1:8" x14ac:dyDescent="0.25">
      <c r="A58" s="2"/>
    </row>
    <row r="59" spans="1:8" x14ac:dyDescent="0.25">
      <c r="A59" s="31" t="s">
        <v>98</v>
      </c>
      <c r="B59" s="32">
        <f>MROUND(950*1.1,1)</f>
        <v>1045</v>
      </c>
      <c r="C59" s="33" t="s">
        <v>93</v>
      </c>
    </row>
    <row r="60" spans="1:8" x14ac:dyDescent="0.25">
      <c r="A60" s="2"/>
    </row>
    <row r="61" spans="1:8" x14ac:dyDescent="0.25">
      <c r="A61" s="2"/>
    </row>
    <row r="62" spans="1:8" x14ac:dyDescent="0.25">
      <c r="A62" s="2"/>
    </row>
    <row r="63" spans="1:8" x14ac:dyDescent="0.25">
      <c r="A63" s="2"/>
    </row>
    <row r="64" spans="1:8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19"/>
  <sheetViews>
    <sheetView workbookViewId="0">
      <selection activeCell="D36" sqref="D36"/>
    </sheetView>
  </sheetViews>
  <sheetFormatPr defaultRowHeight="12.75" x14ac:dyDescent="0.2"/>
  <cols>
    <col min="1" max="1" width="27.28515625" style="42" customWidth="1"/>
    <col min="2" max="2" width="51" style="42" customWidth="1"/>
    <col min="3" max="3" width="17.140625" style="42" customWidth="1"/>
    <col min="4" max="4" width="14.7109375" style="42" customWidth="1"/>
    <col min="5" max="5" width="31.7109375" style="42" customWidth="1"/>
    <col min="6" max="6" width="16.7109375" style="42" customWidth="1"/>
    <col min="7" max="7" width="21.42578125" style="42" customWidth="1"/>
    <col min="8" max="8" width="18.5703125" style="42" customWidth="1"/>
    <col min="9" max="16384" width="9.140625" style="42"/>
  </cols>
  <sheetData>
    <row r="1" spans="1:8" ht="38.25" x14ac:dyDescent="0.2">
      <c r="A1" s="70" t="str">
        <f>A4</f>
        <v>Маркировка</v>
      </c>
      <c r="B1" s="358" t="s">
        <v>461</v>
      </c>
      <c r="C1" s="358" t="s">
        <v>62</v>
      </c>
      <c r="D1" s="358" t="s">
        <v>462</v>
      </c>
      <c r="E1" s="358" t="s">
        <v>463</v>
      </c>
      <c r="F1" s="358" t="s">
        <v>464</v>
      </c>
      <c r="G1" s="358" t="s">
        <v>465</v>
      </c>
    </row>
    <row r="2" spans="1:8" ht="114.75" x14ac:dyDescent="0.2">
      <c r="A2" s="109" t="str">
        <f>A5</f>
        <v>ЭРПЭ 1000.1300.850.6</v>
      </c>
      <c r="B2" s="50" t="str">
        <f ca="1">CONCATENATE(E5,E6," ",E7," ",E8," ",E9," ",E10," ",E11," ",E12," ",E16,". ",E19,E17)</f>
        <v>Решетка с перфорированным ступенчатым экраном. Производительность по чистой воде - 1000 м3/ч.; перфорация - 6 мм.; ширина канала - 1000 мм.; глубина канала - 1300 мм.; высота выгрузки отбросов - 850 мм.; вес решетки в сборе - 1100 кг.; привод щётки - 1,5 кВт.; IP 55; 380 В; 50 Гц;  материал исполнения - AISI 201. Расход промывной воды - 0,75 ÷ 0,89 л/с.; давление промывной воды - 5 ÷ 7 бар. без ШУ.</v>
      </c>
      <c r="C2" s="67">
        <f ca="1">C11</f>
        <v>1100</v>
      </c>
      <c r="D2" s="367">
        <f ca="1">C12+C14</f>
        <v>2.25</v>
      </c>
      <c r="E2" s="70">
        <v>1</v>
      </c>
      <c r="F2" s="67">
        <f ca="1">Цена!C49</f>
        <v>982438</v>
      </c>
      <c r="G2" s="67">
        <f ca="1">F2*E2</f>
        <v>982438</v>
      </c>
      <c r="H2" s="80"/>
    </row>
    <row r="3" spans="1:8" x14ac:dyDescent="0.2">
      <c r="A3" s="109"/>
      <c r="B3" s="50"/>
      <c r="C3" s="67"/>
      <c r="D3" s="70"/>
      <c r="E3" s="70"/>
      <c r="F3" s="67"/>
      <c r="G3" s="67"/>
      <c r="H3" s="80"/>
    </row>
    <row r="4" spans="1:8" x14ac:dyDescent="0.2">
      <c r="A4" s="42" t="s">
        <v>57</v>
      </c>
      <c r="B4" s="42" t="s">
        <v>466</v>
      </c>
      <c r="C4" s="42" t="s">
        <v>65</v>
      </c>
    </row>
    <row r="5" spans="1:8" x14ac:dyDescent="0.2">
      <c r="A5" s="42" t="str">
        <f>Цена!I4</f>
        <v>ЭРПЭ 1000.1300.850.6</v>
      </c>
      <c r="B5" s="75"/>
      <c r="E5" s="42" t="s">
        <v>506</v>
      </c>
    </row>
    <row r="6" spans="1:8" x14ac:dyDescent="0.2">
      <c r="B6" s="75" t="s">
        <v>500</v>
      </c>
      <c r="C6" s="359">
        <f ca="1">ROUNDUP(Гидравлика!B15,-2)</f>
        <v>1000</v>
      </c>
      <c r="D6" s="42" t="s">
        <v>467</v>
      </c>
      <c r="E6" s="42" t="str">
        <f ca="1">CONCATENATE(B6," ",C6," ",D6,".;")</f>
        <v>Производительность по чистой воде - 1000 м3/ч.;</v>
      </c>
    </row>
    <row r="7" spans="1:8" x14ac:dyDescent="0.2">
      <c r="B7" s="75" t="s">
        <v>507</v>
      </c>
      <c r="C7" s="67">
        <f>Цена!E16</f>
        <v>6</v>
      </c>
      <c r="D7" s="42" t="s">
        <v>468</v>
      </c>
      <c r="E7" s="42" t="str">
        <f>CONCATENATE(B7," ",C7," ",D7,";")</f>
        <v>перфорация - 6 мм.;</v>
      </c>
    </row>
    <row r="8" spans="1:8" x14ac:dyDescent="0.2">
      <c r="B8" s="75" t="s">
        <v>469</v>
      </c>
      <c r="C8" s="67">
        <f>Цена!B16</f>
        <v>1000</v>
      </c>
      <c r="D8" s="42" t="s">
        <v>468</v>
      </c>
      <c r="E8" s="42" t="str">
        <f>CONCATENATE(B8," ",C8," ",D8,";")</f>
        <v>ширина канала - 1000 мм.;</v>
      </c>
    </row>
    <row r="9" spans="1:8" x14ac:dyDescent="0.2">
      <c r="B9" s="75" t="s">
        <v>470</v>
      </c>
      <c r="C9" s="67">
        <f>Цена!C16</f>
        <v>1300</v>
      </c>
      <c r="D9" s="42" t="s">
        <v>468</v>
      </c>
      <c r="E9" s="42" t="str">
        <f>CONCATENATE(B9," ",C9," ",D9,";")</f>
        <v>глубина канала - 1300 мм.;</v>
      </c>
    </row>
    <row r="10" spans="1:8" x14ac:dyDescent="0.2">
      <c r="B10" s="75" t="s">
        <v>471</v>
      </c>
      <c r="C10" s="67">
        <f>Цена!D16</f>
        <v>850</v>
      </c>
      <c r="D10" s="42" t="s">
        <v>468</v>
      </c>
      <c r="E10" s="42" t="str">
        <f>CONCATENATE(B10," ",C10," ",D10,";")</f>
        <v>высота выгрузки отбросов - 850 мм.;</v>
      </c>
    </row>
    <row r="11" spans="1:8" x14ac:dyDescent="0.2">
      <c r="B11" s="75" t="s">
        <v>472</v>
      </c>
      <c r="C11" s="67">
        <f ca="1">Цена!D19</f>
        <v>1100</v>
      </c>
      <c r="D11" s="42" t="s">
        <v>10</v>
      </c>
      <c r="E11" s="42" t="str">
        <f ca="1">CONCATENATE(B11," ",C11," ",D11,";")</f>
        <v>вес решетки в сборе - 1100 кг.;</v>
      </c>
    </row>
    <row r="12" spans="1:8" x14ac:dyDescent="0.2">
      <c r="B12" s="75" t="s">
        <v>501</v>
      </c>
      <c r="C12" s="360">
        <f ca="1">Цена!D21</f>
        <v>1.5</v>
      </c>
      <c r="D12" s="42" t="s">
        <v>473</v>
      </c>
      <c r="E12" s="42" t="str">
        <f ca="1">CONCATENATE(B12," ",C12," ",D12,"; ",C13,"; 380 В; 50 Гц; ",)</f>
        <v xml:space="preserve">привод щётки - 1,5 кВт.; IP 55; 380 В; 50 Гц; </v>
      </c>
    </row>
    <row r="13" spans="1:8" x14ac:dyDescent="0.2">
      <c r="B13" s="75"/>
      <c r="C13" s="67" t="str">
        <f>CONCATENATE("IP ",Цена!D20)</f>
        <v>IP 55</v>
      </c>
    </row>
    <row r="14" spans="1:8" x14ac:dyDescent="0.2">
      <c r="B14" s="75" t="s">
        <v>502</v>
      </c>
      <c r="C14" s="360">
        <f ca="1">Цена!D22</f>
        <v>0.75</v>
      </c>
      <c r="D14" s="42" t="s">
        <v>473</v>
      </c>
      <c r="E14" s="42" t="str">
        <f ca="1">CONCATENATE(B14," ",C14," ",D14,"; ",C15,"; 380 В; 50 Гц; ",)</f>
        <v xml:space="preserve">привод цепей - 0,75 кВт.; IP 55; 380 В; 50 Гц; </v>
      </c>
    </row>
    <row r="15" spans="1:8" x14ac:dyDescent="0.2">
      <c r="B15" s="75"/>
      <c r="C15" s="67" t="str">
        <f>CONCATENATE("IP ",Цена!D20)</f>
        <v>IP 55</v>
      </c>
    </row>
    <row r="16" spans="1:8" x14ac:dyDescent="0.2">
      <c r="B16" s="75" t="s">
        <v>474</v>
      </c>
      <c r="C16" s="67" t="str">
        <f>Цена!D23</f>
        <v>AISI 201</v>
      </c>
      <c r="E16" s="42" t="str">
        <f>CONCATENATE(B16," ",C16)</f>
        <v>материал исполнения - AISI 201</v>
      </c>
    </row>
    <row r="17" spans="1:15" x14ac:dyDescent="0.2">
      <c r="B17" s="75" t="s">
        <v>475</v>
      </c>
      <c r="C17" s="67" t="str">
        <f>Цена!D24</f>
        <v>Нет</v>
      </c>
      <c r="E17" s="42" t="str">
        <f>IF(C17="Да",CONCATENATE(". В комплекте с ШУ",E18," и ВПУ."),". без ШУ.")</f>
        <v>. без ШУ.</v>
      </c>
    </row>
    <row r="18" spans="1:15" x14ac:dyDescent="0.2">
      <c r="B18" s="75" t="s">
        <v>503</v>
      </c>
      <c r="C18" s="67" t="str">
        <f>Цена!D25</f>
        <v>Нет</v>
      </c>
      <c r="E18" s="42" t="str">
        <f>IF(C18="Нет","",CONCATENATE(" (",C18,")"))</f>
        <v/>
      </c>
    </row>
    <row r="19" spans="1:15" ht="11.25" customHeight="1" x14ac:dyDescent="0.2">
      <c r="B19" s="365" t="s">
        <v>505</v>
      </c>
      <c r="C19" s="70">
        <f ca="1">Промывка!B16</f>
        <v>0.75</v>
      </c>
      <c r="E19" s="42" t="str">
        <f ca="1">CONCATENATE(B19,C19," ",C21," ",C20," л/с.; давление промывной воды - 5 ",C21," 7 бар")</f>
        <v>Расход промывной воды - 0,75 ÷ 0,89 л/с.; давление промывной воды - 5 ÷ 7 бар</v>
      </c>
    </row>
    <row r="20" spans="1:15" x14ac:dyDescent="0.2">
      <c r="C20" s="70">
        <f ca="1">Промывка!B17</f>
        <v>0.89</v>
      </c>
      <c r="I20" s="80"/>
      <c r="J20" s="80"/>
      <c r="K20" s="80"/>
      <c r="L20" s="80"/>
      <c r="M20" s="80"/>
      <c r="N20" s="80"/>
      <c r="O20" s="80"/>
    </row>
    <row r="21" spans="1:15" x14ac:dyDescent="0.2">
      <c r="C21" s="366" t="s">
        <v>504</v>
      </c>
    </row>
    <row r="23" spans="1:15" s="156" customFormat="1" x14ac:dyDescent="0.2"/>
    <row r="24" spans="1:15" s="156" customFormat="1" x14ac:dyDescent="0.2">
      <c r="F24" s="387"/>
    </row>
    <row r="25" spans="1:15" s="156" customFormat="1" x14ac:dyDescent="0.2">
      <c r="A25" s="42"/>
      <c r="B25" s="361" t="s">
        <v>476</v>
      </c>
      <c r="C25" s="42"/>
      <c r="D25" s="42"/>
      <c r="E25" s="42"/>
      <c r="F25" s="388" t="s">
        <v>572</v>
      </c>
    </row>
    <row r="26" spans="1:15" s="156" customFormat="1" x14ac:dyDescent="0.2">
      <c r="B26" s="371" t="s">
        <v>477</v>
      </c>
      <c r="C26" s="372" t="s">
        <v>478</v>
      </c>
      <c r="D26" s="372">
        <f>Цена!B9</f>
        <v>8648</v>
      </c>
      <c r="F26" s="387"/>
    </row>
    <row r="27" spans="1:15" s="156" customFormat="1" x14ac:dyDescent="0.2">
      <c r="B27" s="371" t="s">
        <v>479</v>
      </c>
      <c r="C27" s="373"/>
      <c r="D27" s="373" t="str">
        <f>CONCATENATE("ТКП №",Цена!I3)</f>
        <v>ТКП №8648 0 0 22.02.22</v>
      </c>
      <c r="F27" s="387"/>
    </row>
    <row r="28" spans="1:15" s="156" customFormat="1" x14ac:dyDescent="0.2">
      <c r="B28" s="371" t="s">
        <v>480</v>
      </c>
      <c r="C28" s="373" t="s">
        <v>509</v>
      </c>
      <c r="D28" s="373" t="str">
        <f>Цена!I4</f>
        <v>ЭРПЭ 1000.1300.850.6</v>
      </c>
      <c r="F28" s="387"/>
    </row>
    <row r="29" spans="1:15" s="375" customFormat="1" x14ac:dyDescent="0.2">
      <c r="B29" s="376" t="s">
        <v>510</v>
      </c>
      <c r="C29" s="375" t="s">
        <v>511</v>
      </c>
      <c r="D29" s="377">
        <f>C7</f>
        <v>6</v>
      </c>
      <c r="F29" s="389"/>
    </row>
    <row r="30" spans="1:15" s="375" customFormat="1" x14ac:dyDescent="0.2">
      <c r="B30" s="376" t="s">
        <v>512</v>
      </c>
      <c r="C30" s="375" t="s">
        <v>513</v>
      </c>
      <c r="D30" s="377">
        <f>C8</f>
        <v>1000</v>
      </c>
      <c r="F30" s="389"/>
    </row>
    <row r="31" spans="1:15" s="375" customFormat="1" x14ac:dyDescent="0.2">
      <c r="B31" s="376" t="s">
        <v>514</v>
      </c>
      <c r="C31" s="375" t="s">
        <v>515</v>
      </c>
      <c r="D31" s="377">
        <f>C9</f>
        <v>1300</v>
      </c>
      <c r="F31" s="389"/>
    </row>
    <row r="32" spans="1:15" s="375" customFormat="1" x14ac:dyDescent="0.2">
      <c r="B32" s="376" t="s">
        <v>516</v>
      </c>
      <c r="C32" s="375" t="s">
        <v>517</v>
      </c>
      <c r="D32" s="377">
        <f>C10</f>
        <v>850</v>
      </c>
      <c r="F32" s="389"/>
    </row>
    <row r="33" spans="2:6" s="375" customFormat="1" x14ac:dyDescent="0.2">
      <c r="B33" s="376" t="s">
        <v>518</v>
      </c>
      <c r="C33" s="375" t="s">
        <v>519</v>
      </c>
      <c r="D33" s="377">
        <f>D31+D32+1350</f>
        <v>3500</v>
      </c>
      <c r="F33" s="389" t="s">
        <v>564</v>
      </c>
    </row>
    <row r="34" spans="2:6" s="375" customFormat="1" x14ac:dyDescent="0.2">
      <c r="B34" s="376" t="s">
        <v>520</v>
      </c>
      <c r="C34" s="375" t="s">
        <v>521</v>
      </c>
      <c r="D34" s="377">
        <f>D30+890</f>
        <v>1890</v>
      </c>
      <c r="F34" s="389" t="s">
        <v>563</v>
      </c>
    </row>
    <row r="35" spans="2:6" s="375" customFormat="1" x14ac:dyDescent="0.2">
      <c r="B35" s="376" t="s">
        <v>522</v>
      </c>
      <c r="C35" s="375" t="s">
        <v>523</v>
      </c>
      <c r="D35" s="377">
        <f>MROUND(D33/TAN(RADIANS(D36))+520,10)</f>
        <v>2540</v>
      </c>
      <c r="F35" s="389" t="s">
        <v>565</v>
      </c>
    </row>
    <row r="36" spans="2:6" s="375" customFormat="1" x14ac:dyDescent="0.2">
      <c r="B36" s="376" t="s">
        <v>524</v>
      </c>
      <c r="C36" s="375" t="s">
        <v>525</v>
      </c>
      <c r="D36" s="378">
        <v>60</v>
      </c>
      <c r="F36" s="389" t="s">
        <v>566</v>
      </c>
    </row>
    <row r="37" spans="2:6" s="375" customFormat="1" x14ac:dyDescent="0.2">
      <c r="B37" s="376" t="s">
        <v>526</v>
      </c>
      <c r="C37" s="375" t="s">
        <v>527</v>
      </c>
      <c r="D37" s="379">
        <f ca="1">C6</f>
        <v>1000</v>
      </c>
      <c r="F37" s="389" t="s">
        <v>567</v>
      </c>
    </row>
    <row r="38" spans="2:6" s="375" customFormat="1" ht="13.5" customHeight="1" x14ac:dyDescent="0.2">
      <c r="B38" s="376" t="s">
        <v>528</v>
      </c>
      <c r="C38" s="375" t="s">
        <v>529</v>
      </c>
      <c r="D38" s="378" t="str">
        <f ca="1">CONCATENATE(C19,"",C21,"",C20)</f>
        <v>0,75÷0,89</v>
      </c>
      <c r="F38" s="389" t="s">
        <v>568</v>
      </c>
    </row>
    <row r="39" spans="2:6" s="375" customFormat="1" x14ac:dyDescent="0.2">
      <c r="B39" s="376" t="s">
        <v>530</v>
      </c>
      <c r="C39" s="375" t="s">
        <v>531</v>
      </c>
      <c r="D39" s="380">
        <f ca="1">C14</f>
        <v>0.75</v>
      </c>
      <c r="F39" s="389" t="s">
        <v>569</v>
      </c>
    </row>
    <row r="40" spans="2:6" s="375" customFormat="1" ht="12.75" customHeight="1" x14ac:dyDescent="0.2">
      <c r="B40" s="376" t="s">
        <v>532</v>
      </c>
      <c r="C40" s="375" t="s">
        <v>533</v>
      </c>
      <c r="D40" s="380">
        <f ca="1">C12</f>
        <v>1.5</v>
      </c>
      <c r="F40" s="389" t="s">
        <v>570</v>
      </c>
    </row>
    <row r="41" spans="2:6" s="375" customFormat="1" x14ac:dyDescent="0.2">
      <c r="B41" s="376" t="s">
        <v>534</v>
      </c>
      <c r="C41" s="375" t="s">
        <v>535</v>
      </c>
      <c r="D41" s="377" t="str">
        <f>C13</f>
        <v>IP 55</v>
      </c>
      <c r="F41" s="389"/>
    </row>
    <row r="42" spans="2:6" s="375" customFormat="1" x14ac:dyDescent="0.2">
      <c r="B42" s="376" t="s">
        <v>536</v>
      </c>
      <c r="C42" s="375" t="s">
        <v>537</v>
      </c>
      <c r="D42" s="377">
        <f ca="1">C11</f>
        <v>1100</v>
      </c>
      <c r="F42" s="389" t="s">
        <v>571</v>
      </c>
    </row>
    <row r="43" spans="2:6" s="375" customFormat="1" ht="15.75" x14ac:dyDescent="0.25">
      <c r="B43" s="376" t="s">
        <v>538</v>
      </c>
      <c r="C43" s="375" t="s">
        <v>539</v>
      </c>
      <c r="D43" s="377" t="str">
        <f>C16</f>
        <v>AISI 201</v>
      </c>
      <c r="E43" s="376"/>
      <c r="F43" s="389"/>
    </row>
    <row r="44" spans="2:6" s="375" customFormat="1" x14ac:dyDescent="0.2">
      <c r="B44" s="376" t="s">
        <v>481</v>
      </c>
      <c r="C44" s="375" t="s">
        <v>540</v>
      </c>
      <c r="D44" s="377" t="str">
        <f>IF(C17="Да","в комплекте с ШУ и ВПУ.","без ШУ.")</f>
        <v>без ШУ.</v>
      </c>
      <c r="E44" s="376"/>
      <c r="F44" s="389" t="s">
        <v>573</v>
      </c>
    </row>
    <row r="45" spans="2:6" s="375" customFormat="1" x14ac:dyDescent="0.2">
      <c r="B45" s="376" t="s">
        <v>482</v>
      </c>
      <c r="C45" s="375" t="s">
        <v>541</v>
      </c>
      <c r="D45" s="377" t="str">
        <f>IF(C17="Да",CONCATENATE("- Шкаф управления ШУ",IF(C18="Нет",";",CONCATENATE(" (с поддержкой ",C18,");"))),"-")</f>
        <v>-</v>
      </c>
      <c r="E45" s="376"/>
      <c r="F45" s="389"/>
    </row>
    <row r="46" spans="2:6" s="375" customFormat="1" x14ac:dyDescent="0.2">
      <c r="B46" s="376" t="s">
        <v>483</v>
      </c>
      <c r="C46" s="375" t="s">
        <v>542</v>
      </c>
      <c r="D46" s="377" t="str">
        <f>IF(C17="Да","- Выносной пульт управления ВПУ;","")</f>
        <v/>
      </c>
      <c r="E46" s="376"/>
      <c r="F46" s="389"/>
    </row>
    <row r="47" spans="2:6" s="375" customFormat="1" x14ac:dyDescent="0.2">
      <c r="B47" s="376" t="s">
        <v>544</v>
      </c>
      <c r="C47" s="375" t="s">
        <v>543</v>
      </c>
      <c r="D47" s="377" t="str">
        <f>"- Датчик уровня воды в канале перед решеткой;"</f>
        <v>- Датчик уровня воды в канале перед решеткой;</v>
      </c>
      <c r="E47" s="376"/>
      <c r="F47" s="389"/>
    </row>
    <row r="48" spans="2:6" s="156" customFormat="1" x14ac:dyDescent="0.2">
      <c r="B48" s="371" t="s">
        <v>544</v>
      </c>
      <c r="C48" s="156" t="s">
        <v>545</v>
      </c>
      <c r="D48" s="374" t="str">
        <f>"- Датчик уровня воды в канале за решеткой;"</f>
        <v>- Датчик уровня воды в канале за решеткой;</v>
      </c>
      <c r="F48" s="387"/>
    </row>
    <row r="49" spans="2:6" s="156" customFormat="1" x14ac:dyDescent="0.2">
      <c r="B49" s="371" t="s">
        <v>484</v>
      </c>
      <c r="C49" s="156" t="s">
        <v>548</v>
      </c>
      <c r="D49" s="374" t="str">
        <f>IF(C17="Да",", ШУ, ВПУ;","")</f>
        <v/>
      </c>
      <c r="F49" s="387"/>
    </row>
    <row r="50" spans="2:6" s="156" customFormat="1" x14ac:dyDescent="0.2">
      <c r="B50" s="371" t="s">
        <v>547</v>
      </c>
      <c r="C50" s="156" t="s">
        <v>546</v>
      </c>
      <c r="F50" s="387"/>
    </row>
    <row r="51" spans="2:6" s="375" customFormat="1" x14ac:dyDescent="0.2">
      <c r="B51" s="376" t="s">
        <v>574</v>
      </c>
      <c r="D51" s="377" t="str">
        <f>IF(D41="IP 68","14÷16","8÷10")</f>
        <v>8÷10</v>
      </c>
      <c r="E51" s="376"/>
      <c r="F51" s="389" t="s">
        <v>575</v>
      </c>
    </row>
    <row r="52" spans="2:6" s="156" customFormat="1" x14ac:dyDescent="0.2"/>
    <row r="100" spans="1:8" s="50" customFormat="1" ht="38.25" x14ac:dyDescent="0.2">
      <c r="A100" s="358" t="s">
        <v>108</v>
      </c>
      <c r="B100" s="358" t="s">
        <v>485</v>
      </c>
      <c r="C100" s="358" t="s">
        <v>486</v>
      </c>
      <c r="D100" s="358" t="s">
        <v>487</v>
      </c>
      <c r="E100" s="358" t="s">
        <v>62</v>
      </c>
      <c r="F100" s="358" t="s">
        <v>55</v>
      </c>
      <c r="G100" s="358" t="s">
        <v>488</v>
      </c>
      <c r="H100" s="358" t="s">
        <v>119</v>
      </c>
    </row>
    <row r="101" spans="1:8" s="369" customFormat="1" x14ac:dyDescent="0.2">
      <c r="A101" s="362">
        <f>Цена!B8</f>
        <v>0</v>
      </c>
      <c r="B101" s="362" t="str">
        <f>Цена!B10</f>
        <v/>
      </c>
      <c r="C101" s="67">
        <f ca="1">Цена!C49-MROUND((Цена!C33*(1+Цена!B34)+Цена!C46*(1+Цена!B47)),1)</f>
        <v>982438</v>
      </c>
      <c r="D101" s="67">
        <f ca="1">Цена!C49-Спецификация!C101</f>
        <v>0</v>
      </c>
      <c r="E101" s="67">
        <f ca="1">C2</f>
        <v>1100</v>
      </c>
      <c r="F101" s="67" t="str">
        <f>D41</f>
        <v>IP 55</v>
      </c>
      <c r="G101" s="368">
        <f ca="1">D2</f>
        <v>2.25</v>
      </c>
      <c r="H101" s="67" t="str">
        <f>Спецификация!C16</f>
        <v>AISI 201</v>
      </c>
    </row>
    <row r="113" spans="1:8" x14ac:dyDescent="0.2">
      <c r="A113" s="382" t="s">
        <v>549</v>
      </c>
    </row>
    <row r="114" spans="1:8" x14ac:dyDescent="0.2">
      <c r="A114" s="382"/>
    </row>
    <row r="115" spans="1:8" ht="15" x14ac:dyDescent="0.25">
      <c r="A115" s="70" t="s">
        <v>57</v>
      </c>
      <c r="B115" s="70" t="s">
        <v>550</v>
      </c>
      <c r="C115" s="70" t="s">
        <v>551</v>
      </c>
      <c r="D115" s="70" t="s">
        <v>552</v>
      </c>
      <c r="E115" s="42" t="s">
        <v>553</v>
      </c>
      <c r="F115" s="42" t="s">
        <v>554</v>
      </c>
      <c r="G115" s="384" t="s">
        <v>555</v>
      </c>
    </row>
    <row r="116" spans="1:8" x14ac:dyDescent="0.2">
      <c r="A116" s="383" t="str">
        <f>D28</f>
        <v>ЭРПЭ 1000.1300.850.6</v>
      </c>
      <c r="B116" s="67">
        <f ca="1">C101</f>
        <v>982438</v>
      </c>
      <c r="C116" s="70">
        <f>Цена!C31/Параметры!B3</f>
        <v>451</v>
      </c>
      <c r="D116" s="70">
        <f>Цена!C32/Параметры!B3</f>
        <v>35.210355987055017</v>
      </c>
      <c r="E116" s="67">
        <f>MROUND((C116+D116)*Параметры!$B$3*(1+Параметры!$B$4),1)</f>
        <v>423674</v>
      </c>
      <c r="F116" s="67">
        <f ca="1">B116-E116</f>
        <v>558764</v>
      </c>
      <c r="G116" s="42" t="str">
        <f ca="1">CONCATENATE(A116," (",H101,"; ",G101," кВт.; ",F101,")")</f>
        <v>ЭРПЭ 1000.1300.850.6 (AISI 201; 2,25 кВт.; IP 55)</v>
      </c>
    </row>
    <row r="117" spans="1:8" x14ac:dyDescent="0.2">
      <c r="A117" s="42" t="s">
        <v>556</v>
      </c>
      <c r="B117" s="67">
        <f ca="1">IF(A117="-","-",D101)</f>
        <v>0</v>
      </c>
      <c r="C117" s="70">
        <f>IF(A117="-","-",Цена!C33/Параметры!B7)</f>
        <v>0</v>
      </c>
      <c r="D117" s="70">
        <f>IF(A117="-","-",0)</f>
        <v>0</v>
      </c>
      <c r="E117" s="67">
        <f>IF(A117="-","-",MROUND((C117+D117)*Параметры!$B$7*(1+Параметры!$B$4),1))</f>
        <v>0</v>
      </c>
      <c r="F117" s="381">
        <f ca="1">IF(A117="-","-",B117-E117)</f>
        <v>0</v>
      </c>
      <c r="G117" s="42" t="str">
        <f ca="1">IF(B117=0,"-",CONCATENATE(A117," (","ШУ - IP54; ВПУ - ",IF(F101="IP 68","IP 67",F101),,IF(Цена!D25="Нет","",CONCATENATE("; ",Цена!D25)),")"))</f>
        <v>-</v>
      </c>
    </row>
    <row r="118" spans="1:8" x14ac:dyDescent="0.2">
      <c r="C118" s="72"/>
      <c r="D118" s="72"/>
      <c r="E118" s="72"/>
      <c r="F118" s="72"/>
      <c r="G118" s="72"/>
      <c r="H118" s="72"/>
    </row>
    <row r="119" spans="1:8" x14ac:dyDescent="0.2">
      <c r="B119" s="67">
        <f ca="1">SUM(B116:B117)</f>
        <v>982438</v>
      </c>
      <c r="C119" s="67">
        <f>SUM(C116:C117)</f>
        <v>451</v>
      </c>
      <c r="D119" s="67">
        <f>SUM(D116:D117)</f>
        <v>35.210355987055017</v>
      </c>
      <c r="E119" s="67">
        <f>SUM(E116:E117)</f>
        <v>423674</v>
      </c>
      <c r="F119" s="67">
        <f ca="1">SUM(F116:F117)</f>
        <v>558764</v>
      </c>
      <c r="G119" s="72"/>
      <c r="H119" s="72"/>
    </row>
  </sheetData>
  <pageMargins left="0.7" right="0.7" top="0.75" bottom="0.75" header="0.3" footer="0.3"/>
  <pageSetup paperSize="9" orientation="portrait" r:id="rId1"/>
  <ignoredErrors>
    <ignoredError sqref="C14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G23" sqref="G22:G23"/>
    </sheetView>
  </sheetViews>
  <sheetFormatPr defaultRowHeight="12.75" x14ac:dyDescent="0.2"/>
  <cols>
    <col min="1" max="1" width="31.140625" style="42" customWidth="1"/>
    <col min="2" max="2" width="14.5703125" style="42" customWidth="1"/>
    <col min="3" max="3" width="17.42578125" style="42" customWidth="1"/>
    <col min="4" max="4" width="15.5703125" style="42" customWidth="1"/>
    <col min="5" max="5" width="13.5703125" style="42" customWidth="1"/>
    <col min="6" max="6" width="2.5703125" style="42" customWidth="1"/>
    <col min="7" max="7" width="15" style="42" customWidth="1"/>
    <col min="8" max="8" width="9.140625" style="42"/>
    <col min="9" max="9" width="51.28515625" style="42" customWidth="1"/>
    <col min="10" max="10" width="15.85546875" style="42" customWidth="1"/>
    <col min="11" max="13" width="9.140625" style="42" customWidth="1"/>
    <col min="14" max="19" width="9.140625" style="42" hidden="1" customWidth="1"/>
    <col min="20" max="26" width="9.140625" style="42" customWidth="1"/>
    <col min="27" max="16384" width="9.140625" style="42"/>
  </cols>
  <sheetData>
    <row r="1" spans="1:254" s="36" customFormat="1" ht="16.5" customHeight="1" x14ac:dyDescent="0.35">
      <c r="A1" s="34" t="s">
        <v>99</v>
      </c>
      <c r="B1" s="34"/>
      <c r="C1" s="35"/>
      <c r="D1" s="35"/>
      <c r="E1" s="34"/>
      <c r="F1" s="34"/>
      <c r="G1" s="34"/>
      <c r="H1" s="34"/>
      <c r="I1" s="34"/>
      <c r="J1" s="413"/>
      <c r="K1" s="413"/>
      <c r="L1" s="413"/>
      <c r="M1" s="413"/>
      <c r="N1" s="413"/>
      <c r="O1" s="413"/>
      <c r="P1" s="413"/>
      <c r="Q1" s="413"/>
      <c r="R1" s="413"/>
      <c r="S1" s="413"/>
      <c r="T1" s="413"/>
      <c r="U1" s="413"/>
      <c r="V1" s="413"/>
      <c r="W1" s="413"/>
      <c r="X1" s="413"/>
      <c r="Y1" s="413"/>
      <c r="Z1" s="413"/>
      <c r="AA1" s="413"/>
      <c r="AB1" s="413"/>
      <c r="AC1" s="413"/>
      <c r="AD1" s="413"/>
      <c r="AE1" s="413"/>
      <c r="AF1" s="413"/>
      <c r="AG1" s="413"/>
      <c r="AH1" s="413"/>
      <c r="AI1" s="413"/>
      <c r="AJ1" s="413"/>
      <c r="AK1" s="413"/>
      <c r="AL1" s="413"/>
      <c r="AM1" s="413"/>
      <c r="AN1" s="413"/>
      <c r="AO1" s="413"/>
      <c r="AP1" s="413"/>
      <c r="AQ1" s="413"/>
      <c r="AR1" s="413"/>
      <c r="AS1" s="413"/>
      <c r="AT1" s="413"/>
      <c r="AU1" s="413"/>
      <c r="AV1" s="413"/>
      <c r="AW1" s="413"/>
      <c r="AX1" s="413"/>
      <c r="AY1" s="413"/>
      <c r="AZ1" s="413"/>
      <c r="BA1" s="413"/>
      <c r="BB1" s="413"/>
      <c r="BC1" s="413"/>
      <c r="BD1" s="413"/>
      <c r="BE1" s="413"/>
      <c r="BF1" s="413"/>
      <c r="BG1" s="413"/>
      <c r="BH1" s="413"/>
      <c r="BI1" s="413"/>
      <c r="BJ1" s="413"/>
      <c r="BK1" s="413"/>
      <c r="BL1" s="413"/>
      <c r="BM1" s="413"/>
      <c r="BN1" s="413"/>
      <c r="BO1" s="413"/>
      <c r="BP1" s="413"/>
      <c r="BQ1" s="413"/>
      <c r="BR1" s="413"/>
      <c r="BS1" s="413"/>
      <c r="BT1" s="413"/>
      <c r="BU1" s="413"/>
      <c r="BV1" s="413"/>
      <c r="BW1" s="413"/>
      <c r="BX1" s="413"/>
      <c r="BY1" s="413"/>
      <c r="BZ1" s="413"/>
      <c r="CA1" s="413"/>
      <c r="CB1" s="413"/>
      <c r="CC1" s="413"/>
      <c r="CD1" s="413"/>
      <c r="CE1" s="413"/>
      <c r="CF1" s="413"/>
      <c r="CG1" s="413"/>
      <c r="CH1" s="413"/>
      <c r="CI1" s="413"/>
      <c r="CJ1" s="413"/>
      <c r="CK1" s="413"/>
      <c r="CL1" s="413"/>
      <c r="CM1" s="413"/>
      <c r="CN1" s="413"/>
      <c r="CO1" s="413"/>
      <c r="CP1" s="413"/>
      <c r="CQ1" s="413"/>
      <c r="CR1" s="413"/>
      <c r="CS1" s="413"/>
      <c r="CT1" s="413"/>
      <c r="CU1" s="413"/>
      <c r="CV1" s="413"/>
      <c r="CW1" s="413"/>
      <c r="CX1" s="413"/>
      <c r="CY1" s="413"/>
      <c r="CZ1" s="413"/>
      <c r="DA1" s="413"/>
      <c r="DB1" s="413"/>
      <c r="DC1" s="413"/>
      <c r="DD1" s="413"/>
      <c r="DE1" s="413"/>
      <c r="DF1" s="413"/>
      <c r="DG1" s="413"/>
      <c r="DH1" s="413"/>
      <c r="DI1" s="413"/>
      <c r="DJ1" s="413"/>
      <c r="DK1" s="413"/>
      <c r="DL1" s="413"/>
      <c r="DM1" s="413"/>
      <c r="DN1" s="413"/>
      <c r="DO1" s="413"/>
      <c r="DP1" s="413"/>
      <c r="DQ1" s="413"/>
      <c r="DR1" s="413"/>
      <c r="DS1" s="413"/>
      <c r="DT1" s="413"/>
      <c r="DU1" s="413"/>
      <c r="DV1" s="413"/>
      <c r="DW1" s="413"/>
      <c r="DX1" s="413"/>
      <c r="DY1" s="413"/>
      <c r="DZ1" s="413"/>
      <c r="EA1" s="413"/>
      <c r="EB1" s="413"/>
      <c r="EC1" s="413"/>
      <c r="ED1" s="413"/>
      <c r="EE1" s="413"/>
      <c r="EF1" s="413"/>
      <c r="EG1" s="413"/>
      <c r="EH1" s="413"/>
      <c r="EI1" s="413"/>
      <c r="EJ1" s="413"/>
      <c r="EK1" s="413"/>
      <c r="EL1" s="413"/>
      <c r="EM1" s="413"/>
      <c r="EN1" s="413"/>
      <c r="EO1" s="413"/>
      <c r="EP1" s="413"/>
      <c r="EQ1" s="413"/>
      <c r="ER1" s="413"/>
      <c r="ES1" s="413"/>
      <c r="ET1" s="413"/>
      <c r="EU1" s="413"/>
      <c r="EV1" s="413"/>
      <c r="EW1" s="413"/>
      <c r="EX1" s="413"/>
      <c r="EY1" s="413"/>
      <c r="EZ1" s="413"/>
      <c r="FA1" s="413"/>
      <c r="FB1" s="413"/>
      <c r="FC1" s="413"/>
      <c r="FD1" s="413"/>
      <c r="FE1" s="413"/>
      <c r="FF1" s="413"/>
      <c r="FG1" s="413"/>
      <c r="FH1" s="413"/>
      <c r="FI1" s="413"/>
      <c r="FJ1" s="413"/>
      <c r="FK1" s="413"/>
      <c r="FL1" s="413"/>
      <c r="FM1" s="413"/>
      <c r="FN1" s="413"/>
      <c r="FO1" s="413"/>
      <c r="FP1" s="413"/>
      <c r="FQ1" s="413"/>
      <c r="FR1" s="413"/>
      <c r="FS1" s="413"/>
      <c r="FT1" s="413"/>
      <c r="FU1" s="413"/>
      <c r="FV1" s="413"/>
      <c r="FW1" s="413"/>
      <c r="FX1" s="413"/>
      <c r="FY1" s="413"/>
      <c r="FZ1" s="413"/>
      <c r="GA1" s="413"/>
      <c r="GB1" s="413"/>
      <c r="GC1" s="413"/>
      <c r="GD1" s="413"/>
      <c r="GE1" s="413"/>
      <c r="GF1" s="413"/>
      <c r="GG1" s="413"/>
      <c r="GH1" s="413"/>
      <c r="GI1" s="413"/>
      <c r="GJ1" s="413"/>
      <c r="GK1" s="413"/>
      <c r="GL1" s="413"/>
      <c r="GM1" s="413"/>
      <c r="GN1" s="413"/>
      <c r="GO1" s="413"/>
      <c r="GP1" s="413"/>
      <c r="GQ1" s="413"/>
      <c r="GR1" s="413"/>
      <c r="GS1" s="413"/>
      <c r="GT1" s="413"/>
      <c r="GU1" s="413"/>
      <c r="GV1" s="413"/>
      <c r="GW1" s="413"/>
      <c r="GX1" s="413"/>
      <c r="GY1" s="413"/>
      <c r="GZ1" s="413"/>
      <c r="HA1" s="413"/>
      <c r="HB1" s="413"/>
      <c r="HC1" s="413"/>
      <c r="HD1" s="413"/>
      <c r="HE1" s="413"/>
      <c r="HF1" s="413"/>
      <c r="HG1" s="413"/>
      <c r="HH1" s="413"/>
      <c r="HI1" s="413"/>
      <c r="HJ1" s="413"/>
      <c r="HK1" s="413"/>
      <c r="HL1" s="413"/>
      <c r="HM1" s="413"/>
      <c r="HN1" s="413"/>
      <c r="HO1" s="413"/>
      <c r="HP1" s="413"/>
      <c r="HQ1" s="413"/>
      <c r="HR1" s="413"/>
      <c r="HS1" s="413"/>
      <c r="HT1" s="413"/>
      <c r="HU1" s="413"/>
      <c r="HV1" s="413"/>
      <c r="HW1" s="413"/>
      <c r="HX1" s="413"/>
      <c r="HY1" s="413"/>
      <c r="HZ1" s="413"/>
      <c r="IA1" s="413"/>
      <c r="IB1" s="413"/>
      <c r="IC1" s="413"/>
      <c r="ID1" s="413"/>
      <c r="IE1" s="413"/>
      <c r="IF1" s="413"/>
      <c r="IG1" s="413"/>
      <c r="IH1" s="413"/>
      <c r="II1" s="413"/>
      <c r="IJ1" s="413"/>
      <c r="IK1" s="413"/>
      <c r="IL1" s="413"/>
      <c r="IM1" s="413"/>
      <c r="IN1" s="413"/>
      <c r="IO1" s="413"/>
      <c r="IP1" s="413"/>
      <c r="IQ1" s="413"/>
      <c r="IR1" s="413"/>
      <c r="IS1" s="413"/>
      <c r="IT1" s="413"/>
    </row>
    <row r="2" spans="1:254" ht="13.5" thickBot="1" x14ac:dyDescent="0.25">
      <c r="A2" s="37" t="s">
        <v>88</v>
      </c>
      <c r="B2" s="38" t="s">
        <v>671</v>
      </c>
      <c r="C2" s="39"/>
      <c r="D2" s="40"/>
      <c r="E2" s="41"/>
      <c r="F2" s="41"/>
      <c r="G2" s="41"/>
      <c r="H2" s="41"/>
      <c r="I2" s="41" t="str">
        <f>CONCATENATE(IF(B6="-","",B6),IF(OR(B7="-",AND(B6="-",B7="-")),""," "),IF(B7="-","",B7),IF(AND(B6="-",B7="-"),"("," ("),B9,") ",TEXT(B2,"ДД.ММ.ГГ"))</f>
        <v>0 0 (8648) 22.02.22</v>
      </c>
      <c r="J2" s="42" t="s">
        <v>100</v>
      </c>
    </row>
    <row r="3" spans="1:254" ht="12.75" customHeight="1" x14ac:dyDescent="0.2">
      <c r="A3" s="37" t="s">
        <v>101</v>
      </c>
      <c r="B3" s="43">
        <f>Параметры!B6</f>
        <v>95</v>
      </c>
      <c r="C3" s="39"/>
      <c r="D3" s="40"/>
      <c r="E3" s="41"/>
      <c r="F3" s="41"/>
      <c r="G3" s="41"/>
      <c r="H3" s="41"/>
      <c r="I3" s="41" t="str">
        <f>CONCATENATE(B9," ",IF(B6="-","",B6),IF(B6="-",""," "),IF(B7="-","",B7),IF(B7="-",""," "),TEXT(B2,"ДД.ММ.ГГ"))</f>
        <v>8648 0 0 22.02.22</v>
      </c>
      <c r="J3" s="415"/>
      <c r="K3" s="416"/>
      <c r="L3" s="417"/>
    </row>
    <row r="4" spans="1:254" x14ac:dyDescent="0.2">
      <c r="A4" s="37" t="s">
        <v>102</v>
      </c>
      <c r="B4" s="44" t="s">
        <v>672</v>
      </c>
      <c r="C4" s="39"/>
      <c r="D4" s="40"/>
      <c r="E4" s="41"/>
      <c r="F4" s="41"/>
      <c r="G4" s="41"/>
      <c r="H4" s="41"/>
      <c r="I4" s="41" t="str">
        <f>CONCATENATE(A16," ",B16,".",C16,".",D16,".",E16)</f>
        <v>ЭРПЭ 1000.1300.850.6</v>
      </c>
      <c r="J4" s="418"/>
      <c r="K4" s="419"/>
      <c r="L4" s="420"/>
    </row>
    <row r="5" spans="1:254" x14ac:dyDescent="0.2">
      <c r="A5" s="37" t="s">
        <v>103</v>
      </c>
      <c r="B5" s="44" t="s">
        <v>673</v>
      </c>
      <c r="C5" s="39"/>
      <c r="D5" s="40"/>
      <c r="E5" s="41"/>
      <c r="F5" s="41"/>
      <c r="G5" s="41"/>
      <c r="H5" s="41"/>
      <c r="I5" s="41" t="str">
        <f ca="1">CONCATENATE(I4," (",D23,"; ",SUM(D21:D22)," кВт.; IP",D20,IF(D24="Да","; с ШУ иВПУ)"," без ШУ)"))</f>
        <v>ЭРПЭ 1000.1300.850.6 (AISI 201; 2,25 кВт.; IP55 без ШУ)</v>
      </c>
      <c r="J5" s="418"/>
      <c r="K5" s="419"/>
      <c r="L5" s="420"/>
    </row>
    <row r="6" spans="1:254" x14ac:dyDescent="0.2">
      <c r="A6" s="37" t="s">
        <v>104</v>
      </c>
      <c r="B6" s="44">
        <v>0</v>
      </c>
      <c r="C6" s="39"/>
      <c r="D6" s="40"/>
      <c r="E6" s="41"/>
      <c r="F6" s="41"/>
      <c r="G6" s="41"/>
      <c r="H6" s="41"/>
      <c r="I6" s="41"/>
      <c r="J6" s="418"/>
      <c r="K6" s="419"/>
      <c r="L6" s="420"/>
      <c r="O6" s="42" t="s">
        <v>105</v>
      </c>
      <c r="P6" s="42" t="s">
        <v>90</v>
      </c>
      <c r="Q6" s="42" t="s">
        <v>76</v>
      </c>
    </row>
    <row r="7" spans="1:254" ht="12.75" customHeight="1" x14ac:dyDescent="0.2">
      <c r="A7" s="37" t="s">
        <v>39</v>
      </c>
      <c r="B7" s="44">
        <v>0</v>
      </c>
      <c r="C7" s="39"/>
      <c r="D7" s="40"/>
      <c r="E7" s="41"/>
      <c r="F7" s="41"/>
      <c r="G7" s="41"/>
      <c r="H7" s="41"/>
      <c r="I7" s="41"/>
      <c r="J7" s="418"/>
      <c r="K7" s="419"/>
      <c r="L7" s="420"/>
      <c r="O7" s="42" t="s">
        <v>106</v>
      </c>
      <c r="P7" s="42" t="s">
        <v>107</v>
      </c>
      <c r="Q7" s="42" t="s">
        <v>78</v>
      </c>
    </row>
    <row r="8" spans="1:254" ht="12.75" customHeight="1" thickBot="1" x14ac:dyDescent="0.25">
      <c r="A8" s="37" t="s">
        <v>108</v>
      </c>
      <c r="B8" s="44">
        <v>0</v>
      </c>
      <c r="C8" s="39"/>
      <c r="D8" s="40"/>
      <c r="E8" s="41"/>
      <c r="F8" s="41"/>
      <c r="G8" s="41"/>
      <c r="H8" s="41"/>
      <c r="I8" s="41"/>
      <c r="J8" s="421"/>
      <c r="K8" s="422"/>
      <c r="L8" s="423"/>
      <c r="O8" s="42" t="s">
        <v>109</v>
      </c>
      <c r="P8" s="42" t="s">
        <v>106</v>
      </c>
      <c r="Q8" s="42" t="s">
        <v>79</v>
      </c>
    </row>
    <row r="9" spans="1:254" x14ac:dyDescent="0.2">
      <c r="A9" s="41" t="s">
        <v>110</v>
      </c>
      <c r="B9" s="45">
        <v>8648</v>
      </c>
      <c r="C9" s="39"/>
      <c r="D9" s="40"/>
      <c r="E9" s="41"/>
      <c r="F9" s="41"/>
      <c r="G9" s="41"/>
      <c r="H9" s="41"/>
      <c r="I9" s="41"/>
      <c r="O9" s="42" t="s">
        <v>111</v>
      </c>
      <c r="Q9" s="42" t="s">
        <v>80</v>
      </c>
    </row>
    <row r="10" spans="1:254" x14ac:dyDescent="0.2">
      <c r="A10" s="37" t="s">
        <v>112</v>
      </c>
      <c r="B10" s="44" t="s">
        <v>674</v>
      </c>
      <c r="C10" s="39"/>
      <c r="D10" s="40"/>
      <c r="E10" s="41"/>
      <c r="F10" s="41"/>
      <c r="G10" s="41"/>
      <c r="H10" s="41"/>
      <c r="I10" s="41"/>
    </row>
    <row r="11" spans="1:254" x14ac:dyDescent="0.2">
      <c r="A11" s="405" t="s">
        <v>632</v>
      </c>
      <c r="B11" s="406" t="s">
        <v>633</v>
      </c>
      <c r="C11" s="39"/>
      <c r="D11" s="40"/>
      <c r="E11" s="41"/>
      <c r="F11" s="41"/>
      <c r="G11" s="41"/>
      <c r="H11" s="41"/>
      <c r="I11" s="41"/>
    </row>
    <row r="12" spans="1:254" x14ac:dyDescent="0.2">
      <c r="A12" s="41"/>
      <c r="B12" s="41"/>
      <c r="C12" s="41"/>
      <c r="D12" s="41"/>
      <c r="E12" s="41"/>
      <c r="F12" s="41"/>
      <c r="G12" s="41"/>
      <c r="H12" s="41"/>
      <c r="I12" s="41"/>
    </row>
    <row r="13" spans="1:254" s="134" customFormat="1" ht="16.5" customHeight="1" x14ac:dyDescent="0.35">
      <c r="A13" s="132" t="s">
        <v>113</v>
      </c>
      <c r="B13" s="132"/>
      <c r="C13" s="133"/>
      <c r="D13" s="133"/>
      <c r="E13" s="132"/>
      <c r="F13" s="132"/>
      <c r="G13" s="132"/>
      <c r="H13" s="132"/>
      <c r="I13" s="132"/>
      <c r="J13" s="414"/>
      <c r="K13" s="414"/>
      <c r="L13" s="414"/>
      <c r="M13" s="414"/>
      <c r="N13" s="414"/>
      <c r="O13" s="414"/>
      <c r="P13" s="414"/>
      <c r="Q13" s="414"/>
      <c r="R13" s="414"/>
      <c r="S13" s="414"/>
      <c r="T13" s="414"/>
      <c r="U13" s="414"/>
      <c r="V13" s="414"/>
      <c r="W13" s="414"/>
      <c r="X13" s="414"/>
      <c r="Y13" s="414"/>
      <c r="Z13" s="414"/>
      <c r="AA13" s="414"/>
      <c r="AB13" s="414"/>
      <c r="AC13" s="414"/>
      <c r="AD13" s="414"/>
      <c r="AE13" s="414"/>
      <c r="AF13" s="414"/>
      <c r="AG13" s="414"/>
      <c r="AH13" s="414"/>
      <c r="AI13" s="414"/>
      <c r="AJ13" s="414"/>
      <c r="AK13" s="414"/>
      <c r="AL13" s="414"/>
      <c r="AM13" s="414"/>
      <c r="AN13" s="414"/>
      <c r="AO13" s="414"/>
      <c r="AP13" s="414"/>
      <c r="AQ13" s="414"/>
      <c r="AR13" s="414"/>
      <c r="AS13" s="414"/>
      <c r="AT13" s="414"/>
      <c r="AU13" s="414"/>
      <c r="AV13" s="414"/>
      <c r="AW13" s="414"/>
      <c r="AX13" s="414"/>
      <c r="AY13" s="414"/>
      <c r="AZ13" s="414"/>
      <c r="BA13" s="414"/>
      <c r="BB13" s="414"/>
      <c r="BC13" s="414"/>
      <c r="BD13" s="414"/>
      <c r="BE13" s="414"/>
      <c r="BF13" s="414"/>
      <c r="BG13" s="414"/>
      <c r="BH13" s="414"/>
      <c r="BI13" s="414"/>
      <c r="BJ13" s="414"/>
      <c r="BK13" s="414"/>
      <c r="BL13" s="414"/>
      <c r="BM13" s="414"/>
      <c r="BN13" s="414"/>
      <c r="BO13" s="414"/>
      <c r="BP13" s="414"/>
      <c r="BQ13" s="414"/>
      <c r="BR13" s="414"/>
      <c r="BS13" s="414"/>
      <c r="BT13" s="414"/>
      <c r="BU13" s="414"/>
      <c r="BV13" s="414"/>
      <c r="BW13" s="414"/>
      <c r="BX13" s="414"/>
      <c r="BY13" s="414"/>
      <c r="BZ13" s="414"/>
      <c r="CA13" s="414"/>
      <c r="CB13" s="414"/>
      <c r="CC13" s="414"/>
      <c r="CD13" s="414"/>
      <c r="CE13" s="414"/>
      <c r="CF13" s="414"/>
      <c r="CG13" s="414"/>
      <c r="CH13" s="414"/>
      <c r="CI13" s="414"/>
      <c r="CJ13" s="414"/>
      <c r="CK13" s="414"/>
      <c r="CL13" s="414"/>
      <c r="CM13" s="414"/>
      <c r="CN13" s="414"/>
      <c r="CO13" s="414"/>
      <c r="CP13" s="414"/>
      <c r="CQ13" s="414"/>
      <c r="CR13" s="414"/>
      <c r="CS13" s="414"/>
      <c r="CT13" s="414"/>
      <c r="CU13" s="414"/>
      <c r="CV13" s="414"/>
      <c r="CW13" s="414"/>
      <c r="CX13" s="414"/>
      <c r="CY13" s="414"/>
      <c r="CZ13" s="414"/>
      <c r="DA13" s="414"/>
      <c r="DB13" s="414"/>
      <c r="DC13" s="414"/>
      <c r="DD13" s="414"/>
      <c r="DE13" s="414"/>
      <c r="DF13" s="414"/>
      <c r="DG13" s="414"/>
      <c r="DH13" s="414"/>
      <c r="DI13" s="414"/>
      <c r="DJ13" s="414"/>
      <c r="DK13" s="414"/>
      <c r="DL13" s="414"/>
      <c r="DM13" s="414"/>
      <c r="DN13" s="414"/>
      <c r="DO13" s="414"/>
      <c r="DP13" s="414"/>
      <c r="DQ13" s="414"/>
      <c r="DR13" s="414"/>
      <c r="DS13" s="414"/>
      <c r="DT13" s="414"/>
      <c r="DU13" s="414"/>
      <c r="DV13" s="414"/>
      <c r="DW13" s="414"/>
      <c r="DX13" s="414"/>
      <c r="DY13" s="414"/>
      <c r="DZ13" s="414"/>
      <c r="EA13" s="414"/>
      <c r="EB13" s="414"/>
      <c r="EC13" s="414"/>
      <c r="ED13" s="414"/>
      <c r="EE13" s="414"/>
      <c r="EF13" s="414"/>
      <c r="EG13" s="414"/>
      <c r="EH13" s="414"/>
      <c r="EI13" s="414"/>
      <c r="EJ13" s="414"/>
      <c r="EK13" s="414"/>
      <c r="EL13" s="414"/>
      <c r="EM13" s="414"/>
      <c r="EN13" s="414"/>
      <c r="EO13" s="414"/>
      <c r="EP13" s="414"/>
      <c r="EQ13" s="414"/>
      <c r="ER13" s="414"/>
      <c r="ES13" s="414"/>
      <c r="ET13" s="414"/>
      <c r="EU13" s="414"/>
      <c r="EV13" s="414"/>
      <c r="EW13" s="414"/>
      <c r="EX13" s="414"/>
      <c r="EY13" s="414"/>
      <c r="EZ13" s="414"/>
      <c r="FA13" s="414"/>
      <c r="FB13" s="414"/>
      <c r="FC13" s="414"/>
      <c r="FD13" s="414"/>
      <c r="FE13" s="414"/>
      <c r="FF13" s="414"/>
      <c r="FG13" s="414"/>
      <c r="FH13" s="414"/>
      <c r="FI13" s="414"/>
      <c r="FJ13" s="414"/>
      <c r="FK13" s="414"/>
      <c r="FL13" s="414"/>
      <c r="FM13" s="414"/>
      <c r="FN13" s="414"/>
      <c r="FO13" s="414"/>
      <c r="FP13" s="414"/>
      <c r="FQ13" s="414"/>
      <c r="FR13" s="414"/>
      <c r="FS13" s="414"/>
      <c r="FT13" s="414"/>
      <c r="FU13" s="414"/>
      <c r="FV13" s="414"/>
      <c r="FW13" s="414"/>
      <c r="FX13" s="414"/>
      <c r="FY13" s="414"/>
      <c r="FZ13" s="414"/>
      <c r="GA13" s="414"/>
      <c r="GB13" s="414"/>
      <c r="GC13" s="414"/>
      <c r="GD13" s="414"/>
      <c r="GE13" s="414"/>
      <c r="GF13" s="414"/>
      <c r="GG13" s="414"/>
      <c r="GH13" s="414"/>
      <c r="GI13" s="414"/>
      <c r="GJ13" s="414"/>
      <c r="GK13" s="414"/>
      <c r="GL13" s="414"/>
      <c r="GM13" s="414"/>
      <c r="GN13" s="414"/>
      <c r="GO13" s="414"/>
      <c r="GP13" s="414"/>
      <c r="GQ13" s="414"/>
      <c r="GR13" s="414"/>
      <c r="GS13" s="414"/>
      <c r="GT13" s="414"/>
      <c r="GU13" s="414"/>
      <c r="GV13" s="414"/>
      <c r="GW13" s="414"/>
      <c r="GX13" s="414"/>
      <c r="GY13" s="414"/>
      <c r="GZ13" s="414"/>
      <c r="HA13" s="414"/>
      <c r="HB13" s="414"/>
      <c r="HC13" s="414"/>
      <c r="HD13" s="414"/>
      <c r="HE13" s="414"/>
      <c r="HF13" s="414"/>
      <c r="HG13" s="414"/>
      <c r="HH13" s="414"/>
      <c r="HI13" s="414"/>
      <c r="HJ13" s="414"/>
      <c r="HK13" s="414"/>
      <c r="HL13" s="414"/>
      <c r="HM13" s="414"/>
      <c r="HN13" s="414"/>
      <c r="HO13" s="414"/>
      <c r="HP13" s="414"/>
      <c r="HQ13" s="414"/>
      <c r="HR13" s="414"/>
      <c r="HS13" s="414"/>
      <c r="HT13" s="414"/>
      <c r="HU13" s="414"/>
      <c r="HV13" s="414"/>
      <c r="HW13" s="414"/>
      <c r="HX13" s="414"/>
      <c r="HY13" s="414"/>
      <c r="HZ13" s="414"/>
      <c r="IA13" s="414"/>
      <c r="IB13" s="414"/>
      <c r="IC13" s="414"/>
      <c r="ID13" s="414"/>
      <c r="IE13" s="414"/>
      <c r="IF13" s="414"/>
      <c r="IG13" s="414"/>
      <c r="IH13" s="414"/>
      <c r="II13" s="414"/>
      <c r="IJ13" s="414"/>
      <c r="IK13" s="414"/>
      <c r="IL13" s="414"/>
      <c r="IM13" s="414"/>
      <c r="IN13" s="414"/>
      <c r="IO13" s="414"/>
      <c r="IP13" s="414"/>
      <c r="IQ13" s="414"/>
      <c r="IR13" s="414"/>
      <c r="IS13" s="414"/>
      <c r="IT13" s="414"/>
    </row>
    <row r="15" spans="1:254" s="50" customFormat="1" ht="32.25" customHeight="1" thickBot="1" x14ac:dyDescent="0.25">
      <c r="A15" s="46" t="s">
        <v>114</v>
      </c>
      <c r="B15" s="46" t="s">
        <v>11</v>
      </c>
      <c r="C15" s="46" t="s">
        <v>12</v>
      </c>
      <c r="D15" s="47" t="s">
        <v>13</v>
      </c>
      <c r="E15" s="48" t="s">
        <v>115</v>
      </c>
      <c r="F15" s="49"/>
      <c r="G15" s="48" t="s">
        <v>377</v>
      </c>
      <c r="H15" s="49"/>
      <c r="I15" s="49"/>
      <c r="J15" s="49"/>
      <c r="K15" s="49"/>
      <c r="L15" s="49"/>
      <c r="M15" s="49"/>
      <c r="N15" s="49"/>
      <c r="O15" s="49"/>
      <c r="P15" s="49"/>
    </row>
    <row r="16" spans="1:254" ht="13.5" customHeight="1" thickBot="1" x14ac:dyDescent="0.25">
      <c r="A16" s="51" t="s">
        <v>143</v>
      </c>
      <c r="B16" s="52">
        <v>1000</v>
      </c>
      <c r="C16" s="52">
        <v>1300</v>
      </c>
      <c r="D16" s="53">
        <v>850</v>
      </c>
      <c r="E16" s="52">
        <v>6</v>
      </c>
      <c r="F16" s="54"/>
      <c r="G16" s="335" t="str">
        <f ca="1">CONCATENATE(Гидравлика!B15," м3/ч")</f>
        <v>972 м3/ч</v>
      </c>
      <c r="H16" s="54"/>
      <c r="I16" s="54"/>
      <c r="J16" s="54"/>
      <c r="K16" s="54"/>
      <c r="L16" s="54"/>
      <c r="M16" s="54"/>
      <c r="N16" s="54"/>
      <c r="O16" s="54"/>
      <c r="P16" s="54"/>
    </row>
    <row r="17" spans="1:254" ht="13.5" customHeight="1" thickBot="1" x14ac:dyDescent="0.25">
      <c r="A17" s="49"/>
      <c r="B17" s="49"/>
      <c r="C17" s="49"/>
      <c r="D17" s="49"/>
      <c r="E17" s="54"/>
      <c r="F17" s="54"/>
      <c r="G17" s="55"/>
      <c r="H17" s="54"/>
      <c r="I17" s="54"/>
      <c r="J17" s="54"/>
      <c r="K17" s="54"/>
      <c r="L17" s="54"/>
      <c r="M17" s="54"/>
      <c r="N17" s="54"/>
      <c r="O17" s="54"/>
      <c r="P17" s="54"/>
    </row>
    <row r="18" spans="1:254" ht="24.75" customHeight="1" x14ac:dyDescent="0.2">
      <c r="A18" s="424" t="s">
        <v>116</v>
      </c>
      <c r="B18" s="436" t="s">
        <v>145</v>
      </c>
      <c r="C18" s="437"/>
      <c r="D18" s="135">
        <f>Вес!B20</f>
        <v>682.4</v>
      </c>
      <c r="E18" s="56"/>
      <c r="F18" s="57"/>
      <c r="G18" s="58"/>
      <c r="H18" s="58"/>
      <c r="I18" s="58"/>
      <c r="J18" s="58"/>
      <c r="K18" s="58"/>
      <c r="L18" s="58"/>
      <c r="M18" s="58"/>
      <c r="N18" s="58"/>
      <c r="O18" s="58"/>
      <c r="P18" s="58"/>
    </row>
    <row r="19" spans="1:254" ht="13.5" thickBot="1" x14ac:dyDescent="0.25">
      <c r="A19" s="425"/>
      <c r="B19" s="438" t="s">
        <v>117</v>
      </c>
      <c r="C19" s="439"/>
      <c r="D19" s="136">
        <f ca="1">ROUNDUP(Вес!B18,-2)</f>
        <v>1100</v>
      </c>
      <c r="E19" s="56"/>
      <c r="F19" s="57"/>
      <c r="G19" s="54"/>
      <c r="H19" s="54"/>
      <c r="I19" s="54"/>
      <c r="J19" s="54"/>
      <c r="K19" s="54"/>
      <c r="L19" s="54"/>
      <c r="M19" s="54"/>
      <c r="N19" s="54"/>
      <c r="O19" s="54"/>
      <c r="P19" s="54"/>
    </row>
    <row r="20" spans="1:254" ht="12" customHeight="1" x14ac:dyDescent="0.2">
      <c r="A20" s="424" t="s">
        <v>342</v>
      </c>
      <c r="B20" s="427" t="s">
        <v>55</v>
      </c>
      <c r="C20" s="428"/>
      <c r="D20" s="59">
        <v>55</v>
      </c>
      <c r="E20" s="56"/>
      <c r="F20" s="57"/>
      <c r="G20" s="58"/>
      <c r="H20" s="58"/>
      <c r="I20" s="58"/>
      <c r="J20" s="58"/>
      <c r="K20" s="58"/>
      <c r="L20" s="58"/>
      <c r="M20" s="58"/>
      <c r="N20" s="58"/>
      <c r="O20" s="58"/>
      <c r="P20" s="58"/>
    </row>
    <row r="21" spans="1:254" ht="12" customHeight="1" x14ac:dyDescent="0.2">
      <c r="A21" s="435"/>
      <c r="B21" s="433" t="s">
        <v>140</v>
      </c>
      <c r="C21" s="434"/>
      <c r="D21" s="137">
        <f ca="1">Привода!B10</f>
        <v>1.5</v>
      </c>
      <c r="E21" s="56"/>
      <c r="F21" s="57"/>
      <c r="G21" s="58"/>
      <c r="H21" s="58"/>
      <c r="I21" s="58"/>
      <c r="J21" s="58"/>
      <c r="K21" s="58"/>
      <c r="L21" s="58"/>
      <c r="M21" s="58"/>
      <c r="N21" s="58"/>
      <c r="O21" s="58"/>
      <c r="P21" s="58"/>
    </row>
    <row r="22" spans="1:254" ht="12" customHeight="1" thickBot="1" x14ac:dyDescent="0.25">
      <c r="A22" s="425"/>
      <c r="B22" s="431" t="s">
        <v>141</v>
      </c>
      <c r="C22" s="432"/>
      <c r="D22" s="304">
        <f ca="1">Привода!B3</f>
        <v>0.75</v>
      </c>
      <c r="E22" s="56"/>
      <c r="F22" s="57"/>
      <c r="G22" s="58"/>
      <c r="H22" s="58"/>
      <c r="I22" s="58"/>
      <c r="J22" s="58"/>
      <c r="K22" s="58"/>
      <c r="L22" s="58"/>
      <c r="M22" s="58"/>
      <c r="N22" s="58"/>
      <c r="O22" s="58"/>
      <c r="P22" s="58"/>
    </row>
    <row r="23" spans="1:254" ht="12" customHeight="1" x14ac:dyDescent="0.2">
      <c r="A23" s="424" t="s">
        <v>118</v>
      </c>
      <c r="B23" s="427" t="s">
        <v>119</v>
      </c>
      <c r="C23" s="428"/>
      <c r="D23" s="59" t="s">
        <v>76</v>
      </c>
      <c r="E23" s="56"/>
      <c r="F23" s="57"/>
      <c r="G23" s="58"/>
      <c r="H23" s="58"/>
      <c r="I23" s="58"/>
      <c r="J23" s="58"/>
      <c r="K23" s="58"/>
      <c r="L23" s="58"/>
      <c r="M23" s="58"/>
      <c r="N23" s="58"/>
      <c r="O23" s="58"/>
      <c r="P23" s="58"/>
    </row>
    <row r="24" spans="1:254" ht="12" customHeight="1" x14ac:dyDescent="0.2">
      <c r="A24" s="425"/>
      <c r="B24" s="429" t="s">
        <v>90</v>
      </c>
      <c r="C24" s="430"/>
      <c r="D24" s="60" t="s">
        <v>106</v>
      </c>
      <c r="E24" s="56"/>
      <c r="F24" s="57"/>
      <c r="G24" s="58"/>
      <c r="H24" s="58"/>
      <c r="I24" s="58"/>
      <c r="J24" s="58"/>
      <c r="K24" s="58"/>
      <c r="L24" s="58"/>
      <c r="M24" s="58"/>
      <c r="N24" s="58"/>
      <c r="O24" s="58"/>
      <c r="P24" s="58"/>
    </row>
    <row r="25" spans="1:254" ht="12" customHeight="1" thickBot="1" x14ac:dyDescent="0.25">
      <c r="A25" s="426"/>
      <c r="B25" s="431" t="s">
        <v>120</v>
      </c>
      <c r="C25" s="432"/>
      <c r="D25" s="61" t="s">
        <v>106</v>
      </c>
      <c r="E25" s="56"/>
      <c r="F25" s="57"/>
      <c r="G25" s="54"/>
      <c r="H25" s="54"/>
      <c r="I25" s="54"/>
      <c r="J25" s="54"/>
      <c r="K25" s="54"/>
      <c r="L25" s="54"/>
      <c r="M25" s="54"/>
      <c r="N25" s="54"/>
      <c r="O25" s="54"/>
      <c r="P25" s="54"/>
    </row>
    <row r="27" spans="1:254" x14ac:dyDescent="0.2">
      <c r="A27" s="41"/>
      <c r="B27" s="41"/>
      <c r="C27" s="62" t="s">
        <v>121</v>
      </c>
      <c r="D27" s="62" t="s">
        <v>508</v>
      </c>
      <c r="E27" s="41"/>
      <c r="F27" s="41"/>
      <c r="G27" s="41"/>
      <c r="H27" s="41"/>
      <c r="I27" s="41"/>
    </row>
    <row r="28" spans="1:254" s="134" customFormat="1" ht="16.5" customHeight="1" x14ac:dyDescent="0.35">
      <c r="A28" s="132" t="s">
        <v>122</v>
      </c>
      <c r="B28" s="132"/>
      <c r="E28" s="132"/>
      <c r="F28" s="132"/>
      <c r="G28" s="132"/>
      <c r="H28" s="132"/>
      <c r="I28" s="132"/>
      <c r="J28" s="414"/>
      <c r="K28" s="414"/>
      <c r="L28" s="414"/>
      <c r="M28" s="414"/>
      <c r="N28" s="414"/>
      <c r="O28" s="414"/>
      <c r="P28" s="414"/>
      <c r="Q28" s="414"/>
      <c r="R28" s="414"/>
      <c r="S28" s="414"/>
      <c r="T28" s="414"/>
      <c r="U28" s="414"/>
      <c r="V28" s="414"/>
      <c r="W28" s="414"/>
      <c r="X28" s="414"/>
      <c r="Y28" s="414"/>
      <c r="Z28" s="414"/>
      <c r="AA28" s="414"/>
      <c r="AB28" s="414"/>
      <c r="AC28" s="414"/>
      <c r="AD28" s="414"/>
      <c r="AE28" s="414"/>
      <c r="AF28" s="414"/>
      <c r="AG28" s="414"/>
      <c r="AH28" s="414"/>
      <c r="AI28" s="414"/>
      <c r="AJ28" s="414"/>
      <c r="AK28" s="414"/>
      <c r="AL28" s="414"/>
      <c r="AM28" s="414"/>
      <c r="AN28" s="414"/>
      <c r="AO28" s="414"/>
      <c r="AP28" s="414"/>
      <c r="AQ28" s="414"/>
      <c r="AR28" s="414"/>
      <c r="AS28" s="414"/>
      <c r="AT28" s="414"/>
      <c r="AU28" s="414"/>
      <c r="AV28" s="414"/>
      <c r="AW28" s="414"/>
      <c r="AX28" s="414"/>
      <c r="AY28" s="414"/>
      <c r="AZ28" s="414"/>
      <c r="BA28" s="414"/>
      <c r="BB28" s="414"/>
      <c r="BC28" s="414"/>
      <c r="BD28" s="414"/>
      <c r="BE28" s="414"/>
      <c r="BF28" s="414"/>
      <c r="BG28" s="414"/>
      <c r="BH28" s="414"/>
      <c r="BI28" s="414"/>
      <c r="BJ28" s="414"/>
      <c r="BK28" s="414"/>
      <c r="BL28" s="414"/>
      <c r="BM28" s="414"/>
      <c r="BN28" s="414"/>
      <c r="BO28" s="414"/>
      <c r="BP28" s="414"/>
      <c r="BQ28" s="414"/>
      <c r="BR28" s="414"/>
      <c r="BS28" s="414"/>
      <c r="BT28" s="414"/>
      <c r="BU28" s="414"/>
      <c r="BV28" s="414"/>
      <c r="BW28" s="414"/>
      <c r="BX28" s="414"/>
      <c r="BY28" s="414"/>
      <c r="BZ28" s="414"/>
      <c r="CA28" s="414"/>
      <c r="CB28" s="414"/>
      <c r="CC28" s="414"/>
      <c r="CD28" s="414"/>
      <c r="CE28" s="414"/>
      <c r="CF28" s="414"/>
      <c r="CG28" s="414"/>
      <c r="CH28" s="414"/>
      <c r="CI28" s="414"/>
      <c r="CJ28" s="414"/>
      <c r="CK28" s="414"/>
      <c r="CL28" s="414"/>
      <c r="CM28" s="414"/>
      <c r="CN28" s="414"/>
      <c r="CO28" s="414"/>
      <c r="CP28" s="414"/>
      <c r="CQ28" s="414"/>
      <c r="CR28" s="414"/>
      <c r="CS28" s="414"/>
      <c r="CT28" s="414"/>
      <c r="CU28" s="414"/>
      <c r="CV28" s="414"/>
      <c r="CW28" s="414"/>
      <c r="CX28" s="414"/>
      <c r="CY28" s="414"/>
      <c r="CZ28" s="414"/>
      <c r="DA28" s="414"/>
      <c r="DB28" s="414"/>
      <c r="DC28" s="414"/>
      <c r="DD28" s="414"/>
      <c r="DE28" s="414"/>
      <c r="DF28" s="414"/>
      <c r="DG28" s="414"/>
      <c r="DH28" s="414"/>
      <c r="DI28" s="414"/>
      <c r="DJ28" s="414"/>
      <c r="DK28" s="414"/>
      <c r="DL28" s="414"/>
      <c r="DM28" s="414"/>
      <c r="DN28" s="414"/>
      <c r="DO28" s="414"/>
      <c r="DP28" s="414"/>
      <c r="DQ28" s="414"/>
      <c r="DR28" s="414"/>
      <c r="DS28" s="414"/>
      <c r="DT28" s="414"/>
      <c r="DU28" s="414"/>
      <c r="DV28" s="414"/>
      <c r="DW28" s="414"/>
      <c r="DX28" s="414"/>
      <c r="DY28" s="414"/>
      <c r="DZ28" s="414"/>
      <c r="EA28" s="414"/>
      <c r="EB28" s="414"/>
      <c r="EC28" s="414"/>
      <c r="ED28" s="414"/>
      <c r="EE28" s="414"/>
      <c r="EF28" s="414"/>
      <c r="EG28" s="414"/>
      <c r="EH28" s="414"/>
      <c r="EI28" s="414"/>
      <c r="EJ28" s="414"/>
      <c r="EK28" s="414"/>
      <c r="EL28" s="414"/>
      <c r="EM28" s="414"/>
      <c r="EN28" s="414"/>
      <c r="EO28" s="414"/>
      <c r="EP28" s="414"/>
      <c r="EQ28" s="414"/>
      <c r="ER28" s="414"/>
      <c r="ES28" s="414"/>
      <c r="ET28" s="414"/>
      <c r="EU28" s="414"/>
      <c r="EV28" s="414"/>
      <c r="EW28" s="414"/>
      <c r="EX28" s="414"/>
      <c r="EY28" s="414"/>
      <c r="EZ28" s="414"/>
      <c r="FA28" s="414"/>
      <c r="FB28" s="414"/>
      <c r="FC28" s="414"/>
      <c r="FD28" s="414"/>
      <c r="FE28" s="414"/>
      <c r="FF28" s="414"/>
      <c r="FG28" s="414"/>
      <c r="FH28" s="414"/>
      <c r="FI28" s="414"/>
      <c r="FJ28" s="414"/>
      <c r="FK28" s="414"/>
      <c r="FL28" s="414"/>
      <c r="FM28" s="414"/>
      <c r="FN28" s="414"/>
      <c r="FO28" s="414"/>
      <c r="FP28" s="414"/>
      <c r="FQ28" s="414"/>
      <c r="FR28" s="414"/>
      <c r="FS28" s="414"/>
      <c r="FT28" s="414"/>
      <c r="FU28" s="414"/>
      <c r="FV28" s="414"/>
      <c r="FW28" s="414"/>
      <c r="FX28" s="414"/>
      <c r="FY28" s="414"/>
      <c r="FZ28" s="414"/>
      <c r="GA28" s="414"/>
      <c r="GB28" s="414"/>
      <c r="GC28" s="414"/>
      <c r="GD28" s="414"/>
      <c r="GE28" s="414"/>
      <c r="GF28" s="414"/>
      <c r="GG28" s="414"/>
      <c r="GH28" s="414"/>
      <c r="GI28" s="414"/>
      <c r="GJ28" s="414"/>
      <c r="GK28" s="414"/>
      <c r="GL28" s="414"/>
      <c r="GM28" s="414"/>
      <c r="GN28" s="414"/>
      <c r="GO28" s="414"/>
      <c r="GP28" s="414"/>
      <c r="GQ28" s="414"/>
      <c r="GR28" s="414"/>
      <c r="GS28" s="414"/>
      <c r="GT28" s="414"/>
      <c r="GU28" s="414"/>
      <c r="GV28" s="414"/>
      <c r="GW28" s="414"/>
      <c r="GX28" s="414"/>
      <c r="GY28" s="414"/>
      <c r="GZ28" s="414"/>
      <c r="HA28" s="414"/>
      <c r="HB28" s="414"/>
      <c r="HC28" s="414"/>
      <c r="HD28" s="414"/>
      <c r="HE28" s="414"/>
      <c r="HF28" s="414"/>
      <c r="HG28" s="414"/>
      <c r="HH28" s="414"/>
      <c r="HI28" s="414"/>
      <c r="HJ28" s="414"/>
      <c r="HK28" s="414"/>
      <c r="HL28" s="414"/>
      <c r="HM28" s="414"/>
      <c r="HN28" s="414"/>
      <c r="HO28" s="414"/>
      <c r="HP28" s="414"/>
      <c r="HQ28" s="414"/>
      <c r="HR28" s="414"/>
      <c r="HS28" s="414"/>
      <c r="HT28" s="414"/>
      <c r="HU28" s="414"/>
      <c r="HV28" s="414"/>
      <c r="HW28" s="414"/>
      <c r="HX28" s="414"/>
      <c r="HY28" s="414"/>
      <c r="HZ28" s="414"/>
      <c r="IA28" s="414"/>
      <c r="IB28" s="414"/>
      <c r="IC28" s="414"/>
      <c r="ID28" s="414"/>
      <c r="IE28" s="414"/>
      <c r="IF28" s="414"/>
      <c r="IG28" s="414"/>
      <c r="IH28" s="414"/>
      <c r="II28" s="414"/>
      <c r="IJ28" s="414"/>
      <c r="IK28" s="414"/>
      <c r="IL28" s="414"/>
      <c r="IM28" s="414"/>
      <c r="IN28" s="414"/>
      <c r="IO28" s="414"/>
      <c r="IP28" s="414"/>
      <c r="IQ28" s="414"/>
      <c r="IR28" s="414"/>
      <c r="IS28" s="414"/>
      <c r="IT28" s="414"/>
    </row>
    <row r="29" spans="1:254" s="66" customFormat="1" ht="16.5" customHeight="1" thickBot="1" x14ac:dyDescent="0.4">
      <c r="A29" s="63"/>
      <c r="B29" s="63"/>
      <c r="C29" s="64">
        <f>SUM(C31:C34)</f>
        <v>423674</v>
      </c>
      <c r="D29" s="63"/>
      <c r="E29" s="63"/>
      <c r="F29" s="63"/>
      <c r="G29" s="63"/>
      <c r="H29" s="63"/>
      <c r="I29" s="63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  <c r="BQ29" s="65"/>
      <c r="BR29" s="65"/>
      <c r="BS29" s="65"/>
      <c r="BT29" s="65"/>
      <c r="BU29" s="65"/>
      <c r="BV29" s="65"/>
      <c r="BW29" s="65"/>
      <c r="BX29" s="65"/>
      <c r="BY29" s="65"/>
      <c r="BZ29" s="65"/>
      <c r="CA29" s="65"/>
      <c r="CB29" s="65"/>
      <c r="CC29" s="65"/>
      <c r="CD29" s="65"/>
      <c r="CE29" s="65"/>
      <c r="CF29" s="65"/>
      <c r="CG29" s="65"/>
      <c r="CH29" s="65"/>
      <c r="CI29" s="65"/>
      <c r="CJ29" s="65"/>
      <c r="CK29" s="65"/>
      <c r="CL29" s="65"/>
      <c r="CM29" s="65"/>
      <c r="CN29" s="65"/>
      <c r="CO29" s="65"/>
      <c r="CP29" s="65"/>
      <c r="CQ29" s="65"/>
      <c r="CR29" s="65"/>
      <c r="CS29" s="65"/>
      <c r="CT29" s="65"/>
      <c r="CU29" s="65"/>
      <c r="CV29" s="65"/>
      <c r="CW29" s="65"/>
      <c r="CX29" s="65"/>
      <c r="CY29" s="65"/>
      <c r="CZ29" s="65"/>
      <c r="DA29" s="65"/>
      <c r="DB29" s="65"/>
      <c r="DC29" s="65"/>
      <c r="DD29" s="65"/>
      <c r="DE29" s="65"/>
      <c r="DF29" s="65"/>
      <c r="DG29" s="65"/>
      <c r="DH29" s="65"/>
      <c r="DI29" s="65"/>
      <c r="DJ29" s="65"/>
      <c r="DK29" s="65"/>
      <c r="DL29" s="65"/>
      <c r="DM29" s="65"/>
      <c r="DN29" s="65"/>
      <c r="DO29" s="65"/>
      <c r="DP29" s="65"/>
      <c r="DQ29" s="65"/>
      <c r="DR29" s="65"/>
      <c r="DS29" s="65"/>
      <c r="DT29" s="65"/>
      <c r="DU29" s="65"/>
      <c r="DV29" s="65"/>
      <c r="DW29" s="65"/>
      <c r="DX29" s="65"/>
      <c r="DY29" s="65"/>
      <c r="DZ29" s="65"/>
      <c r="EA29" s="65"/>
      <c r="EB29" s="65"/>
      <c r="EC29" s="65"/>
      <c r="ED29" s="65"/>
      <c r="EE29" s="65"/>
      <c r="EF29" s="65"/>
      <c r="EG29" s="65"/>
      <c r="EH29" s="65"/>
      <c r="EI29" s="65"/>
      <c r="EJ29" s="65"/>
      <c r="EK29" s="65"/>
      <c r="EL29" s="65"/>
      <c r="EM29" s="65"/>
      <c r="EN29" s="65"/>
      <c r="EO29" s="65"/>
      <c r="EP29" s="65"/>
      <c r="EQ29" s="65"/>
      <c r="ER29" s="65"/>
      <c r="ES29" s="65"/>
      <c r="ET29" s="65"/>
      <c r="EU29" s="65"/>
      <c r="EV29" s="65"/>
      <c r="EW29" s="65"/>
      <c r="EX29" s="65"/>
      <c r="EY29" s="65"/>
      <c r="EZ29" s="65"/>
      <c r="FA29" s="65"/>
      <c r="FB29" s="65"/>
      <c r="FC29" s="65"/>
      <c r="FD29" s="65"/>
      <c r="FE29" s="65"/>
      <c r="FF29" s="65"/>
      <c r="FG29" s="65"/>
      <c r="FH29" s="65"/>
      <c r="FI29" s="65"/>
      <c r="FJ29" s="65"/>
      <c r="FK29" s="65"/>
      <c r="FL29" s="65"/>
      <c r="FM29" s="65"/>
      <c r="FN29" s="65"/>
      <c r="FO29" s="65"/>
      <c r="FP29" s="65"/>
      <c r="FQ29" s="65"/>
      <c r="FR29" s="65"/>
      <c r="FS29" s="65"/>
      <c r="FT29" s="65"/>
      <c r="FU29" s="65"/>
      <c r="FV29" s="65"/>
      <c r="FW29" s="65"/>
      <c r="FX29" s="65"/>
      <c r="FY29" s="65"/>
      <c r="FZ29" s="65"/>
      <c r="GA29" s="65"/>
      <c r="GB29" s="65"/>
      <c r="GC29" s="65"/>
      <c r="GD29" s="65"/>
      <c r="GE29" s="65"/>
      <c r="GF29" s="65"/>
      <c r="GG29" s="65"/>
      <c r="GH29" s="65"/>
      <c r="GI29" s="65"/>
      <c r="GJ29" s="65"/>
      <c r="GK29" s="65"/>
      <c r="GL29" s="65"/>
      <c r="GM29" s="65"/>
      <c r="GN29" s="65"/>
      <c r="GO29" s="65"/>
      <c r="GP29" s="65"/>
      <c r="GQ29" s="65"/>
      <c r="GR29" s="65"/>
      <c r="GS29" s="65"/>
      <c r="GT29" s="65"/>
      <c r="GU29" s="65"/>
      <c r="GV29" s="65"/>
      <c r="GW29" s="65"/>
      <c r="GX29" s="65"/>
      <c r="GY29" s="65"/>
      <c r="GZ29" s="65"/>
      <c r="HA29" s="65"/>
      <c r="HB29" s="65"/>
      <c r="HC29" s="65"/>
      <c r="HD29" s="65"/>
      <c r="HE29" s="65"/>
      <c r="HF29" s="65"/>
      <c r="HG29" s="65"/>
      <c r="HH29" s="65"/>
      <c r="HI29" s="65"/>
      <c r="HJ29" s="65"/>
      <c r="HK29" s="65"/>
      <c r="HL29" s="65"/>
      <c r="HM29" s="65"/>
      <c r="HN29" s="65"/>
      <c r="HO29" s="65"/>
      <c r="HP29" s="65"/>
      <c r="HQ29" s="65"/>
      <c r="HR29" s="65"/>
      <c r="HS29" s="65"/>
      <c r="HT29" s="65"/>
      <c r="HU29" s="65"/>
      <c r="HV29" s="65"/>
      <c r="HW29" s="65"/>
      <c r="HX29" s="65"/>
      <c r="HY29" s="65"/>
      <c r="HZ29" s="65"/>
      <c r="IA29" s="65"/>
      <c r="IB29" s="65"/>
      <c r="IC29" s="65"/>
      <c r="ID29" s="65"/>
      <c r="IE29" s="65"/>
      <c r="IF29" s="65"/>
      <c r="IG29" s="65"/>
      <c r="IH29" s="65"/>
      <c r="II29" s="65"/>
      <c r="IJ29" s="65"/>
      <c r="IK29" s="65"/>
      <c r="IL29" s="65"/>
      <c r="IM29" s="65"/>
      <c r="IN29" s="65"/>
      <c r="IO29" s="65"/>
      <c r="IP29" s="65"/>
      <c r="IQ29" s="65"/>
      <c r="IR29" s="65"/>
      <c r="IS29" s="65"/>
      <c r="IT29" s="65"/>
    </row>
    <row r="30" spans="1:254" ht="13.5" thickTop="1" x14ac:dyDescent="0.2"/>
    <row r="31" spans="1:254" x14ac:dyDescent="0.2">
      <c r="A31" s="50" t="s">
        <v>142</v>
      </c>
      <c r="B31" s="67" t="str">
        <f>CONCATENATE(ROUNDUP(C31/Параметры!B3,0)," н.ч.")</f>
        <v>451 н.ч.</v>
      </c>
      <c r="C31" s="68">
        <f>ФОТ!C38</f>
        <v>139359</v>
      </c>
    </row>
    <row r="32" spans="1:254" x14ac:dyDescent="0.2">
      <c r="A32" s="50" t="s">
        <v>123</v>
      </c>
      <c r="B32" s="67" t="str">
        <f>CONCATENATE(ROUNDUP(C32/Параметры!B3,0)," н.ч.")</f>
        <v>36 н.ч.</v>
      </c>
      <c r="C32" s="68">
        <f>ФОТ!C55</f>
        <v>10880</v>
      </c>
    </row>
    <row r="33" spans="1:254" x14ac:dyDescent="0.2">
      <c r="A33" s="50" t="s">
        <v>124</v>
      </c>
      <c r="B33" s="67" t="str">
        <f>CONCATENATE(ROUNDUP(C33/Параметры!B7,0)," н.ч.")</f>
        <v>0 н.ч.</v>
      </c>
      <c r="C33" s="68">
        <f>ФОТ!C46</f>
        <v>0</v>
      </c>
    </row>
    <row r="34" spans="1:254" ht="25.5" x14ac:dyDescent="0.2">
      <c r="A34" s="50" t="s">
        <v>125</v>
      </c>
      <c r="B34" s="69">
        <f>Параметры!B4</f>
        <v>1.82</v>
      </c>
      <c r="C34" s="68">
        <f>MROUND(SUM(C31:C33)*B34,1)</f>
        <v>273435</v>
      </c>
    </row>
    <row r="35" spans="1:254" x14ac:dyDescent="0.2">
      <c r="A35" s="50"/>
      <c r="B35" s="70"/>
      <c r="C35" s="71"/>
      <c r="D35" s="71"/>
    </row>
    <row r="36" spans="1:254" s="139" customFormat="1" ht="16.5" customHeight="1" x14ac:dyDescent="0.35">
      <c r="A36" s="138" t="s">
        <v>126</v>
      </c>
      <c r="B36" s="138"/>
      <c r="E36" s="138"/>
      <c r="F36" s="138"/>
      <c r="G36" s="138"/>
      <c r="H36" s="138"/>
      <c r="I36" s="138"/>
      <c r="J36" s="440"/>
      <c r="K36" s="440"/>
      <c r="L36" s="440"/>
      <c r="M36" s="440"/>
      <c r="N36" s="440"/>
      <c r="O36" s="440"/>
      <c r="P36" s="440"/>
      <c r="Q36" s="440"/>
      <c r="R36" s="440"/>
      <c r="S36" s="440"/>
      <c r="T36" s="440"/>
      <c r="U36" s="440"/>
      <c r="V36" s="440"/>
      <c r="W36" s="440"/>
      <c r="X36" s="440"/>
      <c r="Y36" s="440"/>
      <c r="Z36" s="440"/>
      <c r="AA36" s="440"/>
      <c r="AB36" s="440"/>
      <c r="AC36" s="440"/>
      <c r="AD36" s="440"/>
      <c r="AE36" s="440"/>
      <c r="AF36" s="440"/>
      <c r="AG36" s="440"/>
      <c r="AH36" s="440"/>
      <c r="AI36" s="440"/>
      <c r="AJ36" s="440"/>
      <c r="AK36" s="440"/>
      <c r="AL36" s="440"/>
      <c r="AM36" s="440"/>
      <c r="AN36" s="440"/>
      <c r="AO36" s="440"/>
      <c r="AP36" s="440"/>
      <c r="AQ36" s="440"/>
      <c r="AR36" s="440"/>
      <c r="AS36" s="440"/>
      <c r="AT36" s="440"/>
      <c r="AU36" s="440"/>
      <c r="AV36" s="440"/>
      <c r="AW36" s="440"/>
      <c r="AX36" s="440"/>
      <c r="AY36" s="440"/>
      <c r="AZ36" s="440"/>
      <c r="BA36" s="440"/>
      <c r="BB36" s="440"/>
      <c r="BC36" s="440"/>
      <c r="BD36" s="440"/>
      <c r="BE36" s="440"/>
      <c r="BF36" s="440"/>
      <c r="BG36" s="440"/>
      <c r="BH36" s="440"/>
      <c r="BI36" s="440"/>
      <c r="BJ36" s="440"/>
      <c r="BK36" s="440"/>
      <c r="BL36" s="440"/>
      <c r="BM36" s="440"/>
      <c r="BN36" s="440"/>
      <c r="BO36" s="440"/>
      <c r="BP36" s="440"/>
      <c r="BQ36" s="440"/>
      <c r="BR36" s="440"/>
      <c r="BS36" s="440"/>
      <c r="BT36" s="440"/>
      <c r="BU36" s="440"/>
      <c r="BV36" s="440"/>
      <c r="BW36" s="440"/>
      <c r="BX36" s="440"/>
      <c r="BY36" s="440"/>
      <c r="BZ36" s="440"/>
      <c r="CA36" s="440"/>
      <c r="CB36" s="440"/>
      <c r="CC36" s="440"/>
      <c r="CD36" s="440"/>
      <c r="CE36" s="440"/>
      <c r="CF36" s="440"/>
      <c r="CG36" s="440"/>
      <c r="CH36" s="440"/>
      <c r="CI36" s="440"/>
      <c r="CJ36" s="440"/>
      <c r="CK36" s="440"/>
      <c r="CL36" s="440"/>
      <c r="CM36" s="440"/>
      <c r="CN36" s="440"/>
      <c r="CO36" s="440"/>
      <c r="CP36" s="440"/>
      <c r="CQ36" s="440"/>
      <c r="CR36" s="440"/>
      <c r="CS36" s="440"/>
      <c r="CT36" s="440"/>
      <c r="CU36" s="440"/>
      <c r="CV36" s="440"/>
      <c r="CW36" s="440"/>
      <c r="CX36" s="440"/>
      <c r="CY36" s="440"/>
      <c r="CZ36" s="440"/>
      <c r="DA36" s="440"/>
      <c r="DB36" s="440"/>
      <c r="DC36" s="440"/>
      <c r="DD36" s="440"/>
      <c r="DE36" s="440"/>
      <c r="DF36" s="440"/>
      <c r="DG36" s="440"/>
      <c r="DH36" s="440"/>
      <c r="DI36" s="440"/>
      <c r="DJ36" s="440"/>
      <c r="DK36" s="440"/>
      <c r="DL36" s="440"/>
      <c r="DM36" s="440"/>
      <c r="DN36" s="440"/>
      <c r="DO36" s="440"/>
      <c r="DP36" s="440"/>
      <c r="DQ36" s="440"/>
      <c r="DR36" s="440"/>
      <c r="DS36" s="440"/>
      <c r="DT36" s="440"/>
      <c r="DU36" s="440"/>
      <c r="DV36" s="440"/>
      <c r="DW36" s="440"/>
      <c r="DX36" s="440"/>
      <c r="DY36" s="440"/>
      <c r="DZ36" s="440"/>
      <c r="EA36" s="440"/>
      <c r="EB36" s="440"/>
      <c r="EC36" s="440"/>
      <c r="ED36" s="440"/>
      <c r="EE36" s="440"/>
      <c r="EF36" s="440"/>
      <c r="EG36" s="440"/>
      <c r="EH36" s="440"/>
      <c r="EI36" s="440"/>
      <c r="EJ36" s="440"/>
      <c r="EK36" s="440"/>
      <c r="EL36" s="440"/>
      <c r="EM36" s="440"/>
      <c r="EN36" s="440"/>
      <c r="EO36" s="440"/>
      <c r="EP36" s="440"/>
      <c r="EQ36" s="440"/>
      <c r="ER36" s="440"/>
      <c r="ES36" s="440"/>
      <c r="ET36" s="440"/>
      <c r="EU36" s="440"/>
      <c r="EV36" s="440"/>
      <c r="EW36" s="440"/>
      <c r="EX36" s="440"/>
      <c r="EY36" s="440"/>
      <c r="EZ36" s="440"/>
      <c r="FA36" s="440"/>
      <c r="FB36" s="440"/>
      <c r="FC36" s="440"/>
      <c r="FD36" s="440"/>
      <c r="FE36" s="440"/>
      <c r="FF36" s="440"/>
      <c r="FG36" s="440"/>
      <c r="FH36" s="440"/>
      <c r="FI36" s="440"/>
      <c r="FJ36" s="440"/>
      <c r="FK36" s="440"/>
      <c r="FL36" s="440"/>
      <c r="FM36" s="440"/>
      <c r="FN36" s="440"/>
      <c r="FO36" s="440"/>
      <c r="FP36" s="440"/>
      <c r="FQ36" s="440"/>
      <c r="FR36" s="440"/>
      <c r="FS36" s="440"/>
      <c r="FT36" s="440"/>
      <c r="FU36" s="440"/>
      <c r="FV36" s="440"/>
      <c r="FW36" s="440"/>
      <c r="FX36" s="440"/>
      <c r="FY36" s="440"/>
      <c r="FZ36" s="440"/>
      <c r="GA36" s="440"/>
      <c r="GB36" s="440"/>
      <c r="GC36" s="440"/>
      <c r="GD36" s="440"/>
      <c r="GE36" s="440"/>
      <c r="GF36" s="440"/>
      <c r="GG36" s="440"/>
      <c r="GH36" s="440"/>
      <c r="GI36" s="440"/>
      <c r="GJ36" s="440"/>
      <c r="GK36" s="440"/>
      <c r="GL36" s="440"/>
      <c r="GM36" s="440"/>
      <c r="GN36" s="440"/>
      <c r="GO36" s="440"/>
      <c r="GP36" s="440"/>
      <c r="GQ36" s="440"/>
      <c r="GR36" s="440"/>
      <c r="GS36" s="440"/>
      <c r="GT36" s="440"/>
      <c r="GU36" s="440"/>
      <c r="GV36" s="440"/>
      <c r="GW36" s="440"/>
      <c r="GX36" s="440"/>
      <c r="GY36" s="440"/>
      <c r="GZ36" s="440"/>
      <c r="HA36" s="440"/>
      <c r="HB36" s="440"/>
      <c r="HC36" s="440"/>
      <c r="HD36" s="440"/>
      <c r="HE36" s="440"/>
      <c r="HF36" s="440"/>
      <c r="HG36" s="440"/>
      <c r="HH36" s="440"/>
      <c r="HI36" s="440"/>
      <c r="HJ36" s="440"/>
      <c r="HK36" s="440"/>
      <c r="HL36" s="440"/>
      <c r="HM36" s="440"/>
      <c r="HN36" s="440"/>
      <c r="HO36" s="440"/>
      <c r="HP36" s="440"/>
      <c r="HQ36" s="440"/>
      <c r="HR36" s="440"/>
      <c r="HS36" s="440"/>
      <c r="HT36" s="440"/>
      <c r="HU36" s="440"/>
      <c r="HV36" s="440"/>
      <c r="HW36" s="440"/>
      <c r="HX36" s="440"/>
      <c r="HY36" s="440"/>
      <c r="HZ36" s="440"/>
      <c r="IA36" s="440"/>
      <c r="IB36" s="440"/>
      <c r="IC36" s="440"/>
      <c r="ID36" s="440"/>
      <c r="IE36" s="440"/>
      <c r="IF36" s="440"/>
      <c r="IG36" s="440"/>
      <c r="IH36" s="440"/>
      <c r="II36" s="440"/>
      <c r="IJ36" s="440"/>
      <c r="IK36" s="440"/>
      <c r="IL36" s="440"/>
      <c r="IM36" s="440"/>
      <c r="IN36" s="440"/>
      <c r="IO36" s="440"/>
      <c r="IP36" s="440"/>
      <c r="IQ36" s="440"/>
      <c r="IR36" s="440"/>
      <c r="IS36" s="440"/>
      <c r="IT36" s="440"/>
    </row>
    <row r="37" spans="1:254" s="66" customFormat="1" ht="16.5" customHeight="1" thickBot="1" x14ac:dyDescent="0.4">
      <c r="A37" s="63"/>
      <c r="B37" s="63"/>
      <c r="C37" s="64">
        <f ca="1">SUM(C39:C47)</f>
        <v>558763.84</v>
      </c>
      <c r="D37" s="64">
        <f ca="1">SUM(D39:D47)</f>
        <v>670518</v>
      </c>
      <c r="E37" s="63"/>
      <c r="F37" s="63"/>
      <c r="G37" s="63"/>
      <c r="I37" s="63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M37" s="65"/>
      <c r="CN37" s="65"/>
      <c r="CO37" s="65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E37" s="65"/>
      <c r="DF37" s="65"/>
      <c r="DG37" s="65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  <c r="DW37" s="65"/>
      <c r="DX37" s="65"/>
      <c r="DY37" s="65"/>
      <c r="DZ37" s="65"/>
      <c r="EA37" s="65"/>
      <c r="EB37" s="65"/>
      <c r="EC37" s="65"/>
      <c r="ED37" s="65"/>
      <c r="EE37" s="65"/>
      <c r="EF37" s="65"/>
      <c r="EG37" s="65"/>
      <c r="EH37" s="65"/>
      <c r="EI37" s="65"/>
      <c r="EJ37" s="65"/>
      <c r="EK37" s="65"/>
      <c r="EL37" s="65"/>
      <c r="EM37" s="65"/>
      <c r="EN37" s="65"/>
      <c r="EO37" s="65"/>
      <c r="EP37" s="65"/>
      <c r="EQ37" s="65"/>
      <c r="ER37" s="65"/>
      <c r="ES37" s="65"/>
      <c r="ET37" s="65"/>
      <c r="EU37" s="65"/>
      <c r="EV37" s="65"/>
      <c r="EW37" s="65"/>
      <c r="EX37" s="65"/>
      <c r="EY37" s="65"/>
      <c r="EZ37" s="65"/>
      <c r="FA37" s="65"/>
      <c r="FB37" s="65"/>
      <c r="FC37" s="65"/>
      <c r="FD37" s="65"/>
      <c r="FE37" s="65"/>
      <c r="FF37" s="65"/>
      <c r="FG37" s="65"/>
      <c r="FH37" s="65"/>
      <c r="FI37" s="65"/>
      <c r="FJ37" s="65"/>
      <c r="FK37" s="65"/>
      <c r="FL37" s="65"/>
      <c r="FM37" s="65"/>
      <c r="FN37" s="65"/>
      <c r="FO37" s="65"/>
      <c r="FP37" s="65"/>
      <c r="FQ37" s="65"/>
      <c r="FR37" s="65"/>
      <c r="FS37" s="65"/>
      <c r="FT37" s="65"/>
      <c r="FU37" s="65"/>
      <c r="FV37" s="65"/>
      <c r="FW37" s="65"/>
      <c r="FX37" s="65"/>
      <c r="FY37" s="65"/>
      <c r="FZ37" s="65"/>
      <c r="GA37" s="65"/>
      <c r="GB37" s="65"/>
      <c r="GC37" s="65"/>
      <c r="GD37" s="65"/>
      <c r="GE37" s="65"/>
      <c r="GF37" s="65"/>
      <c r="GG37" s="65"/>
      <c r="GH37" s="65"/>
      <c r="GI37" s="65"/>
      <c r="GJ37" s="65"/>
      <c r="GK37" s="65"/>
      <c r="GL37" s="65"/>
      <c r="GM37" s="65"/>
      <c r="GN37" s="65"/>
      <c r="GO37" s="65"/>
      <c r="GP37" s="65"/>
      <c r="GQ37" s="65"/>
      <c r="GR37" s="65"/>
      <c r="GS37" s="65"/>
      <c r="GT37" s="65"/>
      <c r="GU37" s="65"/>
      <c r="GV37" s="65"/>
      <c r="GW37" s="65"/>
      <c r="GX37" s="65"/>
      <c r="GY37" s="65"/>
      <c r="GZ37" s="65"/>
      <c r="HA37" s="65"/>
      <c r="HB37" s="65"/>
      <c r="HC37" s="65"/>
      <c r="HD37" s="65"/>
      <c r="HE37" s="65"/>
      <c r="HF37" s="65"/>
      <c r="HG37" s="65"/>
      <c r="HH37" s="65"/>
      <c r="HI37" s="65"/>
      <c r="HJ37" s="65"/>
      <c r="HK37" s="65"/>
      <c r="HL37" s="65"/>
      <c r="HM37" s="65"/>
      <c r="HN37" s="65"/>
      <c r="HO37" s="65"/>
      <c r="HP37" s="65"/>
      <c r="HQ37" s="65"/>
      <c r="HR37" s="65"/>
      <c r="HS37" s="65"/>
      <c r="HT37" s="65"/>
      <c r="HU37" s="65"/>
      <c r="HV37" s="65"/>
      <c r="HW37" s="65"/>
      <c r="HX37" s="65"/>
      <c r="HY37" s="65"/>
      <c r="HZ37" s="65"/>
      <c r="IA37" s="65"/>
      <c r="IB37" s="65"/>
      <c r="IC37" s="65"/>
      <c r="ID37" s="65"/>
      <c r="IE37" s="65"/>
      <c r="IF37" s="65"/>
      <c r="IG37" s="65"/>
      <c r="IH37" s="65"/>
      <c r="II37" s="65"/>
      <c r="IJ37" s="65"/>
      <c r="IK37" s="65"/>
      <c r="IL37" s="65"/>
      <c r="IM37" s="65"/>
      <c r="IN37" s="65"/>
      <c r="IO37" s="65"/>
      <c r="IP37" s="65"/>
      <c r="IQ37" s="65"/>
      <c r="IR37" s="65"/>
      <c r="IS37" s="65"/>
      <c r="IT37" s="65"/>
    </row>
    <row r="38" spans="1:254" ht="12.75" customHeight="1" thickTop="1" x14ac:dyDescent="0.2"/>
    <row r="39" spans="1:254" x14ac:dyDescent="0.2">
      <c r="A39" s="50" t="s">
        <v>127</v>
      </c>
      <c r="B39" s="67"/>
      <c r="C39" s="68">
        <f ca="1">Металл!B4</f>
        <v>180533</v>
      </c>
      <c r="D39" s="68">
        <f ca="1">MROUND(C39*1.2,1)</f>
        <v>216640</v>
      </c>
    </row>
    <row r="40" spans="1:254" x14ac:dyDescent="0.2">
      <c r="A40" s="42" t="str">
        <f>CONCATENATE("Цепи (",Цепи!B13," м.п.)")</f>
        <v>Цепи (16 м.п.)</v>
      </c>
      <c r="B40" s="72"/>
      <c r="C40" s="68">
        <f ca="1">Цепи!B17</f>
        <v>50688</v>
      </c>
      <c r="D40" s="68">
        <f t="shared" ref="D40:D47" ca="1" si="0">MROUND(C40*1.2,1)</f>
        <v>60826</v>
      </c>
    </row>
    <row r="41" spans="1:254" x14ac:dyDescent="0.2">
      <c r="A41" s="42" t="s">
        <v>164</v>
      </c>
      <c r="B41" s="72"/>
      <c r="C41" s="68">
        <f ca="1">Панели!B19</f>
        <v>57318</v>
      </c>
      <c r="D41" s="68">
        <f t="shared" ca="1" si="0"/>
        <v>68782</v>
      </c>
    </row>
    <row r="42" spans="1:254" x14ac:dyDescent="0.2">
      <c r="A42" s="42" t="s">
        <v>175</v>
      </c>
      <c r="B42" s="72"/>
      <c r="C42" s="68">
        <f>Щётка!B16</f>
        <v>29400</v>
      </c>
      <c r="D42" s="68">
        <f t="shared" si="0"/>
        <v>35280</v>
      </c>
    </row>
    <row r="43" spans="1:254" x14ac:dyDescent="0.2">
      <c r="A43" s="42" t="s">
        <v>333</v>
      </c>
      <c r="B43" s="72"/>
      <c r="C43" s="68">
        <f ca="1">Привода!B6</f>
        <v>98800</v>
      </c>
      <c r="D43" s="68">
        <f t="shared" ca="1" si="0"/>
        <v>118560</v>
      </c>
    </row>
    <row r="44" spans="1:254" x14ac:dyDescent="0.2">
      <c r="A44" s="42" t="s">
        <v>33</v>
      </c>
      <c r="B44" s="72"/>
      <c r="C44" s="68">
        <f ca="1">Привода!B13</f>
        <v>52250</v>
      </c>
      <c r="D44" s="68">
        <f t="shared" ca="1" si="0"/>
        <v>62700</v>
      </c>
    </row>
    <row r="45" spans="1:254" x14ac:dyDescent="0.2">
      <c r="A45" s="42" t="s">
        <v>128</v>
      </c>
      <c r="B45" s="72"/>
      <c r="C45" s="68">
        <f>ПКИ!B68+ПКИ!B78</f>
        <v>73499.839999999982</v>
      </c>
      <c r="D45" s="68">
        <f t="shared" si="0"/>
        <v>88200</v>
      </c>
    </row>
    <row r="46" spans="1:254" x14ac:dyDescent="0.2">
      <c r="A46" s="42" t="s">
        <v>98</v>
      </c>
      <c r="B46" s="72"/>
      <c r="C46" s="68">
        <f>IF(D24="Нет",0,ШУ!B7)</f>
        <v>0</v>
      </c>
      <c r="D46" s="68">
        <f t="shared" si="0"/>
        <v>0</v>
      </c>
    </row>
    <row r="47" spans="1:254" x14ac:dyDescent="0.2">
      <c r="A47" s="42" t="s">
        <v>453</v>
      </c>
      <c r="B47" s="370">
        <f>Параметры!B5</f>
        <v>0.03</v>
      </c>
      <c r="C47" s="68">
        <f ca="1">MROUND(SUM(C39:C46)*B47,1)</f>
        <v>16275</v>
      </c>
      <c r="D47" s="68">
        <f t="shared" ca="1" si="0"/>
        <v>19530</v>
      </c>
    </row>
    <row r="48" spans="1:254" x14ac:dyDescent="0.2">
      <c r="B48" s="73"/>
      <c r="C48" s="74"/>
      <c r="D48" s="74"/>
    </row>
    <row r="49" spans="1:254" s="307" customFormat="1" ht="16.5" customHeight="1" x14ac:dyDescent="0.35">
      <c r="A49" s="305" t="s">
        <v>129</v>
      </c>
      <c r="B49" s="305"/>
      <c r="C49" s="306">
        <f ca="1">MROUND(C29+C37,1)</f>
        <v>982438</v>
      </c>
      <c r="D49" s="306">
        <f ca="1">MROUND(C49*1.2,1)</f>
        <v>1178926</v>
      </c>
      <c r="E49" s="305"/>
      <c r="F49" s="305"/>
      <c r="G49" s="305"/>
      <c r="H49" s="305"/>
      <c r="I49" s="305"/>
      <c r="J49" s="441"/>
      <c r="K49" s="441"/>
      <c r="L49" s="441"/>
      <c r="M49" s="441"/>
      <c r="N49" s="441"/>
      <c r="O49" s="441"/>
      <c r="P49" s="441"/>
      <c r="Q49" s="441"/>
      <c r="R49" s="441"/>
      <c r="S49" s="441"/>
      <c r="T49" s="441"/>
      <c r="U49" s="441"/>
      <c r="V49" s="441"/>
      <c r="W49" s="441"/>
      <c r="X49" s="441"/>
      <c r="Y49" s="441"/>
      <c r="Z49" s="441"/>
      <c r="AA49" s="441"/>
      <c r="AB49" s="441"/>
      <c r="AC49" s="441"/>
      <c r="AD49" s="441"/>
      <c r="AE49" s="441"/>
      <c r="AF49" s="441"/>
      <c r="AG49" s="441"/>
      <c r="AH49" s="441"/>
      <c r="AI49" s="441"/>
      <c r="AJ49" s="441"/>
      <c r="AK49" s="441"/>
      <c r="AL49" s="441"/>
      <c r="AM49" s="441"/>
      <c r="AN49" s="441"/>
      <c r="AO49" s="441"/>
      <c r="AP49" s="441"/>
      <c r="AQ49" s="441"/>
      <c r="AR49" s="441"/>
      <c r="AS49" s="441"/>
      <c r="AT49" s="441"/>
      <c r="AU49" s="441"/>
      <c r="AV49" s="441"/>
      <c r="AW49" s="441"/>
      <c r="AX49" s="441"/>
      <c r="AY49" s="441"/>
      <c r="AZ49" s="441"/>
      <c r="BA49" s="441"/>
      <c r="BB49" s="441"/>
      <c r="BC49" s="441"/>
      <c r="BD49" s="441"/>
      <c r="BE49" s="441"/>
      <c r="BF49" s="441"/>
      <c r="BG49" s="441"/>
      <c r="BH49" s="441"/>
      <c r="BI49" s="441"/>
      <c r="BJ49" s="441"/>
      <c r="BK49" s="441"/>
      <c r="BL49" s="441"/>
      <c r="BM49" s="441"/>
      <c r="BN49" s="441"/>
      <c r="BO49" s="441"/>
      <c r="BP49" s="441"/>
      <c r="BQ49" s="441"/>
      <c r="BR49" s="441"/>
      <c r="BS49" s="441"/>
      <c r="BT49" s="441"/>
      <c r="BU49" s="441"/>
      <c r="BV49" s="441"/>
      <c r="BW49" s="441"/>
      <c r="BX49" s="441"/>
      <c r="BY49" s="441"/>
      <c r="BZ49" s="441"/>
      <c r="CA49" s="441"/>
      <c r="CB49" s="441"/>
      <c r="CC49" s="441"/>
      <c r="CD49" s="441"/>
      <c r="CE49" s="441"/>
      <c r="CF49" s="441"/>
      <c r="CG49" s="441"/>
      <c r="CH49" s="441"/>
      <c r="CI49" s="441"/>
      <c r="CJ49" s="441"/>
      <c r="CK49" s="441"/>
      <c r="CL49" s="441"/>
      <c r="CM49" s="441"/>
      <c r="CN49" s="441"/>
      <c r="CO49" s="441"/>
      <c r="CP49" s="441"/>
      <c r="CQ49" s="441"/>
      <c r="CR49" s="441"/>
      <c r="CS49" s="441"/>
      <c r="CT49" s="441"/>
      <c r="CU49" s="441"/>
      <c r="CV49" s="441"/>
      <c r="CW49" s="441"/>
      <c r="CX49" s="441"/>
      <c r="CY49" s="441"/>
      <c r="CZ49" s="441"/>
      <c r="DA49" s="441"/>
      <c r="DB49" s="441"/>
      <c r="DC49" s="441"/>
      <c r="DD49" s="441"/>
      <c r="DE49" s="441"/>
      <c r="DF49" s="441"/>
      <c r="DG49" s="441"/>
      <c r="DH49" s="441"/>
      <c r="DI49" s="441"/>
      <c r="DJ49" s="441"/>
      <c r="DK49" s="441"/>
      <c r="DL49" s="441"/>
      <c r="DM49" s="441"/>
      <c r="DN49" s="441"/>
      <c r="DO49" s="441"/>
      <c r="DP49" s="441"/>
      <c r="DQ49" s="441"/>
      <c r="DR49" s="441"/>
      <c r="DS49" s="441"/>
      <c r="DT49" s="441"/>
      <c r="DU49" s="441"/>
      <c r="DV49" s="441"/>
      <c r="DW49" s="441"/>
      <c r="DX49" s="441"/>
      <c r="DY49" s="441"/>
      <c r="DZ49" s="441"/>
      <c r="EA49" s="441"/>
      <c r="EB49" s="441"/>
      <c r="EC49" s="441"/>
      <c r="ED49" s="441"/>
      <c r="EE49" s="441"/>
      <c r="EF49" s="441"/>
      <c r="EG49" s="441"/>
      <c r="EH49" s="441"/>
      <c r="EI49" s="441"/>
      <c r="EJ49" s="441"/>
      <c r="EK49" s="441"/>
      <c r="EL49" s="441"/>
      <c r="EM49" s="441"/>
      <c r="EN49" s="441"/>
      <c r="EO49" s="441"/>
      <c r="EP49" s="441"/>
      <c r="EQ49" s="441"/>
      <c r="ER49" s="441"/>
      <c r="ES49" s="441"/>
      <c r="ET49" s="441"/>
      <c r="EU49" s="441"/>
      <c r="EV49" s="441"/>
      <c r="EW49" s="441"/>
      <c r="EX49" s="441"/>
      <c r="EY49" s="441"/>
      <c r="EZ49" s="441"/>
      <c r="FA49" s="441"/>
      <c r="FB49" s="441"/>
      <c r="FC49" s="441"/>
      <c r="FD49" s="441"/>
      <c r="FE49" s="441"/>
      <c r="FF49" s="441"/>
      <c r="FG49" s="441"/>
      <c r="FH49" s="441"/>
      <c r="FI49" s="441"/>
      <c r="FJ49" s="441"/>
      <c r="FK49" s="441"/>
      <c r="FL49" s="441"/>
      <c r="FM49" s="441"/>
      <c r="FN49" s="441"/>
      <c r="FO49" s="441"/>
      <c r="FP49" s="441"/>
      <c r="FQ49" s="441"/>
      <c r="FR49" s="441"/>
      <c r="FS49" s="441"/>
      <c r="FT49" s="441"/>
      <c r="FU49" s="441"/>
      <c r="FV49" s="441"/>
      <c r="FW49" s="441"/>
      <c r="FX49" s="441"/>
      <c r="FY49" s="441"/>
      <c r="FZ49" s="441"/>
      <c r="GA49" s="441"/>
      <c r="GB49" s="441"/>
      <c r="GC49" s="441"/>
      <c r="GD49" s="441"/>
      <c r="GE49" s="441"/>
      <c r="GF49" s="441"/>
      <c r="GG49" s="441"/>
      <c r="GH49" s="441"/>
      <c r="GI49" s="441"/>
      <c r="GJ49" s="441"/>
      <c r="GK49" s="441"/>
      <c r="GL49" s="441"/>
      <c r="GM49" s="441"/>
      <c r="GN49" s="441"/>
      <c r="GO49" s="441"/>
      <c r="GP49" s="441"/>
      <c r="GQ49" s="441"/>
      <c r="GR49" s="441"/>
      <c r="GS49" s="441"/>
      <c r="GT49" s="441"/>
      <c r="GU49" s="441"/>
      <c r="GV49" s="441"/>
      <c r="GW49" s="441"/>
      <c r="GX49" s="441"/>
      <c r="GY49" s="441"/>
      <c r="GZ49" s="441"/>
      <c r="HA49" s="441"/>
      <c r="HB49" s="441"/>
      <c r="HC49" s="441"/>
      <c r="HD49" s="441"/>
      <c r="HE49" s="441"/>
      <c r="HF49" s="441"/>
      <c r="HG49" s="441"/>
      <c r="HH49" s="441"/>
      <c r="HI49" s="441"/>
      <c r="HJ49" s="441"/>
      <c r="HK49" s="441"/>
      <c r="HL49" s="441"/>
      <c r="HM49" s="441"/>
      <c r="HN49" s="441"/>
      <c r="HO49" s="441"/>
      <c r="HP49" s="441"/>
      <c r="HQ49" s="441"/>
      <c r="HR49" s="441"/>
      <c r="HS49" s="441"/>
      <c r="HT49" s="441"/>
      <c r="HU49" s="441"/>
      <c r="HV49" s="441"/>
      <c r="HW49" s="441"/>
      <c r="HX49" s="441"/>
      <c r="HY49" s="441"/>
      <c r="HZ49" s="441"/>
      <c r="IA49" s="441"/>
      <c r="IB49" s="441"/>
      <c r="IC49" s="441"/>
      <c r="ID49" s="441"/>
      <c r="IE49" s="441"/>
      <c r="IF49" s="441"/>
      <c r="IG49" s="441"/>
      <c r="IH49" s="441"/>
      <c r="II49" s="441"/>
      <c r="IJ49" s="441"/>
      <c r="IK49" s="441"/>
      <c r="IL49" s="441"/>
      <c r="IM49" s="441"/>
      <c r="IN49" s="441"/>
      <c r="IO49" s="441"/>
      <c r="IP49" s="441"/>
      <c r="IQ49" s="441"/>
      <c r="IR49" s="441"/>
      <c r="IS49" s="441"/>
      <c r="IT49" s="441"/>
    </row>
    <row r="50" spans="1:254" x14ac:dyDescent="0.2">
      <c r="C50" s="75"/>
      <c r="D50" s="75"/>
    </row>
    <row r="51" spans="1:254" s="139" customFormat="1" ht="16.5" customHeight="1" x14ac:dyDescent="0.35">
      <c r="A51" s="138" t="s">
        <v>130</v>
      </c>
      <c r="B51" s="138"/>
      <c r="E51" s="138"/>
      <c r="F51" s="138"/>
      <c r="G51" s="138"/>
      <c r="H51" s="138"/>
      <c r="I51" s="138"/>
      <c r="J51" s="440"/>
      <c r="K51" s="440"/>
      <c r="L51" s="440"/>
      <c r="M51" s="440"/>
      <c r="N51" s="440"/>
      <c r="O51" s="440"/>
      <c r="P51" s="440"/>
      <c r="Q51" s="440"/>
      <c r="R51" s="440"/>
      <c r="S51" s="440"/>
      <c r="T51" s="440"/>
      <c r="U51" s="440"/>
      <c r="V51" s="440"/>
      <c r="W51" s="440"/>
      <c r="X51" s="440"/>
      <c r="Y51" s="440"/>
      <c r="Z51" s="440"/>
      <c r="AA51" s="440"/>
      <c r="AB51" s="440"/>
      <c r="AC51" s="440"/>
      <c r="AD51" s="440"/>
      <c r="AE51" s="440"/>
      <c r="AF51" s="440"/>
      <c r="AG51" s="440"/>
      <c r="AH51" s="440"/>
      <c r="AI51" s="440"/>
      <c r="AJ51" s="440"/>
      <c r="AK51" s="440"/>
      <c r="AL51" s="440"/>
      <c r="AM51" s="440"/>
      <c r="AN51" s="440"/>
      <c r="AO51" s="440"/>
      <c r="AP51" s="440"/>
      <c r="AQ51" s="440"/>
      <c r="AR51" s="440"/>
      <c r="AS51" s="440"/>
      <c r="AT51" s="440"/>
      <c r="AU51" s="440"/>
      <c r="AV51" s="440"/>
      <c r="AW51" s="440"/>
      <c r="AX51" s="440"/>
      <c r="AY51" s="440"/>
      <c r="AZ51" s="440"/>
      <c r="BA51" s="440"/>
      <c r="BB51" s="440"/>
      <c r="BC51" s="440"/>
      <c r="BD51" s="440"/>
      <c r="BE51" s="440"/>
      <c r="BF51" s="440"/>
      <c r="BG51" s="440"/>
      <c r="BH51" s="440"/>
      <c r="BI51" s="440"/>
      <c r="BJ51" s="440"/>
      <c r="BK51" s="440"/>
      <c r="BL51" s="440"/>
      <c r="BM51" s="440"/>
      <c r="BN51" s="440"/>
      <c r="BO51" s="440"/>
      <c r="BP51" s="440"/>
      <c r="BQ51" s="440"/>
      <c r="BR51" s="440"/>
      <c r="BS51" s="440"/>
      <c r="BT51" s="440"/>
      <c r="BU51" s="440"/>
      <c r="BV51" s="440"/>
      <c r="BW51" s="440"/>
      <c r="BX51" s="440"/>
      <c r="BY51" s="440"/>
      <c r="BZ51" s="440"/>
      <c r="CA51" s="440"/>
      <c r="CB51" s="440"/>
      <c r="CC51" s="440"/>
      <c r="CD51" s="440"/>
      <c r="CE51" s="440"/>
      <c r="CF51" s="440"/>
      <c r="CG51" s="440"/>
      <c r="CH51" s="440"/>
      <c r="CI51" s="440"/>
      <c r="CJ51" s="440"/>
      <c r="CK51" s="440"/>
      <c r="CL51" s="440"/>
      <c r="CM51" s="440"/>
      <c r="CN51" s="440"/>
      <c r="CO51" s="440"/>
      <c r="CP51" s="440"/>
      <c r="CQ51" s="440"/>
      <c r="CR51" s="440"/>
      <c r="CS51" s="440"/>
      <c r="CT51" s="440"/>
      <c r="CU51" s="440"/>
      <c r="CV51" s="440"/>
      <c r="CW51" s="440"/>
      <c r="CX51" s="440"/>
      <c r="CY51" s="440"/>
      <c r="CZ51" s="440"/>
      <c r="DA51" s="440"/>
      <c r="DB51" s="440"/>
      <c r="DC51" s="440"/>
      <c r="DD51" s="440"/>
      <c r="DE51" s="440"/>
      <c r="DF51" s="440"/>
      <c r="DG51" s="440"/>
      <c r="DH51" s="440"/>
      <c r="DI51" s="440"/>
      <c r="DJ51" s="440"/>
      <c r="DK51" s="440"/>
      <c r="DL51" s="440"/>
      <c r="DM51" s="440"/>
      <c r="DN51" s="440"/>
      <c r="DO51" s="440"/>
      <c r="DP51" s="440"/>
      <c r="DQ51" s="440"/>
      <c r="DR51" s="440"/>
      <c r="DS51" s="440"/>
      <c r="DT51" s="440"/>
      <c r="DU51" s="440"/>
      <c r="DV51" s="440"/>
      <c r="DW51" s="440"/>
      <c r="DX51" s="440"/>
      <c r="DY51" s="440"/>
      <c r="DZ51" s="440"/>
      <c r="EA51" s="440"/>
      <c r="EB51" s="440"/>
      <c r="EC51" s="440"/>
      <c r="ED51" s="440"/>
      <c r="EE51" s="440"/>
      <c r="EF51" s="440"/>
      <c r="EG51" s="440"/>
      <c r="EH51" s="440"/>
      <c r="EI51" s="440"/>
      <c r="EJ51" s="440"/>
      <c r="EK51" s="440"/>
      <c r="EL51" s="440"/>
      <c r="EM51" s="440"/>
      <c r="EN51" s="440"/>
      <c r="EO51" s="440"/>
      <c r="EP51" s="440"/>
      <c r="EQ51" s="440"/>
      <c r="ER51" s="440"/>
      <c r="ES51" s="440"/>
      <c r="ET51" s="440"/>
      <c r="EU51" s="440"/>
      <c r="EV51" s="440"/>
      <c r="EW51" s="440"/>
      <c r="EX51" s="440"/>
      <c r="EY51" s="440"/>
      <c r="EZ51" s="440"/>
      <c r="FA51" s="440"/>
      <c r="FB51" s="440"/>
      <c r="FC51" s="440"/>
      <c r="FD51" s="440"/>
      <c r="FE51" s="440"/>
      <c r="FF51" s="440"/>
      <c r="FG51" s="440"/>
      <c r="FH51" s="440"/>
      <c r="FI51" s="440"/>
      <c r="FJ51" s="440"/>
      <c r="FK51" s="440"/>
      <c r="FL51" s="440"/>
      <c r="FM51" s="440"/>
      <c r="FN51" s="440"/>
      <c r="FO51" s="440"/>
      <c r="FP51" s="440"/>
      <c r="FQ51" s="440"/>
      <c r="FR51" s="440"/>
      <c r="FS51" s="440"/>
      <c r="FT51" s="440"/>
      <c r="FU51" s="440"/>
      <c r="FV51" s="440"/>
      <c r="FW51" s="440"/>
      <c r="FX51" s="440"/>
      <c r="FY51" s="440"/>
      <c r="FZ51" s="440"/>
      <c r="GA51" s="440"/>
      <c r="GB51" s="440"/>
      <c r="GC51" s="440"/>
      <c r="GD51" s="440"/>
      <c r="GE51" s="440"/>
      <c r="GF51" s="440"/>
      <c r="GG51" s="440"/>
      <c r="GH51" s="440"/>
      <c r="GI51" s="440"/>
      <c r="GJ51" s="440"/>
      <c r="GK51" s="440"/>
      <c r="GL51" s="440"/>
      <c r="GM51" s="440"/>
      <c r="GN51" s="440"/>
      <c r="GO51" s="440"/>
      <c r="GP51" s="440"/>
      <c r="GQ51" s="440"/>
      <c r="GR51" s="440"/>
      <c r="GS51" s="440"/>
      <c r="GT51" s="440"/>
      <c r="GU51" s="440"/>
      <c r="GV51" s="440"/>
      <c r="GW51" s="440"/>
      <c r="GX51" s="440"/>
      <c r="GY51" s="440"/>
      <c r="GZ51" s="440"/>
      <c r="HA51" s="440"/>
      <c r="HB51" s="440"/>
      <c r="HC51" s="440"/>
      <c r="HD51" s="440"/>
      <c r="HE51" s="440"/>
      <c r="HF51" s="440"/>
      <c r="HG51" s="440"/>
      <c r="HH51" s="440"/>
      <c r="HI51" s="440"/>
      <c r="HJ51" s="440"/>
      <c r="HK51" s="440"/>
      <c r="HL51" s="440"/>
      <c r="HM51" s="440"/>
      <c r="HN51" s="440"/>
      <c r="HO51" s="440"/>
      <c r="HP51" s="440"/>
      <c r="HQ51" s="440"/>
      <c r="HR51" s="440"/>
      <c r="HS51" s="440"/>
      <c r="HT51" s="440"/>
      <c r="HU51" s="440"/>
      <c r="HV51" s="440"/>
      <c r="HW51" s="440"/>
      <c r="HX51" s="440"/>
      <c r="HY51" s="440"/>
      <c r="HZ51" s="440"/>
      <c r="IA51" s="440"/>
      <c r="IB51" s="440"/>
      <c r="IC51" s="440"/>
      <c r="ID51" s="440"/>
      <c r="IE51" s="440"/>
      <c r="IF51" s="440"/>
      <c r="IG51" s="440"/>
      <c r="IH51" s="440"/>
      <c r="II51" s="440"/>
      <c r="IJ51" s="440"/>
      <c r="IK51" s="440"/>
      <c r="IL51" s="440"/>
      <c r="IM51" s="440"/>
      <c r="IN51" s="440"/>
      <c r="IO51" s="440"/>
      <c r="IP51" s="440"/>
      <c r="IQ51" s="440"/>
      <c r="IR51" s="440"/>
      <c r="IS51" s="440"/>
      <c r="IT51" s="440"/>
    </row>
    <row r="52" spans="1:254" ht="12.75" customHeight="1" thickBot="1" x14ac:dyDescent="0.25"/>
    <row r="53" spans="1:254" x14ac:dyDescent="0.2">
      <c r="A53" s="76" t="s">
        <v>131</v>
      </c>
      <c r="B53" s="77">
        <v>1.9</v>
      </c>
      <c r="C53" s="78">
        <f ca="1">ROUNDUP($C$49*B53,0)</f>
        <v>1866633</v>
      </c>
      <c r="D53" s="79">
        <f ca="1">ROUNDUP(D49*B53,0)</f>
        <v>2239960</v>
      </c>
      <c r="E53" s="42" t="s">
        <v>132</v>
      </c>
      <c r="K53" s="80"/>
    </row>
    <row r="54" spans="1:254" x14ac:dyDescent="0.2">
      <c r="A54" s="81"/>
      <c r="B54" s="82" t="s">
        <v>133</v>
      </c>
      <c r="C54" s="71"/>
      <c r="D54" s="83"/>
      <c r="E54" s="84"/>
    </row>
    <row r="55" spans="1:254" x14ac:dyDescent="0.2">
      <c r="A55" s="85" t="s">
        <v>134</v>
      </c>
      <c r="B55" s="86"/>
      <c r="C55" s="74">
        <f>D55/120*100</f>
        <v>0</v>
      </c>
      <c r="D55" s="87">
        <v>0</v>
      </c>
    </row>
    <row r="56" spans="1:254" x14ac:dyDescent="0.2">
      <c r="A56" s="81"/>
      <c r="B56" s="82"/>
      <c r="C56" s="71"/>
      <c r="D56" s="83"/>
      <c r="E56" s="84"/>
    </row>
    <row r="57" spans="1:254" ht="25.5" x14ac:dyDescent="0.2">
      <c r="A57" s="88" t="s">
        <v>135</v>
      </c>
      <c r="B57" s="82"/>
      <c r="C57" s="89">
        <f ca="1">C53+C55</f>
        <v>1866633</v>
      </c>
      <c r="D57" s="83">
        <f ca="1">D53+D55</f>
        <v>2239960</v>
      </c>
      <c r="E57" s="84"/>
    </row>
    <row r="58" spans="1:254" ht="13.5" thickBot="1" x14ac:dyDescent="0.25">
      <c r="A58" s="90" t="s">
        <v>136</v>
      </c>
      <c r="B58" s="91"/>
      <c r="C58" s="92">
        <f ca="1">C57-C55-C49</f>
        <v>884195</v>
      </c>
      <c r="D58" s="93">
        <f ca="1">D57-D55-D49</f>
        <v>1061034</v>
      </c>
      <c r="E58" s="84"/>
    </row>
    <row r="59" spans="1:254" ht="13.5" thickBot="1" x14ac:dyDescent="0.25">
      <c r="E59" s="80"/>
    </row>
    <row r="60" spans="1:254" ht="38.25" x14ac:dyDescent="0.2">
      <c r="A60" s="76" t="s">
        <v>137</v>
      </c>
      <c r="B60" s="94">
        <v>0</v>
      </c>
      <c r="C60" s="95">
        <f ca="1">C62*B60</f>
        <v>0</v>
      </c>
      <c r="D60" s="96">
        <f ca="1">D62*B60</f>
        <v>0</v>
      </c>
    </row>
    <row r="61" spans="1:254" ht="25.5" hidden="1" x14ac:dyDescent="0.2">
      <c r="A61" s="88" t="s">
        <v>138</v>
      </c>
      <c r="B61" s="97">
        <v>0.25</v>
      </c>
      <c r="C61" s="98">
        <f ca="1">C60*B61</f>
        <v>0</v>
      </c>
      <c r="D61" s="99">
        <f ca="1">D60*B61</f>
        <v>0</v>
      </c>
      <c r="E61" s="80"/>
    </row>
    <row r="62" spans="1:254" ht="26.25" thickBot="1" x14ac:dyDescent="0.25">
      <c r="A62" s="10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01"/>
      <c r="C62" s="92">
        <f ca="1">C57/(1-B60*(1+B61))</f>
        <v>1866633</v>
      </c>
      <c r="D62" s="102">
        <f ca="1">D57/(1-B60*(1+B61))</f>
        <v>2239960</v>
      </c>
      <c r="E62" s="80"/>
      <c r="H62" s="80"/>
    </row>
    <row r="63" spans="1:254" x14ac:dyDescent="0.2">
      <c r="C63" s="80"/>
      <c r="D63" s="80"/>
    </row>
    <row r="64" spans="1:254" s="142" customFormat="1" ht="16.5" customHeight="1" x14ac:dyDescent="0.35">
      <c r="A64" s="140" t="s">
        <v>139</v>
      </c>
      <c r="B64" s="140"/>
      <c r="C64" s="141">
        <f ca="1">C62</f>
        <v>1866633</v>
      </c>
      <c r="D64" s="141">
        <f ca="1">D62</f>
        <v>2239960</v>
      </c>
      <c r="F64" s="140"/>
      <c r="G64" s="140"/>
      <c r="H64" s="140"/>
      <c r="I64" s="140"/>
      <c r="J64" s="442"/>
      <c r="K64" s="442"/>
      <c r="L64" s="442"/>
      <c r="M64" s="442"/>
      <c r="N64" s="442"/>
      <c r="O64" s="442"/>
      <c r="P64" s="442"/>
      <c r="Q64" s="442"/>
      <c r="R64" s="442"/>
      <c r="S64" s="442"/>
      <c r="T64" s="442"/>
      <c r="U64" s="442"/>
      <c r="V64" s="442"/>
      <c r="W64" s="442"/>
      <c r="X64" s="442"/>
      <c r="Y64" s="442"/>
      <c r="Z64" s="442"/>
      <c r="AA64" s="442"/>
      <c r="AB64" s="442"/>
      <c r="AC64" s="442"/>
      <c r="AD64" s="442"/>
      <c r="AE64" s="442"/>
      <c r="AF64" s="442"/>
      <c r="AG64" s="442"/>
      <c r="AH64" s="442"/>
      <c r="AI64" s="442"/>
      <c r="AJ64" s="442"/>
      <c r="AK64" s="442"/>
      <c r="AL64" s="442"/>
      <c r="AM64" s="442"/>
      <c r="AN64" s="442"/>
      <c r="AO64" s="442"/>
      <c r="AP64" s="442"/>
      <c r="AQ64" s="442"/>
      <c r="AR64" s="442"/>
      <c r="AS64" s="442"/>
      <c r="AT64" s="442"/>
      <c r="AU64" s="442"/>
      <c r="AV64" s="442"/>
      <c r="AW64" s="442"/>
      <c r="AX64" s="442"/>
      <c r="AY64" s="442"/>
      <c r="AZ64" s="442"/>
      <c r="BA64" s="442"/>
      <c r="BB64" s="442"/>
      <c r="BC64" s="442"/>
      <c r="BD64" s="442"/>
      <c r="BE64" s="442"/>
      <c r="BF64" s="442"/>
      <c r="BG64" s="442"/>
      <c r="BH64" s="442"/>
      <c r="BI64" s="442"/>
      <c r="BJ64" s="442"/>
      <c r="BK64" s="442"/>
      <c r="BL64" s="442"/>
      <c r="BM64" s="442"/>
      <c r="BN64" s="442"/>
      <c r="BO64" s="442"/>
      <c r="BP64" s="442"/>
      <c r="BQ64" s="442"/>
      <c r="BR64" s="442"/>
      <c r="BS64" s="442"/>
      <c r="BT64" s="442"/>
      <c r="BU64" s="442"/>
      <c r="BV64" s="442"/>
      <c r="BW64" s="442"/>
      <c r="BX64" s="442"/>
      <c r="BY64" s="442"/>
      <c r="BZ64" s="442"/>
      <c r="CA64" s="442"/>
      <c r="CB64" s="442"/>
      <c r="CC64" s="442"/>
      <c r="CD64" s="442"/>
      <c r="CE64" s="442"/>
      <c r="CF64" s="442"/>
      <c r="CG64" s="442"/>
      <c r="CH64" s="442"/>
      <c r="CI64" s="442"/>
      <c r="CJ64" s="442"/>
      <c r="CK64" s="442"/>
      <c r="CL64" s="442"/>
      <c r="CM64" s="442"/>
      <c r="CN64" s="442"/>
      <c r="CO64" s="442"/>
      <c r="CP64" s="442"/>
      <c r="CQ64" s="442"/>
      <c r="CR64" s="442"/>
      <c r="CS64" s="442"/>
      <c r="CT64" s="442"/>
      <c r="CU64" s="442"/>
      <c r="CV64" s="442"/>
      <c r="CW64" s="442"/>
      <c r="CX64" s="442"/>
      <c r="CY64" s="442"/>
      <c r="CZ64" s="442"/>
      <c r="DA64" s="442"/>
      <c r="DB64" s="442"/>
      <c r="DC64" s="442"/>
      <c r="DD64" s="442"/>
      <c r="DE64" s="442"/>
      <c r="DF64" s="442"/>
      <c r="DG64" s="442"/>
      <c r="DH64" s="442"/>
      <c r="DI64" s="442"/>
      <c r="DJ64" s="442"/>
      <c r="DK64" s="442"/>
      <c r="DL64" s="442"/>
      <c r="DM64" s="442"/>
      <c r="DN64" s="442"/>
      <c r="DO64" s="442"/>
      <c r="DP64" s="442"/>
      <c r="DQ64" s="442"/>
      <c r="DR64" s="442"/>
      <c r="DS64" s="442"/>
      <c r="DT64" s="442"/>
      <c r="DU64" s="442"/>
      <c r="DV64" s="442"/>
      <c r="DW64" s="442"/>
      <c r="DX64" s="442"/>
      <c r="DY64" s="442"/>
      <c r="DZ64" s="442"/>
      <c r="EA64" s="442"/>
      <c r="EB64" s="442"/>
      <c r="EC64" s="442"/>
      <c r="ED64" s="442"/>
      <c r="EE64" s="442"/>
      <c r="EF64" s="442"/>
      <c r="EG64" s="442"/>
      <c r="EH64" s="442"/>
      <c r="EI64" s="442"/>
      <c r="EJ64" s="442"/>
      <c r="EK64" s="442"/>
      <c r="EL64" s="442"/>
      <c r="EM64" s="442"/>
      <c r="EN64" s="442"/>
      <c r="EO64" s="442"/>
      <c r="EP64" s="442"/>
      <c r="EQ64" s="442"/>
      <c r="ER64" s="442"/>
      <c r="ES64" s="442"/>
      <c r="ET64" s="442"/>
      <c r="EU64" s="442"/>
      <c r="EV64" s="442"/>
      <c r="EW64" s="442"/>
      <c r="EX64" s="442"/>
      <c r="EY64" s="442"/>
      <c r="EZ64" s="442"/>
      <c r="FA64" s="442"/>
      <c r="FB64" s="442"/>
      <c r="FC64" s="442"/>
      <c r="FD64" s="442"/>
      <c r="FE64" s="442"/>
      <c r="FF64" s="442"/>
      <c r="FG64" s="442"/>
      <c r="FH64" s="442"/>
      <c r="FI64" s="442"/>
      <c r="FJ64" s="442"/>
      <c r="FK64" s="442"/>
      <c r="FL64" s="442"/>
      <c r="FM64" s="442"/>
      <c r="FN64" s="442"/>
      <c r="FO64" s="442"/>
      <c r="FP64" s="442"/>
      <c r="FQ64" s="442"/>
      <c r="FR64" s="442"/>
      <c r="FS64" s="442"/>
      <c r="FT64" s="442"/>
      <c r="FU64" s="442"/>
      <c r="FV64" s="442"/>
      <c r="FW64" s="442"/>
      <c r="FX64" s="442"/>
      <c r="FY64" s="442"/>
      <c r="FZ64" s="442"/>
      <c r="GA64" s="442"/>
      <c r="GB64" s="442"/>
      <c r="GC64" s="442"/>
      <c r="GD64" s="442"/>
      <c r="GE64" s="442"/>
      <c r="GF64" s="442"/>
      <c r="GG64" s="442"/>
      <c r="GH64" s="442"/>
      <c r="GI64" s="442"/>
      <c r="GJ64" s="442"/>
      <c r="GK64" s="442"/>
      <c r="GL64" s="442"/>
      <c r="GM64" s="442"/>
      <c r="GN64" s="442"/>
      <c r="GO64" s="442"/>
      <c r="GP64" s="442"/>
      <c r="GQ64" s="442"/>
      <c r="GR64" s="442"/>
      <c r="GS64" s="442"/>
      <c r="GT64" s="442"/>
      <c r="GU64" s="442"/>
      <c r="GV64" s="442"/>
      <c r="GW64" s="442"/>
      <c r="GX64" s="442"/>
      <c r="GY64" s="442"/>
      <c r="GZ64" s="442"/>
      <c r="HA64" s="442"/>
      <c r="HB64" s="442"/>
      <c r="HC64" s="442"/>
      <c r="HD64" s="442"/>
      <c r="HE64" s="442"/>
      <c r="HF64" s="442"/>
      <c r="HG64" s="442"/>
      <c r="HH64" s="442"/>
      <c r="HI64" s="442"/>
      <c r="HJ64" s="442"/>
      <c r="HK64" s="442"/>
      <c r="HL64" s="442"/>
      <c r="HM64" s="442"/>
      <c r="HN64" s="442"/>
      <c r="HO64" s="442"/>
      <c r="HP64" s="442"/>
      <c r="HQ64" s="442"/>
      <c r="HR64" s="442"/>
      <c r="HS64" s="442"/>
      <c r="HT64" s="442"/>
      <c r="HU64" s="442"/>
      <c r="HV64" s="442"/>
      <c r="HW64" s="442"/>
      <c r="HX64" s="442"/>
      <c r="HY64" s="442"/>
      <c r="HZ64" s="442"/>
      <c r="IA64" s="442"/>
      <c r="IB64" s="442"/>
      <c r="IC64" s="442"/>
      <c r="ID64" s="442"/>
      <c r="IE64" s="442"/>
      <c r="IF64" s="442"/>
      <c r="IG64" s="442"/>
      <c r="IH64" s="442"/>
      <c r="II64" s="442"/>
      <c r="IJ64" s="442"/>
      <c r="IK64" s="442"/>
      <c r="IL64" s="442"/>
      <c r="IM64" s="442"/>
      <c r="IN64" s="442"/>
      <c r="IO64" s="442"/>
      <c r="IP64" s="442"/>
      <c r="IQ64" s="442"/>
      <c r="IR64" s="442"/>
      <c r="IS64" s="442"/>
      <c r="IT64" s="442"/>
    </row>
  </sheetData>
  <dataConsolidate/>
  <mergeCells count="173">
    <mergeCell ref="J64:T64"/>
    <mergeCell ref="U64:AE64"/>
    <mergeCell ref="AF64:AP64"/>
    <mergeCell ref="AQ64:BA64"/>
    <mergeCell ref="BB64:BL64"/>
    <mergeCell ref="BM64:BW64"/>
    <mergeCell ref="GO64:GY64"/>
    <mergeCell ref="BX64:CH64"/>
    <mergeCell ref="CI64:CS64"/>
    <mergeCell ref="CT64:DD64"/>
    <mergeCell ref="DE64:DO64"/>
    <mergeCell ref="DP64:DZ64"/>
    <mergeCell ref="EA64:EK64"/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Z49:HJ49"/>
    <mergeCell ref="GD49:GN49"/>
    <mergeCell ref="GO49:GY49"/>
    <mergeCell ref="IG51:IQ51"/>
    <mergeCell ref="IR51:IT51"/>
    <mergeCell ref="EA51:EK51"/>
    <mergeCell ref="EL51:EV51"/>
    <mergeCell ref="EW51:FG51"/>
    <mergeCell ref="FH51:FR51"/>
    <mergeCell ref="FS51:GC51"/>
    <mergeCell ref="GD51:GN51"/>
    <mergeCell ref="HK49:HU49"/>
    <mergeCell ref="HV49:IF49"/>
    <mergeCell ref="IG49:IQ49"/>
    <mergeCell ref="IR49:IT49"/>
    <mergeCell ref="GO51:GY51"/>
    <mergeCell ref="GZ51:HJ51"/>
    <mergeCell ref="HK51:HU51"/>
    <mergeCell ref="HV51:IF51"/>
    <mergeCell ref="EW49:FG49"/>
    <mergeCell ref="FH49:FR49"/>
    <mergeCell ref="FS49:GC49"/>
    <mergeCell ref="EA49:EK49"/>
    <mergeCell ref="EL49:EV49"/>
    <mergeCell ref="BX51:CH51"/>
    <mergeCell ref="CI51:CS51"/>
    <mergeCell ref="CT51:DD51"/>
    <mergeCell ref="DE51:DO51"/>
    <mergeCell ref="DP51:DZ51"/>
    <mergeCell ref="J49:T49"/>
    <mergeCell ref="U49:AE49"/>
    <mergeCell ref="AF49:AP49"/>
    <mergeCell ref="AQ49:BA49"/>
    <mergeCell ref="BB49:BL49"/>
    <mergeCell ref="BM51:BW51"/>
    <mergeCell ref="BX49:CH49"/>
    <mergeCell ref="CI49:CS49"/>
    <mergeCell ref="CT49:DD49"/>
    <mergeCell ref="DE49:DO49"/>
    <mergeCell ref="DP49:DZ49"/>
    <mergeCell ref="J51:T51"/>
    <mergeCell ref="U51:AE51"/>
    <mergeCell ref="AF51:AP51"/>
    <mergeCell ref="AQ51:BA51"/>
    <mergeCell ref="BB51:BL51"/>
    <mergeCell ref="BM49:BW49"/>
    <mergeCell ref="GZ28:HJ28"/>
    <mergeCell ref="IG36:IQ36"/>
    <mergeCell ref="IR36:IT36"/>
    <mergeCell ref="EA36:EK36"/>
    <mergeCell ref="EL36:EV36"/>
    <mergeCell ref="EW36:FG36"/>
    <mergeCell ref="FH36:FR36"/>
    <mergeCell ref="FS36:GC36"/>
    <mergeCell ref="GD36:GN36"/>
    <mergeCell ref="HK28:HU28"/>
    <mergeCell ref="HV28:IF28"/>
    <mergeCell ref="IG28:IQ28"/>
    <mergeCell ref="IR28:IT28"/>
    <mergeCell ref="GO36:GY36"/>
    <mergeCell ref="GZ36:HJ36"/>
    <mergeCell ref="HK36:HU36"/>
    <mergeCell ref="HV36:IF36"/>
    <mergeCell ref="FS28:GC28"/>
    <mergeCell ref="GD28:GN28"/>
    <mergeCell ref="GO28:GY28"/>
    <mergeCell ref="EA28:EK28"/>
    <mergeCell ref="EL28:EV28"/>
    <mergeCell ref="EW28:FG28"/>
    <mergeCell ref="FH28:FR28"/>
    <mergeCell ref="BX36:CH36"/>
    <mergeCell ref="CI36:CS36"/>
    <mergeCell ref="CT36:DD36"/>
    <mergeCell ref="DE36:DO36"/>
    <mergeCell ref="DP36:DZ36"/>
    <mergeCell ref="J28:T28"/>
    <mergeCell ref="U28:AE28"/>
    <mergeCell ref="AF28:AP28"/>
    <mergeCell ref="AQ28:BA28"/>
    <mergeCell ref="BB28:BL28"/>
    <mergeCell ref="BM36:BW36"/>
    <mergeCell ref="BX28:CH28"/>
    <mergeCell ref="CI28:CS28"/>
    <mergeCell ref="CT28:DD28"/>
    <mergeCell ref="DE28:DO28"/>
    <mergeCell ref="DP28:DZ28"/>
    <mergeCell ref="J36:T36"/>
    <mergeCell ref="U36:AE36"/>
    <mergeCell ref="AF36:AP36"/>
    <mergeCell ref="AQ36:BA36"/>
    <mergeCell ref="BB36:BL36"/>
    <mergeCell ref="BM28:BW28"/>
    <mergeCell ref="GD13:GN13"/>
    <mergeCell ref="GO13:GY13"/>
    <mergeCell ref="BX13:CH13"/>
    <mergeCell ref="CI13:CS13"/>
    <mergeCell ref="CT13:DD13"/>
    <mergeCell ref="DE13:DO13"/>
    <mergeCell ref="DP13:DZ13"/>
    <mergeCell ref="EA13:EK13"/>
    <mergeCell ref="A23:A25"/>
    <mergeCell ref="B23:C23"/>
    <mergeCell ref="B20:C20"/>
    <mergeCell ref="B24:C24"/>
    <mergeCell ref="B25:C25"/>
    <mergeCell ref="B21:C21"/>
    <mergeCell ref="A20:A22"/>
    <mergeCell ref="B22:C22"/>
    <mergeCell ref="J13:T13"/>
    <mergeCell ref="A18:A19"/>
    <mergeCell ref="B18:C18"/>
    <mergeCell ref="B19:C19"/>
    <mergeCell ref="J3:L8"/>
    <mergeCell ref="EL1:EV1"/>
    <mergeCell ref="EW1:FG1"/>
    <mergeCell ref="FH1:FR1"/>
    <mergeCell ref="FS1:GC1"/>
    <mergeCell ref="BB13:BL13"/>
    <mergeCell ref="BM13:BW13"/>
    <mergeCell ref="EL13:EV13"/>
    <mergeCell ref="EW13:FG13"/>
    <mergeCell ref="FH13:FR13"/>
    <mergeCell ref="J1:T1"/>
    <mergeCell ref="U1:AE1"/>
    <mergeCell ref="AF1:AP1"/>
    <mergeCell ref="AQ1:BA1"/>
    <mergeCell ref="BB1:BL1"/>
    <mergeCell ref="BM1:BW1"/>
    <mergeCell ref="U13:AE13"/>
    <mergeCell ref="AF13:AP13"/>
    <mergeCell ref="AQ13:BA13"/>
    <mergeCell ref="FS13:GC13"/>
    <mergeCell ref="GD1:GN1"/>
    <mergeCell ref="GO1:GY1"/>
    <mergeCell ref="BX1:CH1"/>
    <mergeCell ref="CI1:CS1"/>
    <mergeCell ref="CT1:DD1"/>
    <mergeCell ref="DE1:DO1"/>
    <mergeCell ref="DP1:DZ1"/>
    <mergeCell ref="EA1:EK1"/>
    <mergeCell ref="GZ1:HJ1"/>
    <mergeCell ref="HK1:HU1"/>
    <mergeCell ref="HV1:IF1"/>
    <mergeCell ref="IG1:IQ1"/>
    <mergeCell ref="IR1:IT1"/>
    <mergeCell ref="GZ13:HJ13"/>
    <mergeCell ref="HK13:HU13"/>
    <mergeCell ref="HV13:IF13"/>
    <mergeCell ref="IG13:IQ13"/>
    <mergeCell ref="IR13:IT13"/>
  </mergeCells>
  <dataValidations count="3">
    <dataValidation type="list" allowBlank="1" showInputMessage="1" showErrorMessage="1" sqref="D24">
      <formula1>$P$7:$P$8</formula1>
    </dataValidation>
    <dataValidation type="list" allowBlank="1" showInputMessage="1" showErrorMessage="1" sqref="D23">
      <formula1>$Q$6:$Q$9</formula1>
    </dataValidation>
    <dataValidation type="list" allowBlank="1" showInputMessage="1" showErrorMessage="1" sqref="D25">
      <formula1>$O$7:$O$9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N16"/>
  <sheetViews>
    <sheetView workbookViewId="0">
      <selection activeCell="F17" sqref="F17"/>
    </sheetView>
  </sheetViews>
  <sheetFormatPr defaultRowHeight="15" x14ac:dyDescent="0.25"/>
  <cols>
    <col min="1" max="1" width="61.7109375" style="308" customWidth="1"/>
    <col min="2" max="2" width="13" style="308" customWidth="1"/>
    <col min="3" max="3" width="19.28515625" style="308" customWidth="1"/>
    <col min="4" max="4" width="24.140625" style="308" customWidth="1"/>
    <col min="5" max="5" width="17.5703125" style="308" customWidth="1"/>
    <col min="6" max="7" width="16.85546875" style="308" customWidth="1"/>
    <col min="8" max="8" width="23.7109375" style="308" customWidth="1"/>
    <col min="9" max="9" width="15.140625" style="308" customWidth="1"/>
    <col min="10" max="10" width="18.28515625" style="308" customWidth="1"/>
    <col min="11" max="11" width="21" style="308" customWidth="1"/>
    <col min="12" max="12" width="24" style="308" customWidth="1"/>
    <col min="13" max="13" width="16.28515625" style="308" customWidth="1"/>
    <col min="14" max="14" width="17.28515625" style="308" customWidth="1"/>
    <col min="15" max="16384" width="9.140625" style="308"/>
  </cols>
  <sheetData>
    <row r="1" spans="1:14" ht="15.75" customHeight="1" x14ac:dyDescent="0.25">
      <c r="A1" s="326" t="s">
        <v>40</v>
      </c>
      <c r="B1" s="385">
        <f>Цена!E16</f>
        <v>6</v>
      </c>
    </row>
    <row r="2" spans="1:14" ht="15.75" customHeight="1" x14ac:dyDescent="0.25">
      <c r="A2" s="326" t="s">
        <v>154</v>
      </c>
      <c r="B2" s="386">
        <f>Цена!B16</f>
        <v>1000</v>
      </c>
    </row>
    <row r="3" spans="1:14" ht="15.75" customHeight="1" x14ac:dyDescent="0.25">
      <c r="A3" s="326" t="s">
        <v>356</v>
      </c>
      <c r="B3" s="386">
        <f>Цена!C16</f>
        <v>1300</v>
      </c>
      <c r="D3" s="443" t="s">
        <v>559</v>
      </c>
      <c r="E3" s="443"/>
      <c r="F3" s="443"/>
      <c r="G3" s="443"/>
      <c r="H3" s="443"/>
      <c r="J3" s="444" t="s">
        <v>358</v>
      </c>
      <c r="K3" s="445"/>
      <c r="L3" s="445"/>
      <c r="M3" s="445"/>
      <c r="N3" s="446"/>
    </row>
    <row r="4" spans="1:14" ht="27.75" customHeight="1" x14ac:dyDescent="0.25">
      <c r="A4" s="326" t="s">
        <v>357</v>
      </c>
      <c r="B4" s="325">
        <v>500</v>
      </c>
      <c r="D4" s="328" t="s">
        <v>374</v>
      </c>
      <c r="E4" s="328" t="s">
        <v>560</v>
      </c>
      <c r="F4" s="328" t="s">
        <v>375</v>
      </c>
      <c r="G4" s="328" t="s">
        <v>376</v>
      </c>
      <c r="H4" s="328" t="s">
        <v>561</v>
      </c>
      <c r="J4" s="328" t="s">
        <v>360</v>
      </c>
      <c r="K4" s="328" t="s">
        <v>361</v>
      </c>
      <c r="L4" s="328" t="s">
        <v>362</v>
      </c>
      <c r="M4" s="328" t="s">
        <v>363</v>
      </c>
      <c r="N4" s="328" t="s">
        <v>364</v>
      </c>
    </row>
    <row r="5" spans="1:14" ht="15.75" customHeight="1" x14ac:dyDescent="0.25">
      <c r="A5" s="326" t="s">
        <v>582</v>
      </c>
      <c r="B5" s="325">
        <f>B3-B4</f>
        <v>800</v>
      </c>
      <c r="D5" s="324">
        <v>0</v>
      </c>
      <c r="E5" s="324">
        <f ca="1">$B$5-H5</f>
        <v>698</v>
      </c>
      <c r="F5" s="333">
        <f ca="1">B12</f>
        <v>0.27</v>
      </c>
      <c r="G5" s="333">
        <f ca="1">ROUNDUP($B$15/3600/F5,3)</f>
        <v>1</v>
      </c>
      <c r="H5" s="324">
        <f ca="1">ROUNDUP(1/2/9.81/$B$16^2*SIN(RADIANS($B$9))*(G5^2-$B$13^2)*1000,0)</f>
        <v>102</v>
      </c>
      <c r="J5" s="329">
        <v>2</v>
      </c>
      <c r="K5" s="330">
        <v>1.5</v>
      </c>
      <c r="L5" s="330">
        <v>2</v>
      </c>
      <c r="M5" s="331">
        <v>0.22700000000000001</v>
      </c>
      <c r="N5" s="332">
        <v>0.49</v>
      </c>
    </row>
    <row r="6" spans="1:14" s="327" customFormat="1" ht="15.75" customHeight="1" x14ac:dyDescent="0.25">
      <c r="A6" s="326" t="s">
        <v>359</v>
      </c>
      <c r="B6" s="326">
        <v>50</v>
      </c>
      <c r="D6" s="324">
        <v>5</v>
      </c>
      <c r="E6" s="324">
        <f t="shared" ref="E6:E14" ca="1" si="0">$B$5-H6</f>
        <v>689</v>
      </c>
      <c r="F6" s="324">
        <f t="shared" ref="F6:F14" ca="1" si="1">MROUND($F$5*(1-D6/100),0.01)</f>
        <v>0.26</v>
      </c>
      <c r="G6" s="333">
        <f t="shared" ref="G6:G14" ca="1" si="2">ROUNDUP($B$15/3600/F6,3)</f>
        <v>1.0389999999999999</v>
      </c>
      <c r="H6" s="324">
        <f t="shared" ref="H6:H14" ca="1" si="3">ROUNDUP(1/2/9.81/$B$16^2*SIN(RADIANS($B$9))*(G6^2-$B$13^2)*1000,0)</f>
        <v>111</v>
      </c>
      <c r="J6" s="329">
        <v>3</v>
      </c>
      <c r="K6" s="330">
        <v>1.5</v>
      </c>
      <c r="L6" s="330">
        <v>2</v>
      </c>
      <c r="M6" s="331">
        <v>0.35399999999999998</v>
      </c>
      <c r="N6" s="332">
        <v>0.49</v>
      </c>
    </row>
    <row r="7" spans="1:14" ht="15.75" customHeight="1" x14ac:dyDescent="0.25">
      <c r="A7" s="326" t="s">
        <v>365</v>
      </c>
      <c r="B7" s="325">
        <v>94</v>
      </c>
      <c r="D7" s="324">
        <v>10</v>
      </c>
      <c r="E7" s="324">
        <f t="shared" ca="1" si="0"/>
        <v>667</v>
      </c>
      <c r="F7" s="324">
        <f t="shared" ca="1" si="1"/>
        <v>0.24</v>
      </c>
      <c r="G7" s="333">
        <f t="shared" ca="1" si="2"/>
        <v>1.125</v>
      </c>
      <c r="H7" s="324">
        <f t="shared" ca="1" si="3"/>
        <v>133</v>
      </c>
      <c r="J7" s="329">
        <v>4</v>
      </c>
      <c r="K7" s="330">
        <v>1.5</v>
      </c>
      <c r="L7" s="330">
        <v>2</v>
      </c>
      <c r="M7" s="331">
        <v>0.29599999999999999</v>
      </c>
      <c r="N7" s="332">
        <v>0.62</v>
      </c>
    </row>
    <row r="8" spans="1:14" ht="15.75" customHeight="1" x14ac:dyDescent="0.25">
      <c r="A8" s="326" t="s">
        <v>366</v>
      </c>
      <c r="B8" s="325">
        <f>B2-(B6+B7)*2</f>
        <v>712</v>
      </c>
      <c r="D8" s="324">
        <v>15</v>
      </c>
      <c r="E8" s="324">
        <f t="shared" ca="1" si="0"/>
        <v>654</v>
      </c>
      <c r="F8" s="324">
        <f t="shared" ca="1" si="1"/>
        <v>0.23</v>
      </c>
      <c r="G8" s="333">
        <f t="shared" ca="1" si="2"/>
        <v>1.1739999999999999</v>
      </c>
      <c r="H8" s="324">
        <f t="shared" ca="1" si="3"/>
        <v>146</v>
      </c>
      <c r="J8" s="329">
        <v>5</v>
      </c>
      <c r="K8" s="330">
        <v>1.5</v>
      </c>
      <c r="L8" s="330">
        <v>2</v>
      </c>
      <c r="M8" s="331">
        <v>0.39</v>
      </c>
      <c r="N8" s="332">
        <v>0.62</v>
      </c>
    </row>
    <row r="9" spans="1:14" ht="15.75" customHeight="1" x14ac:dyDescent="0.25">
      <c r="A9" s="326" t="s">
        <v>367</v>
      </c>
      <c r="B9" s="325">
        <v>60</v>
      </c>
      <c r="D9" s="324">
        <v>20</v>
      </c>
      <c r="E9" s="324">
        <f t="shared" ca="1" si="0"/>
        <v>639</v>
      </c>
      <c r="F9" s="324">
        <f t="shared" ca="1" si="1"/>
        <v>0.22</v>
      </c>
      <c r="G9" s="333">
        <f t="shared" ca="1" si="2"/>
        <v>1.228</v>
      </c>
      <c r="H9" s="324">
        <f t="shared" ca="1" si="3"/>
        <v>161</v>
      </c>
      <c r="J9" s="329">
        <v>6</v>
      </c>
      <c r="K9" s="330">
        <v>1.5</v>
      </c>
      <c r="L9" s="330">
        <v>2</v>
      </c>
      <c r="M9" s="331">
        <v>0.45200000000000001</v>
      </c>
      <c r="N9" s="332">
        <v>0.62</v>
      </c>
    </row>
    <row r="10" spans="1:14" ht="15.75" customHeight="1" x14ac:dyDescent="0.25">
      <c r="A10" s="326" t="s">
        <v>368</v>
      </c>
      <c r="B10" s="325">
        <v>162</v>
      </c>
      <c r="D10" s="324">
        <v>25</v>
      </c>
      <c r="E10" s="324">
        <f t="shared" ca="1" si="0"/>
        <v>603</v>
      </c>
      <c r="F10" s="324">
        <f t="shared" ca="1" si="1"/>
        <v>0.2</v>
      </c>
      <c r="G10" s="333">
        <f t="shared" ca="1" si="2"/>
        <v>1.35</v>
      </c>
      <c r="H10" s="324">
        <f t="shared" ca="1" si="3"/>
        <v>197</v>
      </c>
      <c r="J10" s="329">
        <v>8</v>
      </c>
      <c r="K10" s="330">
        <v>1.5</v>
      </c>
      <c r="L10" s="330">
        <v>2</v>
      </c>
      <c r="M10" s="331">
        <v>0.48</v>
      </c>
      <c r="N10" s="332">
        <v>0.62</v>
      </c>
    </row>
    <row r="11" spans="1:14" ht="15.75" customHeight="1" x14ac:dyDescent="0.25">
      <c r="A11" s="326" t="s">
        <v>369</v>
      </c>
      <c r="B11" s="333">
        <f>ROUNDUP((B8/1000)*((B5-B10)/1000/SIN(RADIANS(B9))*1.112),2)</f>
        <v>0.59</v>
      </c>
      <c r="D11" s="324">
        <v>30</v>
      </c>
      <c r="E11" s="324">
        <f t="shared" ca="1" si="0"/>
        <v>580</v>
      </c>
      <c r="F11" s="324">
        <f t="shared" ca="1" si="1"/>
        <v>0.19</v>
      </c>
      <c r="G11" s="333">
        <f t="shared" ca="1" si="2"/>
        <v>1.4219999999999999</v>
      </c>
      <c r="H11" s="324">
        <f t="shared" ca="1" si="3"/>
        <v>220</v>
      </c>
    </row>
    <row r="12" spans="1:14" ht="15.75" customHeight="1" x14ac:dyDescent="0.25">
      <c r="A12" s="326" t="s">
        <v>370</v>
      </c>
      <c r="B12" s="333">
        <f ca="1">ROUNDUP(B11*OFFSET(J4,MATCH(B1,J5:J10,0),3,1,1),2)</f>
        <v>0.27</v>
      </c>
      <c r="D12" s="324">
        <v>35</v>
      </c>
      <c r="E12" s="324">
        <f t="shared" ca="1" si="0"/>
        <v>554</v>
      </c>
      <c r="F12" s="324">
        <f t="shared" ca="1" si="1"/>
        <v>0.18</v>
      </c>
      <c r="G12" s="333">
        <f t="shared" ca="1" si="2"/>
        <v>1.5</v>
      </c>
      <c r="H12" s="324">
        <f t="shared" ca="1" si="3"/>
        <v>246</v>
      </c>
    </row>
    <row r="13" spans="1:14" ht="15.75" customHeight="1" x14ac:dyDescent="0.25">
      <c r="A13" s="326" t="s">
        <v>562</v>
      </c>
      <c r="B13" s="333">
        <f ca="1">$B$15/3600/(B5*$B$2/1000/1000)</f>
        <v>0.33750000000000002</v>
      </c>
      <c r="D13" s="324">
        <v>40</v>
      </c>
      <c r="E13" s="324">
        <f t="shared" ca="1" si="0"/>
        <v>485</v>
      </c>
      <c r="F13" s="324">
        <f t="shared" ca="1" si="1"/>
        <v>0.16</v>
      </c>
      <c r="G13" s="333">
        <f t="shared" ca="1" si="2"/>
        <v>1.6879999999999999</v>
      </c>
      <c r="H13" s="324">
        <f t="shared" ca="1" si="3"/>
        <v>315</v>
      </c>
    </row>
    <row r="14" spans="1:14" ht="15.75" customHeight="1" x14ac:dyDescent="0.25">
      <c r="A14" s="326" t="s">
        <v>371</v>
      </c>
      <c r="B14" s="324">
        <v>1</v>
      </c>
      <c r="D14" s="324">
        <v>45</v>
      </c>
      <c r="E14" s="324">
        <f t="shared" ca="1" si="0"/>
        <v>441</v>
      </c>
      <c r="F14" s="324">
        <f t="shared" ca="1" si="1"/>
        <v>0.15</v>
      </c>
      <c r="G14" s="333">
        <f t="shared" ca="1" si="2"/>
        <v>1.8</v>
      </c>
      <c r="H14" s="324">
        <f t="shared" ca="1" si="3"/>
        <v>359</v>
      </c>
    </row>
    <row r="15" spans="1:14" ht="15.75" customHeight="1" x14ac:dyDescent="0.25">
      <c r="A15" s="326" t="s">
        <v>372</v>
      </c>
      <c r="B15" s="334">
        <f ca="1">C15</f>
        <v>972</v>
      </c>
      <c r="C15" s="308">
        <f ca="1">MROUND(B12*3600,1)</f>
        <v>972</v>
      </c>
    </row>
    <row r="16" spans="1:14" ht="15.75" customHeight="1" x14ac:dyDescent="0.25">
      <c r="A16" s="325" t="s">
        <v>373</v>
      </c>
      <c r="B16" s="324">
        <f ca="1">OFFSET(J4,MATCH(B1,J5:J10,0),4,1,1)</f>
        <v>0.62</v>
      </c>
    </row>
  </sheetData>
  <mergeCells count="2">
    <mergeCell ref="D3:H3"/>
    <mergeCell ref="J3:N3"/>
  </mergeCells>
  <dataValidations count="1">
    <dataValidation type="list" allowBlank="1" showInputMessage="1" showErrorMessage="1" sqref="B1">
      <formula1>$J$5:$J$10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K4"/>
  <sheetViews>
    <sheetView workbookViewId="0">
      <selection activeCell="L4" sqref="L4"/>
    </sheetView>
  </sheetViews>
  <sheetFormatPr defaultRowHeight="15" x14ac:dyDescent="0.25"/>
  <cols>
    <col min="1" max="1" width="13.85546875" customWidth="1"/>
    <col min="2" max="2" width="22.42578125" customWidth="1"/>
    <col min="3" max="3" width="20" customWidth="1"/>
    <col min="4" max="5" width="20.7109375" customWidth="1"/>
    <col min="6" max="6" width="17" customWidth="1"/>
    <col min="7" max="7" width="18.28515625" customWidth="1"/>
    <col min="8" max="8" width="18.140625" customWidth="1"/>
    <col min="9" max="9" width="17.140625" customWidth="1"/>
    <col min="10" max="10" width="20" customWidth="1"/>
    <col min="11" max="11" width="18.85546875" customWidth="1"/>
  </cols>
  <sheetData>
    <row r="1" spans="1:11" x14ac:dyDescent="0.25">
      <c r="A1" t="s">
        <v>38</v>
      </c>
      <c r="B1" t="s">
        <v>39</v>
      </c>
      <c r="C1" t="s">
        <v>11</v>
      </c>
      <c r="D1" t="s">
        <v>12</v>
      </c>
      <c r="E1" t="s">
        <v>13</v>
      </c>
      <c r="F1" t="s">
        <v>40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</row>
    <row r="2" spans="1:11" x14ac:dyDescent="0.25">
      <c r="A2">
        <v>7883</v>
      </c>
      <c r="B2" t="s">
        <v>41</v>
      </c>
      <c r="C2">
        <v>2000</v>
      </c>
      <c r="D2">
        <v>2200</v>
      </c>
      <c r="E2">
        <v>1150</v>
      </c>
      <c r="F2">
        <v>8</v>
      </c>
      <c r="G2">
        <v>1718</v>
      </c>
      <c r="H2">
        <v>79</v>
      </c>
      <c r="I2">
        <v>34</v>
      </c>
      <c r="J2">
        <f>G2-H2-I2</f>
        <v>1605</v>
      </c>
      <c r="K2">
        <v>1752</v>
      </c>
    </row>
    <row r="3" spans="1:11" x14ac:dyDescent="0.25">
      <c r="A3">
        <v>8009</v>
      </c>
      <c r="B3" t="s">
        <v>42</v>
      </c>
      <c r="C3">
        <v>1000</v>
      </c>
      <c r="D3">
        <v>2000</v>
      </c>
      <c r="E3">
        <v>850</v>
      </c>
      <c r="F3">
        <v>10</v>
      </c>
      <c r="G3">
        <v>1056</v>
      </c>
      <c r="H3">
        <v>79</v>
      </c>
      <c r="I3">
        <v>34</v>
      </c>
      <c r="J3">
        <f>G3-H3-I3</f>
        <v>943</v>
      </c>
      <c r="K3">
        <v>1207</v>
      </c>
    </row>
    <row r="4" spans="1:11" x14ac:dyDescent="0.25">
      <c r="A4">
        <v>8345</v>
      </c>
      <c r="B4" t="s">
        <v>43</v>
      </c>
      <c r="C4">
        <v>2200</v>
      </c>
      <c r="D4">
        <v>2900</v>
      </c>
      <c r="E4">
        <v>850</v>
      </c>
      <c r="F4">
        <v>5</v>
      </c>
      <c r="G4">
        <v>1880</v>
      </c>
      <c r="H4">
        <v>79</v>
      </c>
      <c r="I4">
        <v>34</v>
      </c>
      <c r="J4">
        <f>G4-H4-I4</f>
        <v>1767</v>
      </c>
      <c r="K4">
        <v>1814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8"/>
  <sheetViews>
    <sheetView topLeftCell="A22" zoomScaleNormal="100" workbookViewId="0">
      <selection activeCell="C47" sqref="C47"/>
    </sheetView>
  </sheetViews>
  <sheetFormatPr defaultRowHeight="12.75" x14ac:dyDescent="0.2"/>
  <cols>
    <col min="1" max="1" width="13" style="42" customWidth="1"/>
    <col min="2" max="2" width="31.42578125" style="42" customWidth="1"/>
    <col min="3" max="3" width="17.7109375" style="42" customWidth="1"/>
    <col min="4" max="4" width="15.42578125" style="42" customWidth="1"/>
    <col min="5" max="5" width="16.85546875" style="42" customWidth="1"/>
    <col min="6" max="6" width="19.42578125" style="42" customWidth="1"/>
    <col min="7" max="7" width="18.140625" style="42" customWidth="1"/>
    <col min="8" max="8" width="20.42578125" style="42" customWidth="1"/>
    <col min="9" max="9" width="19" style="42" customWidth="1"/>
    <col min="10" max="10" width="17.42578125" style="42" customWidth="1"/>
    <col min="11" max="11" width="12.42578125" style="42" customWidth="1"/>
    <col min="12" max="12" width="8.42578125" style="42" customWidth="1"/>
    <col min="13" max="13" width="8.7109375" style="42" customWidth="1"/>
    <col min="14" max="14" width="10.42578125" style="42" customWidth="1"/>
    <col min="15" max="15" width="31.28515625" style="42" customWidth="1"/>
    <col min="16" max="16" width="15.28515625" style="42" customWidth="1"/>
    <col min="17" max="19" width="9.140625" style="42"/>
    <col min="20" max="20" width="43" style="42" customWidth="1"/>
    <col min="21" max="21" width="20.5703125" style="42" customWidth="1"/>
    <col min="22" max="27" width="9.140625" style="42"/>
    <col min="28" max="28" width="51.42578125" style="42" customWidth="1"/>
    <col min="29" max="16384" width="9.140625" style="42"/>
  </cols>
  <sheetData>
    <row r="1" spans="1:119" s="145" customFormat="1" ht="12.75" customHeight="1" thickBot="1" x14ac:dyDescent="0.35">
      <c r="A1" s="453" t="s">
        <v>69</v>
      </c>
      <c r="B1" s="454"/>
      <c r="C1" s="454"/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5"/>
      <c r="P1" s="144"/>
    </row>
    <row r="2" spans="1:119" s="146" customFormat="1" ht="15" x14ac:dyDescent="0.2">
      <c r="A2" s="456" t="s">
        <v>176</v>
      </c>
      <c r="B2" s="457"/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7"/>
    </row>
    <row r="3" spans="1:119" x14ac:dyDescent="0.2">
      <c r="A3" s="81"/>
      <c r="B3" s="71"/>
      <c r="C3" s="71"/>
      <c r="D3" s="71"/>
      <c r="E3" s="147"/>
      <c r="F3" s="71"/>
      <c r="G3" s="71"/>
      <c r="H3" s="71"/>
      <c r="I3" s="71"/>
      <c r="J3" s="71"/>
      <c r="K3" s="148" t="s">
        <v>177</v>
      </c>
      <c r="L3" s="148" t="s">
        <v>178</v>
      </c>
      <c r="M3" s="148" t="s">
        <v>179</v>
      </c>
      <c r="N3" s="148"/>
      <c r="O3" s="149" t="s">
        <v>180</v>
      </c>
    </row>
    <row r="4" spans="1:119" ht="15" x14ac:dyDescent="0.2">
      <c r="A4" s="81"/>
      <c r="B4" s="71"/>
      <c r="C4" s="150"/>
      <c r="D4" s="71" t="s">
        <v>181</v>
      </c>
      <c r="E4" s="151"/>
      <c r="F4" s="71"/>
      <c r="G4" s="71"/>
      <c r="H4" s="71"/>
      <c r="I4" s="152" t="s">
        <v>182</v>
      </c>
      <c r="J4" s="152"/>
      <c r="K4" s="152"/>
      <c r="L4" s="152"/>
      <c r="M4" s="152"/>
      <c r="N4" s="71"/>
      <c r="O4" s="153"/>
    </row>
    <row r="5" spans="1:119" ht="15" x14ac:dyDescent="0.2">
      <c r="A5" s="81"/>
      <c r="B5" s="71"/>
      <c r="C5" s="154"/>
      <c r="D5" s="71" t="s">
        <v>183</v>
      </c>
      <c r="E5" s="151"/>
      <c r="F5" s="71"/>
      <c r="G5" s="71"/>
      <c r="H5" s="71"/>
      <c r="I5" s="152" t="s">
        <v>184</v>
      </c>
      <c r="J5" s="152"/>
      <c r="K5" s="152">
        <v>142</v>
      </c>
      <c r="L5" s="152"/>
      <c r="M5" s="152">
        <v>280</v>
      </c>
      <c r="N5" s="71"/>
      <c r="O5" s="153"/>
    </row>
    <row r="6" spans="1:119" ht="15.75" thickBot="1" x14ac:dyDescent="0.3">
      <c r="A6" s="81"/>
      <c r="B6" s="71"/>
      <c r="C6" s="155"/>
      <c r="D6" s="71" t="s">
        <v>185</v>
      </c>
      <c r="E6" s="151"/>
      <c r="F6" s="71"/>
      <c r="G6" s="71"/>
      <c r="H6" s="71"/>
      <c r="I6" s="152" t="s">
        <v>186</v>
      </c>
      <c r="J6" s="152"/>
      <c r="K6" s="152">
        <v>126.5</v>
      </c>
      <c r="L6" s="152"/>
      <c r="M6" s="152"/>
      <c r="N6" s="71"/>
      <c r="O6" s="153"/>
      <c r="S6" s="71"/>
    </row>
    <row r="7" spans="1:119" ht="14.25" thickTop="1" thickBot="1" x14ac:dyDescent="0.25">
      <c r="A7" s="81"/>
      <c r="B7" s="71"/>
      <c r="C7" s="71"/>
      <c r="D7" s="71"/>
      <c r="E7" s="71"/>
      <c r="F7" s="71"/>
      <c r="G7" s="71"/>
      <c r="H7" s="71"/>
      <c r="I7" s="152" t="s">
        <v>187</v>
      </c>
      <c r="J7" s="152"/>
      <c r="K7" s="152"/>
      <c r="L7" s="152"/>
      <c r="M7" s="152">
        <v>280</v>
      </c>
      <c r="N7" s="71"/>
      <c r="O7" s="153"/>
      <c r="S7" s="458" t="s">
        <v>188</v>
      </c>
      <c r="T7" s="459"/>
      <c r="U7" s="459"/>
      <c r="V7" s="459"/>
      <c r="W7" s="459"/>
      <c r="X7" s="459"/>
      <c r="Y7" s="459"/>
      <c r="Z7" s="460"/>
      <c r="AA7" s="71"/>
      <c r="AB7" s="156"/>
      <c r="AC7" s="156"/>
      <c r="AD7" s="156"/>
      <c r="AE7" s="156"/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156"/>
      <c r="BA7" s="156"/>
      <c r="BB7" s="156"/>
      <c r="BC7" s="156"/>
      <c r="BD7" s="156"/>
      <c r="BE7" s="156"/>
      <c r="BF7" s="156"/>
      <c r="BG7" s="156"/>
      <c r="BH7" s="156"/>
      <c r="BI7" s="156"/>
      <c r="BJ7" s="156"/>
      <c r="BK7" s="156"/>
      <c r="BL7" s="156"/>
      <c r="BM7" s="156"/>
      <c r="BN7" s="156"/>
      <c r="BO7" s="156"/>
      <c r="BP7" s="156"/>
      <c r="BQ7" s="156"/>
      <c r="BR7" s="156"/>
      <c r="BS7" s="156"/>
      <c r="BT7" s="156"/>
      <c r="BU7" s="156"/>
      <c r="BV7" s="156"/>
      <c r="BW7" s="156"/>
      <c r="BX7" s="156"/>
      <c r="BY7" s="156"/>
      <c r="BZ7" s="156"/>
      <c r="CA7" s="156"/>
      <c r="CB7" s="156"/>
      <c r="CC7" s="156"/>
      <c r="CD7" s="156"/>
      <c r="CE7" s="156"/>
      <c r="CF7" s="156"/>
      <c r="CG7" s="156"/>
      <c r="CH7" s="156"/>
      <c r="CI7" s="156"/>
      <c r="CJ7" s="156"/>
      <c r="CK7" s="156"/>
      <c r="CL7" s="156"/>
      <c r="CM7" s="156"/>
      <c r="CN7" s="156"/>
      <c r="CO7" s="156"/>
      <c r="CP7" s="156"/>
      <c r="CQ7" s="156"/>
      <c r="CR7" s="156"/>
      <c r="CS7" s="156"/>
      <c r="CT7" s="156"/>
      <c r="CU7" s="156"/>
      <c r="CV7" s="156"/>
      <c r="CW7" s="156"/>
      <c r="CX7" s="156"/>
      <c r="CY7" s="156"/>
      <c r="CZ7" s="156"/>
      <c r="DA7" s="156"/>
      <c r="DB7" s="156"/>
      <c r="DC7" s="156"/>
      <c r="DD7" s="156"/>
      <c r="DE7" s="156"/>
      <c r="DF7" s="156"/>
      <c r="DG7" s="156"/>
      <c r="DH7" s="156"/>
      <c r="DI7" s="156"/>
      <c r="DJ7" s="156"/>
      <c r="DK7" s="156"/>
      <c r="DL7" s="156"/>
      <c r="DM7" s="156"/>
      <c r="DN7" s="156"/>
      <c r="DO7" s="156"/>
    </row>
    <row r="8" spans="1:119" ht="31.5" thickTop="1" thickBot="1" x14ac:dyDescent="0.3">
      <c r="A8" s="157" t="s">
        <v>189</v>
      </c>
      <c r="B8" s="158" t="s">
        <v>64</v>
      </c>
      <c r="C8" s="159" t="s">
        <v>190</v>
      </c>
      <c r="D8" s="160" t="s">
        <v>191</v>
      </c>
      <c r="E8" s="161"/>
      <c r="F8" s="162"/>
      <c r="G8" s="163"/>
      <c r="H8" s="162"/>
      <c r="I8" s="162"/>
      <c r="J8" s="163" t="s">
        <v>192</v>
      </c>
      <c r="K8" s="162"/>
      <c r="L8" s="162"/>
      <c r="M8" s="162"/>
      <c r="N8" s="162"/>
      <c r="O8" s="164"/>
      <c r="P8" s="71"/>
      <c r="S8" s="165"/>
      <c r="T8" s="165"/>
      <c r="U8" s="165"/>
      <c r="V8" s="165"/>
      <c r="W8" s="71"/>
      <c r="X8" s="71"/>
      <c r="Y8" s="71"/>
      <c r="Z8" s="71"/>
      <c r="AA8" s="71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6"/>
      <c r="AP8" s="156"/>
      <c r="AQ8" s="156"/>
      <c r="AR8" s="156"/>
      <c r="AS8" s="156"/>
      <c r="AT8" s="156"/>
      <c r="AU8" s="156"/>
      <c r="AV8" s="156"/>
      <c r="AW8" s="156"/>
      <c r="AX8" s="156"/>
      <c r="AY8" s="156"/>
      <c r="AZ8" s="156"/>
      <c r="BA8" s="156"/>
      <c r="BB8" s="156"/>
      <c r="BC8" s="156"/>
      <c r="BD8" s="156"/>
      <c r="BE8" s="156"/>
      <c r="BF8" s="156"/>
      <c r="BG8" s="156"/>
      <c r="BH8" s="156"/>
      <c r="BI8" s="156"/>
      <c r="BJ8" s="156"/>
      <c r="BK8" s="156"/>
      <c r="BL8" s="156"/>
      <c r="BM8" s="156"/>
      <c r="BN8" s="156"/>
      <c r="BO8" s="156"/>
      <c r="BP8" s="156"/>
      <c r="BQ8" s="156"/>
      <c r="BR8" s="156"/>
      <c r="BS8" s="156"/>
      <c r="BT8" s="156"/>
      <c r="BU8" s="156"/>
      <c r="BV8" s="156"/>
      <c r="BW8" s="156"/>
      <c r="BX8" s="156"/>
      <c r="BY8" s="156"/>
      <c r="BZ8" s="156"/>
      <c r="CA8" s="156"/>
      <c r="CB8" s="156"/>
      <c r="CC8" s="156"/>
      <c r="CD8" s="156"/>
      <c r="CE8" s="156"/>
      <c r="CF8" s="156"/>
      <c r="CG8" s="156"/>
      <c r="CH8" s="156"/>
      <c r="CI8" s="156"/>
      <c r="CJ8" s="156"/>
      <c r="CK8" s="156"/>
      <c r="CL8" s="156"/>
      <c r="CM8" s="156"/>
      <c r="CN8" s="156"/>
      <c r="CO8" s="156"/>
      <c r="CP8" s="156"/>
      <c r="CQ8" s="156"/>
      <c r="CR8" s="156"/>
      <c r="CS8" s="156"/>
      <c r="CT8" s="156"/>
      <c r="CU8" s="156"/>
      <c r="CV8" s="156"/>
      <c r="CW8" s="156"/>
      <c r="CX8" s="156"/>
      <c r="CY8" s="156"/>
      <c r="CZ8" s="156"/>
      <c r="DA8" s="156"/>
      <c r="DB8" s="156"/>
      <c r="DC8" s="156"/>
      <c r="DD8" s="156"/>
      <c r="DE8" s="156"/>
      <c r="DF8" s="156"/>
      <c r="DG8" s="156"/>
      <c r="DH8" s="156"/>
      <c r="DI8" s="156"/>
      <c r="DJ8" s="156"/>
      <c r="DK8" s="156"/>
      <c r="DL8" s="156"/>
      <c r="DM8" s="156"/>
      <c r="DN8" s="156"/>
      <c r="DO8" s="156"/>
    </row>
    <row r="9" spans="1:119" ht="37.5" thickTop="1" thickBot="1" x14ac:dyDescent="0.3">
      <c r="A9" s="166">
        <v>1</v>
      </c>
      <c r="B9" s="167" t="s">
        <v>11</v>
      </c>
      <c r="C9" s="168">
        <f>Цена!B16</f>
        <v>1000</v>
      </c>
      <c r="D9" s="169">
        <f>IF(C9&lt;=750,ROUND(C9/50,0)*50,ROUND(C9/100,0)*100)</f>
        <v>1000</v>
      </c>
      <c r="E9" s="447" t="s">
        <v>193</v>
      </c>
      <c r="F9" s="448"/>
      <c r="G9" s="448"/>
      <c r="H9" s="448"/>
      <c r="I9" s="448"/>
      <c r="J9" s="448"/>
      <c r="K9" s="448"/>
      <c r="L9" s="448"/>
      <c r="M9" s="448"/>
      <c r="N9" s="448"/>
      <c r="O9" s="449"/>
      <c r="P9" s="71"/>
      <c r="S9" s="170" t="s">
        <v>194</v>
      </c>
      <c r="T9" s="171" t="s">
        <v>114</v>
      </c>
      <c r="U9" s="172" t="s">
        <v>195</v>
      </c>
      <c r="V9" s="461" t="s">
        <v>192</v>
      </c>
      <c r="W9" s="461"/>
      <c r="X9" s="461"/>
      <c r="Y9" s="461"/>
      <c r="Z9" s="462"/>
      <c r="AA9" s="71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156"/>
      <c r="AN9" s="156"/>
      <c r="AO9" s="156"/>
      <c r="AP9" s="156"/>
      <c r="AQ9" s="156"/>
      <c r="AR9" s="156"/>
      <c r="AS9" s="156"/>
      <c r="AT9" s="156"/>
      <c r="AU9" s="156"/>
      <c r="AV9" s="156"/>
      <c r="AW9" s="156"/>
      <c r="AX9" s="156"/>
      <c r="AY9" s="156"/>
      <c r="AZ9" s="156"/>
      <c r="BA9" s="156"/>
      <c r="BB9" s="156"/>
      <c r="BC9" s="156"/>
      <c r="BD9" s="156"/>
      <c r="BE9" s="156"/>
      <c r="BF9" s="156"/>
      <c r="BG9" s="156"/>
      <c r="BH9" s="156"/>
      <c r="BI9" s="156"/>
      <c r="BJ9" s="156"/>
      <c r="BK9" s="156"/>
      <c r="BL9" s="156"/>
      <c r="BM9" s="156"/>
      <c r="BN9" s="156"/>
      <c r="BO9" s="156"/>
      <c r="BP9" s="156"/>
      <c r="BQ9" s="156"/>
      <c r="BR9" s="156"/>
      <c r="BS9" s="156"/>
      <c r="BT9" s="156"/>
      <c r="BU9" s="156"/>
      <c r="BV9" s="156"/>
      <c r="BW9" s="156"/>
      <c r="BX9" s="156"/>
      <c r="BY9" s="156"/>
      <c r="BZ9" s="156"/>
      <c r="CA9" s="156"/>
      <c r="CB9" s="156"/>
      <c r="CC9" s="156"/>
      <c r="CD9" s="156"/>
      <c r="CE9" s="156"/>
      <c r="CF9" s="156"/>
      <c r="CG9" s="156"/>
      <c r="CH9" s="156"/>
      <c r="CI9" s="156"/>
      <c r="CJ9" s="156"/>
      <c r="CK9" s="156"/>
      <c r="CL9" s="156"/>
      <c r="CM9" s="156"/>
      <c r="CN9" s="156"/>
      <c r="CO9" s="156"/>
      <c r="CP9" s="156"/>
      <c r="CQ9" s="156"/>
      <c r="CR9" s="156"/>
      <c r="CS9" s="156"/>
      <c r="CT9" s="156"/>
      <c r="CU9" s="156"/>
      <c r="CV9" s="156"/>
      <c r="CW9" s="156"/>
      <c r="CX9" s="156"/>
      <c r="CY9" s="156"/>
      <c r="CZ9" s="156"/>
      <c r="DA9" s="156"/>
      <c r="DB9" s="156"/>
      <c r="DC9" s="156"/>
      <c r="DD9" s="156"/>
      <c r="DE9" s="156"/>
      <c r="DF9" s="156"/>
      <c r="DG9" s="156"/>
      <c r="DH9" s="156"/>
      <c r="DI9" s="156"/>
      <c r="DJ9" s="156"/>
      <c r="DK9" s="156"/>
      <c r="DL9" s="156"/>
      <c r="DM9" s="156"/>
      <c r="DN9" s="156"/>
      <c r="DO9" s="156"/>
    </row>
    <row r="10" spans="1:119" ht="14.25" thickTop="1" x14ac:dyDescent="0.25">
      <c r="A10" s="173">
        <v>2</v>
      </c>
      <c r="B10" s="174" t="s">
        <v>12</v>
      </c>
      <c r="C10" s="168">
        <f>Цена!C16</f>
        <v>1300</v>
      </c>
      <c r="D10" s="169">
        <f>CEILING(C10,100)</f>
        <v>1300</v>
      </c>
      <c r="E10" s="447" t="s">
        <v>196</v>
      </c>
      <c r="F10" s="448"/>
      <c r="G10" s="448"/>
      <c r="H10" s="448"/>
      <c r="I10" s="448"/>
      <c r="J10" s="448"/>
      <c r="K10" s="448"/>
      <c r="L10" s="448"/>
      <c r="M10" s="448"/>
      <c r="N10" s="448"/>
      <c r="O10" s="449"/>
      <c r="P10" s="71"/>
      <c r="S10" s="175"/>
      <c r="T10" s="176" t="s">
        <v>197</v>
      </c>
      <c r="U10" s="177"/>
      <c r="V10" s="450"/>
      <c r="W10" s="451"/>
      <c r="X10" s="451"/>
      <c r="Y10" s="451"/>
      <c r="Z10" s="452"/>
      <c r="AA10" s="71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156"/>
      <c r="AN10" s="156"/>
      <c r="AO10" s="156"/>
      <c r="AP10" s="156"/>
      <c r="AQ10" s="156"/>
      <c r="AR10" s="156"/>
      <c r="AS10" s="156"/>
      <c r="AT10" s="156"/>
      <c r="AU10" s="156"/>
      <c r="AV10" s="156"/>
      <c r="AW10" s="156"/>
      <c r="AX10" s="156"/>
      <c r="AY10" s="156"/>
      <c r="AZ10" s="156"/>
      <c r="BA10" s="156"/>
      <c r="BB10" s="156"/>
      <c r="BC10" s="156"/>
      <c r="BD10" s="156"/>
      <c r="BE10" s="156"/>
      <c r="BF10" s="156"/>
      <c r="BG10" s="156"/>
      <c r="BH10" s="156"/>
      <c r="BI10" s="156"/>
      <c r="BJ10" s="156"/>
      <c r="BK10" s="156"/>
      <c r="BL10" s="156"/>
      <c r="BM10" s="156"/>
      <c r="BN10" s="156"/>
      <c r="BO10" s="156"/>
      <c r="BP10" s="156"/>
      <c r="BQ10" s="156"/>
      <c r="BR10" s="156"/>
      <c r="BS10" s="156"/>
      <c r="BT10" s="156"/>
      <c r="BU10" s="156"/>
      <c r="BV10" s="156"/>
      <c r="BW10" s="156"/>
      <c r="BX10" s="156"/>
      <c r="BY10" s="156"/>
      <c r="BZ10" s="156"/>
      <c r="CA10" s="156"/>
      <c r="CB10" s="156"/>
      <c r="CC10" s="156"/>
      <c r="CD10" s="156"/>
      <c r="CE10" s="156"/>
      <c r="CF10" s="156"/>
      <c r="CG10" s="156"/>
      <c r="CH10" s="156"/>
      <c r="CI10" s="156"/>
      <c r="CJ10" s="156"/>
      <c r="CK10" s="156"/>
      <c r="CL10" s="156"/>
      <c r="CM10" s="156"/>
      <c r="CN10" s="156"/>
      <c r="CO10" s="156"/>
      <c r="CP10" s="156"/>
      <c r="CQ10" s="156"/>
      <c r="CR10" s="156"/>
      <c r="CS10" s="156"/>
      <c r="CT10" s="156"/>
      <c r="CU10" s="156"/>
      <c r="CV10" s="156"/>
      <c r="CW10" s="156"/>
      <c r="CX10" s="156"/>
      <c r="CY10" s="156"/>
      <c r="CZ10" s="156"/>
      <c r="DA10" s="156"/>
      <c r="DB10" s="156"/>
      <c r="DC10" s="156"/>
      <c r="DD10" s="156"/>
      <c r="DE10" s="156"/>
      <c r="DF10" s="156"/>
      <c r="DG10" s="156"/>
      <c r="DH10" s="156"/>
      <c r="DI10" s="156"/>
      <c r="DJ10" s="156"/>
      <c r="DK10" s="156"/>
      <c r="DL10" s="156"/>
      <c r="DM10" s="156"/>
      <c r="DN10" s="156"/>
      <c r="DO10" s="156"/>
    </row>
    <row r="11" spans="1:119" ht="13.5" x14ac:dyDescent="0.25">
      <c r="A11" s="173">
        <v>3</v>
      </c>
      <c r="B11" s="174" t="s">
        <v>13</v>
      </c>
      <c r="C11" s="178">
        <f>Цена!D16</f>
        <v>850</v>
      </c>
      <c r="D11" s="179">
        <f>IF(AND(C11&gt;0,C11&lt;=850),850,IF(AND(C11&gt;850,C11&lt;=1200),1200,IF(AND(C11&gt;1200,C11=1500),1500,"Ннестандарт")))</f>
        <v>850</v>
      </c>
      <c r="E11" s="447" t="s">
        <v>198</v>
      </c>
      <c r="F11" s="448"/>
      <c r="G11" s="448"/>
      <c r="H11" s="448"/>
      <c r="I11" s="448"/>
      <c r="J11" s="448"/>
      <c r="K11" s="448"/>
      <c r="L11" s="448"/>
      <c r="M11" s="448"/>
      <c r="N11" s="448"/>
      <c r="O11" s="449"/>
      <c r="P11" s="71"/>
      <c r="S11" s="180">
        <v>1</v>
      </c>
      <c r="T11" s="181" t="s">
        <v>199</v>
      </c>
      <c r="U11" s="182">
        <f>C30*C29+5</f>
        <v>245</v>
      </c>
      <c r="V11" s="466"/>
      <c r="W11" s="466"/>
      <c r="X11" s="466"/>
      <c r="Y11" s="466"/>
      <c r="Z11" s="467"/>
      <c r="AA11" s="71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  <c r="AX11" s="156"/>
      <c r="AY11" s="156"/>
      <c r="AZ11" s="156"/>
      <c r="BA11" s="156"/>
      <c r="BB11" s="156"/>
      <c r="BC11" s="156"/>
      <c r="BD11" s="156"/>
      <c r="BE11" s="156"/>
      <c r="BF11" s="156"/>
      <c r="BG11" s="156"/>
      <c r="BH11" s="156"/>
      <c r="BI11" s="156"/>
      <c r="BJ11" s="156"/>
      <c r="BK11" s="156"/>
      <c r="BL11" s="156"/>
      <c r="BM11" s="156"/>
      <c r="BN11" s="156"/>
      <c r="BO11" s="156"/>
      <c r="BP11" s="156"/>
      <c r="BQ11" s="156"/>
      <c r="BR11" s="156"/>
      <c r="BS11" s="156"/>
      <c r="BT11" s="156"/>
      <c r="BU11" s="156"/>
      <c r="BV11" s="156"/>
      <c r="BW11" s="156"/>
      <c r="BX11" s="156"/>
      <c r="BY11" s="156"/>
      <c r="BZ11" s="156"/>
      <c r="CA11" s="156"/>
      <c r="CB11" s="156"/>
      <c r="CC11" s="156"/>
      <c r="CD11" s="156"/>
      <c r="CE11" s="156"/>
      <c r="CF11" s="156"/>
      <c r="CG11" s="156"/>
      <c r="CH11" s="156"/>
      <c r="CI11" s="156"/>
      <c r="CJ11" s="156"/>
      <c r="CK11" s="156"/>
      <c r="CL11" s="156"/>
      <c r="CM11" s="156"/>
      <c r="CN11" s="156"/>
      <c r="CO11" s="156"/>
      <c r="CP11" s="156"/>
      <c r="CQ11" s="156"/>
      <c r="CR11" s="156"/>
      <c r="CS11" s="156"/>
      <c r="CT11" s="156"/>
      <c r="CU11" s="156"/>
      <c r="CV11" s="156"/>
      <c r="CW11" s="156"/>
      <c r="CX11" s="156"/>
      <c r="CY11" s="156"/>
      <c r="CZ11" s="156"/>
      <c r="DA11" s="156"/>
      <c r="DB11" s="156"/>
      <c r="DC11" s="156"/>
      <c r="DD11" s="156"/>
      <c r="DE11" s="156"/>
      <c r="DF11" s="156"/>
      <c r="DG11" s="156"/>
      <c r="DH11" s="156"/>
      <c r="DI11" s="156"/>
      <c r="DJ11" s="156"/>
      <c r="DK11" s="156"/>
      <c r="DL11" s="156"/>
      <c r="DM11" s="156"/>
      <c r="DN11" s="156"/>
      <c r="DO11" s="156"/>
    </row>
    <row r="12" spans="1:119" ht="13.5" x14ac:dyDescent="0.25">
      <c r="A12" s="173">
        <v>4</v>
      </c>
      <c r="B12" s="174" t="s">
        <v>200</v>
      </c>
      <c r="C12" s="178">
        <v>6</v>
      </c>
      <c r="D12" s="183">
        <f>C12</f>
        <v>6</v>
      </c>
      <c r="E12" s="468" t="s">
        <v>201</v>
      </c>
      <c r="F12" s="469"/>
      <c r="G12" s="469"/>
      <c r="H12" s="469"/>
      <c r="I12" s="469"/>
      <c r="J12" s="469"/>
      <c r="K12" s="469"/>
      <c r="L12" s="469"/>
      <c r="M12" s="469"/>
      <c r="N12" s="469"/>
      <c r="O12" s="470"/>
      <c r="P12" s="54"/>
      <c r="S12" s="184">
        <v>2</v>
      </c>
      <c r="T12" s="185" t="s">
        <v>202</v>
      </c>
      <c r="U12" s="186">
        <v>1</v>
      </c>
      <c r="V12" s="471" t="s">
        <v>203</v>
      </c>
      <c r="W12" s="471"/>
      <c r="X12" s="471"/>
      <c r="Y12" s="471"/>
      <c r="Z12" s="472"/>
      <c r="AA12" s="71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156"/>
      <c r="AN12" s="156"/>
      <c r="AO12" s="156"/>
      <c r="AP12" s="156"/>
      <c r="AQ12" s="156"/>
      <c r="AR12" s="156"/>
      <c r="AS12" s="156"/>
      <c r="AT12" s="156"/>
      <c r="AU12" s="156"/>
      <c r="AV12" s="156"/>
      <c r="AW12" s="156"/>
      <c r="AX12" s="156"/>
      <c r="AY12" s="156"/>
      <c r="AZ12" s="156"/>
      <c r="BA12" s="156"/>
      <c r="BB12" s="156"/>
      <c r="BC12" s="156"/>
      <c r="BD12" s="156"/>
      <c r="BE12" s="156"/>
      <c r="BF12" s="156"/>
      <c r="BG12" s="156"/>
      <c r="BH12" s="156"/>
      <c r="BI12" s="156"/>
      <c r="BJ12" s="156"/>
      <c r="BK12" s="156"/>
      <c r="BL12" s="156"/>
      <c r="BM12" s="156"/>
      <c r="BN12" s="156"/>
      <c r="BO12" s="156"/>
      <c r="BP12" s="156"/>
      <c r="BQ12" s="156"/>
      <c r="BR12" s="156"/>
      <c r="BS12" s="156"/>
      <c r="BT12" s="156"/>
      <c r="BU12" s="156"/>
      <c r="BV12" s="156"/>
      <c r="BW12" s="156"/>
      <c r="BX12" s="156"/>
      <c r="BY12" s="156"/>
      <c r="BZ12" s="156"/>
      <c r="CA12" s="156"/>
      <c r="CB12" s="156"/>
      <c r="CC12" s="156"/>
      <c r="CD12" s="156"/>
      <c r="CE12" s="156"/>
      <c r="CF12" s="156"/>
      <c r="CG12" s="156"/>
      <c r="CH12" s="156"/>
      <c r="CI12" s="156"/>
      <c r="CJ12" s="156"/>
      <c r="CK12" s="156"/>
      <c r="CL12" s="156"/>
      <c r="CM12" s="156"/>
      <c r="CN12" s="156"/>
      <c r="CO12" s="156"/>
      <c r="CP12" s="156"/>
      <c r="CQ12" s="156"/>
      <c r="CR12" s="156"/>
      <c r="CS12" s="156"/>
      <c r="CT12" s="156"/>
      <c r="CU12" s="156"/>
      <c r="CV12" s="156"/>
      <c r="CW12" s="156"/>
      <c r="CX12" s="156"/>
      <c r="CY12" s="156"/>
      <c r="CZ12" s="156"/>
      <c r="DA12" s="156"/>
      <c r="DB12" s="156"/>
      <c r="DC12" s="156"/>
      <c r="DD12" s="156"/>
      <c r="DE12" s="156"/>
      <c r="DF12" s="156"/>
      <c r="DG12" s="156"/>
      <c r="DH12" s="156"/>
      <c r="DI12" s="156"/>
      <c r="DJ12" s="156"/>
      <c r="DK12" s="156"/>
      <c r="DL12" s="156"/>
      <c r="DM12" s="156"/>
      <c r="DN12" s="156"/>
      <c r="DO12" s="156"/>
    </row>
    <row r="13" spans="1:119" ht="15" x14ac:dyDescent="0.2">
      <c r="A13" s="187">
        <v>5</v>
      </c>
      <c r="B13" s="188" t="s">
        <v>204</v>
      </c>
      <c r="C13" s="189">
        <f>C10-300</f>
        <v>1000</v>
      </c>
      <c r="D13" s="190">
        <f>IF(C10&lt;=1200,C10,C10-250)</f>
        <v>1050</v>
      </c>
      <c r="E13" s="473" t="s">
        <v>205</v>
      </c>
      <c r="F13" s="474"/>
      <c r="G13" s="474"/>
      <c r="H13" s="474"/>
      <c r="I13" s="474"/>
      <c r="J13" s="474"/>
      <c r="K13" s="474"/>
      <c r="L13" s="474"/>
      <c r="M13" s="474"/>
      <c r="N13" s="474"/>
      <c r="O13" s="475"/>
      <c r="P13" s="71"/>
      <c r="S13" s="184">
        <v>3</v>
      </c>
      <c r="T13" s="185" t="s">
        <v>206</v>
      </c>
      <c r="U13" s="186">
        <v>1</v>
      </c>
      <c r="V13" s="471" t="s">
        <v>207</v>
      </c>
      <c r="W13" s="471"/>
      <c r="X13" s="471"/>
      <c r="Y13" s="471"/>
      <c r="Z13" s="472"/>
      <c r="AA13" s="71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6"/>
      <c r="AO13" s="156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  <c r="BA13" s="156"/>
      <c r="BB13" s="156"/>
      <c r="BC13" s="156"/>
      <c r="BD13" s="156"/>
      <c r="BE13" s="156"/>
      <c r="BF13" s="156"/>
      <c r="BG13" s="156"/>
      <c r="BH13" s="156"/>
      <c r="BI13" s="156"/>
      <c r="BJ13" s="156"/>
      <c r="BK13" s="156"/>
      <c r="BL13" s="156"/>
      <c r="BM13" s="156"/>
      <c r="BN13" s="156"/>
      <c r="BO13" s="156"/>
      <c r="BP13" s="156"/>
      <c r="BQ13" s="156"/>
      <c r="BR13" s="156"/>
      <c r="BS13" s="156"/>
      <c r="BT13" s="156"/>
      <c r="BU13" s="156"/>
      <c r="BV13" s="156"/>
      <c r="BW13" s="156"/>
      <c r="BX13" s="156"/>
      <c r="BY13" s="156"/>
      <c r="BZ13" s="156"/>
      <c r="CA13" s="156"/>
      <c r="CB13" s="156"/>
      <c r="CC13" s="156"/>
      <c r="CD13" s="156"/>
      <c r="CE13" s="156"/>
      <c r="CF13" s="156"/>
      <c r="CG13" s="156"/>
      <c r="CH13" s="156"/>
      <c r="CI13" s="156"/>
      <c r="CJ13" s="156"/>
      <c r="CK13" s="156"/>
      <c r="CL13" s="156"/>
      <c r="CM13" s="156"/>
      <c r="CN13" s="156"/>
      <c r="CO13" s="156"/>
      <c r="CP13" s="156"/>
      <c r="CQ13" s="156"/>
      <c r="CR13" s="156"/>
      <c r="CS13" s="156"/>
      <c r="CT13" s="156"/>
      <c r="CU13" s="156"/>
      <c r="CV13" s="156"/>
      <c r="CW13" s="156"/>
      <c r="CX13" s="156"/>
      <c r="CY13" s="156"/>
      <c r="CZ13" s="156"/>
      <c r="DA13" s="156"/>
      <c r="DB13" s="156"/>
      <c r="DC13" s="156"/>
      <c r="DD13" s="156"/>
      <c r="DE13" s="156"/>
      <c r="DF13" s="156"/>
      <c r="DG13" s="156"/>
      <c r="DH13" s="156"/>
      <c r="DI13" s="156"/>
      <c r="DJ13" s="156"/>
      <c r="DK13" s="156"/>
      <c r="DL13" s="156"/>
      <c r="DM13" s="156"/>
      <c r="DN13" s="156"/>
      <c r="DO13" s="156"/>
    </row>
    <row r="14" spans="1:119" x14ac:dyDescent="0.2">
      <c r="A14" s="191"/>
      <c r="B14" s="192" t="s">
        <v>208</v>
      </c>
      <c r="C14" s="193" t="s">
        <v>209</v>
      </c>
      <c r="D14" s="194">
        <f>C13+100</f>
        <v>1100</v>
      </c>
      <c r="E14" s="476" t="s">
        <v>210</v>
      </c>
      <c r="F14" s="477"/>
      <c r="G14" s="477"/>
      <c r="H14" s="477"/>
      <c r="I14" s="477"/>
      <c r="J14" s="477"/>
      <c r="K14" s="477"/>
      <c r="L14" s="477"/>
      <c r="M14" s="477"/>
      <c r="N14" s="477"/>
      <c r="O14" s="478"/>
      <c r="P14" s="71"/>
      <c r="S14" s="184">
        <v>4</v>
      </c>
      <c r="T14" s="185" t="s">
        <v>211</v>
      </c>
      <c r="U14" s="186">
        <v>1</v>
      </c>
      <c r="V14" s="195" t="s">
        <v>212</v>
      </c>
      <c r="W14" s="196"/>
      <c r="X14" s="196"/>
      <c r="Y14" s="197"/>
      <c r="Z14" s="198"/>
      <c r="AA14" s="71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156"/>
      <c r="AN14" s="156"/>
      <c r="AO14" s="156"/>
      <c r="AP14" s="156"/>
      <c r="AQ14" s="156"/>
      <c r="AR14" s="156"/>
      <c r="AS14" s="156"/>
      <c r="AT14" s="156"/>
      <c r="AU14" s="156"/>
      <c r="AV14" s="156"/>
      <c r="AW14" s="156"/>
      <c r="AX14" s="156"/>
      <c r="AY14" s="156"/>
      <c r="AZ14" s="156"/>
      <c r="BA14" s="156"/>
      <c r="BB14" s="156"/>
      <c r="BC14" s="156"/>
      <c r="BD14" s="156"/>
      <c r="BE14" s="156"/>
      <c r="BF14" s="156"/>
      <c r="BG14" s="156"/>
      <c r="BH14" s="156"/>
      <c r="BI14" s="156"/>
      <c r="BJ14" s="156"/>
      <c r="BK14" s="156"/>
      <c r="BL14" s="156"/>
      <c r="BM14" s="156"/>
      <c r="BN14" s="156"/>
      <c r="BO14" s="156"/>
      <c r="BP14" s="156"/>
      <c r="BQ14" s="156"/>
      <c r="BR14" s="156"/>
      <c r="BS14" s="156"/>
      <c r="BT14" s="156"/>
      <c r="BU14" s="156"/>
      <c r="BV14" s="156"/>
      <c r="BW14" s="156"/>
      <c r="BX14" s="156"/>
      <c r="BY14" s="156"/>
      <c r="BZ14" s="156"/>
      <c r="CA14" s="156"/>
      <c r="CB14" s="156"/>
      <c r="CC14" s="156"/>
      <c r="CD14" s="156"/>
      <c r="CE14" s="156"/>
      <c r="CF14" s="156"/>
      <c r="CG14" s="156"/>
      <c r="CH14" s="156"/>
      <c r="CI14" s="156"/>
      <c r="CJ14" s="156"/>
      <c r="CK14" s="156"/>
      <c r="CL14" s="156"/>
      <c r="CM14" s="156"/>
      <c r="CN14" s="156"/>
      <c r="CO14" s="156"/>
      <c r="CP14" s="156"/>
      <c r="CQ14" s="156"/>
      <c r="CR14" s="156"/>
      <c r="CS14" s="156"/>
      <c r="CT14" s="156"/>
      <c r="CU14" s="156"/>
      <c r="CV14" s="156"/>
      <c r="CW14" s="156"/>
      <c r="CX14" s="156"/>
      <c r="CY14" s="156"/>
      <c r="CZ14" s="156"/>
      <c r="DA14" s="156"/>
      <c r="DB14" s="156"/>
      <c r="DC14" s="156"/>
      <c r="DD14" s="156"/>
      <c r="DE14" s="156"/>
      <c r="DF14" s="156"/>
      <c r="DG14" s="156"/>
      <c r="DH14" s="156"/>
      <c r="DI14" s="156"/>
      <c r="DJ14" s="156"/>
      <c r="DK14" s="156"/>
      <c r="DL14" s="156"/>
      <c r="DM14" s="156"/>
      <c r="DN14" s="156"/>
      <c r="DO14" s="156"/>
    </row>
    <row r="15" spans="1:119" x14ac:dyDescent="0.2">
      <c r="A15" s="166"/>
      <c r="B15" s="199" t="s">
        <v>213</v>
      </c>
      <c r="C15" s="200" t="s">
        <v>209</v>
      </c>
      <c r="D15" s="201">
        <f>MAX(D13,D14)</f>
        <v>1100</v>
      </c>
      <c r="E15" s="479"/>
      <c r="F15" s="480"/>
      <c r="G15" s="480"/>
      <c r="H15" s="480"/>
      <c r="I15" s="480"/>
      <c r="J15" s="480"/>
      <c r="K15" s="480"/>
      <c r="L15" s="480"/>
      <c r="M15" s="480"/>
      <c r="N15" s="480"/>
      <c r="O15" s="481"/>
      <c r="P15" s="71"/>
      <c r="S15" s="184">
        <v>5</v>
      </c>
      <c r="T15" s="185" t="s">
        <v>214</v>
      </c>
      <c r="U15" s="186">
        <v>1</v>
      </c>
      <c r="V15" s="463" t="s">
        <v>215</v>
      </c>
      <c r="W15" s="464"/>
      <c r="X15" s="464"/>
      <c r="Y15" s="464"/>
      <c r="Z15" s="465"/>
      <c r="AA15" s="71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156"/>
      <c r="AN15" s="156"/>
      <c r="AO15" s="156"/>
      <c r="AP15" s="156"/>
      <c r="AQ15" s="156"/>
      <c r="AR15" s="156"/>
      <c r="AS15" s="156"/>
      <c r="AT15" s="156"/>
      <c r="AU15" s="156"/>
      <c r="AV15" s="156"/>
      <c r="AW15" s="156"/>
      <c r="AX15" s="156"/>
      <c r="AY15" s="156"/>
      <c r="AZ15" s="156"/>
      <c r="BA15" s="156"/>
      <c r="BB15" s="156"/>
      <c r="BC15" s="156"/>
      <c r="BD15" s="156"/>
      <c r="BE15" s="156"/>
      <c r="BF15" s="156"/>
      <c r="BG15" s="156"/>
      <c r="BH15" s="156"/>
      <c r="BI15" s="156"/>
      <c r="BJ15" s="156"/>
      <c r="BK15" s="156"/>
      <c r="BL15" s="156"/>
      <c r="BM15" s="156"/>
      <c r="BN15" s="156"/>
      <c r="BO15" s="156"/>
      <c r="BP15" s="156"/>
      <c r="BQ15" s="156"/>
      <c r="BR15" s="156"/>
      <c r="BS15" s="156"/>
      <c r="BT15" s="156"/>
      <c r="BU15" s="156"/>
      <c r="BV15" s="156"/>
      <c r="BW15" s="156"/>
      <c r="BX15" s="156"/>
      <c r="BY15" s="156"/>
      <c r="BZ15" s="156"/>
      <c r="CA15" s="156"/>
      <c r="CB15" s="156"/>
      <c r="CC15" s="156"/>
      <c r="CD15" s="156"/>
      <c r="CE15" s="156"/>
      <c r="CF15" s="156"/>
      <c r="CG15" s="156"/>
      <c r="CH15" s="156"/>
      <c r="CI15" s="156"/>
      <c r="CJ15" s="156"/>
      <c r="CK15" s="156"/>
      <c r="CL15" s="156"/>
      <c r="CM15" s="156"/>
      <c r="CN15" s="156"/>
      <c r="CO15" s="156"/>
      <c r="CP15" s="156"/>
      <c r="CQ15" s="156"/>
      <c r="CR15" s="156"/>
      <c r="CS15" s="156"/>
      <c r="CT15" s="156"/>
      <c r="CU15" s="156"/>
      <c r="CV15" s="156"/>
      <c r="CW15" s="156"/>
      <c r="CX15" s="156"/>
      <c r="CY15" s="156"/>
      <c r="CZ15" s="156"/>
      <c r="DA15" s="156"/>
      <c r="DB15" s="156"/>
      <c r="DC15" s="156"/>
      <c r="DD15" s="156"/>
      <c r="DE15" s="156"/>
      <c r="DF15" s="156"/>
      <c r="DG15" s="156"/>
      <c r="DH15" s="156"/>
      <c r="DI15" s="156"/>
      <c r="DJ15" s="156"/>
      <c r="DK15" s="156"/>
      <c r="DL15" s="156"/>
      <c r="DM15" s="156"/>
      <c r="DN15" s="156"/>
      <c r="DO15" s="156"/>
    </row>
    <row r="16" spans="1:119" ht="24.75" customHeight="1" x14ac:dyDescent="0.2">
      <c r="A16" s="173">
        <v>6</v>
      </c>
      <c r="B16" s="174" t="s">
        <v>216</v>
      </c>
      <c r="C16" s="202" t="s">
        <v>209</v>
      </c>
      <c r="D16" s="179">
        <f>IF(OR(D12=6,D12=8),6,IF(OR(D12=10,D12=12,D12=14,D12=16,AND(D12=20,D15&lt;=2000)),8,10))</f>
        <v>6</v>
      </c>
      <c r="E16" s="482" t="s">
        <v>217</v>
      </c>
      <c r="F16" s="483"/>
      <c r="G16" s="483"/>
      <c r="H16" s="483"/>
      <c r="I16" s="483"/>
      <c r="J16" s="483"/>
      <c r="K16" s="483"/>
      <c r="L16" s="483"/>
      <c r="M16" s="483"/>
      <c r="N16" s="483"/>
      <c r="O16" s="484"/>
      <c r="P16" s="54"/>
      <c r="S16" s="184">
        <v>6</v>
      </c>
      <c r="T16" s="185" t="s">
        <v>218</v>
      </c>
      <c r="U16" s="186">
        <v>1</v>
      </c>
      <c r="V16" s="463" t="s">
        <v>219</v>
      </c>
      <c r="W16" s="464"/>
      <c r="X16" s="464"/>
      <c r="Y16" s="464"/>
      <c r="Z16" s="465"/>
      <c r="AA16" s="71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156"/>
      <c r="AN16" s="156"/>
      <c r="AO16" s="156"/>
      <c r="AP16" s="156"/>
      <c r="AQ16" s="156"/>
      <c r="AR16" s="156"/>
      <c r="AS16" s="156"/>
      <c r="AT16" s="156"/>
      <c r="AU16" s="156"/>
      <c r="AV16" s="156"/>
      <c r="AW16" s="156"/>
      <c r="AX16" s="156"/>
      <c r="AY16" s="156"/>
      <c r="AZ16" s="156"/>
      <c r="BA16" s="156"/>
      <c r="BB16" s="156"/>
      <c r="BC16" s="156"/>
      <c r="BD16" s="156"/>
      <c r="BE16" s="156"/>
      <c r="BF16" s="156"/>
      <c r="BG16" s="156"/>
      <c r="BH16" s="156"/>
      <c r="BI16" s="156"/>
      <c r="BJ16" s="156"/>
      <c r="BK16" s="156"/>
      <c r="BL16" s="156"/>
      <c r="BM16" s="156"/>
      <c r="BN16" s="156"/>
      <c r="BO16" s="156"/>
      <c r="BP16" s="156"/>
      <c r="BQ16" s="156"/>
      <c r="BR16" s="156"/>
      <c r="BS16" s="156"/>
      <c r="BT16" s="156"/>
      <c r="BU16" s="156"/>
      <c r="BV16" s="156"/>
      <c r="BW16" s="156"/>
      <c r="BX16" s="156"/>
      <c r="BY16" s="156"/>
      <c r="BZ16" s="156"/>
      <c r="CA16" s="156"/>
      <c r="CB16" s="156"/>
      <c r="CC16" s="156"/>
      <c r="CD16" s="156"/>
      <c r="CE16" s="156"/>
      <c r="CF16" s="156"/>
      <c r="CG16" s="156"/>
      <c r="CH16" s="156"/>
      <c r="CI16" s="156"/>
      <c r="CJ16" s="156"/>
      <c r="CK16" s="156"/>
      <c r="CL16" s="156"/>
      <c r="CM16" s="156"/>
      <c r="CN16" s="156"/>
      <c r="CO16" s="156"/>
      <c r="CP16" s="156"/>
      <c r="CQ16" s="156"/>
      <c r="CR16" s="156"/>
      <c r="CS16" s="156"/>
      <c r="CT16" s="156"/>
      <c r="CU16" s="156"/>
      <c r="CV16" s="156"/>
      <c r="CW16" s="156"/>
      <c r="CX16" s="156"/>
      <c r="CY16" s="156"/>
      <c r="CZ16" s="156"/>
      <c r="DA16" s="156"/>
      <c r="DB16" s="156"/>
      <c r="DC16" s="156"/>
      <c r="DD16" s="156"/>
      <c r="DE16" s="156"/>
      <c r="DF16" s="156"/>
      <c r="DG16" s="156"/>
      <c r="DH16" s="156"/>
      <c r="DI16" s="156"/>
      <c r="DJ16" s="156"/>
      <c r="DK16" s="156"/>
      <c r="DL16" s="156"/>
      <c r="DM16" s="156"/>
      <c r="DN16" s="156"/>
      <c r="DO16" s="156"/>
    </row>
    <row r="17" spans="1:242" x14ac:dyDescent="0.2">
      <c r="A17" s="173">
        <v>7</v>
      </c>
      <c r="B17" s="203" t="s">
        <v>220</v>
      </c>
      <c r="C17" s="202" t="s">
        <v>209</v>
      </c>
      <c r="D17" s="169">
        <f>ROUNDDOWN(IF(D9&lt;=750,(D9-180)/(D12+D16),(D9-260)/(D12+D16)),0)</f>
        <v>61</v>
      </c>
      <c r="E17" s="447" t="s">
        <v>221</v>
      </c>
      <c r="F17" s="448"/>
      <c r="G17" s="448"/>
      <c r="H17" s="448"/>
      <c r="I17" s="448"/>
      <c r="J17" s="448"/>
      <c r="K17" s="448"/>
      <c r="L17" s="448"/>
      <c r="M17" s="448"/>
      <c r="N17" s="448"/>
      <c r="O17" s="449"/>
      <c r="P17" s="71"/>
      <c r="S17" s="184">
        <v>7</v>
      </c>
      <c r="T17" s="185" t="s">
        <v>222</v>
      </c>
      <c r="U17" s="186">
        <v>2</v>
      </c>
      <c r="V17" s="463" t="s">
        <v>223</v>
      </c>
      <c r="W17" s="464"/>
      <c r="X17" s="464"/>
      <c r="Y17" s="464"/>
      <c r="Z17" s="465"/>
      <c r="AA17" s="71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156"/>
      <c r="AQ17" s="156"/>
      <c r="AR17" s="156"/>
      <c r="AS17" s="156"/>
      <c r="AT17" s="156"/>
      <c r="AU17" s="156"/>
      <c r="AV17" s="156"/>
      <c r="AW17" s="156"/>
      <c r="AX17" s="156"/>
      <c r="AY17" s="156"/>
      <c r="AZ17" s="156"/>
      <c r="BA17" s="156"/>
      <c r="BB17" s="156"/>
      <c r="BC17" s="156"/>
      <c r="BD17" s="156"/>
      <c r="BE17" s="156"/>
      <c r="BF17" s="156"/>
      <c r="BG17" s="156"/>
      <c r="BH17" s="156"/>
      <c r="BI17" s="156"/>
      <c r="BJ17" s="156"/>
      <c r="BK17" s="156"/>
      <c r="BL17" s="156"/>
      <c r="BM17" s="156"/>
      <c r="BN17" s="156"/>
      <c r="BO17" s="156"/>
      <c r="BP17" s="156"/>
      <c r="BQ17" s="156"/>
      <c r="BR17" s="156"/>
      <c r="BS17" s="156"/>
      <c r="BT17" s="156"/>
      <c r="BU17" s="156"/>
      <c r="BV17" s="156"/>
      <c r="BW17" s="156"/>
      <c r="BX17" s="156"/>
      <c r="BY17" s="156"/>
      <c r="BZ17" s="156"/>
      <c r="CA17" s="156"/>
      <c r="CB17" s="156"/>
      <c r="CC17" s="156"/>
      <c r="CD17" s="156"/>
      <c r="CE17" s="156"/>
      <c r="CF17" s="156"/>
      <c r="CG17" s="156"/>
      <c r="CH17" s="156"/>
      <c r="CI17" s="156"/>
      <c r="CJ17" s="156"/>
      <c r="CK17" s="156"/>
      <c r="CL17" s="156"/>
      <c r="CM17" s="156"/>
      <c r="CN17" s="156"/>
      <c r="CO17" s="156"/>
      <c r="CP17" s="156"/>
      <c r="CQ17" s="156"/>
      <c r="CR17" s="156"/>
      <c r="CS17" s="156"/>
      <c r="CT17" s="156"/>
      <c r="CU17" s="156"/>
      <c r="CV17" s="156"/>
      <c r="CW17" s="156"/>
      <c r="CX17" s="156"/>
      <c r="CY17" s="156"/>
      <c r="CZ17" s="156"/>
      <c r="DA17" s="156"/>
      <c r="DB17" s="156"/>
      <c r="DC17" s="156"/>
      <c r="DD17" s="156"/>
      <c r="DE17" s="156"/>
      <c r="DF17" s="156"/>
      <c r="DG17" s="156"/>
      <c r="DH17" s="156"/>
      <c r="DI17" s="156"/>
      <c r="DJ17" s="156"/>
      <c r="DK17" s="156"/>
      <c r="DL17" s="156"/>
      <c r="DM17" s="156"/>
      <c r="DN17" s="156"/>
      <c r="DO17" s="156"/>
    </row>
    <row r="18" spans="1:242" ht="13.5" thickBot="1" x14ac:dyDescent="0.25">
      <c r="A18" s="204"/>
      <c r="B18" s="54"/>
      <c r="C18" s="205"/>
      <c r="D18" s="206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207"/>
      <c r="P18" s="71"/>
      <c r="S18" s="184">
        <v>8</v>
      </c>
      <c r="T18" s="185" t="s">
        <v>224</v>
      </c>
      <c r="U18" s="186">
        <v>2</v>
      </c>
      <c r="V18" s="463" t="s">
        <v>225</v>
      </c>
      <c r="W18" s="464"/>
      <c r="X18" s="464"/>
      <c r="Y18" s="464"/>
      <c r="Z18" s="465"/>
      <c r="AA18" s="71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156"/>
      <c r="AQ18" s="156"/>
      <c r="AR18" s="156"/>
      <c r="AS18" s="156"/>
      <c r="AT18" s="156"/>
      <c r="AU18" s="156"/>
      <c r="AV18" s="156"/>
      <c r="AW18" s="156"/>
      <c r="AX18" s="156"/>
      <c r="AY18" s="156"/>
      <c r="AZ18" s="156"/>
      <c r="BA18" s="156"/>
      <c r="BB18" s="156"/>
      <c r="BC18" s="156"/>
      <c r="BD18" s="156"/>
      <c r="BE18" s="156"/>
      <c r="BF18" s="156"/>
      <c r="BG18" s="156"/>
      <c r="BH18" s="156"/>
      <c r="BI18" s="156"/>
      <c r="BJ18" s="156"/>
      <c r="BK18" s="156"/>
      <c r="BL18" s="156"/>
      <c r="BM18" s="156"/>
      <c r="BN18" s="156"/>
      <c r="BO18" s="156"/>
      <c r="BP18" s="156"/>
      <c r="BQ18" s="156"/>
      <c r="BR18" s="156"/>
      <c r="BS18" s="156"/>
      <c r="BT18" s="156"/>
      <c r="BU18" s="156"/>
      <c r="BV18" s="156"/>
      <c r="BW18" s="156"/>
      <c r="BX18" s="156"/>
      <c r="BY18" s="156"/>
      <c r="BZ18" s="156"/>
      <c r="CA18" s="156"/>
      <c r="CB18" s="156"/>
      <c r="CC18" s="156"/>
      <c r="CD18" s="156"/>
      <c r="CE18" s="156"/>
      <c r="CF18" s="156"/>
      <c r="CG18" s="156"/>
      <c r="CH18" s="156"/>
      <c r="CI18" s="156"/>
      <c r="CJ18" s="156"/>
      <c r="CK18" s="156"/>
      <c r="CL18" s="156"/>
      <c r="CM18" s="156"/>
      <c r="CN18" s="156"/>
      <c r="CO18" s="156"/>
      <c r="CP18" s="156"/>
      <c r="CQ18" s="156"/>
      <c r="CR18" s="156"/>
      <c r="CS18" s="156"/>
      <c r="CT18" s="156"/>
      <c r="CU18" s="156"/>
      <c r="CV18" s="156"/>
      <c r="CW18" s="156"/>
      <c r="CX18" s="156"/>
      <c r="CY18" s="156"/>
      <c r="CZ18" s="156"/>
      <c r="DA18" s="156"/>
      <c r="DB18" s="156"/>
      <c r="DC18" s="156"/>
      <c r="DD18" s="156"/>
      <c r="DE18" s="156"/>
      <c r="DF18" s="156"/>
      <c r="DG18" s="156"/>
      <c r="DH18" s="156"/>
      <c r="DI18" s="156"/>
      <c r="DJ18" s="156"/>
      <c r="DK18" s="156"/>
      <c r="DL18" s="156"/>
      <c r="DM18" s="156"/>
      <c r="DN18" s="156"/>
      <c r="DO18" s="156"/>
    </row>
    <row r="19" spans="1:242" ht="15" x14ac:dyDescent="0.2">
      <c r="A19" s="81"/>
      <c r="B19" s="71"/>
      <c r="C19" s="71"/>
      <c r="D19" s="71"/>
      <c r="E19" s="165"/>
      <c r="F19" s="485" t="s">
        <v>226</v>
      </c>
      <c r="G19" s="486"/>
      <c r="H19" s="486"/>
      <c r="I19" s="486"/>
      <c r="J19" s="486"/>
      <c r="K19" s="486"/>
      <c r="L19" s="486"/>
      <c r="M19" s="486"/>
      <c r="N19" s="486"/>
      <c r="O19" s="487"/>
      <c r="P19" s="151"/>
      <c r="S19" s="184">
        <v>9</v>
      </c>
      <c r="T19" s="185" t="s">
        <v>227</v>
      </c>
      <c r="U19" s="208">
        <f>C29</f>
        <v>4</v>
      </c>
      <c r="V19" s="463" t="s">
        <v>228</v>
      </c>
      <c r="W19" s="464"/>
      <c r="X19" s="464"/>
      <c r="Y19" s="464"/>
      <c r="Z19" s="465"/>
      <c r="AA19" s="71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156"/>
      <c r="AQ19" s="156"/>
      <c r="AR19" s="156"/>
      <c r="AS19" s="156"/>
      <c r="AT19" s="156"/>
      <c r="AU19" s="156"/>
      <c r="AV19" s="156"/>
      <c r="AW19" s="156"/>
      <c r="AX19" s="156"/>
      <c r="AY19" s="156"/>
      <c r="AZ19" s="156"/>
      <c r="BA19" s="156"/>
      <c r="BB19" s="156"/>
      <c r="BC19" s="156"/>
      <c r="BD19" s="156"/>
      <c r="BE19" s="156"/>
      <c r="BF19" s="156"/>
      <c r="BG19" s="156"/>
      <c r="BH19" s="156"/>
      <c r="BI19" s="156"/>
      <c r="BJ19" s="156"/>
      <c r="BK19" s="156"/>
      <c r="BL19" s="156"/>
      <c r="BM19" s="156"/>
      <c r="BN19" s="156"/>
      <c r="BO19" s="156"/>
      <c r="BP19" s="156"/>
      <c r="BQ19" s="156"/>
      <c r="BR19" s="156"/>
      <c r="BS19" s="156"/>
      <c r="BT19" s="156"/>
      <c r="BU19" s="156"/>
      <c r="BV19" s="156"/>
      <c r="BW19" s="156"/>
      <c r="BX19" s="156"/>
      <c r="BY19" s="156"/>
      <c r="BZ19" s="156"/>
      <c r="CA19" s="156"/>
      <c r="CB19" s="156"/>
      <c r="CC19" s="156"/>
      <c r="CD19" s="156"/>
      <c r="CE19" s="156"/>
      <c r="CF19" s="156"/>
      <c r="CG19" s="156"/>
      <c r="CH19" s="156"/>
      <c r="CI19" s="156"/>
      <c r="CJ19" s="156"/>
      <c r="CK19" s="156"/>
      <c r="CL19" s="156"/>
      <c r="CM19" s="156"/>
      <c r="CN19" s="156"/>
      <c r="CO19" s="156"/>
      <c r="CP19" s="156"/>
      <c r="CQ19" s="156"/>
      <c r="CR19" s="156"/>
      <c r="CS19" s="156"/>
      <c r="CT19" s="156"/>
      <c r="CU19" s="156"/>
      <c r="CV19" s="156"/>
      <c r="CW19" s="156"/>
      <c r="CX19" s="156"/>
      <c r="CY19" s="156"/>
      <c r="CZ19" s="156"/>
      <c r="DA19" s="156"/>
      <c r="DB19" s="156"/>
      <c r="DC19" s="156"/>
      <c r="DD19" s="156"/>
      <c r="DE19" s="156"/>
      <c r="DF19" s="156"/>
      <c r="DG19" s="156"/>
      <c r="DH19" s="156"/>
      <c r="DI19" s="156"/>
      <c r="DJ19" s="156"/>
      <c r="DK19" s="156"/>
      <c r="DL19" s="156"/>
      <c r="DM19" s="156"/>
      <c r="DN19" s="156"/>
      <c r="DO19" s="156"/>
    </row>
    <row r="20" spans="1:242" ht="15.75" thickBot="1" x14ac:dyDescent="0.25">
      <c r="A20" s="81"/>
      <c r="B20" s="71"/>
      <c r="C20" s="71"/>
      <c r="D20" s="71"/>
      <c r="E20" s="71"/>
      <c r="F20" s="488" t="s">
        <v>229</v>
      </c>
      <c r="G20" s="489"/>
      <c r="H20" s="489"/>
      <c r="I20" s="489"/>
      <c r="J20" s="489"/>
      <c r="K20" s="489"/>
      <c r="L20" s="489"/>
      <c r="M20" s="489"/>
      <c r="N20" s="489"/>
      <c r="O20" s="490"/>
      <c r="P20" s="209"/>
      <c r="S20" s="184">
        <v>10</v>
      </c>
      <c r="T20" s="185" t="s">
        <v>230</v>
      </c>
      <c r="U20" s="208">
        <f>C29</f>
        <v>4</v>
      </c>
      <c r="V20" s="463" t="s">
        <v>231</v>
      </c>
      <c r="W20" s="464"/>
      <c r="X20" s="464"/>
      <c r="Y20" s="464"/>
      <c r="Z20" s="465"/>
      <c r="AA20" s="71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56"/>
      <c r="AQ20" s="156"/>
      <c r="AR20" s="156"/>
      <c r="AS20" s="156"/>
      <c r="AT20" s="156"/>
      <c r="AU20" s="156"/>
      <c r="AV20" s="156"/>
      <c r="AW20" s="156"/>
      <c r="AX20" s="156"/>
      <c r="AY20" s="156"/>
      <c r="AZ20" s="156"/>
      <c r="BA20" s="156"/>
      <c r="BB20" s="156"/>
      <c r="BC20" s="156"/>
      <c r="BD20" s="156"/>
      <c r="BE20" s="156"/>
      <c r="BF20" s="156"/>
      <c r="BG20" s="156"/>
      <c r="BH20" s="156"/>
      <c r="BI20" s="156"/>
      <c r="BJ20" s="156"/>
      <c r="BK20" s="156"/>
      <c r="BL20" s="156"/>
      <c r="BM20" s="156"/>
      <c r="BN20" s="156"/>
      <c r="BO20" s="156"/>
      <c r="BP20" s="156"/>
      <c r="BQ20" s="156"/>
      <c r="BR20" s="156"/>
      <c r="BS20" s="156"/>
      <c r="BT20" s="156"/>
      <c r="BU20" s="156"/>
      <c r="BV20" s="156"/>
      <c r="BW20" s="156"/>
      <c r="BX20" s="156"/>
      <c r="BY20" s="156"/>
      <c r="BZ20" s="156"/>
      <c r="CA20" s="156"/>
      <c r="CB20" s="156"/>
      <c r="CC20" s="156"/>
      <c r="CD20" s="156"/>
      <c r="CE20" s="156"/>
      <c r="CF20" s="156"/>
      <c r="CG20" s="156"/>
      <c r="CH20" s="156"/>
      <c r="CI20" s="156"/>
      <c r="CJ20" s="156"/>
      <c r="CK20" s="156"/>
      <c r="CL20" s="156"/>
      <c r="CM20" s="156"/>
      <c r="CN20" s="156"/>
      <c r="CO20" s="156"/>
      <c r="CP20" s="156"/>
      <c r="CQ20" s="156"/>
      <c r="CR20" s="156"/>
      <c r="CS20" s="156"/>
      <c r="CT20" s="156"/>
      <c r="CU20" s="156"/>
      <c r="CV20" s="156"/>
      <c r="CW20" s="156"/>
      <c r="CX20" s="156"/>
      <c r="CY20" s="156"/>
      <c r="CZ20" s="156"/>
      <c r="DA20" s="156"/>
      <c r="DB20" s="156"/>
      <c r="DC20" s="156"/>
      <c r="DD20" s="156"/>
      <c r="DE20" s="156"/>
      <c r="DF20" s="156"/>
      <c r="DG20" s="156"/>
      <c r="DH20" s="156"/>
      <c r="DI20" s="156"/>
      <c r="DJ20" s="156"/>
      <c r="DK20" s="156"/>
      <c r="DL20" s="156"/>
      <c r="DM20" s="156"/>
      <c r="DN20" s="156"/>
      <c r="DO20" s="156"/>
    </row>
    <row r="21" spans="1:242" ht="13.5" thickBot="1" x14ac:dyDescent="0.25">
      <c r="A21" s="81"/>
      <c r="B21" s="210" t="s">
        <v>232</v>
      </c>
      <c r="C21" s="211"/>
      <c r="D21" s="212"/>
      <c r="E21" s="71"/>
      <c r="F21" s="498" t="s">
        <v>233</v>
      </c>
      <c r="G21" s="499"/>
      <c r="H21" s="499"/>
      <c r="I21" s="499"/>
      <c r="J21" s="499"/>
      <c r="K21" s="499"/>
      <c r="L21" s="499"/>
      <c r="M21" s="499"/>
      <c r="N21" s="499"/>
      <c r="O21" s="500"/>
      <c r="P21" s="213"/>
      <c r="S21" s="184">
        <v>11</v>
      </c>
      <c r="T21" s="214" t="s">
        <v>234</v>
      </c>
      <c r="U21" s="186">
        <v>1</v>
      </c>
      <c r="V21" s="463"/>
      <c r="W21" s="464"/>
      <c r="X21" s="464"/>
      <c r="Y21" s="464"/>
      <c r="Z21" s="465"/>
      <c r="AA21" s="71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6"/>
      <c r="AP21" s="156"/>
      <c r="AQ21" s="156"/>
      <c r="AR21" s="156"/>
      <c r="AS21" s="156"/>
      <c r="AT21" s="156"/>
      <c r="AU21" s="156"/>
      <c r="AV21" s="156"/>
      <c r="AW21" s="156"/>
      <c r="AX21" s="156"/>
      <c r="AY21" s="156"/>
      <c r="AZ21" s="156"/>
      <c r="BA21" s="156"/>
      <c r="BB21" s="156"/>
      <c r="BC21" s="156"/>
      <c r="BD21" s="156"/>
      <c r="BE21" s="156"/>
      <c r="BF21" s="156"/>
      <c r="BG21" s="156"/>
      <c r="BH21" s="156"/>
      <c r="BI21" s="156"/>
      <c r="BJ21" s="156"/>
      <c r="BK21" s="156"/>
      <c r="BL21" s="156"/>
      <c r="BM21" s="156"/>
      <c r="BN21" s="156"/>
      <c r="BO21" s="156"/>
      <c r="BP21" s="156"/>
      <c r="BQ21" s="156"/>
      <c r="BR21" s="156"/>
      <c r="BS21" s="156"/>
      <c r="BT21" s="156"/>
      <c r="BU21" s="156"/>
      <c r="BV21" s="156"/>
      <c r="BW21" s="156"/>
      <c r="BX21" s="156"/>
      <c r="BY21" s="156"/>
      <c r="BZ21" s="156"/>
      <c r="CA21" s="156"/>
      <c r="CB21" s="156"/>
      <c r="CC21" s="156"/>
      <c r="CD21" s="156"/>
      <c r="CE21" s="156"/>
      <c r="CF21" s="156"/>
      <c r="CG21" s="156"/>
      <c r="CH21" s="156"/>
      <c r="CI21" s="156"/>
      <c r="CJ21" s="156"/>
      <c r="CK21" s="156"/>
      <c r="CL21" s="156"/>
      <c r="CM21" s="156"/>
      <c r="CN21" s="156"/>
      <c r="CO21" s="156"/>
      <c r="CP21" s="156"/>
      <c r="CQ21" s="156"/>
      <c r="CR21" s="156"/>
      <c r="CS21" s="156"/>
      <c r="CT21" s="156"/>
      <c r="CU21" s="156"/>
      <c r="CV21" s="156"/>
      <c r="CW21" s="156"/>
      <c r="CX21" s="156"/>
      <c r="CY21" s="156"/>
      <c r="CZ21" s="156"/>
      <c r="DA21" s="156"/>
      <c r="DB21" s="156"/>
      <c r="DC21" s="156"/>
      <c r="DD21" s="156"/>
      <c r="DE21" s="156"/>
      <c r="DF21" s="156"/>
      <c r="DG21" s="156"/>
      <c r="DH21" s="156"/>
      <c r="DI21" s="156"/>
      <c r="DJ21" s="156"/>
      <c r="DK21" s="156"/>
      <c r="DL21" s="156"/>
      <c r="DM21" s="156"/>
      <c r="DN21" s="156"/>
      <c r="DO21" s="156"/>
    </row>
    <row r="22" spans="1:242" x14ac:dyDescent="0.2">
      <c r="A22" s="81"/>
      <c r="B22" s="215" t="s">
        <v>235</v>
      </c>
      <c r="C22" s="216">
        <f>D17</f>
        <v>61</v>
      </c>
      <c r="D22" s="217" t="s">
        <v>236</v>
      </c>
      <c r="E22" s="71"/>
      <c r="F22" s="491" t="s">
        <v>237</v>
      </c>
      <c r="G22" s="493" t="s">
        <v>238</v>
      </c>
      <c r="H22" s="495" t="s">
        <v>239</v>
      </c>
      <c r="I22" s="493" t="s">
        <v>240</v>
      </c>
      <c r="J22" s="495" t="s">
        <v>241</v>
      </c>
      <c r="K22" s="501" t="s">
        <v>242</v>
      </c>
      <c r="L22" s="502"/>
      <c r="M22" s="505" t="s">
        <v>243</v>
      </c>
      <c r="N22" s="507" t="s">
        <v>244</v>
      </c>
      <c r="O22" s="508"/>
      <c r="S22" s="184">
        <v>12</v>
      </c>
      <c r="T22" s="214" t="s">
        <v>245</v>
      </c>
      <c r="U22" s="186">
        <v>1</v>
      </c>
      <c r="V22" s="463"/>
      <c r="W22" s="464"/>
      <c r="X22" s="464"/>
      <c r="Y22" s="464"/>
      <c r="Z22" s="465"/>
      <c r="AA22" s="71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6"/>
      <c r="AP22" s="156"/>
      <c r="AQ22" s="156"/>
      <c r="AR22" s="156"/>
      <c r="AS22" s="156"/>
      <c r="AT22" s="156"/>
      <c r="AU22" s="156"/>
      <c r="AV22" s="156"/>
      <c r="AW22" s="156"/>
      <c r="AX22" s="156"/>
      <c r="AY22" s="156"/>
      <c r="AZ22" s="156"/>
      <c r="BA22" s="156"/>
      <c r="BB22" s="156"/>
      <c r="BC22" s="156"/>
      <c r="BD22" s="156"/>
      <c r="BE22" s="156"/>
      <c r="BF22" s="156"/>
      <c r="BG22" s="156"/>
      <c r="BH22" s="156"/>
      <c r="BI22" s="156"/>
      <c r="BJ22" s="156"/>
      <c r="BK22" s="156"/>
      <c r="BL22" s="156"/>
      <c r="BM22" s="156"/>
      <c r="BN22" s="156"/>
      <c r="BO22" s="156"/>
      <c r="BP22" s="156"/>
      <c r="BQ22" s="156"/>
      <c r="BR22" s="156"/>
      <c r="BS22" s="156"/>
      <c r="BT22" s="156"/>
      <c r="BU22" s="156"/>
      <c r="BV22" s="156"/>
      <c r="BW22" s="156"/>
      <c r="BX22" s="156"/>
      <c r="BY22" s="156"/>
      <c r="BZ22" s="156"/>
      <c r="CA22" s="156"/>
      <c r="CB22" s="156"/>
      <c r="CC22" s="156"/>
      <c r="CD22" s="156"/>
      <c r="CE22" s="156"/>
      <c r="CF22" s="156"/>
      <c r="CG22" s="156"/>
      <c r="CH22" s="156"/>
      <c r="CI22" s="156"/>
      <c r="CJ22" s="156"/>
      <c r="CK22" s="156"/>
      <c r="CL22" s="156"/>
      <c r="CM22" s="156"/>
      <c r="CN22" s="156"/>
      <c r="CO22" s="156"/>
      <c r="CP22" s="156"/>
      <c r="CQ22" s="156"/>
      <c r="CR22" s="156"/>
      <c r="CS22" s="156"/>
      <c r="CT22" s="156"/>
      <c r="CU22" s="156"/>
      <c r="CV22" s="156"/>
      <c r="CW22" s="156"/>
      <c r="CX22" s="156"/>
      <c r="CY22" s="156"/>
      <c r="CZ22" s="156"/>
      <c r="DA22" s="156"/>
      <c r="DB22" s="156"/>
      <c r="DC22" s="156"/>
      <c r="DD22" s="156"/>
      <c r="DE22" s="156"/>
      <c r="DF22" s="156"/>
      <c r="DG22" s="156"/>
      <c r="DH22" s="156"/>
      <c r="DI22" s="156"/>
      <c r="DJ22" s="156"/>
      <c r="DK22" s="156"/>
      <c r="DL22" s="156"/>
      <c r="DM22" s="156"/>
      <c r="DN22" s="156"/>
      <c r="DO22" s="156"/>
    </row>
    <row r="23" spans="1:242" ht="15" x14ac:dyDescent="0.25">
      <c r="A23" s="81"/>
      <c r="B23" s="218" t="s">
        <v>246</v>
      </c>
      <c r="C23" s="219">
        <v>8.1999999999999993</v>
      </c>
      <c r="D23" s="220" t="s">
        <v>247</v>
      </c>
      <c r="E23" s="71"/>
      <c r="F23" s="492"/>
      <c r="G23" s="494"/>
      <c r="H23" s="496"/>
      <c r="I23" s="494"/>
      <c r="J23" s="497"/>
      <c r="K23" s="503"/>
      <c r="L23" s="504"/>
      <c r="M23" s="506"/>
      <c r="N23" s="509"/>
      <c r="O23" s="510"/>
      <c r="S23" s="184">
        <v>13</v>
      </c>
      <c r="T23" s="214" t="s">
        <v>248</v>
      </c>
      <c r="U23" s="186">
        <v>3</v>
      </c>
      <c r="V23" s="463" t="s">
        <v>249</v>
      </c>
      <c r="W23" s="464"/>
      <c r="X23" s="464"/>
      <c r="Y23" s="464"/>
      <c r="Z23" s="465"/>
      <c r="AA23" s="71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  <c r="AR23" s="156"/>
      <c r="AS23" s="156"/>
      <c r="AT23" s="156"/>
      <c r="AU23" s="156"/>
      <c r="AV23" s="156"/>
      <c r="AW23" s="156"/>
      <c r="AX23" s="156"/>
      <c r="AY23" s="156"/>
      <c r="AZ23" s="156"/>
      <c r="BA23" s="156"/>
      <c r="BB23" s="156"/>
      <c r="BC23" s="156"/>
      <c r="BD23" s="156"/>
      <c r="BE23" s="156"/>
      <c r="BF23" s="156"/>
      <c r="BG23" s="156"/>
      <c r="BH23" s="156"/>
      <c r="BI23" s="156"/>
      <c r="BJ23" s="156"/>
      <c r="BK23" s="156"/>
      <c r="BL23" s="156"/>
      <c r="BM23" s="156"/>
      <c r="BN23" s="156"/>
      <c r="BO23" s="156"/>
      <c r="BP23" s="156"/>
      <c r="BQ23" s="156"/>
      <c r="BR23" s="156"/>
      <c r="BS23" s="156"/>
      <c r="BT23" s="156"/>
      <c r="BU23" s="156"/>
      <c r="BV23" s="156"/>
      <c r="BW23" s="156"/>
      <c r="BX23" s="156"/>
      <c r="BY23" s="156"/>
      <c r="BZ23" s="156"/>
      <c r="CA23" s="156"/>
      <c r="CB23" s="156"/>
      <c r="CC23" s="156"/>
      <c r="CD23" s="156"/>
      <c r="CE23" s="156"/>
      <c r="CF23" s="156"/>
      <c r="CG23" s="156"/>
      <c r="CH23" s="156"/>
      <c r="CI23" s="156"/>
      <c r="CJ23" s="156"/>
      <c r="CK23" s="156"/>
      <c r="CL23" s="156"/>
      <c r="CM23" s="156"/>
      <c r="CN23" s="156"/>
      <c r="CO23" s="156"/>
      <c r="CP23" s="156"/>
      <c r="CQ23" s="156"/>
      <c r="CR23" s="156"/>
      <c r="CS23" s="156"/>
      <c r="CT23" s="156"/>
      <c r="CU23" s="156"/>
      <c r="CV23" s="156"/>
      <c r="CW23" s="156"/>
      <c r="CX23" s="156"/>
      <c r="CY23" s="156"/>
      <c r="CZ23" s="156"/>
      <c r="DA23" s="156"/>
      <c r="DB23" s="156"/>
      <c r="DC23" s="156"/>
      <c r="DD23" s="156"/>
      <c r="DE23" s="156"/>
      <c r="DF23" s="156"/>
      <c r="DG23" s="156"/>
      <c r="DH23" s="156"/>
      <c r="DI23" s="156"/>
      <c r="DJ23" s="156"/>
      <c r="DK23" s="156"/>
      <c r="DL23" s="156"/>
      <c r="DM23" s="156"/>
      <c r="DN23" s="156"/>
      <c r="DO23" s="156"/>
    </row>
    <row r="24" spans="1:242" ht="15" x14ac:dyDescent="0.25">
      <c r="A24" s="81"/>
      <c r="B24" s="218" t="s">
        <v>250</v>
      </c>
      <c r="C24" s="219">
        <v>7.8</v>
      </c>
      <c r="D24" s="220" t="s">
        <v>247</v>
      </c>
      <c r="E24" s="71"/>
      <c r="F24" s="221" t="s">
        <v>251</v>
      </c>
      <c r="G24" s="222">
        <v>210.45689999999999</v>
      </c>
      <c r="H24" s="222">
        <v>215.22309999999999</v>
      </c>
      <c r="I24" s="222">
        <v>220.05549999999999</v>
      </c>
      <c r="J24" s="222">
        <v>0.09</v>
      </c>
      <c r="K24" s="223">
        <f>IF(AND($D$9&lt;=750,$D$11=850),G24+ROUNDUP(($D$10-400)/50,1)*J24,IF(AND($D$9&lt;=750,$D$11=1200),H24+CEILING(($D$10-400)/50,1)*J24,IF(AND($D$9&lt;=750,$D$11=1500),I24+CEILING(($D$10-400)/50,1)*J24,0)))</f>
        <v>0</v>
      </c>
      <c r="L24" s="224" t="s">
        <v>71</v>
      </c>
      <c r="M24" s="225">
        <v>0.87</v>
      </c>
      <c r="N24" s="226"/>
      <c r="O24" s="227"/>
      <c r="S24" s="184">
        <v>14</v>
      </c>
      <c r="T24" s="214" t="s">
        <v>252</v>
      </c>
      <c r="U24" s="186">
        <v>1</v>
      </c>
      <c r="V24" s="463"/>
      <c r="W24" s="464"/>
      <c r="X24" s="464"/>
      <c r="Y24" s="464"/>
      <c r="Z24" s="465"/>
      <c r="AA24" s="71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6"/>
      <c r="AU24" s="156"/>
      <c r="AV24" s="156"/>
      <c r="AW24" s="156"/>
      <c r="AX24" s="156"/>
      <c r="AY24" s="156"/>
      <c r="AZ24" s="156"/>
      <c r="BA24" s="156"/>
      <c r="BB24" s="156"/>
      <c r="BC24" s="156"/>
      <c r="BD24" s="156"/>
      <c r="BE24" s="156"/>
      <c r="BF24" s="156"/>
      <c r="BG24" s="156"/>
      <c r="BH24" s="156"/>
      <c r="BI24" s="156"/>
      <c r="BJ24" s="156"/>
      <c r="BK24" s="156"/>
      <c r="BL24" s="156"/>
      <c r="BM24" s="156"/>
      <c r="BN24" s="156"/>
      <c r="BO24" s="156"/>
      <c r="BP24" s="156"/>
      <c r="BQ24" s="156"/>
      <c r="BR24" s="156"/>
      <c r="BS24" s="156"/>
      <c r="BT24" s="156"/>
      <c r="BU24" s="156"/>
      <c r="BV24" s="156"/>
      <c r="BW24" s="156"/>
      <c r="BX24" s="156"/>
      <c r="BY24" s="156"/>
      <c r="BZ24" s="156"/>
      <c r="CA24" s="156"/>
      <c r="CB24" s="156"/>
      <c r="CC24" s="156"/>
      <c r="CD24" s="156"/>
      <c r="CE24" s="156"/>
      <c r="CF24" s="156"/>
      <c r="CG24" s="156"/>
      <c r="CH24" s="156"/>
      <c r="CI24" s="156"/>
      <c r="CJ24" s="156"/>
      <c r="CK24" s="156"/>
      <c r="CL24" s="156"/>
      <c r="CM24" s="156"/>
      <c r="CN24" s="156"/>
      <c r="CO24" s="156"/>
      <c r="CP24" s="156"/>
      <c r="CQ24" s="156"/>
      <c r="CR24" s="156"/>
      <c r="CS24" s="156"/>
      <c r="CT24" s="156"/>
      <c r="CU24" s="156"/>
      <c r="CV24" s="156"/>
      <c r="CW24" s="156"/>
      <c r="CX24" s="156"/>
      <c r="CY24" s="156"/>
      <c r="CZ24" s="156"/>
      <c r="DA24" s="156"/>
      <c r="DB24" s="156"/>
      <c r="DC24" s="156"/>
      <c r="DD24" s="156"/>
      <c r="DE24" s="156"/>
      <c r="DF24" s="156"/>
      <c r="DG24" s="156"/>
      <c r="DH24" s="156"/>
      <c r="DI24" s="156"/>
      <c r="DJ24" s="156"/>
      <c r="DK24" s="156"/>
      <c r="DL24" s="156"/>
      <c r="DM24" s="156"/>
      <c r="DN24" s="156"/>
      <c r="DO24" s="156"/>
    </row>
    <row r="25" spans="1:242" ht="15" x14ac:dyDescent="0.25">
      <c r="A25" s="81"/>
      <c r="B25" s="218" t="s">
        <v>253</v>
      </c>
      <c r="C25" s="219">
        <v>6.2</v>
      </c>
      <c r="D25" s="220" t="s">
        <v>247</v>
      </c>
      <c r="E25" s="71"/>
      <c r="F25" s="228" t="s">
        <v>254</v>
      </c>
      <c r="G25" s="222">
        <v>224.64449999999999</v>
      </c>
      <c r="H25" s="222">
        <v>229.73240000000001</v>
      </c>
      <c r="I25" s="222">
        <v>234.89070000000001</v>
      </c>
      <c r="J25" s="222">
        <v>0.2</v>
      </c>
      <c r="K25" s="223">
        <f>IF(AND($D$9&gt;=800,$D$9&lt;=1900,$D$11=850),G25+ROUNDUP(($D$10-800)/100,1)*J25,IF(AND($D$9&gt;=800,$D$9&lt;=1900,$D$11=1200),H25+CEILING(($D$10-800)/100,1)*J25,IF(AND($D$9&gt;=800,$D$9&lt;=1900,$D$11=1500),I25+CEILING(($D$10-800)/100,1)*J25,0)))</f>
        <v>225.64449999999999</v>
      </c>
      <c r="L25" s="224" t="s">
        <v>71</v>
      </c>
      <c r="M25" s="225">
        <v>1</v>
      </c>
      <c r="N25" s="226"/>
      <c r="O25" s="227"/>
      <c r="S25" s="184">
        <v>15</v>
      </c>
      <c r="T25" s="214" t="s">
        <v>255</v>
      </c>
      <c r="U25" s="186">
        <v>1</v>
      </c>
      <c r="V25" s="463"/>
      <c r="W25" s="464"/>
      <c r="X25" s="464"/>
      <c r="Y25" s="464"/>
      <c r="Z25" s="465"/>
      <c r="AA25" s="71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156"/>
      <c r="AN25" s="156"/>
      <c r="AO25" s="156"/>
      <c r="AP25" s="156"/>
      <c r="AQ25" s="156"/>
      <c r="AR25" s="156"/>
      <c r="AS25" s="156"/>
      <c r="AT25" s="156"/>
      <c r="AU25" s="156"/>
      <c r="AV25" s="156"/>
      <c r="AW25" s="156"/>
      <c r="AX25" s="156"/>
      <c r="AY25" s="156"/>
      <c r="AZ25" s="156"/>
      <c r="BA25" s="156"/>
      <c r="BB25" s="156"/>
      <c r="BC25" s="156"/>
      <c r="BD25" s="156"/>
      <c r="BE25" s="156"/>
      <c r="BF25" s="156"/>
      <c r="BG25" s="156"/>
      <c r="BH25" s="156"/>
      <c r="BI25" s="156"/>
      <c r="BJ25" s="156"/>
      <c r="BK25" s="156"/>
      <c r="BL25" s="156"/>
      <c r="BM25" s="156"/>
      <c r="BN25" s="156"/>
      <c r="BO25" s="156"/>
      <c r="BP25" s="156"/>
      <c r="BQ25" s="156"/>
      <c r="BR25" s="156"/>
      <c r="BS25" s="156"/>
      <c r="BT25" s="156"/>
      <c r="BU25" s="156"/>
      <c r="BV25" s="156"/>
      <c r="BW25" s="156"/>
      <c r="BX25" s="156"/>
      <c r="BY25" s="156"/>
      <c r="BZ25" s="156"/>
      <c r="CA25" s="156"/>
      <c r="CB25" s="156"/>
      <c r="CC25" s="156"/>
      <c r="CD25" s="156"/>
      <c r="CE25" s="156"/>
      <c r="CF25" s="156"/>
      <c r="CG25" s="156"/>
      <c r="CH25" s="156"/>
      <c r="CI25" s="156"/>
      <c r="CJ25" s="156"/>
      <c r="CK25" s="156"/>
      <c r="CL25" s="156"/>
      <c r="CM25" s="156"/>
      <c r="CN25" s="156"/>
      <c r="CO25" s="156"/>
      <c r="CP25" s="156"/>
      <c r="CQ25" s="156"/>
      <c r="CR25" s="156"/>
      <c r="CS25" s="156"/>
      <c r="CT25" s="156"/>
      <c r="CU25" s="156"/>
      <c r="CV25" s="156"/>
      <c r="CW25" s="156"/>
      <c r="CX25" s="156"/>
      <c r="CY25" s="156"/>
      <c r="CZ25" s="156"/>
      <c r="DA25" s="156"/>
      <c r="DB25" s="156"/>
      <c r="DC25" s="156"/>
      <c r="DD25" s="156"/>
      <c r="DE25" s="156"/>
      <c r="DF25" s="156"/>
      <c r="DG25" s="156"/>
      <c r="DH25" s="156"/>
      <c r="DI25" s="156"/>
      <c r="DJ25" s="156"/>
      <c r="DK25" s="156"/>
      <c r="DL25" s="156"/>
      <c r="DM25" s="156"/>
      <c r="DN25" s="156"/>
      <c r="DO25" s="156"/>
    </row>
    <row r="26" spans="1:242" ht="15.75" thickBot="1" x14ac:dyDescent="0.3">
      <c r="A26" s="81"/>
      <c r="B26" s="229" t="s">
        <v>256</v>
      </c>
      <c r="C26" s="230">
        <f>(C22*IF(D16=6,C23,IF(D16=8,C24,C25))+34)/60</f>
        <v>8.9033333333333324</v>
      </c>
      <c r="D26" s="231" t="s">
        <v>71</v>
      </c>
      <c r="E26" s="71"/>
      <c r="F26" s="232" t="s">
        <v>257</v>
      </c>
      <c r="G26" s="233">
        <v>236.4684</v>
      </c>
      <c r="H26" s="233">
        <v>241.8236</v>
      </c>
      <c r="I26" s="233">
        <v>247.2534</v>
      </c>
      <c r="J26" s="233">
        <v>0.32</v>
      </c>
      <c r="K26" s="23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235" t="s">
        <v>71</v>
      </c>
      <c r="M26" s="236">
        <v>1.1100000000000001</v>
      </c>
      <c r="N26" s="511" t="s">
        <v>258</v>
      </c>
      <c r="O26" s="512"/>
      <c r="S26" s="184">
        <v>16</v>
      </c>
      <c r="T26" s="185" t="s">
        <v>259</v>
      </c>
      <c r="U26" s="186">
        <v>1</v>
      </c>
      <c r="V26" s="463" t="s">
        <v>260</v>
      </c>
      <c r="W26" s="464"/>
      <c r="X26" s="464"/>
      <c r="Y26" s="464"/>
      <c r="Z26" s="465"/>
      <c r="AA26" s="71"/>
      <c r="AB26" s="156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156"/>
      <c r="AN26" s="156"/>
      <c r="AO26" s="156"/>
      <c r="AP26" s="156"/>
      <c r="AQ26" s="156"/>
      <c r="AR26" s="156"/>
      <c r="AS26" s="156"/>
      <c r="AT26" s="156"/>
      <c r="AU26" s="156"/>
      <c r="AV26" s="156"/>
      <c r="AW26" s="156"/>
      <c r="AX26" s="156"/>
      <c r="AY26" s="156"/>
      <c r="AZ26" s="156"/>
      <c r="BA26" s="156"/>
      <c r="BB26" s="156"/>
      <c r="BC26" s="156"/>
      <c r="BD26" s="156"/>
      <c r="BE26" s="156"/>
      <c r="BF26" s="156"/>
      <c r="BG26" s="156"/>
      <c r="BH26" s="156"/>
      <c r="BI26" s="156"/>
      <c r="BJ26" s="156"/>
      <c r="BK26" s="156"/>
      <c r="BL26" s="156"/>
      <c r="BM26" s="156"/>
      <c r="BN26" s="156"/>
      <c r="BO26" s="156"/>
      <c r="BP26" s="156"/>
      <c r="BQ26" s="156"/>
      <c r="BR26" s="156"/>
      <c r="BS26" s="156"/>
      <c r="BT26" s="156"/>
      <c r="BU26" s="156"/>
      <c r="BV26" s="156"/>
      <c r="BW26" s="156"/>
      <c r="BX26" s="156"/>
      <c r="BY26" s="156"/>
      <c r="BZ26" s="156"/>
      <c r="CA26" s="156"/>
      <c r="CB26" s="156"/>
      <c r="CC26" s="156"/>
      <c r="CD26" s="156"/>
      <c r="CE26" s="156"/>
      <c r="CF26" s="156"/>
      <c r="CG26" s="156"/>
      <c r="CH26" s="156"/>
      <c r="CI26" s="156"/>
      <c r="CJ26" s="156"/>
      <c r="CK26" s="156"/>
      <c r="CL26" s="156"/>
      <c r="CM26" s="156"/>
      <c r="CN26" s="156"/>
      <c r="CO26" s="156"/>
      <c r="CP26" s="156"/>
      <c r="CQ26" s="156"/>
      <c r="CR26" s="156"/>
      <c r="CS26" s="156"/>
      <c r="CT26" s="156"/>
      <c r="CU26" s="156"/>
      <c r="CV26" s="156"/>
      <c r="CW26" s="156"/>
      <c r="CX26" s="156"/>
      <c r="CY26" s="156"/>
      <c r="CZ26" s="156"/>
      <c r="DA26" s="156"/>
      <c r="DB26" s="156"/>
      <c r="DC26" s="156"/>
      <c r="DD26" s="156"/>
      <c r="DE26" s="156"/>
      <c r="DF26" s="156"/>
      <c r="DG26" s="156"/>
      <c r="DH26" s="156"/>
      <c r="DI26" s="156"/>
      <c r="DJ26" s="156"/>
      <c r="DK26" s="156"/>
      <c r="DL26" s="156"/>
      <c r="DM26" s="156"/>
      <c r="DN26" s="156"/>
      <c r="DO26" s="156"/>
    </row>
    <row r="27" spans="1:242" ht="13.5" thickBot="1" x14ac:dyDescent="0.25">
      <c r="A27" s="81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153"/>
      <c r="S27" s="184">
        <v>17</v>
      </c>
      <c r="T27" s="185" t="s">
        <v>261</v>
      </c>
      <c r="U27" s="186">
        <v>1</v>
      </c>
      <c r="V27" s="463" t="s">
        <v>262</v>
      </c>
      <c r="W27" s="464"/>
      <c r="X27" s="464"/>
      <c r="Y27" s="464"/>
      <c r="Z27" s="465"/>
      <c r="AA27" s="71"/>
      <c r="AB27" s="156"/>
      <c r="AC27" s="156"/>
      <c r="AD27" s="156"/>
      <c r="AE27" s="156"/>
      <c r="AF27" s="156"/>
      <c r="AG27" s="156"/>
      <c r="AH27" s="156"/>
      <c r="AI27" s="156"/>
      <c r="AJ27" s="156"/>
      <c r="AK27" s="156"/>
      <c r="AL27" s="156"/>
      <c r="AM27" s="156"/>
      <c r="AN27" s="156"/>
      <c r="AO27" s="156"/>
      <c r="AP27" s="156"/>
      <c r="AQ27" s="156"/>
      <c r="AR27" s="156"/>
      <c r="AS27" s="156"/>
      <c r="AT27" s="156"/>
      <c r="AU27" s="156"/>
      <c r="AV27" s="156"/>
      <c r="AW27" s="156"/>
      <c r="AX27" s="156"/>
      <c r="AY27" s="156"/>
      <c r="AZ27" s="156"/>
      <c r="BA27" s="156"/>
      <c r="BB27" s="156"/>
      <c r="BC27" s="156"/>
      <c r="BD27" s="156"/>
      <c r="BE27" s="156"/>
      <c r="BF27" s="156"/>
      <c r="BG27" s="156"/>
      <c r="BH27" s="156"/>
      <c r="BI27" s="156"/>
      <c r="BJ27" s="156"/>
      <c r="BK27" s="156"/>
      <c r="BL27" s="156"/>
      <c r="BM27" s="156"/>
      <c r="BN27" s="156"/>
      <c r="BO27" s="156"/>
      <c r="BP27" s="156"/>
      <c r="BQ27" s="156"/>
      <c r="BR27" s="156"/>
      <c r="BS27" s="156"/>
      <c r="BT27" s="156"/>
      <c r="BU27" s="156"/>
      <c r="BV27" s="156"/>
      <c r="BW27" s="156"/>
      <c r="BX27" s="156"/>
      <c r="BY27" s="156"/>
      <c r="BZ27" s="156"/>
      <c r="CA27" s="156"/>
      <c r="CB27" s="156"/>
      <c r="CC27" s="156"/>
      <c r="CD27" s="156"/>
      <c r="CE27" s="156"/>
      <c r="CF27" s="156"/>
      <c r="CG27" s="156"/>
      <c r="CH27" s="156"/>
      <c r="CI27" s="156"/>
      <c r="CJ27" s="156"/>
      <c r="CK27" s="156"/>
      <c r="CL27" s="156"/>
      <c r="CM27" s="156"/>
      <c r="CN27" s="156"/>
      <c r="CO27" s="156"/>
      <c r="CP27" s="156"/>
      <c r="CQ27" s="156"/>
      <c r="CR27" s="156"/>
      <c r="CS27" s="156"/>
      <c r="CT27" s="156"/>
      <c r="CU27" s="156"/>
      <c r="CV27" s="156"/>
      <c r="CW27" s="156"/>
      <c r="CX27" s="156"/>
      <c r="CY27" s="156"/>
      <c r="CZ27" s="156"/>
      <c r="DA27" s="156"/>
      <c r="DB27" s="156"/>
      <c r="DC27" s="156"/>
      <c r="DD27" s="156"/>
      <c r="DE27" s="156"/>
      <c r="DF27" s="156"/>
      <c r="DG27" s="156"/>
      <c r="DH27" s="156"/>
      <c r="DI27" s="156"/>
      <c r="DJ27" s="156"/>
      <c r="DK27" s="156"/>
      <c r="DL27" s="156"/>
      <c r="DM27" s="156"/>
      <c r="DN27" s="156"/>
      <c r="DO27" s="156"/>
    </row>
    <row r="28" spans="1:242" ht="13.5" thickBot="1" x14ac:dyDescent="0.25">
      <c r="A28" s="81"/>
      <c r="B28" s="210" t="s">
        <v>263</v>
      </c>
      <c r="C28" s="211"/>
      <c r="D28" s="212"/>
      <c r="E28" s="71"/>
      <c r="F28" s="71"/>
      <c r="G28" s="71"/>
      <c r="H28" s="237"/>
      <c r="I28" s="238"/>
      <c r="J28" s="238"/>
      <c r="K28" s="238"/>
      <c r="L28" s="238"/>
      <c r="M28" s="239"/>
      <c r="N28" s="54"/>
      <c r="O28" s="153"/>
      <c r="S28" s="184">
        <v>18</v>
      </c>
      <c r="T28" s="185" t="s">
        <v>264</v>
      </c>
      <c r="U28" s="186">
        <v>1</v>
      </c>
      <c r="V28" s="463" t="s">
        <v>265</v>
      </c>
      <c r="W28" s="464"/>
      <c r="X28" s="464"/>
      <c r="Y28" s="464"/>
      <c r="Z28" s="465"/>
      <c r="AA28" s="71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  <c r="AU28" s="156"/>
      <c r="AV28" s="156"/>
      <c r="AW28" s="156"/>
      <c r="AX28" s="156"/>
      <c r="AY28" s="156"/>
      <c r="AZ28" s="156"/>
      <c r="BA28" s="156"/>
      <c r="BB28" s="156"/>
      <c r="BC28" s="156"/>
      <c r="BD28" s="156"/>
      <c r="BE28" s="156"/>
      <c r="BF28" s="156"/>
      <c r="BG28" s="156"/>
      <c r="BH28" s="156"/>
      <c r="BI28" s="156"/>
      <c r="BJ28" s="156"/>
      <c r="BK28" s="156"/>
      <c r="BL28" s="156"/>
      <c r="BM28" s="156"/>
      <c r="BN28" s="156"/>
      <c r="BO28" s="156"/>
      <c r="BP28" s="156"/>
      <c r="BQ28" s="156"/>
      <c r="BR28" s="156"/>
      <c r="BS28" s="156"/>
      <c r="BT28" s="156"/>
      <c r="BU28" s="156"/>
      <c r="BV28" s="156"/>
      <c r="BW28" s="156"/>
      <c r="BX28" s="156"/>
      <c r="BY28" s="156"/>
      <c r="BZ28" s="156"/>
      <c r="CA28" s="156"/>
      <c r="CB28" s="156"/>
      <c r="CC28" s="156"/>
      <c r="CD28" s="156"/>
      <c r="CE28" s="156"/>
      <c r="CF28" s="156"/>
      <c r="CG28" s="156"/>
      <c r="CH28" s="156"/>
      <c r="CI28" s="156"/>
      <c r="CJ28" s="156"/>
      <c r="CK28" s="156"/>
      <c r="CL28" s="156"/>
      <c r="CM28" s="156"/>
      <c r="CN28" s="156"/>
      <c r="CO28" s="156"/>
      <c r="CP28" s="156"/>
      <c r="CQ28" s="156"/>
      <c r="CR28" s="156"/>
      <c r="CS28" s="156"/>
      <c r="CT28" s="156"/>
      <c r="CU28" s="156"/>
      <c r="CV28" s="156"/>
      <c r="CW28" s="156"/>
      <c r="CX28" s="156"/>
      <c r="CY28" s="156"/>
      <c r="CZ28" s="156"/>
      <c r="DA28" s="156"/>
      <c r="DB28" s="156"/>
      <c r="DC28" s="156"/>
      <c r="DD28" s="156"/>
      <c r="DE28" s="156"/>
      <c r="DF28" s="156"/>
      <c r="DG28" s="156"/>
      <c r="DH28" s="156"/>
      <c r="DI28" s="156"/>
      <c r="DJ28" s="156"/>
      <c r="DK28" s="156"/>
      <c r="DL28" s="156"/>
      <c r="DM28" s="156"/>
      <c r="DN28" s="156"/>
      <c r="DO28" s="156"/>
    </row>
    <row r="29" spans="1:242" ht="16.5" thickBot="1" x14ac:dyDescent="0.3">
      <c r="A29" s="81"/>
      <c r="B29" s="240" t="s">
        <v>266</v>
      </c>
      <c r="C29" s="241">
        <f>IF(D10&lt;1301,4,IF(D10&gt;2600,8,6))</f>
        <v>4</v>
      </c>
      <c r="D29" s="242" t="s">
        <v>236</v>
      </c>
      <c r="E29" s="71"/>
      <c r="F29" s="71"/>
      <c r="G29" s="71"/>
      <c r="H29" s="243" t="s">
        <v>267</v>
      </c>
      <c r="I29" s="244"/>
      <c r="J29" s="244"/>
      <c r="K29" s="245">
        <f>$C$26+$C$32+IF($K$24&gt;0,$K$24*M24,IF($K$25&gt;0,$K$25*M25,$K$26*M26))</f>
        <v>265.05916666666667</v>
      </c>
      <c r="L29" s="246" t="s">
        <v>71</v>
      </c>
      <c r="M29" s="247"/>
      <c r="N29" s="54"/>
      <c r="O29" s="153"/>
      <c r="S29" s="184">
        <v>19</v>
      </c>
      <c r="T29" s="185" t="s">
        <v>268</v>
      </c>
      <c r="U29" s="186">
        <v>1</v>
      </c>
      <c r="V29" s="463" t="s">
        <v>265</v>
      </c>
      <c r="W29" s="464"/>
      <c r="X29" s="464"/>
      <c r="Y29" s="464"/>
      <c r="Z29" s="465"/>
      <c r="AA29" s="71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6"/>
      <c r="BW29" s="156"/>
      <c r="BX29" s="156"/>
      <c r="BY29" s="156"/>
      <c r="BZ29" s="156"/>
      <c r="CA29" s="156"/>
      <c r="CB29" s="156"/>
      <c r="CC29" s="156"/>
      <c r="CD29" s="156"/>
      <c r="CE29" s="156"/>
      <c r="CF29" s="156"/>
      <c r="CG29" s="156"/>
      <c r="CH29" s="156"/>
      <c r="CI29" s="156"/>
      <c r="CJ29" s="156"/>
      <c r="CK29" s="156"/>
      <c r="CL29" s="156"/>
      <c r="CM29" s="156"/>
      <c r="CN29" s="156"/>
      <c r="CO29" s="156"/>
      <c r="CP29" s="156"/>
      <c r="CQ29" s="156"/>
      <c r="CR29" s="156"/>
      <c r="CS29" s="156"/>
      <c r="CT29" s="156"/>
      <c r="CU29" s="156"/>
      <c r="CV29" s="156"/>
      <c r="CW29" s="156"/>
      <c r="CX29" s="156"/>
      <c r="CY29" s="156"/>
      <c r="CZ29" s="156"/>
      <c r="DA29" s="156"/>
      <c r="DB29" s="156"/>
      <c r="DC29" s="156"/>
      <c r="DD29" s="156"/>
      <c r="DE29" s="156"/>
      <c r="DF29" s="156"/>
      <c r="DG29" s="156"/>
      <c r="DH29" s="156"/>
      <c r="DI29" s="156"/>
      <c r="DJ29" s="156"/>
      <c r="DK29" s="156"/>
      <c r="DL29" s="156"/>
      <c r="DM29" s="156"/>
      <c r="DN29" s="156"/>
      <c r="DO29" s="156"/>
    </row>
    <row r="30" spans="1:242" ht="13.5" thickBot="1" x14ac:dyDescent="0.25">
      <c r="A30" s="81"/>
      <c r="B30" s="218" t="s">
        <v>269</v>
      </c>
      <c r="C30" s="248">
        <f>D17-1</f>
        <v>60</v>
      </c>
      <c r="D30" s="249" t="s">
        <v>236</v>
      </c>
      <c r="E30" s="71"/>
      <c r="F30" s="71"/>
      <c r="G30" s="71"/>
      <c r="H30" s="250"/>
      <c r="I30" s="251"/>
      <c r="J30" s="251"/>
      <c r="K30" s="251"/>
      <c r="L30" s="251"/>
      <c r="M30" s="252"/>
      <c r="N30" s="54"/>
      <c r="O30" s="153"/>
      <c r="S30" s="184">
        <v>20</v>
      </c>
      <c r="T30" s="185" t="s">
        <v>270</v>
      </c>
      <c r="U30" s="208">
        <f>C29*2</f>
        <v>8</v>
      </c>
      <c r="V30" s="463" t="s">
        <v>271</v>
      </c>
      <c r="W30" s="464"/>
      <c r="X30" s="464"/>
      <c r="Y30" s="464"/>
      <c r="Z30" s="465"/>
      <c r="AA30" s="71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6"/>
      <c r="CG30" s="156"/>
      <c r="CH30" s="156"/>
      <c r="CI30" s="156"/>
      <c r="CJ30" s="156"/>
      <c r="CK30" s="156"/>
      <c r="CL30" s="156"/>
      <c r="CM30" s="156"/>
      <c r="CN30" s="156"/>
      <c r="CO30" s="156"/>
      <c r="CP30" s="156"/>
      <c r="CQ30" s="156"/>
      <c r="CR30" s="156"/>
      <c r="CS30" s="156"/>
      <c r="CT30" s="156"/>
      <c r="CU30" s="156"/>
      <c r="CV30" s="156"/>
      <c r="CW30" s="156"/>
      <c r="CX30" s="156"/>
      <c r="CY30" s="156"/>
      <c r="CZ30" s="156"/>
      <c r="DA30" s="156"/>
      <c r="DB30" s="156"/>
      <c r="DC30" s="156"/>
      <c r="DD30" s="156"/>
      <c r="DE30" s="156"/>
      <c r="DF30" s="156"/>
      <c r="DG30" s="156"/>
      <c r="DH30" s="156"/>
      <c r="DI30" s="156"/>
      <c r="DJ30" s="156"/>
      <c r="DK30" s="156"/>
      <c r="DL30" s="156"/>
      <c r="DM30" s="156"/>
      <c r="DN30" s="156"/>
      <c r="DO30" s="156"/>
    </row>
    <row r="31" spans="1:242" ht="26.25" thickBot="1" x14ac:dyDescent="0.25">
      <c r="A31" s="81"/>
      <c r="B31" s="253" t="s">
        <v>272</v>
      </c>
      <c r="C31" s="254">
        <f>IF(D12=6,8,0)</f>
        <v>8</v>
      </c>
      <c r="D31" s="255" t="s">
        <v>71</v>
      </c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153"/>
      <c r="S31" s="184">
        <v>21</v>
      </c>
      <c r="T31" s="185" t="s">
        <v>273</v>
      </c>
      <c r="U31" s="186">
        <v>1</v>
      </c>
      <c r="V31" s="463"/>
      <c r="W31" s="464"/>
      <c r="X31" s="464"/>
      <c r="Y31" s="464"/>
      <c r="Z31" s="465"/>
      <c r="AA31" s="71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156"/>
      <c r="BW31" s="156"/>
      <c r="BX31" s="156"/>
      <c r="BY31" s="156"/>
      <c r="BZ31" s="156"/>
      <c r="CA31" s="156"/>
      <c r="CB31" s="156"/>
      <c r="CC31" s="156"/>
      <c r="CD31" s="156"/>
      <c r="CE31" s="156"/>
      <c r="CF31" s="156"/>
      <c r="CG31" s="156"/>
      <c r="CH31" s="156"/>
      <c r="CI31" s="156"/>
      <c r="CJ31" s="156"/>
      <c r="CK31" s="156"/>
      <c r="CL31" s="156"/>
      <c r="CM31" s="156"/>
      <c r="CN31" s="156"/>
      <c r="CO31" s="156"/>
      <c r="CP31" s="156"/>
      <c r="CQ31" s="156"/>
      <c r="CR31" s="156"/>
      <c r="CS31" s="156"/>
      <c r="CT31" s="156"/>
      <c r="CU31" s="156"/>
      <c r="CV31" s="156"/>
      <c r="CW31" s="156"/>
      <c r="CX31" s="156"/>
      <c r="CY31" s="156"/>
      <c r="CZ31" s="156"/>
      <c r="DA31" s="156"/>
      <c r="DB31" s="156"/>
      <c r="DC31" s="156"/>
      <c r="DD31" s="156"/>
      <c r="DE31" s="156"/>
      <c r="DF31" s="156"/>
      <c r="DG31" s="156"/>
      <c r="DH31" s="156"/>
      <c r="DI31" s="156"/>
      <c r="DJ31" s="156"/>
      <c r="DK31" s="156"/>
      <c r="DL31" s="156"/>
      <c r="DM31" s="156"/>
      <c r="DN31" s="156"/>
      <c r="DO31" s="156"/>
    </row>
    <row r="32" spans="1:242" ht="15.75" thickBot="1" x14ac:dyDescent="0.3">
      <c r="A32" s="81"/>
      <c r="B32" s="256" t="s">
        <v>274</v>
      </c>
      <c r="C32" s="257">
        <f>C29*(5.0445*C30+35)/60+C31</f>
        <v>30.511333333333333</v>
      </c>
      <c r="D32" s="258" t="s">
        <v>71</v>
      </c>
      <c r="E32" s="71"/>
      <c r="F32" s="71"/>
      <c r="G32" s="71"/>
      <c r="H32" s="71"/>
      <c r="I32" s="71"/>
      <c r="J32" s="71"/>
      <c r="K32" s="259">
        <f>Параметры!B3</f>
        <v>309</v>
      </c>
      <c r="L32" s="260" t="s">
        <v>275</v>
      </c>
      <c r="M32" s="71"/>
      <c r="N32" s="71"/>
      <c r="O32" s="153"/>
      <c r="S32" s="184">
        <v>22</v>
      </c>
      <c r="T32" s="185" t="s">
        <v>276</v>
      </c>
      <c r="U32" s="208">
        <f>C22+3</f>
        <v>64</v>
      </c>
      <c r="V32" s="463"/>
      <c r="W32" s="464"/>
      <c r="X32" s="464"/>
      <c r="Y32" s="464"/>
      <c r="Z32" s="465"/>
      <c r="AA32" s="71"/>
      <c r="AB32" s="156"/>
      <c r="AC32" s="156"/>
      <c r="AD32" s="156"/>
      <c r="AE32" s="156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  <c r="DQ32" s="54"/>
      <c r="DR32" s="54"/>
      <c r="DS32" s="54"/>
      <c r="DT32" s="54"/>
      <c r="DU32" s="54"/>
      <c r="DV32" s="54"/>
      <c r="DW32" s="54"/>
      <c r="DX32" s="54"/>
      <c r="DY32" s="54"/>
      <c r="DZ32" s="54"/>
      <c r="EA32" s="54"/>
      <c r="EB32" s="54"/>
      <c r="EC32" s="54"/>
      <c r="ED32" s="54"/>
      <c r="EE32" s="54"/>
      <c r="EF32" s="54"/>
      <c r="EG32" s="54"/>
      <c r="EH32" s="54"/>
      <c r="EI32" s="54"/>
      <c r="EJ32" s="54"/>
      <c r="EK32" s="54"/>
      <c r="EL32" s="54"/>
      <c r="EM32" s="54"/>
      <c r="EN32" s="54"/>
      <c r="EO32" s="54"/>
      <c r="EP32" s="54"/>
      <c r="EQ32" s="54"/>
      <c r="ER32" s="54"/>
      <c r="ES32" s="54"/>
      <c r="ET32" s="54"/>
      <c r="EU32" s="54"/>
      <c r="EV32" s="54"/>
      <c r="EW32" s="54"/>
      <c r="EX32" s="54"/>
      <c r="EY32" s="54"/>
      <c r="EZ32" s="54"/>
      <c r="FA32" s="54"/>
      <c r="FB32" s="54"/>
      <c r="FC32" s="54"/>
      <c r="FD32" s="54"/>
      <c r="FE32" s="54"/>
      <c r="FF32" s="54"/>
      <c r="FG32" s="54"/>
      <c r="FH32" s="54"/>
      <c r="FI32" s="54"/>
      <c r="FJ32" s="54"/>
      <c r="FK32" s="54"/>
      <c r="FL32" s="54"/>
      <c r="FM32" s="54"/>
      <c r="FN32" s="54"/>
      <c r="FO32" s="54"/>
      <c r="FP32" s="54"/>
      <c r="FQ32" s="54"/>
      <c r="FR32" s="54"/>
      <c r="FS32" s="54"/>
      <c r="FT32" s="54"/>
      <c r="FU32" s="54"/>
      <c r="FV32" s="54"/>
      <c r="FW32" s="54"/>
      <c r="FX32" s="54"/>
      <c r="FY32" s="54"/>
      <c r="FZ32" s="54"/>
      <c r="GA32" s="54"/>
      <c r="GB32" s="54"/>
      <c r="GC32" s="54"/>
      <c r="GD32" s="54"/>
      <c r="GE32" s="54"/>
      <c r="GF32" s="54"/>
      <c r="GG32" s="54"/>
      <c r="GH32" s="54"/>
      <c r="GI32" s="54"/>
      <c r="GJ32" s="54"/>
      <c r="GK32" s="54"/>
      <c r="GL32" s="54"/>
      <c r="GM32" s="54"/>
      <c r="GN32" s="54"/>
      <c r="GO32" s="54"/>
      <c r="GP32" s="54"/>
      <c r="GQ32" s="54"/>
      <c r="GR32" s="54"/>
      <c r="GS32" s="54"/>
      <c r="GT32" s="54"/>
      <c r="GU32" s="54"/>
      <c r="GV32" s="54"/>
      <c r="GW32" s="54"/>
      <c r="GX32" s="54"/>
      <c r="GY32" s="54"/>
      <c r="GZ32" s="54"/>
      <c r="HA32" s="54"/>
      <c r="HB32" s="54"/>
      <c r="HC32" s="54"/>
      <c r="HD32" s="54"/>
      <c r="HE32" s="54"/>
      <c r="HF32" s="54"/>
      <c r="HG32" s="54"/>
      <c r="HH32" s="54"/>
      <c r="HI32" s="54"/>
      <c r="HJ32" s="54"/>
      <c r="HK32" s="54"/>
      <c r="HL32" s="54"/>
      <c r="HM32" s="54"/>
      <c r="HN32" s="54"/>
      <c r="HO32" s="54"/>
      <c r="HP32" s="54"/>
      <c r="HQ32" s="54"/>
      <c r="HR32" s="54"/>
      <c r="HS32" s="54"/>
      <c r="HT32" s="54"/>
      <c r="HU32" s="54"/>
      <c r="HV32" s="54"/>
      <c r="HW32" s="54"/>
      <c r="HX32" s="54"/>
      <c r="HY32" s="54"/>
      <c r="HZ32" s="54"/>
      <c r="IA32" s="54"/>
      <c r="IB32" s="54"/>
      <c r="IC32" s="54"/>
      <c r="ID32" s="54"/>
      <c r="IE32" s="54"/>
      <c r="IF32" s="54"/>
      <c r="IG32" s="54"/>
      <c r="IH32" s="54"/>
    </row>
    <row r="33" spans="1:242" ht="15.75" thickBot="1" x14ac:dyDescent="0.3">
      <c r="A33" s="81"/>
      <c r="B33" s="261"/>
      <c r="C33" s="262"/>
      <c r="D33" s="263"/>
      <c r="E33" s="71"/>
      <c r="F33" s="71"/>
      <c r="G33" s="71"/>
      <c r="H33" s="71"/>
      <c r="I33" s="71"/>
      <c r="J33" s="71"/>
      <c r="K33" s="264"/>
      <c r="L33" s="264"/>
      <c r="M33" s="71"/>
      <c r="N33" s="71"/>
      <c r="O33" s="153"/>
      <c r="S33" s="184">
        <v>23</v>
      </c>
      <c r="T33" s="185" t="s">
        <v>277</v>
      </c>
      <c r="U33" s="186">
        <v>2</v>
      </c>
      <c r="V33" s="463"/>
      <c r="W33" s="464"/>
      <c r="X33" s="464"/>
      <c r="Y33" s="464"/>
      <c r="Z33" s="465"/>
      <c r="AB33" s="156"/>
      <c r="AC33" s="156"/>
      <c r="AD33" s="156"/>
      <c r="AE33" s="156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4"/>
      <c r="DF33" s="54"/>
      <c r="DG33" s="54"/>
      <c r="DH33" s="54"/>
      <c r="DI33" s="54"/>
      <c r="DJ33" s="54"/>
      <c r="DK33" s="54"/>
      <c r="DL33" s="54"/>
      <c r="DM33" s="54"/>
      <c r="DN33" s="54"/>
      <c r="DO33" s="54"/>
      <c r="DP33" s="54"/>
      <c r="DQ33" s="54"/>
      <c r="DR33" s="54"/>
      <c r="DS33" s="54"/>
      <c r="DT33" s="54"/>
      <c r="DU33" s="54"/>
      <c r="DV33" s="54"/>
      <c r="DW33" s="54"/>
      <c r="DX33" s="54"/>
      <c r="DY33" s="54"/>
      <c r="DZ33" s="54"/>
      <c r="EA33" s="54"/>
      <c r="EB33" s="54"/>
      <c r="EC33" s="54"/>
      <c r="ED33" s="54"/>
      <c r="EE33" s="54"/>
      <c r="EF33" s="54"/>
      <c r="EG33" s="54"/>
      <c r="EH33" s="54"/>
      <c r="EI33" s="54"/>
      <c r="EJ33" s="54"/>
      <c r="EK33" s="54"/>
      <c r="EL33" s="54"/>
      <c r="EM33" s="54"/>
      <c r="EN33" s="54"/>
      <c r="EO33" s="54"/>
      <c r="EP33" s="54"/>
      <c r="EQ33" s="54"/>
      <c r="ER33" s="54"/>
      <c r="ES33" s="54"/>
      <c r="ET33" s="54"/>
      <c r="EU33" s="54"/>
      <c r="EV33" s="54"/>
      <c r="EW33" s="54"/>
      <c r="EX33" s="54"/>
      <c r="EY33" s="54"/>
      <c r="EZ33" s="54"/>
      <c r="FA33" s="54"/>
      <c r="FB33" s="54"/>
      <c r="FC33" s="54"/>
      <c r="FD33" s="54"/>
      <c r="FE33" s="54"/>
      <c r="FF33" s="54"/>
      <c r="FG33" s="54"/>
      <c r="FH33" s="54"/>
      <c r="FI33" s="54"/>
      <c r="FJ33" s="54"/>
      <c r="FK33" s="54"/>
      <c r="FL33" s="54"/>
      <c r="FM33" s="54"/>
      <c r="FN33" s="54"/>
      <c r="FO33" s="54"/>
      <c r="FP33" s="54"/>
      <c r="FQ33" s="54"/>
      <c r="FR33" s="54"/>
      <c r="FS33" s="54"/>
      <c r="FT33" s="54"/>
      <c r="FU33" s="54"/>
      <c r="FV33" s="54"/>
      <c r="FW33" s="54"/>
      <c r="FX33" s="54"/>
      <c r="FY33" s="54"/>
      <c r="FZ33" s="54"/>
      <c r="GA33" s="54"/>
      <c r="GB33" s="54"/>
      <c r="GC33" s="54"/>
      <c r="GD33" s="54"/>
      <c r="GE33" s="54"/>
      <c r="GF33" s="54"/>
      <c r="GG33" s="54"/>
      <c r="GH33" s="54"/>
      <c r="GI33" s="54"/>
      <c r="GJ33" s="54"/>
      <c r="GK33" s="54"/>
      <c r="GL33" s="54"/>
      <c r="GM33" s="54"/>
      <c r="GN33" s="54"/>
      <c r="GO33" s="54"/>
      <c r="GP33" s="54"/>
      <c r="GQ33" s="54"/>
      <c r="GR33" s="54"/>
      <c r="GS33" s="54"/>
      <c r="GT33" s="54"/>
      <c r="GU33" s="54"/>
      <c r="GV33" s="54"/>
      <c r="GW33" s="54"/>
      <c r="GX33" s="54"/>
      <c r="GY33" s="54"/>
      <c r="GZ33" s="54"/>
      <c r="HA33" s="54"/>
      <c r="HB33" s="54"/>
      <c r="HC33" s="54"/>
      <c r="HD33" s="54"/>
      <c r="HE33" s="54"/>
      <c r="HF33" s="54"/>
      <c r="HG33" s="54"/>
      <c r="HH33" s="54"/>
      <c r="HI33" s="54"/>
      <c r="HJ33" s="54"/>
      <c r="HK33" s="54"/>
      <c r="HL33" s="54"/>
      <c r="HM33" s="54"/>
      <c r="HN33" s="54"/>
      <c r="HO33" s="54"/>
      <c r="HP33" s="54"/>
      <c r="HQ33" s="54"/>
      <c r="HR33" s="54"/>
      <c r="HS33" s="54"/>
      <c r="HT33" s="54"/>
      <c r="HU33" s="54"/>
      <c r="HV33" s="54"/>
      <c r="HW33" s="54"/>
      <c r="HX33" s="54"/>
      <c r="HY33" s="54"/>
      <c r="HZ33" s="54"/>
      <c r="IA33" s="54"/>
      <c r="IB33" s="54"/>
      <c r="IC33" s="54"/>
      <c r="ID33" s="54"/>
      <c r="IE33" s="54"/>
      <c r="IF33" s="54"/>
      <c r="IG33" s="54"/>
      <c r="IH33" s="54"/>
    </row>
    <row r="34" spans="1:242" ht="15.75" thickBot="1" x14ac:dyDescent="0.3">
      <c r="A34" s="90"/>
      <c r="B34" s="101"/>
      <c r="C34" s="101"/>
      <c r="D34" s="101"/>
      <c r="E34" s="101"/>
      <c r="F34" s="101"/>
      <c r="G34" s="101"/>
      <c r="H34" s="101"/>
      <c r="I34" s="101"/>
      <c r="J34" s="101"/>
      <c r="K34" s="265">
        <f>K29*K32</f>
        <v>81903.282500000001</v>
      </c>
      <c r="L34" s="260" t="s">
        <v>278</v>
      </c>
      <c r="M34" s="101"/>
      <c r="N34" s="101"/>
      <c r="O34" s="231"/>
      <c r="S34" s="184">
        <v>24</v>
      </c>
      <c r="T34" s="185" t="s">
        <v>279</v>
      </c>
      <c r="U34" s="186">
        <v>2</v>
      </c>
      <c r="V34" s="463"/>
      <c r="W34" s="464"/>
      <c r="X34" s="464"/>
      <c r="Y34" s="464"/>
      <c r="Z34" s="465"/>
      <c r="AB34" s="156"/>
      <c r="AC34" s="156"/>
      <c r="AD34" s="156"/>
      <c r="AE34" s="156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  <c r="CC34" s="54"/>
      <c r="CD34" s="54"/>
      <c r="CE34" s="54"/>
      <c r="CF34" s="54"/>
      <c r="CG34" s="54"/>
      <c r="CH34" s="54"/>
      <c r="CI34" s="54"/>
      <c r="CJ34" s="54"/>
      <c r="CK34" s="54"/>
      <c r="CL34" s="54"/>
      <c r="CM34" s="54"/>
      <c r="CN34" s="54"/>
      <c r="CO34" s="54"/>
      <c r="CP34" s="54"/>
      <c r="CQ34" s="54"/>
      <c r="CR34" s="54"/>
      <c r="CS34" s="54"/>
      <c r="CT34" s="54"/>
      <c r="CU34" s="54"/>
      <c r="CV34" s="54"/>
      <c r="CW34" s="54"/>
      <c r="CX34" s="54"/>
      <c r="CY34" s="54"/>
      <c r="CZ34" s="54"/>
      <c r="DA34" s="54"/>
      <c r="DB34" s="54"/>
      <c r="DC34" s="54"/>
      <c r="DD34" s="54"/>
      <c r="DE34" s="54"/>
      <c r="DF34" s="54"/>
      <c r="DG34" s="54"/>
      <c r="DH34" s="54"/>
      <c r="DI34" s="54"/>
      <c r="DJ34" s="54"/>
      <c r="DK34" s="54"/>
      <c r="DL34" s="54"/>
      <c r="DM34" s="54"/>
      <c r="DN34" s="54"/>
      <c r="DO34" s="54"/>
      <c r="DP34" s="54"/>
      <c r="DQ34" s="54"/>
      <c r="DR34" s="54"/>
      <c r="DS34" s="54"/>
      <c r="DT34" s="54"/>
      <c r="DU34" s="54"/>
      <c r="DV34" s="54"/>
      <c r="DW34" s="54"/>
      <c r="DX34" s="54"/>
      <c r="DY34" s="54"/>
      <c r="DZ34" s="54"/>
      <c r="EA34" s="54"/>
      <c r="EB34" s="54"/>
      <c r="EC34" s="54"/>
      <c r="ED34" s="54"/>
      <c r="EE34" s="54"/>
      <c r="EF34" s="54"/>
      <c r="EG34" s="54"/>
      <c r="EH34" s="54"/>
      <c r="EI34" s="54"/>
      <c r="EJ34" s="54"/>
      <c r="EK34" s="54"/>
      <c r="EL34" s="54"/>
      <c r="EM34" s="54"/>
      <c r="EN34" s="54"/>
      <c r="EO34" s="54"/>
      <c r="EP34" s="54"/>
      <c r="EQ34" s="54"/>
      <c r="ER34" s="54"/>
      <c r="ES34" s="54"/>
      <c r="ET34" s="54"/>
      <c r="EU34" s="54"/>
      <c r="EV34" s="54"/>
      <c r="EW34" s="54"/>
      <c r="EX34" s="54"/>
      <c r="EY34" s="54"/>
      <c r="EZ34" s="54"/>
      <c r="FA34" s="54"/>
      <c r="FB34" s="54"/>
      <c r="FC34" s="54"/>
      <c r="FD34" s="54"/>
      <c r="FE34" s="54"/>
      <c r="FF34" s="54"/>
      <c r="FG34" s="54"/>
      <c r="FH34" s="54"/>
      <c r="FI34" s="54"/>
      <c r="FJ34" s="54"/>
      <c r="FK34" s="54"/>
      <c r="FL34" s="54"/>
      <c r="FM34" s="54"/>
      <c r="FN34" s="54"/>
      <c r="FO34" s="54"/>
      <c r="FP34" s="54"/>
      <c r="FQ34" s="54"/>
      <c r="FR34" s="54"/>
      <c r="FS34" s="54"/>
      <c r="FT34" s="54"/>
      <c r="FU34" s="54"/>
      <c r="FV34" s="54"/>
      <c r="FW34" s="54"/>
      <c r="FX34" s="54"/>
      <c r="FY34" s="54"/>
      <c r="FZ34" s="54"/>
      <c r="GA34" s="54"/>
      <c r="GB34" s="54"/>
      <c r="GC34" s="54"/>
      <c r="GD34" s="54"/>
      <c r="GE34" s="54"/>
      <c r="GF34" s="54"/>
      <c r="GG34" s="54"/>
      <c r="GH34" s="54"/>
      <c r="GI34" s="54"/>
      <c r="GJ34" s="54"/>
      <c r="GK34" s="54"/>
      <c r="GL34" s="54"/>
      <c r="GM34" s="54"/>
      <c r="GN34" s="54"/>
      <c r="GO34" s="54"/>
      <c r="GP34" s="54"/>
      <c r="GQ34" s="54"/>
      <c r="GR34" s="54"/>
      <c r="GS34" s="54"/>
      <c r="GT34" s="54"/>
      <c r="GU34" s="54"/>
      <c r="GV34" s="54"/>
      <c r="GW34" s="54"/>
      <c r="GX34" s="54"/>
      <c r="GY34" s="54"/>
      <c r="GZ34" s="54"/>
      <c r="HA34" s="54"/>
      <c r="HB34" s="54"/>
      <c r="HC34" s="54"/>
      <c r="HD34" s="54"/>
      <c r="HE34" s="54"/>
      <c r="HF34" s="54"/>
      <c r="HG34" s="54"/>
      <c r="HH34" s="54"/>
      <c r="HI34" s="54"/>
      <c r="HJ34" s="54"/>
      <c r="HK34" s="54"/>
      <c r="HL34" s="54"/>
      <c r="HM34" s="54"/>
      <c r="HN34" s="54"/>
      <c r="HO34" s="54"/>
      <c r="HP34" s="54"/>
      <c r="HQ34" s="54"/>
      <c r="HR34" s="54"/>
      <c r="HS34" s="54"/>
      <c r="HT34" s="54"/>
      <c r="HU34" s="54"/>
      <c r="HV34" s="54"/>
      <c r="HW34" s="54"/>
      <c r="HX34" s="54"/>
      <c r="HY34" s="54"/>
      <c r="HZ34" s="54"/>
      <c r="IA34" s="54"/>
      <c r="IB34" s="54"/>
      <c r="IC34" s="54"/>
      <c r="ID34" s="54"/>
      <c r="IE34" s="54"/>
      <c r="IF34" s="54"/>
      <c r="IG34" s="54"/>
      <c r="IH34" s="54"/>
    </row>
    <row r="35" spans="1:242" x14ac:dyDescent="0.2">
      <c r="S35" s="184">
        <v>25</v>
      </c>
      <c r="T35" s="214" t="s">
        <v>280</v>
      </c>
      <c r="U35" s="266">
        <v>4</v>
      </c>
      <c r="V35" s="463"/>
      <c r="W35" s="464"/>
      <c r="X35" s="464"/>
      <c r="Y35" s="464"/>
      <c r="Z35" s="465"/>
      <c r="AB35" s="156"/>
      <c r="AC35" s="156"/>
      <c r="AD35" s="156"/>
      <c r="AE35" s="156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  <c r="ET35" s="54"/>
      <c r="EU35" s="54"/>
      <c r="EV35" s="54"/>
      <c r="EW35" s="54"/>
      <c r="EX35" s="54"/>
      <c r="EY35" s="54"/>
      <c r="EZ35" s="54"/>
      <c r="FA35" s="54"/>
      <c r="FB35" s="54"/>
      <c r="FC35" s="54"/>
      <c r="FD35" s="54"/>
      <c r="FE35" s="54"/>
      <c r="FF35" s="54"/>
      <c r="FG35" s="54"/>
      <c r="FH35" s="54"/>
      <c r="FI35" s="54"/>
      <c r="FJ35" s="54"/>
      <c r="FK35" s="54"/>
      <c r="FL35" s="54"/>
      <c r="FM35" s="54"/>
      <c r="FN35" s="54"/>
      <c r="FO35" s="54"/>
      <c r="FP35" s="54"/>
      <c r="FQ35" s="54"/>
      <c r="FR35" s="54"/>
      <c r="FS35" s="54"/>
      <c r="FT35" s="54"/>
      <c r="FU35" s="54"/>
      <c r="FV35" s="54"/>
      <c r="FW35" s="54"/>
      <c r="FX35" s="54"/>
      <c r="FY35" s="54"/>
      <c r="FZ35" s="54"/>
      <c r="GA35" s="54"/>
      <c r="GB35" s="54"/>
      <c r="GC35" s="54"/>
      <c r="GD35" s="54"/>
      <c r="GE35" s="54"/>
      <c r="GF35" s="54"/>
      <c r="GG35" s="54"/>
      <c r="GH35" s="54"/>
      <c r="GI35" s="54"/>
      <c r="GJ35" s="54"/>
      <c r="GK35" s="54"/>
      <c r="GL35" s="54"/>
      <c r="GM35" s="54"/>
      <c r="GN35" s="54"/>
      <c r="GO35" s="54"/>
      <c r="GP35" s="54"/>
      <c r="GQ35" s="54"/>
      <c r="GR35" s="54"/>
      <c r="GS35" s="54"/>
      <c r="GT35" s="54"/>
      <c r="GU35" s="54"/>
      <c r="GV35" s="54"/>
      <c r="GW35" s="54"/>
      <c r="GX35" s="54"/>
      <c r="GY35" s="54"/>
      <c r="GZ35" s="54"/>
      <c r="HA35" s="54"/>
      <c r="HB35" s="54"/>
      <c r="HC35" s="54"/>
      <c r="HD35" s="54"/>
      <c r="HE35" s="54"/>
      <c r="HF35" s="54"/>
      <c r="HG35" s="54"/>
      <c r="HH35" s="54"/>
      <c r="HI35" s="54"/>
      <c r="HJ35" s="54"/>
      <c r="HK35" s="54"/>
      <c r="HL35" s="54"/>
      <c r="HM35" s="54"/>
      <c r="HN35" s="54"/>
      <c r="HO35" s="54"/>
      <c r="HP35" s="54"/>
      <c r="HQ35" s="54"/>
      <c r="HR35" s="54"/>
      <c r="HS35" s="54"/>
      <c r="HT35" s="54"/>
      <c r="HU35" s="54"/>
      <c r="HV35" s="54"/>
      <c r="HW35" s="54"/>
      <c r="HX35" s="54"/>
      <c r="HY35" s="54"/>
      <c r="HZ35" s="54"/>
      <c r="IA35" s="54"/>
      <c r="IB35" s="54"/>
      <c r="IC35" s="54"/>
      <c r="ID35" s="54"/>
      <c r="IE35" s="54"/>
      <c r="IF35" s="54"/>
      <c r="IG35" s="54"/>
      <c r="IH35" s="54"/>
    </row>
    <row r="36" spans="1:242" x14ac:dyDescent="0.2">
      <c r="A36" s="271" t="s">
        <v>322</v>
      </c>
      <c r="B36" s="271"/>
      <c r="C36" s="272">
        <f>MROUND(K29,1)</f>
        <v>265</v>
      </c>
      <c r="D36" s="268"/>
      <c r="S36" s="184">
        <v>26</v>
      </c>
      <c r="T36" s="214" t="s">
        <v>281</v>
      </c>
      <c r="U36" s="266">
        <v>4</v>
      </c>
      <c r="V36" s="463"/>
      <c r="W36" s="464"/>
      <c r="X36" s="464"/>
      <c r="Y36" s="464"/>
      <c r="Z36" s="465"/>
      <c r="AA36" s="156"/>
      <c r="AB36" s="156"/>
      <c r="AC36" s="156"/>
      <c r="AD36" s="156"/>
      <c r="AE36" s="156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4"/>
      <c r="CG36" s="54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  <c r="DW36" s="54"/>
      <c r="DX36" s="54"/>
      <c r="DY36" s="54"/>
      <c r="DZ36" s="54"/>
      <c r="EA36" s="54"/>
      <c r="EB36" s="54"/>
      <c r="EC36" s="54"/>
      <c r="ED36" s="54"/>
      <c r="EE36" s="54"/>
      <c r="EF36" s="54"/>
      <c r="EG36" s="54"/>
      <c r="EH36" s="54"/>
      <c r="EI36" s="54"/>
      <c r="EJ36" s="54"/>
      <c r="EK36" s="54"/>
      <c r="EL36" s="54"/>
      <c r="EM36" s="54"/>
      <c r="EN36" s="54"/>
      <c r="EO36" s="54"/>
      <c r="EP36" s="54"/>
      <c r="EQ36" s="54"/>
      <c r="ER36" s="54"/>
      <c r="ES36" s="54"/>
      <c r="ET36" s="54"/>
      <c r="EU36" s="54"/>
      <c r="EV36" s="54"/>
      <c r="EW36" s="54"/>
      <c r="EX36" s="54"/>
      <c r="EY36" s="54"/>
      <c r="EZ36" s="54"/>
      <c r="FA36" s="54"/>
      <c r="FB36" s="54"/>
      <c r="FC36" s="54"/>
      <c r="FD36" s="54"/>
      <c r="FE36" s="54"/>
      <c r="FF36" s="54"/>
      <c r="FG36" s="54"/>
      <c r="FH36" s="54"/>
      <c r="FI36" s="54"/>
      <c r="FJ36" s="54"/>
      <c r="FK36" s="54"/>
      <c r="FL36" s="54"/>
      <c r="FM36" s="54"/>
      <c r="FN36" s="54"/>
      <c r="FO36" s="54"/>
      <c r="FP36" s="54"/>
      <c r="FQ36" s="54"/>
      <c r="FR36" s="54"/>
      <c r="FS36" s="54"/>
      <c r="FT36" s="54"/>
      <c r="FU36" s="54"/>
      <c r="FV36" s="54"/>
      <c r="FW36" s="54"/>
      <c r="FX36" s="54"/>
      <c r="FY36" s="54"/>
      <c r="FZ36" s="54"/>
      <c r="GA36" s="54"/>
      <c r="GB36" s="54"/>
      <c r="GC36" s="54"/>
      <c r="GD36" s="54"/>
      <c r="GE36" s="54"/>
      <c r="GF36" s="54"/>
      <c r="GG36" s="54"/>
      <c r="GH36" s="54"/>
      <c r="GI36" s="54"/>
      <c r="GJ36" s="54"/>
      <c r="GK36" s="54"/>
      <c r="GL36" s="54"/>
      <c r="GM36" s="54"/>
      <c r="GN36" s="54"/>
      <c r="GO36" s="54"/>
      <c r="GP36" s="54"/>
      <c r="GQ36" s="54"/>
      <c r="GR36" s="54"/>
      <c r="GS36" s="54"/>
      <c r="GT36" s="54"/>
      <c r="GU36" s="54"/>
      <c r="GV36" s="54"/>
      <c r="GW36" s="54"/>
      <c r="GX36" s="54"/>
      <c r="GY36" s="54"/>
      <c r="GZ36" s="54"/>
      <c r="HA36" s="54"/>
      <c r="HB36" s="54"/>
      <c r="HC36" s="54"/>
      <c r="HD36" s="54"/>
      <c r="HE36" s="54"/>
      <c r="HF36" s="54"/>
      <c r="HG36" s="54"/>
      <c r="HH36" s="54"/>
      <c r="HI36" s="54"/>
      <c r="HJ36" s="54"/>
      <c r="HK36" s="54"/>
      <c r="HL36" s="54"/>
      <c r="HM36" s="54"/>
      <c r="HN36" s="54"/>
      <c r="HO36" s="54"/>
      <c r="HP36" s="54"/>
      <c r="HQ36" s="54"/>
      <c r="HR36" s="54"/>
      <c r="HS36" s="54"/>
      <c r="HT36" s="54"/>
      <c r="HU36" s="54"/>
      <c r="HV36" s="54"/>
      <c r="HW36" s="54"/>
      <c r="HX36" s="54"/>
      <c r="HY36" s="54"/>
      <c r="HZ36" s="54"/>
      <c r="IA36" s="54"/>
      <c r="IB36" s="54"/>
      <c r="IC36" s="54"/>
      <c r="ID36" s="54"/>
      <c r="IE36" s="54"/>
      <c r="IF36" s="54"/>
      <c r="IG36" s="54"/>
      <c r="IH36" s="54"/>
    </row>
    <row r="37" spans="1:242" x14ac:dyDescent="0.2">
      <c r="A37" s="271" t="s">
        <v>323</v>
      </c>
      <c r="B37" s="271"/>
      <c r="C37" s="272">
        <f>MROUND(C36*1.7,1)</f>
        <v>451</v>
      </c>
      <c r="D37" s="268"/>
      <c r="S37" s="184"/>
      <c r="T37" s="214"/>
      <c r="U37" s="266"/>
      <c r="V37" s="278"/>
      <c r="W37" s="279"/>
      <c r="X37" s="279"/>
      <c r="Y37" s="279"/>
      <c r="Z37" s="280"/>
      <c r="AA37" s="156"/>
      <c r="AB37" s="156"/>
      <c r="AC37" s="156"/>
      <c r="AD37" s="156"/>
      <c r="AE37" s="156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  <c r="DW37" s="54"/>
      <c r="DX37" s="54"/>
      <c r="DY37" s="54"/>
      <c r="DZ37" s="54"/>
      <c r="EA37" s="54"/>
      <c r="EB37" s="54"/>
      <c r="EC37" s="54"/>
      <c r="ED37" s="54"/>
      <c r="EE37" s="54"/>
      <c r="EF37" s="54"/>
      <c r="EG37" s="54"/>
      <c r="EH37" s="54"/>
      <c r="EI37" s="54"/>
      <c r="EJ37" s="54"/>
      <c r="EK37" s="54"/>
      <c r="EL37" s="54"/>
      <c r="EM37" s="54"/>
      <c r="EN37" s="54"/>
      <c r="EO37" s="54"/>
      <c r="EP37" s="54"/>
      <c r="EQ37" s="54"/>
      <c r="ER37" s="54"/>
      <c r="ES37" s="54"/>
      <c r="ET37" s="54"/>
      <c r="EU37" s="54"/>
      <c r="EV37" s="54"/>
      <c r="EW37" s="54"/>
      <c r="EX37" s="54"/>
      <c r="EY37" s="54"/>
      <c r="EZ37" s="54"/>
      <c r="FA37" s="54"/>
      <c r="FB37" s="54"/>
      <c r="FC37" s="54"/>
      <c r="FD37" s="54"/>
      <c r="FE37" s="54"/>
      <c r="FF37" s="54"/>
      <c r="FG37" s="54"/>
      <c r="FH37" s="54"/>
      <c r="FI37" s="54"/>
      <c r="FJ37" s="54"/>
      <c r="FK37" s="54"/>
      <c r="FL37" s="54"/>
      <c r="FM37" s="54"/>
      <c r="FN37" s="54"/>
      <c r="FO37" s="54"/>
      <c r="FP37" s="54"/>
      <c r="FQ37" s="54"/>
      <c r="FR37" s="54"/>
      <c r="FS37" s="54"/>
      <c r="FT37" s="54"/>
      <c r="FU37" s="54"/>
      <c r="FV37" s="54"/>
      <c r="FW37" s="54"/>
      <c r="FX37" s="54"/>
      <c r="FY37" s="54"/>
      <c r="FZ37" s="54"/>
      <c r="GA37" s="54"/>
      <c r="GB37" s="54"/>
      <c r="GC37" s="54"/>
      <c r="GD37" s="54"/>
      <c r="GE37" s="54"/>
      <c r="GF37" s="54"/>
      <c r="GG37" s="54"/>
      <c r="GH37" s="54"/>
      <c r="GI37" s="54"/>
      <c r="GJ37" s="54"/>
      <c r="GK37" s="54"/>
      <c r="GL37" s="54"/>
      <c r="GM37" s="54"/>
      <c r="GN37" s="54"/>
      <c r="GO37" s="54"/>
      <c r="GP37" s="54"/>
      <c r="GQ37" s="54"/>
      <c r="GR37" s="54"/>
      <c r="GS37" s="54"/>
      <c r="GT37" s="54"/>
      <c r="GU37" s="54"/>
      <c r="GV37" s="54"/>
      <c r="GW37" s="54"/>
      <c r="GX37" s="54"/>
      <c r="GY37" s="54"/>
      <c r="GZ37" s="54"/>
      <c r="HA37" s="54"/>
      <c r="HB37" s="54"/>
      <c r="HC37" s="54"/>
      <c r="HD37" s="54"/>
      <c r="HE37" s="54"/>
      <c r="HF37" s="54"/>
      <c r="HG37" s="54"/>
      <c r="HH37" s="54"/>
      <c r="HI37" s="54"/>
      <c r="HJ37" s="54"/>
      <c r="HK37" s="54"/>
      <c r="HL37" s="54"/>
      <c r="HM37" s="54"/>
      <c r="HN37" s="54"/>
      <c r="HO37" s="54"/>
      <c r="HP37" s="54"/>
      <c r="HQ37" s="54"/>
      <c r="HR37" s="54"/>
      <c r="HS37" s="54"/>
      <c r="HT37" s="54"/>
      <c r="HU37" s="54"/>
      <c r="HV37" s="54"/>
      <c r="HW37" s="54"/>
      <c r="HX37" s="54"/>
      <c r="HY37" s="54"/>
      <c r="HZ37" s="54"/>
      <c r="IA37" s="54"/>
      <c r="IB37" s="54"/>
      <c r="IC37" s="54"/>
      <c r="ID37" s="54"/>
      <c r="IE37" s="54"/>
      <c r="IF37" s="54"/>
      <c r="IG37" s="54"/>
      <c r="IH37" s="54"/>
    </row>
    <row r="38" spans="1:242" ht="15" x14ac:dyDescent="0.2">
      <c r="A38" s="222" t="s">
        <v>321</v>
      </c>
      <c r="B38" s="222"/>
      <c r="C38" s="267">
        <f>CEILING(C37*K32,1)</f>
        <v>139359</v>
      </c>
      <c r="D38" s="268" t="s">
        <v>282</v>
      </c>
      <c r="S38" s="184">
        <v>27</v>
      </c>
      <c r="T38" s="214" t="s">
        <v>283</v>
      </c>
      <c r="U38" s="266">
        <v>2</v>
      </c>
      <c r="V38" s="463"/>
      <c r="W38" s="464"/>
      <c r="X38" s="464"/>
      <c r="Y38" s="464"/>
      <c r="Z38" s="465"/>
      <c r="AA38" s="156"/>
      <c r="AB38" s="156"/>
      <c r="AC38" s="156"/>
      <c r="AD38" s="156"/>
      <c r="AE38" s="156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  <c r="DW38" s="54"/>
      <c r="DX38" s="54"/>
      <c r="DY38" s="54"/>
      <c r="DZ38" s="54"/>
      <c r="EA38" s="54"/>
      <c r="EB38" s="54"/>
      <c r="EC38" s="54"/>
      <c r="ED38" s="54"/>
      <c r="EE38" s="54"/>
      <c r="EF38" s="54"/>
      <c r="EG38" s="54"/>
      <c r="EH38" s="54"/>
      <c r="EI38" s="54"/>
      <c r="EJ38" s="54"/>
      <c r="EK38" s="54"/>
      <c r="EL38" s="54"/>
      <c r="EM38" s="54"/>
      <c r="EN38" s="54"/>
      <c r="EO38" s="54"/>
      <c r="EP38" s="54"/>
      <c r="EQ38" s="54"/>
      <c r="ER38" s="54"/>
      <c r="ES38" s="54"/>
      <c r="ET38" s="54"/>
      <c r="EU38" s="54"/>
      <c r="EV38" s="54"/>
      <c r="EW38" s="54"/>
      <c r="EX38" s="54"/>
      <c r="EY38" s="54"/>
      <c r="EZ38" s="54"/>
      <c r="FA38" s="54"/>
      <c r="FB38" s="54"/>
      <c r="FC38" s="54"/>
      <c r="FD38" s="54"/>
      <c r="FE38" s="54"/>
      <c r="FF38" s="54"/>
      <c r="FG38" s="54"/>
      <c r="FH38" s="54"/>
      <c r="FI38" s="54"/>
      <c r="FJ38" s="54"/>
      <c r="FK38" s="54"/>
      <c r="FL38" s="54"/>
      <c r="FM38" s="54"/>
      <c r="FN38" s="54"/>
      <c r="FO38" s="54"/>
      <c r="FP38" s="54"/>
      <c r="FQ38" s="54"/>
      <c r="FR38" s="54"/>
      <c r="FS38" s="54"/>
      <c r="FT38" s="54"/>
      <c r="FU38" s="54"/>
      <c r="FV38" s="54"/>
      <c r="FW38" s="54"/>
      <c r="FX38" s="54"/>
      <c r="FY38" s="54"/>
      <c r="FZ38" s="54"/>
      <c r="GA38" s="54"/>
      <c r="GB38" s="54"/>
      <c r="GC38" s="54"/>
      <c r="GD38" s="54"/>
      <c r="GE38" s="54"/>
      <c r="GF38" s="54"/>
      <c r="GG38" s="54"/>
      <c r="GH38" s="54"/>
      <c r="GI38" s="54"/>
      <c r="GJ38" s="54"/>
      <c r="GK38" s="54"/>
      <c r="GL38" s="54"/>
      <c r="GM38" s="54"/>
      <c r="GN38" s="54"/>
      <c r="GO38" s="54"/>
      <c r="GP38" s="54"/>
      <c r="GQ38" s="54"/>
      <c r="GR38" s="54"/>
      <c r="GS38" s="54"/>
      <c r="GT38" s="54"/>
      <c r="GU38" s="54"/>
      <c r="GV38" s="54"/>
      <c r="GW38" s="54"/>
      <c r="GX38" s="54"/>
      <c r="GY38" s="54"/>
      <c r="GZ38" s="54"/>
      <c r="HA38" s="54"/>
      <c r="HB38" s="54"/>
      <c r="HC38" s="54"/>
      <c r="HD38" s="54"/>
      <c r="HE38" s="54"/>
      <c r="HF38" s="54"/>
      <c r="HG38" s="54"/>
      <c r="HH38" s="54"/>
      <c r="HI38" s="54"/>
      <c r="HJ38" s="54"/>
      <c r="HK38" s="54"/>
      <c r="HL38" s="54"/>
      <c r="HM38" s="54"/>
      <c r="HN38" s="54"/>
      <c r="HO38" s="54"/>
      <c r="HP38" s="54"/>
      <c r="HQ38" s="54"/>
      <c r="HR38" s="54"/>
      <c r="HS38" s="54"/>
      <c r="HT38" s="54"/>
      <c r="HU38" s="54"/>
      <c r="HV38" s="54"/>
      <c r="HW38" s="54"/>
      <c r="HX38" s="54"/>
      <c r="HY38" s="54"/>
      <c r="HZ38" s="54"/>
      <c r="IA38" s="54"/>
      <c r="IB38" s="54"/>
      <c r="IC38" s="54"/>
      <c r="ID38" s="54"/>
      <c r="IE38" s="54"/>
      <c r="IF38" s="54"/>
      <c r="IG38" s="54"/>
      <c r="IH38" s="54"/>
    </row>
    <row r="39" spans="1:242" x14ac:dyDescent="0.2">
      <c r="S39" s="184">
        <v>28</v>
      </c>
      <c r="T39" s="214" t="s">
        <v>284</v>
      </c>
      <c r="U39" s="266">
        <v>4</v>
      </c>
      <c r="V39" s="463"/>
      <c r="W39" s="464"/>
      <c r="X39" s="464"/>
      <c r="Y39" s="464"/>
      <c r="Z39" s="465"/>
      <c r="AA39" s="156"/>
      <c r="AB39" s="156"/>
      <c r="AC39" s="156"/>
      <c r="AD39" s="156"/>
      <c r="AE39" s="156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ED39" s="54"/>
      <c r="EE39" s="54"/>
      <c r="EF39" s="54"/>
      <c r="EG39" s="54"/>
      <c r="EH39" s="54"/>
      <c r="EI39" s="54"/>
      <c r="EJ39" s="54"/>
      <c r="EK39" s="54"/>
      <c r="EL39" s="54"/>
      <c r="EM39" s="54"/>
      <c r="EN39" s="54"/>
      <c r="EO39" s="54"/>
      <c r="EP39" s="54"/>
      <c r="EQ39" s="54"/>
      <c r="ER39" s="54"/>
      <c r="ES39" s="54"/>
      <c r="ET39" s="54"/>
      <c r="EU39" s="54"/>
      <c r="EV39" s="54"/>
      <c r="EW39" s="54"/>
      <c r="EX39" s="54"/>
      <c r="EY39" s="54"/>
      <c r="EZ39" s="54"/>
      <c r="FA39" s="54"/>
      <c r="FB39" s="54"/>
      <c r="FC39" s="54"/>
      <c r="FD39" s="54"/>
      <c r="FE39" s="54"/>
      <c r="FF39" s="54"/>
      <c r="FG39" s="54"/>
      <c r="FH39" s="54"/>
      <c r="FI39" s="54"/>
      <c r="FJ39" s="54"/>
      <c r="FK39" s="54"/>
      <c r="FL39" s="54"/>
      <c r="FM39" s="54"/>
      <c r="FN39" s="54"/>
      <c r="FO39" s="54"/>
      <c r="FP39" s="54"/>
      <c r="FQ39" s="54"/>
      <c r="FR39" s="54"/>
      <c r="FS39" s="54"/>
      <c r="FT39" s="54"/>
      <c r="FU39" s="54"/>
      <c r="FV39" s="54"/>
      <c r="FW39" s="54"/>
      <c r="FX39" s="54"/>
      <c r="FY39" s="54"/>
      <c r="FZ39" s="54"/>
      <c r="GA39" s="54"/>
      <c r="GB39" s="54"/>
      <c r="GC39" s="54"/>
      <c r="GD39" s="54"/>
      <c r="GE39" s="54"/>
      <c r="GF39" s="54"/>
      <c r="GG39" s="54"/>
      <c r="GH39" s="54"/>
      <c r="GI39" s="54"/>
      <c r="GJ39" s="54"/>
      <c r="GK39" s="54"/>
      <c r="GL39" s="54"/>
      <c r="GM39" s="54"/>
      <c r="GN39" s="54"/>
      <c r="GO39" s="54"/>
      <c r="GP39" s="54"/>
      <c r="GQ39" s="54"/>
      <c r="GR39" s="54"/>
      <c r="GS39" s="54"/>
      <c r="GT39" s="54"/>
      <c r="GU39" s="54"/>
      <c r="GV39" s="54"/>
      <c r="GW39" s="54"/>
      <c r="GX39" s="54"/>
      <c r="GY39" s="54"/>
      <c r="GZ39" s="54"/>
      <c r="HA39" s="54"/>
      <c r="HB39" s="54"/>
      <c r="HC39" s="54"/>
      <c r="HD39" s="54"/>
      <c r="HE39" s="54"/>
      <c r="HF39" s="54"/>
      <c r="HG39" s="54"/>
      <c r="HH39" s="54"/>
      <c r="HI39" s="54"/>
      <c r="HJ39" s="54"/>
      <c r="HK39" s="54"/>
      <c r="HL39" s="54"/>
      <c r="HM39" s="54"/>
      <c r="HN39" s="54"/>
      <c r="HO39" s="54"/>
      <c r="HP39" s="54"/>
      <c r="HQ39" s="54"/>
      <c r="HR39" s="54"/>
      <c r="HS39" s="54"/>
      <c r="HT39" s="54"/>
      <c r="HU39" s="54"/>
      <c r="HV39" s="54"/>
      <c r="HW39" s="54"/>
      <c r="HX39" s="54"/>
      <c r="HY39" s="54"/>
      <c r="HZ39" s="54"/>
      <c r="IA39" s="54"/>
      <c r="IB39" s="54"/>
      <c r="IC39" s="54"/>
      <c r="ID39" s="54"/>
      <c r="IE39" s="54"/>
      <c r="IF39" s="54"/>
      <c r="IG39" s="54"/>
      <c r="IH39" s="54"/>
    </row>
    <row r="40" spans="1:242" s="146" customFormat="1" ht="15" x14ac:dyDescent="0.2">
      <c r="A40" s="456" t="s">
        <v>124</v>
      </c>
      <c r="B40" s="457"/>
      <c r="C40" s="457"/>
      <c r="D40" s="457"/>
      <c r="E40" s="457"/>
      <c r="F40" s="457"/>
      <c r="G40" s="457"/>
      <c r="H40" s="457"/>
      <c r="I40" s="457"/>
      <c r="J40" s="457"/>
      <c r="K40" s="457"/>
      <c r="L40" s="457"/>
      <c r="M40" s="457"/>
      <c r="N40" s="457"/>
      <c r="O40" s="457"/>
      <c r="S40" s="184">
        <v>29</v>
      </c>
      <c r="T40" s="214" t="s">
        <v>285</v>
      </c>
      <c r="U40" s="266">
        <v>4</v>
      </c>
      <c r="V40" s="463"/>
      <c r="W40" s="464"/>
      <c r="X40" s="464"/>
      <c r="Y40" s="464"/>
      <c r="Z40" s="465"/>
      <c r="AA40" s="156"/>
      <c r="AB40" s="156"/>
      <c r="AC40" s="156"/>
      <c r="AD40" s="156"/>
      <c r="AE40" s="156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F40" s="54"/>
      <c r="CG40" s="54"/>
      <c r="CH40" s="54"/>
      <c r="CI40" s="54"/>
      <c r="CJ40" s="54"/>
      <c r="CK40" s="54"/>
      <c r="CL40" s="54"/>
      <c r="CM40" s="54"/>
      <c r="CN40" s="54"/>
      <c r="CO40" s="54"/>
      <c r="CP40" s="54"/>
      <c r="CQ40" s="54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  <c r="DH40" s="54"/>
      <c r="DI40" s="54"/>
      <c r="DJ40" s="54"/>
      <c r="DK40" s="54"/>
      <c r="DL40" s="54"/>
      <c r="DM40" s="54"/>
      <c r="DN40" s="54"/>
      <c r="DO40" s="54"/>
      <c r="DP40" s="54"/>
      <c r="DQ40" s="54"/>
      <c r="DR40" s="54"/>
      <c r="DS40" s="54"/>
      <c r="DT40" s="54"/>
      <c r="DU40" s="54"/>
      <c r="DV40" s="54"/>
      <c r="DW40" s="54"/>
      <c r="DX40" s="54"/>
      <c r="DY40" s="54"/>
      <c r="DZ40" s="54"/>
      <c r="EA40" s="54"/>
      <c r="EB40" s="54"/>
      <c r="EC40" s="54"/>
      <c r="ED40" s="54"/>
      <c r="EE40" s="54"/>
      <c r="EF40" s="54"/>
      <c r="EG40" s="54"/>
      <c r="EH40" s="54"/>
      <c r="EI40" s="54"/>
      <c r="EJ40" s="54"/>
      <c r="EK40" s="54"/>
      <c r="EL40" s="54"/>
      <c r="EM40" s="54"/>
      <c r="EN40" s="54"/>
      <c r="EO40" s="54"/>
      <c r="EP40" s="54"/>
      <c r="EQ40" s="54"/>
      <c r="ER40" s="54"/>
      <c r="ES40" s="54"/>
      <c r="ET40" s="54"/>
      <c r="EU40" s="54"/>
      <c r="EV40" s="54"/>
      <c r="EW40" s="54"/>
      <c r="EX40" s="54"/>
      <c r="EY40" s="54"/>
      <c r="EZ40" s="54"/>
      <c r="FA40" s="54"/>
      <c r="FB40" s="54"/>
      <c r="FC40" s="54"/>
      <c r="FD40" s="54"/>
      <c r="FE40" s="54"/>
      <c r="FF40" s="54"/>
      <c r="FG40" s="54"/>
      <c r="FH40" s="54"/>
      <c r="FI40" s="54"/>
      <c r="FJ40" s="54"/>
      <c r="FK40" s="54"/>
      <c r="FL40" s="54"/>
      <c r="FM40" s="54"/>
      <c r="FN40" s="54"/>
      <c r="FO40" s="54"/>
      <c r="FP40" s="54"/>
      <c r="FQ40" s="54"/>
      <c r="FR40" s="54"/>
      <c r="FS40" s="54"/>
      <c r="FT40" s="54"/>
      <c r="FU40" s="54"/>
      <c r="FV40" s="54"/>
      <c r="FW40" s="54"/>
      <c r="FX40" s="54"/>
      <c r="FY40" s="54"/>
      <c r="FZ40" s="54"/>
      <c r="GA40" s="54"/>
      <c r="GB40" s="54"/>
      <c r="GC40" s="54"/>
      <c r="GD40" s="54"/>
      <c r="GE40" s="54"/>
      <c r="GF40" s="54"/>
      <c r="GG40" s="54"/>
      <c r="GH40" s="54"/>
      <c r="GI40" s="54"/>
      <c r="GJ40" s="54"/>
      <c r="GK40" s="54"/>
      <c r="GL40" s="54"/>
      <c r="GM40" s="54"/>
      <c r="GN40" s="54"/>
      <c r="GO40" s="54"/>
      <c r="GP40" s="54"/>
      <c r="GQ40" s="54"/>
      <c r="GR40" s="54"/>
      <c r="GS40" s="54"/>
      <c r="GT40" s="54"/>
      <c r="GU40" s="54"/>
      <c r="GV40" s="54"/>
      <c r="GW40" s="54"/>
      <c r="GX40" s="54"/>
      <c r="GY40" s="54"/>
      <c r="GZ40" s="54"/>
      <c r="HA40" s="54"/>
      <c r="HB40" s="54"/>
      <c r="HC40" s="54"/>
      <c r="HD40" s="54"/>
      <c r="HE40" s="54"/>
      <c r="HF40" s="54"/>
      <c r="HG40" s="54"/>
      <c r="HH40" s="54"/>
      <c r="HI40" s="54"/>
      <c r="HJ40" s="54"/>
      <c r="HK40" s="54"/>
      <c r="HL40" s="54"/>
      <c r="HM40" s="54"/>
      <c r="HN40" s="54"/>
      <c r="HO40" s="54"/>
      <c r="HP40" s="54"/>
      <c r="HQ40" s="54"/>
      <c r="HR40" s="54"/>
      <c r="HS40" s="54"/>
      <c r="HT40" s="54"/>
      <c r="HU40" s="54"/>
      <c r="HV40" s="54"/>
      <c r="HW40" s="54"/>
      <c r="HX40" s="54"/>
      <c r="HY40" s="54"/>
      <c r="HZ40" s="54"/>
      <c r="IA40" s="54"/>
      <c r="IB40" s="54"/>
      <c r="IC40" s="54"/>
      <c r="ID40" s="54"/>
      <c r="IE40" s="54"/>
      <c r="IF40" s="54"/>
      <c r="IG40" s="54"/>
      <c r="IH40" s="54"/>
    </row>
    <row r="41" spans="1:242" x14ac:dyDescent="0.2">
      <c r="A41" s="223" t="s">
        <v>90</v>
      </c>
      <c r="B41" s="224"/>
      <c r="C41" s="269" t="str">
        <f>Цена!D24</f>
        <v>Нет</v>
      </c>
      <c r="D41" s="268"/>
      <c r="S41" s="184"/>
      <c r="T41" s="214"/>
      <c r="U41" s="266"/>
      <c r="V41" s="463"/>
      <c r="W41" s="464"/>
      <c r="X41" s="464"/>
      <c r="Y41" s="464"/>
      <c r="Z41" s="465"/>
      <c r="AA41" s="156"/>
      <c r="AB41" s="156"/>
      <c r="AC41" s="156"/>
      <c r="AD41" s="156"/>
      <c r="AE41" s="156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  <c r="DO41" s="54"/>
      <c r="DP41" s="54"/>
      <c r="DQ41" s="54"/>
      <c r="DR41" s="54"/>
      <c r="DS41" s="54"/>
      <c r="DT41" s="54"/>
      <c r="DU41" s="54"/>
      <c r="DV41" s="54"/>
      <c r="DW41" s="54"/>
      <c r="DX41" s="54"/>
      <c r="DY41" s="54"/>
      <c r="DZ41" s="54"/>
      <c r="EA41" s="54"/>
      <c r="EB41" s="54"/>
      <c r="EC41" s="54"/>
      <c r="ED41" s="54"/>
      <c r="EE41" s="54"/>
      <c r="EF41" s="54"/>
      <c r="EG41" s="54"/>
      <c r="EH41" s="54"/>
      <c r="EI41" s="54"/>
      <c r="EJ41" s="54"/>
      <c r="EK41" s="54"/>
      <c r="EL41" s="54"/>
      <c r="EM41" s="54"/>
      <c r="EN41" s="54"/>
      <c r="EO41" s="54"/>
      <c r="EP41" s="54"/>
      <c r="EQ41" s="54"/>
      <c r="ER41" s="54"/>
      <c r="ES41" s="54"/>
      <c r="ET41" s="54"/>
      <c r="EU41" s="54"/>
      <c r="EV41" s="54"/>
      <c r="EW41" s="54"/>
      <c r="EX41" s="54"/>
      <c r="EY41" s="54"/>
      <c r="EZ41" s="54"/>
      <c r="FA41" s="54"/>
      <c r="FB41" s="54"/>
      <c r="FC41" s="54"/>
      <c r="FD41" s="54"/>
      <c r="FE41" s="54"/>
      <c r="FF41" s="54"/>
      <c r="FG41" s="54"/>
      <c r="FH41" s="54"/>
      <c r="FI41" s="54"/>
      <c r="FJ41" s="54"/>
      <c r="FK41" s="54"/>
      <c r="FL41" s="54"/>
      <c r="FM41" s="54"/>
      <c r="FN41" s="54"/>
      <c r="FO41" s="54"/>
      <c r="FP41" s="54"/>
      <c r="FQ41" s="54"/>
      <c r="FR41" s="54"/>
      <c r="FS41" s="54"/>
      <c r="FT41" s="54"/>
      <c r="FU41" s="54"/>
      <c r="FV41" s="54"/>
      <c r="FW41" s="54"/>
      <c r="FX41" s="54"/>
      <c r="FY41" s="54"/>
      <c r="FZ41" s="54"/>
      <c r="GA41" s="54"/>
      <c r="GB41" s="54"/>
      <c r="GC41" s="54"/>
      <c r="GD41" s="54"/>
      <c r="GE41" s="54"/>
      <c r="GF41" s="54"/>
      <c r="GG41" s="54"/>
      <c r="GH41" s="54"/>
      <c r="GI41" s="54"/>
      <c r="GJ41" s="54"/>
      <c r="GK41" s="54"/>
      <c r="GL41" s="54"/>
      <c r="GM41" s="54"/>
      <c r="GN41" s="54"/>
      <c r="GO41" s="54"/>
      <c r="GP41" s="54"/>
      <c r="GQ41" s="54"/>
      <c r="GR41" s="54"/>
      <c r="GS41" s="54"/>
      <c r="GT41" s="54"/>
      <c r="GU41" s="54"/>
      <c r="GV41" s="54"/>
      <c r="GW41" s="54"/>
      <c r="GX41" s="54"/>
      <c r="GY41" s="54"/>
      <c r="GZ41" s="54"/>
      <c r="HA41" s="54"/>
      <c r="HB41" s="54"/>
      <c r="HC41" s="54"/>
      <c r="HD41" s="54"/>
      <c r="HE41" s="54"/>
      <c r="HF41" s="54"/>
      <c r="HG41" s="54"/>
      <c r="HH41" s="54"/>
      <c r="HI41" s="54"/>
      <c r="HJ41" s="54"/>
      <c r="HK41" s="54"/>
      <c r="HL41" s="54"/>
      <c r="HM41" s="54"/>
      <c r="HN41" s="54"/>
      <c r="HO41" s="54"/>
      <c r="HP41" s="54"/>
      <c r="HQ41" s="54"/>
      <c r="HR41" s="54"/>
      <c r="HS41" s="54"/>
      <c r="HT41" s="54"/>
      <c r="HU41" s="54"/>
      <c r="HV41" s="54"/>
      <c r="HW41" s="54"/>
      <c r="HX41" s="54"/>
      <c r="HY41" s="54"/>
      <c r="HZ41" s="54"/>
      <c r="IA41" s="54"/>
      <c r="IB41" s="54"/>
      <c r="IC41" s="54"/>
      <c r="ID41" s="54"/>
      <c r="IE41" s="54"/>
      <c r="IF41" s="54"/>
      <c r="IG41" s="54"/>
      <c r="IH41" s="54"/>
    </row>
    <row r="42" spans="1:242" x14ac:dyDescent="0.2">
      <c r="A42" s="270" t="s">
        <v>286</v>
      </c>
      <c r="B42" s="270"/>
      <c r="C42" s="268">
        <v>70</v>
      </c>
      <c r="D42" s="268" t="s">
        <v>287</v>
      </c>
      <c r="S42" s="184">
        <v>30</v>
      </c>
      <c r="T42" s="214" t="s">
        <v>288</v>
      </c>
      <c r="U42" s="266">
        <v>2</v>
      </c>
      <c r="V42" s="463"/>
      <c r="W42" s="464"/>
      <c r="X42" s="464"/>
      <c r="Y42" s="464"/>
      <c r="Z42" s="465"/>
      <c r="AA42" s="156"/>
      <c r="AB42" s="156"/>
      <c r="AC42" s="156"/>
      <c r="AD42" s="156"/>
      <c r="AE42" s="156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  <c r="DO42" s="54"/>
      <c r="DP42" s="54"/>
      <c r="DQ42" s="54"/>
      <c r="DR42" s="54"/>
      <c r="DS42" s="54"/>
      <c r="DT42" s="54"/>
      <c r="DU42" s="54"/>
      <c r="DV42" s="54"/>
      <c r="DW42" s="54"/>
      <c r="DX42" s="54"/>
      <c r="DY42" s="54"/>
      <c r="DZ42" s="54"/>
      <c r="EA42" s="54"/>
      <c r="EB42" s="54"/>
      <c r="EC42" s="54"/>
      <c r="ED42" s="54"/>
      <c r="EE42" s="54"/>
      <c r="EF42" s="54"/>
      <c r="EG42" s="54"/>
      <c r="EH42" s="54"/>
      <c r="EI42" s="54"/>
      <c r="EJ42" s="54"/>
      <c r="EK42" s="54"/>
      <c r="EL42" s="54"/>
      <c r="EM42" s="54"/>
      <c r="EN42" s="54"/>
      <c r="EO42" s="54"/>
      <c r="EP42" s="54"/>
      <c r="EQ42" s="54"/>
      <c r="ER42" s="54"/>
      <c r="ES42" s="54"/>
      <c r="ET42" s="54"/>
      <c r="EU42" s="54"/>
      <c r="EV42" s="54"/>
      <c r="EW42" s="54"/>
      <c r="EX42" s="54"/>
      <c r="EY42" s="54"/>
      <c r="EZ42" s="54"/>
      <c r="FA42" s="54"/>
      <c r="FB42" s="54"/>
      <c r="FC42" s="54"/>
      <c r="FD42" s="54"/>
      <c r="FE42" s="54"/>
      <c r="FF42" s="54"/>
      <c r="FG42" s="54"/>
      <c r="FH42" s="54"/>
      <c r="FI42" s="54"/>
      <c r="FJ42" s="54"/>
      <c r="FK42" s="54"/>
      <c r="FL42" s="54"/>
      <c r="FM42" s="54"/>
      <c r="FN42" s="54"/>
      <c r="FO42" s="54"/>
      <c r="FP42" s="54"/>
      <c r="FQ42" s="54"/>
      <c r="FR42" s="54"/>
      <c r="FS42" s="54"/>
      <c r="FT42" s="54"/>
      <c r="FU42" s="54"/>
      <c r="FV42" s="54"/>
      <c r="FW42" s="54"/>
      <c r="FX42" s="54"/>
      <c r="FY42" s="54"/>
      <c r="FZ42" s="54"/>
      <c r="GA42" s="54"/>
      <c r="GB42" s="54"/>
      <c r="GC42" s="54"/>
      <c r="GD42" s="54"/>
      <c r="GE42" s="54"/>
      <c r="GF42" s="54"/>
      <c r="GG42" s="54"/>
      <c r="GH42" s="54"/>
      <c r="GI42" s="54"/>
      <c r="GJ42" s="54"/>
      <c r="GK42" s="54"/>
      <c r="GL42" s="54"/>
      <c r="GM42" s="54"/>
      <c r="GN42" s="54"/>
      <c r="GO42" s="54"/>
      <c r="GP42" s="54"/>
      <c r="GQ42" s="54"/>
      <c r="GR42" s="54"/>
      <c r="GS42" s="54"/>
      <c r="GT42" s="54"/>
      <c r="GU42" s="54"/>
      <c r="GV42" s="54"/>
      <c r="GW42" s="54"/>
      <c r="GX42" s="54"/>
      <c r="GY42" s="54"/>
      <c r="GZ42" s="54"/>
      <c r="HA42" s="54"/>
      <c r="HB42" s="54"/>
      <c r="HC42" s="54"/>
      <c r="HD42" s="54"/>
      <c r="HE42" s="54"/>
      <c r="HF42" s="54"/>
      <c r="HG42" s="54"/>
      <c r="HH42" s="54"/>
      <c r="HI42" s="54"/>
      <c r="HJ42" s="54"/>
      <c r="HK42" s="54"/>
      <c r="HL42" s="54"/>
      <c r="HM42" s="54"/>
      <c r="HN42" s="54"/>
      <c r="HO42" s="54"/>
      <c r="HP42" s="54"/>
      <c r="HQ42" s="54"/>
      <c r="HR42" s="54"/>
      <c r="HS42" s="54"/>
      <c r="HT42" s="54"/>
      <c r="HU42" s="54"/>
      <c r="HV42" s="54"/>
      <c r="HW42" s="54"/>
      <c r="HX42" s="54"/>
      <c r="HY42" s="54"/>
      <c r="HZ42" s="54"/>
      <c r="IA42" s="54"/>
      <c r="IB42" s="54"/>
      <c r="IC42" s="54"/>
      <c r="ID42" s="54"/>
      <c r="IE42" s="54"/>
      <c r="IF42" s="54"/>
      <c r="IG42" s="54"/>
      <c r="IH42" s="54"/>
    </row>
    <row r="43" spans="1:242" x14ac:dyDescent="0.2">
      <c r="A43" s="271" t="s">
        <v>289</v>
      </c>
      <c r="B43" s="271"/>
      <c r="C43" s="272">
        <f>Параметры!B7</f>
        <v>340</v>
      </c>
      <c r="D43" s="268" t="s">
        <v>290</v>
      </c>
      <c r="S43" s="184">
        <v>31</v>
      </c>
      <c r="T43" s="214" t="s">
        <v>291</v>
      </c>
      <c r="U43" s="266">
        <v>2</v>
      </c>
      <c r="V43" s="463"/>
      <c r="W43" s="464"/>
      <c r="X43" s="464"/>
      <c r="Y43" s="464"/>
      <c r="Z43" s="465"/>
      <c r="AA43" s="156"/>
      <c r="AB43" s="156"/>
      <c r="AC43" s="156"/>
      <c r="AD43" s="156"/>
      <c r="AE43" s="156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  <c r="DW43" s="54"/>
      <c r="DX43" s="54"/>
      <c r="DY43" s="54"/>
      <c r="DZ43" s="54"/>
      <c r="EA43" s="54"/>
      <c r="EB43" s="54"/>
      <c r="EC43" s="54"/>
      <c r="ED43" s="54"/>
      <c r="EE43" s="54"/>
      <c r="EF43" s="54"/>
      <c r="EG43" s="54"/>
      <c r="EH43" s="54"/>
      <c r="EI43" s="54"/>
      <c r="EJ43" s="54"/>
      <c r="EK43" s="54"/>
      <c r="EL43" s="54"/>
      <c r="EM43" s="54"/>
      <c r="EN43" s="54"/>
      <c r="EO43" s="54"/>
      <c r="EP43" s="54"/>
      <c r="EQ43" s="54"/>
      <c r="ER43" s="54"/>
      <c r="ES43" s="54"/>
      <c r="ET43" s="54"/>
      <c r="EU43" s="54"/>
      <c r="EV43" s="54"/>
      <c r="EW43" s="54"/>
      <c r="EX43" s="54"/>
      <c r="EY43" s="54"/>
      <c r="EZ43" s="54"/>
      <c r="FA43" s="54"/>
      <c r="FB43" s="54"/>
      <c r="FC43" s="54"/>
      <c r="FD43" s="54"/>
      <c r="FE43" s="54"/>
      <c r="FF43" s="54"/>
      <c r="FG43" s="54"/>
      <c r="FH43" s="54"/>
      <c r="FI43" s="54"/>
      <c r="FJ43" s="54"/>
      <c r="FK43" s="54"/>
      <c r="FL43" s="54"/>
      <c r="FM43" s="54"/>
      <c r="FN43" s="54"/>
      <c r="FO43" s="54"/>
      <c r="FP43" s="54"/>
      <c r="FQ43" s="54"/>
      <c r="FR43" s="54"/>
      <c r="FS43" s="54"/>
      <c r="FT43" s="54"/>
      <c r="FU43" s="54"/>
      <c r="FV43" s="54"/>
      <c r="FW43" s="54"/>
      <c r="FX43" s="54"/>
      <c r="FY43" s="54"/>
      <c r="FZ43" s="54"/>
      <c r="GA43" s="54"/>
      <c r="GB43" s="54"/>
      <c r="GC43" s="54"/>
      <c r="GD43" s="54"/>
      <c r="GE43" s="54"/>
      <c r="GF43" s="54"/>
      <c r="GG43" s="54"/>
      <c r="GH43" s="54"/>
      <c r="GI43" s="54"/>
      <c r="GJ43" s="54"/>
      <c r="GK43" s="54"/>
      <c r="GL43" s="54"/>
      <c r="GM43" s="54"/>
      <c r="GN43" s="54"/>
      <c r="GO43" s="54"/>
      <c r="GP43" s="54"/>
      <c r="GQ43" s="54"/>
      <c r="GR43" s="54"/>
      <c r="GS43" s="54"/>
      <c r="GT43" s="54"/>
      <c r="GU43" s="54"/>
      <c r="GV43" s="54"/>
      <c r="GW43" s="54"/>
      <c r="GX43" s="54"/>
      <c r="GY43" s="54"/>
      <c r="GZ43" s="54"/>
      <c r="HA43" s="54"/>
      <c r="HB43" s="54"/>
      <c r="HC43" s="54"/>
      <c r="HD43" s="54"/>
      <c r="HE43" s="54"/>
      <c r="HF43" s="54"/>
      <c r="HG43" s="54"/>
      <c r="HH43" s="54"/>
      <c r="HI43" s="54"/>
      <c r="HJ43" s="54"/>
      <c r="HK43" s="54"/>
      <c r="HL43" s="54"/>
      <c r="HM43" s="54"/>
      <c r="HN43" s="54"/>
      <c r="HO43" s="54"/>
      <c r="HP43" s="54"/>
      <c r="HQ43" s="54"/>
      <c r="HR43" s="54"/>
      <c r="HS43" s="54"/>
      <c r="HT43" s="54"/>
      <c r="HU43" s="54"/>
      <c r="HV43" s="54"/>
      <c r="HW43" s="54"/>
      <c r="HX43" s="54"/>
      <c r="HY43" s="54"/>
      <c r="HZ43" s="54"/>
      <c r="IA43" s="54"/>
      <c r="IB43" s="54"/>
      <c r="IC43" s="54"/>
      <c r="ID43" s="54"/>
      <c r="IE43" s="54"/>
      <c r="IF43" s="54"/>
      <c r="IG43" s="54"/>
      <c r="IH43" s="54"/>
    </row>
    <row r="44" spans="1:242" x14ac:dyDescent="0.2">
      <c r="A44" s="223" t="s">
        <v>292</v>
      </c>
      <c r="B44" s="224"/>
      <c r="C44" s="273">
        <f>IF(C41="Да",C42*C43,0)</f>
        <v>0</v>
      </c>
      <c r="D44" s="268" t="s">
        <v>278</v>
      </c>
      <c r="F44" s="80"/>
      <c r="S44" s="184">
        <v>32</v>
      </c>
      <c r="T44" s="214" t="s">
        <v>293</v>
      </c>
      <c r="U44" s="266">
        <v>1</v>
      </c>
      <c r="V44" s="463"/>
      <c r="W44" s="464"/>
      <c r="X44" s="464"/>
      <c r="Y44" s="464"/>
      <c r="Z44" s="465"/>
      <c r="AA44" s="156"/>
      <c r="AB44" s="156"/>
      <c r="AC44" s="156"/>
      <c r="AD44" s="156"/>
      <c r="AE44" s="156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4"/>
      <c r="DT44" s="54"/>
      <c r="DU44" s="54"/>
      <c r="DV44" s="54"/>
      <c r="DW44" s="54"/>
      <c r="DX44" s="54"/>
      <c r="DY44" s="54"/>
      <c r="DZ44" s="54"/>
      <c r="EA44" s="54"/>
      <c r="EB44" s="54"/>
      <c r="EC44" s="54"/>
      <c r="ED44" s="54"/>
      <c r="EE44" s="54"/>
      <c r="EF44" s="54"/>
      <c r="EG44" s="54"/>
      <c r="EH44" s="54"/>
      <c r="EI44" s="54"/>
      <c r="EJ44" s="54"/>
      <c r="EK44" s="54"/>
      <c r="EL44" s="54"/>
      <c r="EM44" s="54"/>
      <c r="EN44" s="54"/>
      <c r="EO44" s="54"/>
      <c r="EP44" s="54"/>
      <c r="EQ44" s="54"/>
      <c r="ER44" s="54"/>
      <c r="ES44" s="54"/>
      <c r="ET44" s="54"/>
      <c r="EU44" s="54"/>
      <c r="EV44" s="54"/>
      <c r="EW44" s="54"/>
      <c r="EX44" s="54"/>
      <c r="EY44" s="54"/>
      <c r="EZ44" s="54"/>
      <c r="FA44" s="54"/>
      <c r="FB44" s="54"/>
      <c r="FC44" s="54"/>
      <c r="FD44" s="54"/>
      <c r="FE44" s="54"/>
      <c r="FF44" s="54"/>
      <c r="FG44" s="54"/>
      <c r="FH44" s="54"/>
      <c r="FI44" s="54"/>
      <c r="FJ44" s="54"/>
      <c r="FK44" s="54"/>
      <c r="FL44" s="54"/>
      <c r="FM44" s="54"/>
      <c r="FN44" s="54"/>
      <c r="FO44" s="54"/>
      <c r="FP44" s="54"/>
      <c r="FQ44" s="54"/>
      <c r="FR44" s="54"/>
      <c r="FS44" s="54"/>
      <c r="FT44" s="54"/>
      <c r="FU44" s="54"/>
      <c r="FV44" s="54"/>
      <c r="FW44" s="54"/>
      <c r="FX44" s="54"/>
      <c r="FY44" s="54"/>
      <c r="FZ44" s="54"/>
      <c r="GA44" s="54"/>
      <c r="GB44" s="54"/>
      <c r="GC44" s="54"/>
      <c r="GD44" s="54"/>
      <c r="GE44" s="54"/>
      <c r="GF44" s="54"/>
      <c r="GG44" s="54"/>
      <c r="GH44" s="54"/>
      <c r="GI44" s="54"/>
      <c r="GJ44" s="54"/>
      <c r="GK44" s="54"/>
      <c r="GL44" s="54"/>
      <c r="GM44" s="54"/>
      <c r="GN44" s="54"/>
      <c r="GO44" s="54"/>
      <c r="GP44" s="54"/>
      <c r="GQ44" s="54"/>
      <c r="GR44" s="54"/>
      <c r="GS44" s="54"/>
      <c r="GT44" s="54"/>
      <c r="GU44" s="54"/>
      <c r="GV44" s="54"/>
      <c r="GW44" s="54"/>
      <c r="GX44" s="54"/>
      <c r="GY44" s="54"/>
      <c r="GZ44" s="54"/>
      <c r="HA44" s="54"/>
      <c r="HB44" s="54"/>
      <c r="HC44" s="54"/>
      <c r="HD44" s="54"/>
      <c r="HE44" s="54"/>
      <c r="HF44" s="54"/>
      <c r="HG44" s="54"/>
      <c r="HH44" s="54"/>
      <c r="HI44" s="54"/>
      <c r="HJ44" s="54"/>
      <c r="HK44" s="54"/>
      <c r="HL44" s="54"/>
      <c r="HM44" s="54"/>
      <c r="HN44" s="54"/>
      <c r="HO44" s="54"/>
      <c r="HP44" s="54"/>
      <c r="HQ44" s="54"/>
      <c r="HR44" s="54"/>
      <c r="HS44" s="54"/>
      <c r="HT44" s="54"/>
      <c r="HU44" s="54"/>
      <c r="HV44" s="54"/>
      <c r="HW44" s="54"/>
      <c r="HX44" s="54"/>
      <c r="HY44" s="54"/>
      <c r="HZ44" s="54"/>
      <c r="IA44" s="54"/>
      <c r="IB44" s="54"/>
      <c r="IC44" s="54"/>
      <c r="ID44" s="54"/>
      <c r="IE44" s="54"/>
      <c r="IF44" s="54"/>
      <c r="IG44" s="54"/>
      <c r="IH44" s="54"/>
    </row>
    <row r="45" spans="1:242" x14ac:dyDescent="0.2">
      <c r="S45" s="184">
        <v>33</v>
      </c>
      <c r="T45" s="214" t="s">
        <v>294</v>
      </c>
      <c r="U45" s="266">
        <v>1</v>
      </c>
      <c r="V45" s="463"/>
      <c r="W45" s="464"/>
      <c r="X45" s="464"/>
      <c r="Y45" s="464"/>
      <c r="Z45" s="465"/>
      <c r="AA45" s="156"/>
      <c r="AB45" s="156"/>
      <c r="AC45" s="156"/>
      <c r="AD45" s="156"/>
      <c r="AE45" s="156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4"/>
      <c r="DU45" s="54"/>
      <c r="DV45" s="54"/>
      <c r="DW45" s="54"/>
      <c r="DX45" s="54"/>
      <c r="DY45" s="54"/>
      <c r="DZ45" s="54"/>
      <c r="EA45" s="54"/>
      <c r="EB45" s="54"/>
      <c r="EC45" s="54"/>
      <c r="ED45" s="54"/>
      <c r="EE45" s="54"/>
      <c r="EF45" s="54"/>
      <c r="EG45" s="54"/>
      <c r="EH45" s="54"/>
      <c r="EI45" s="54"/>
      <c r="EJ45" s="54"/>
      <c r="EK45" s="54"/>
      <c r="EL45" s="54"/>
      <c r="EM45" s="54"/>
      <c r="EN45" s="54"/>
      <c r="EO45" s="54"/>
      <c r="EP45" s="54"/>
      <c r="EQ45" s="54"/>
      <c r="ER45" s="54"/>
      <c r="ES45" s="54"/>
      <c r="ET45" s="54"/>
      <c r="EU45" s="54"/>
      <c r="EV45" s="54"/>
      <c r="EW45" s="54"/>
      <c r="EX45" s="54"/>
      <c r="EY45" s="54"/>
      <c r="EZ45" s="54"/>
      <c r="FA45" s="54"/>
      <c r="FB45" s="54"/>
      <c r="FC45" s="54"/>
      <c r="FD45" s="54"/>
      <c r="FE45" s="54"/>
      <c r="FF45" s="54"/>
      <c r="FG45" s="54"/>
      <c r="FH45" s="54"/>
      <c r="FI45" s="54"/>
      <c r="FJ45" s="54"/>
      <c r="FK45" s="54"/>
      <c r="FL45" s="54"/>
      <c r="FM45" s="54"/>
      <c r="FN45" s="54"/>
      <c r="FO45" s="54"/>
      <c r="FP45" s="54"/>
      <c r="FQ45" s="54"/>
      <c r="FR45" s="54"/>
      <c r="FS45" s="54"/>
      <c r="FT45" s="54"/>
      <c r="FU45" s="54"/>
      <c r="FV45" s="54"/>
      <c r="FW45" s="54"/>
      <c r="FX45" s="54"/>
      <c r="FY45" s="54"/>
      <c r="FZ45" s="54"/>
      <c r="GA45" s="54"/>
      <c r="GB45" s="54"/>
      <c r="GC45" s="54"/>
      <c r="GD45" s="54"/>
      <c r="GE45" s="54"/>
      <c r="GF45" s="54"/>
      <c r="GG45" s="54"/>
      <c r="GH45" s="54"/>
      <c r="GI45" s="54"/>
      <c r="GJ45" s="54"/>
      <c r="GK45" s="54"/>
      <c r="GL45" s="54"/>
      <c r="GM45" s="54"/>
      <c r="GN45" s="54"/>
      <c r="GO45" s="54"/>
      <c r="GP45" s="54"/>
      <c r="GQ45" s="54"/>
      <c r="GR45" s="54"/>
      <c r="GS45" s="54"/>
      <c r="GT45" s="54"/>
      <c r="GU45" s="54"/>
      <c r="GV45" s="54"/>
      <c r="GW45" s="54"/>
      <c r="GX45" s="54"/>
      <c r="GY45" s="54"/>
      <c r="GZ45" s="54"/>
      <c r="HA45" s="54"/>
      <c r="HB45" s="54"/>
      <c r="HC45" s="54"/>
      <c r="HD45" s="54"/>
      <c r="HE45" s="54"/>
      <c r="HF45" s="54"/>
      <c r="HG45" s="54"/>
      <c r="HH45" s="54"/>
      <c r="HI45" s="54"/>
      <c r="HJ45" s="54"/>
      <c r="HK45" s="54"/>
      <c r="HL45" s="54"/>
      <c r="HM45" s="54"/>
      <c r="HN45" s="54"/>
      <c r="HO45" s="54"/>
      <c r="HP45" s="54"/>
      <c r="HQ45" s="54"/>
      <c r="HR45" s="54"/>
      <c r="HS45" s="54"/>
      <c r="HT45" s="54"/>
      <c r="HU45" s="54"/>
      <c r="HV45" s="54"/>
      <c r="HW45" s="54"/>
      <c r="HX45" s="54"/>
      <c r="HY45" s="54"/>
      <c r="HZ45" s="54"/>
      <c r="IA45" s="54"/>
      <c r="IB45" s="54"/>
      <c r="IC45" s="54"/>
      <c r="ID45" s="54"/>
      <c r="IE45" s="54"/>
      <c r="IF45" s="54"/>
      <c r="IG45" s="54"/>
      <c r="IH45" s="54"/>
    </row>
    <row r="46" spans="1:242" ht="15" x14ac:dyDescent="0.2">
      <c r="A46" s="222" t="s">
        <v>295</v>
      </c>
      <c r="B46" s="222"/>
      <c r="C46" s="267">
        <f>ROUNDUP(C44,0)</f>
        <v>0</v>
      </c>
      <c r="D46" s="268" t="s">
        <v>282</v>
      </c>
      <c r="S46" s="184">
        <v>34</v>
      </c>
      <c r="T46" s="214" t="s">
        <v>296</v>
      </c>
      <c r="U46" s="266">
        <v>2</v>
      </c>
      <c r="V46" s="463"/>
      <c r="W46" s="464"/>
      <c r="X46" s="464"/>
      <c r="Y46" s="464"/>
      <c r="Z46" s="465"/>
      <c r="AA46" s="156"/>
      <c r="AB46" s="274"/>
      <c r="AC46" s="274"/>
      <c r="AD46" s="274"/>
      <c r="AE46" s="27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  <c r="DO46" s="54"/>
      <c r="DP46" s="54"/>
      <c r="DQ46" s="54"/>
      <c r="DR46" s="54"/>
      <c r="DS46" s="54"/>
      <c r="DT46" s="54"/>
      <c r="DU46" s="54"/>
      <c r="DV46" s="54"/>
      <c r="DW46" s="54"/>
      <c r="DX46" s="54"/>
      <c r="DY46" s="54"/>
      <c r="DZ46" s="54"/>
      <c r="EA46" s="54"/>
      <c r="EB46" s="54"/>
      <c r="EC46" s="54"/>
      <c r="ED46" s="54"/>
      <c r="EE46" s="54"/>
      <c r="EF46" s="54"/>
      <c r="EG46" s="54"/>
      <c r="EH46" s="54"/>
      <c r="EI46" s="54"/>
      <c r="EJ46" s="54"/>
      <c r="EK46" s="54"/>
      <c r="EL46" s="54"/>
      <c r="EM46" s="54"/>
      <c r="EN46" s="54"/>
      <c r="EO46" s="54"/>
      <c r="EP46" s="54"/>
      <c r="EQ46" s="54"/>
      <c r="ER46" s="54"/>
      <c r="ES46" s="54"/>
      <c r="ET46" s="54"/>
      <c r="EU46" s="54"/>
      <c r="EV46" s="54"/>
      <c r="EW46" s="54"/>
      <c r="EX46" s="54"/>
      <c r="EY46" s="54"/>
      <c r="EZ46" s="54"/>
      <c r="FA46" s="54"/>
      <c r="FB46" s="54"/>
      <c r="FC46" s="54"/>
      <c r="FD46" s="54"/>
      <c r="FE46" s="54"/>
      <c r="FF46" s="54"/>
      <c r="FG46" s="54"/>
      <c r="FH46" s="54"/>
      <c r="FI46" s="54"/>
      <c r="FJ46" s="54"/>
      <c r="FK46" s="54"/>
      <c r="FL46" s="54"/>
      <c r="FM46" s="54"/>
      <c r="FN46" s="54"/>
      <c r="FO46" s="54"/>
      <c r="FP46" s="54"/>
      <c r="FQ46" s="54"/>
      <c r="FR46" s="54"/>
      <c r="FS46" s="54"/>
      <c r="FT46" s="54"/>
      <c r="FU46" s="54"/>
      <c r="FV46" s="54"/>
      <c r="FW46" s="54"/>
      <c r="FX46" s="54"/>
      <c r="FY46" s="54"/>
      <c r="FZ46" s="54"/>
      <c r="GA46" s="54"/>
      <c r="GB46" s="54"/>
      <c r="GC46" s="54"/>
      <c r="GD46" s="54"/>
      <c r="GE46" s="54"/>
      <c r="GF46" s="54"/>
      <c r="GG46" s="54"/>
      <c r="GH46" s="54"/>
      <c r="GI46" s="54"/>
      <c r="GJ46" s="54"/>
      <c r="GK46" s="54"/>
      <c r="GL46" s="54"/>
      <c r="GM46" s="54"/>
      <c r="GN46" s="54"/>
      <c r="GO46" s="54"/>
      <c r="GP46" s="54"/>
      <c r="GQ46" s="54"/>
      <c r="GR46" s="54"/>
      <c r="GS46" s="54"/>
      <c r="GT46" s="54"/>
      <c r="GU46" s="54"/>
      <c r="GV46" s="54"/>
      <c r="GW46" s="54"/>
      <c r="GX46" s="54"/>
      <c r="GY46" s="54"/>
      <c r="GZ46" s="54"/>
      <c r="HA46" s="54"/>
      <c r="HB46" s="54"/>
      <c r="HC46" s="54"/>
      <c r="HD46" s="54"/>
      <c r="HE46" s="54"/>
      <c r="HF46" s="54"/>
      <c r="HG46" s="54"/>
      <c r="HH46" s="54"/>
      <c r="HI46" s="54"/>
      <c r="HJ46" s="54"/>
      <c r="HK46" s="54"/>
      <c r="HL46" s="54"/>
      <c r="HM46" s="54"/>
      <c r="HN46" s="54"/>
      <c r="HO46" s="54"/>
      <c r="HP46" s="54"/>
      <c r="HQ46" s="54"/>
      <c r="HR46" s="54"/>
      <c r="HS46" s="54"/>
      <c r="HT46" s="54"/>
      <c r="HU46" s="54"/>
      <c r="HV46" s="54"/>
      <c r="HW46" s="54"/>
      <c r="HX46" s="54"/>
      <c r="HY46" s="54"/>
      <c r="HZ46" s="54"/>
      <c r="IA46" s="54"/>
      <c r="IB46" s="54"/>
      <c r="IC46" s="54"/>
      <c r="ID46" s="54"/>
      <c r="IE46" s="54"/>
      <c r="IF46" s="54"/>
      <c r="IG46" s="54"/>
      <c r="IH46" s="54"/>
    </row>
    <row r="47" spans="1:242" ht="15" x14ac:dyDescent="0.2">
      <c r="S47" s="184">
        <v>35</v>
      </c>
      <c r="T47" s="214" t="s">
        <v>297</v>
      </c>
      <c r="U47" s="266">
        <v>2</v>
      </c>
      <c r="V47" s="463"/>
      <c r="W47" s="464"/>
      <c r="X47" s="464"/>
      <c r="Y47" s="464"/>
      <c r="Z47" s="465"/>
      <c r="AA47" s="156"/>
      <c r="AB47" s="274"/>
      <c r="AC47" s="274"/>
      <c r="AD47" s="274"/>
      <c r="AE47" s="27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  <c r="CF47" s="54"/>
      <c r="CG47" s="54"/>
      <c r="CH47" s="54"/>
      <c r="CI47" s="54"/>
      <c r="CJ47" s="54"/>
      <c r="CK47" s="54"/>
      <c r="CL47" s="54"/>
      <c r="CM47" s="54"/>
      <c r="CN47" s="54"/>
      <c r="CO47" s="54"/>
      <c r="CP47" s="54"/>
      <c r="CQ47" s="54"/>
      <c r="CR47" s="54"/>
      <c r="CS47" s="54"/>
      <c r="CT47" s="54"/>
      <c r="CU47" s="54"/>
      <c r="CV47" s="54"/>
      <c r="CW47" s="54"/>
      <c r="CX47" s="54"/>
      <c r="CY47" s="54"/>
      <c r="CZ47" s="54"/>
      <c r="DA47" s="54"/>
      <c r="DB47" s="54"/>
      <c r="DC47" s="54"/>
      <c r="DD47" s="54"/>
      <c r="DE47" s="54"/>
      <c r="DF47" s="54"/>
      <c r="DG47" s="54"/>
      <c r="DH47" s="54"/>
      <c r="DI47" s="54"/>
      <c r="DJ47" s="54"/>
      <c r="DK47" s="54"/>
      <c r="DL47" s="54"/>
      <c r="DM47" s="54"/>
      <c r="DN47" s="54"/>
      <c r="DO47" s="54"/>
      <c r="DP47" s="54"/>
      <c r="DQ47" s="54"/>
      <c r="DR47" s="54"/>
      <c r="DS47" s="54"/>
      <c r="DT47" s="54"/>
      <c r="DU47" s="54"/>
      <c r="DV47" s="54"/>
      <c r="DW47" s="54"/>
      <c r="DX47" s="54"/>
      <c r="DY47" s="54"/>
      <c r="DZ47" s="54"/>
      <c r="EA47" s="54"/>
      <c r="EB47" s="54"/>
      <c r="EC47" s="54"/>
      <c r="ED47" s="54"/>
      <c r="EE47" s="54"/>
      <c r="EF47" s="54"/>
      <c r="EG47" s="54"/>
      <c r="EH47" s="54"/>
      <c r="EI47" s="54"/>
      <c r="EJ47" s="54"/>
      <c r="EK47" s="54"/>
      <c r="EL47" s="54"/>
      <c r="EM47" s="54"/>
      <c r="EN47" s="54"/>
      <c r="EO47" s="54"/>
      <c r="EP47" s="54"/>
      <c r="EQ47" s="54"/>
      <c r="ER47" s="54"/>
      <c r="ES47" s="54"/>
      <c r="ET47" s="54"/>
      <c r="EU47" s="54"/>
      <c r="EV47" s="54"/>
      <c r="EW47" s="54"/>
      <c r="EX47" s="54"/>
      <c r="EY47" s="54"/>
      <c r="EZ47" s="54"/>
      <c r="FA47" s="54"/>
      <c r="FB47" s="54"/>
      <c r="FC47" s="54"/>
      <c r="FD47" s="54"/>
      <c r="FE47" s="54"/>
      <c r="FF47" s="54"/>
      <c r="FG47" s="54"/>
      <c r="FH47" s="54"/>
      <c r="FI47" s="54"/>
      <c r="FJ47" s="54"/>
      <c r="FK47" s="54"/>
      <c r="FL47" s="54"/>
      <c r="FM47" s="54"/>
      <c r="FN47" s="54"/>
      <c r="FO47" s="54"/>
      <c r="FP47" s="54"/>
      <c r="FQ47" s="54"/>
      <c r="FR47" s="54"/>
      <c r="FS47" s="54"/>
      <c r="FT47" s="54"/>
      <c r="FU47" s="54"/>
      <c r="FV47" s="54"/>
      <c r="FW47" s="54"/>
      <c r="FX47" s="54"/>
      <c r="FY47" s="54"/>
      <c r="FZ47" s="54"/>
      <c r="GA47" s="54"/>
      <c r="GB47" s="54"/>
      <c r="GC47" s="54"/>
      <c r="GD47" s="54"/>
      <c r="GE47" s="54"/>
      <c r="GF47" s="54"/>
      <c r="GG47" s="54"/>
      <c r="GH47" s="54"/>
      <c r="GI47" s="54"/>
      <c r="GJ47" s="54"/>
      <c r="GK47" s="54"/>
      <c r="GL47" s="54"/>
      <c r="GM47" s="54"/>
      <c r="GN47" s="54"/>
      <c r="GO47" s="54"/>
      <c r="GP47" s="54"/>
      <c r="GQ47" s="54"/>
      <c r="GR47" s="54"/>
      <c r="GS47" s="54"/>
      <c r="GT47" s="54"/>
      <c r="GU47" s="54"/>
      <c r="GV47" s="54"/>
      <c r="GW47" s="54"/>
      <c r="GX47" s="54"/>
      <c r="GY47" s="54"/>
      <c r="GZ47" s="54"/>
      <c r="HA47" s="54"/>
      <c r="HB47" s="54"/>
      <c r="HC47" s="54"/>
      <c r="HD47" s="54"/>
      <c r="HE47" s="54"/>
      <c r="HF47" s="54"/>
      <c r="HG47" s="54"/>
      <c r="HH47" s="54"/>
      <c r="HI47" s="54"/>
      <c r="HJ47" s="54"/>
      <c r="HK47" s="54"/>
      <c r="HL47" s="54"/>
      <c r="HM47" s="54"/>
      <c r="HN47" s="54"/>
      <c r="HO47" s="54"/>
      <c r="HP47" s="54"/>
      <c r="HQ47" s="54"/>
      <c r="HR47" s="54"/>
      <c r="HS47" s="54"/>
      <c r="HT47" s="54"/>
      <c r="HU47" s="54"/>
      <c r="HV47" s="54"/>
      <c r="HW47" s="54"/>
      <c r="HX47" s="54"/>
      <c r="HY47" s="54"/>
      <c r="HZ47" s="54"/>
      <c r="IA47" s="54"/>
      <c r="IB47" s="54"/>
      <c r="IC47" s="54"/>
      <c r="ID47" s="54"/>
      <c r="IE47" s="54"/>
      <c r="IF47" s="54"/>
      <c r="IG47" s="54"/>
      <c r="IH47" s="54"/>
    </row>
    <row r="48" spans="1:242" s="146" customFormat="1" ht="15" x14ac:dyDescent="0.2">
      <c r="A48" s="456" t="s">
        <v>123</v>
      </c>
      <c r="B48" s="457"/>
      <c r="C48" s="457"/>
      <c r="D48" s="457"/>
      <c r="E48" s="457"/>
      <c r="F48" s="457"/>
      <c r="G48" s="457"/>
      <c r="H48" s="457"/>
      <c r="I48" s="457"/>
      <c r="J48" s="457"/>
      <c r="K48" s="457"/>
      <c r="L48" s="457"/>
      <c r="M48" s="457"/>
      <c r="N48" s="457"/>
      <c r="O48" s="457"/>
      <c r="S48" s="184">
        <v>29</v>
      </c>
      <c r="T48" s="214" t="s">
        <v>285</v>
      </c>
      <c r="U48" s="266">
        <v>4</v>
      </c>
      <c r="V48" s="463"/>
      <c r="W48" s="464"/>
      <c r="X48" s="464"/>
      <c r="Y48" s="464"/>
      <c r="Z48" s="465"/>
      <c r="AA48" s="156"/>
      <c r="AB48" s="156"/>
      <c r="AC48" s="156"/>
      <c r="AD48" s="156"/>
      <c r="AE48" s="156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54"/>
      <c r="CE48" s="54"/>
      <c r="CF48" s="54"/>
      <c r="CG48" s="54"/>
      <c r="CH48" s="54"/>
      <c r="CI48" s="54"/>
      <c r="CJ48" s="54"/>
      <c r="CK48" s="54"/>
      <c r="CL48" s="54"/>
      <c r="CM48" s="54"/>
      <c r="CN48" s="54"/>
      <c r="CO48" s="54"/>
      <c r="CP48" s="54"/>
      <c r="CQ48" s="54"/>
      <c r="CR48" s="54"/>
      <c r="CS48" s="54"/>
      <c r="CT48" s="54"/>
      <c r="CU48" s="54"/>
      <c r="CV48" s="54"/>
      <c r="CW48" s="54"/>
      <c r="CX48" s="54"/>
      <c r="CY48" s="54"/>
      <c r="CZ48" s="54"/>
      <c r="DA48" s="54"/>
      <c r="DB48" s="54"/>
      <c r="DC48" s="54"/>
      <c r="DD48" s="54"/>
      <c r="DE48" s="54"/>
      <c r="DF48" s="54"/>
      <c r="DG48" s="54"/>
      <c r="DH48" s="54"/>
      <c r="DI48" s="54"/>
      <c r="DJ48" s="54"/>
      <c r="DK48" s="54"/>
      <c r="DL48" s="54"/>
      <c r="DM48" s="54"/>
      <c r="DN48" s="54"/>
      <c r="DO48" s="54"/>
      <c r="DP48" s="54"/>
      <c r="DQ48" s="54"/>
      <c r="DR48" s="54"/>
      <c r="DS48" s="54"/>
      <c r="DT48" s="54"/>
      <c r="DU48" s="54"/>
      <c r="DV48" s="54"/>
      <c r="DW48" s="54"/>
      <c r="DX48" s="54"/>
      <c r="DY48" s="54"/>
      <c r="DZ48" s="54"/>
      <c r="EA48" s="54"/>
      <c r="EB48" s="54"/>
      <c r="EC48" s="54"/>
      <c r="ED48" s="54"/>
      <c r="EE48" s="54"/>
      <c r="EF48" s="54"/>
      <c r="EG48" s="54"/>
      <c r="EH48" s="54"/>
      <c r="EI48" s="54"/>
      <c r="EJ48" s="54"/>
      <c r="EK48" s="54"/>
      <c r="EL48" s="54"/>
      <c r="EM48" s="54"/>
      <c r="EN48" s="54"/>
      <c r="EO48" s="54"/>
      <c r="EP48" s="54"/>
      <c r="EQ48" s="54"/>
      <c r="ER48" s="54"/>
      <c r="ES48" s="54"/>
      <c r="ET48" s="54"/>
      <c r="EU48" s="54"/>
      <c r="EV48" s="54"/>
      <c r="EW48" s="54"/>
      <c r="EX48" s="54"/>
      <c r="EY48" s="54"/>
      <c r="EZ48" s="54"/>
      <c r="FA48" s="54"/>
      <c r="FB48" s="54"/>
      <c r="FC48" s="54"/>
      <c r="FD48" s="54"/>
      <c r="FE48" s="54"/>
      <c r="FF48" s="54"/>
      <c r="FG48" s="54"/>
      <c r="FH48" s="54"/>
      <c r="FI48" s="54"/>
      <c r="FJ48" s="54"/>
      <c r="FK48" s="54"/>
      <c r="FL48" s="54"/>
      <c r="FM48" s="54"/>
      <c r="FN48" s="54"/>
      <c r="FO48" s="54"/>
      <c r="FP48" s="54"/>
      <c r="FQ48" s="54"/>
      <c r="FR48" s="54"/>
      <c r="FS48" s="54"/>
      <c r="FT48" s="54"/>
      <c r="FU48" s="54"/>
      <c r="FV48" s="54"/>
      <c r="FW48" s="54"/>
      <c r="FX48" s="54"/>
      <c r="FY48" s="54"/>
      <c r="FZ48" s="54"/>
      <c r="GA48" s="54"/>
      <c r="GB48" s="54"/>
      <c r="GC48" s="54"/>
      <c r="GD48" s="54"/>
      <c r="GE48" s="54"/>
      <c r="GF48" s="54"/>
      <c r="GG48" s="54"/>
      <c r="GH48" s="54"/>
      <c r="GI48" s="54"/>
      <c r="GJ48" s="54"/>
      <c r="GK48" s="54"/>
      <c r="GL48" s="54"/>
      <c r="GM48" s="54"/>
      <c r="GN48" s="54"/>
      <c r="GO48" s="54"/>
      <c r="GP48" s="54"/>
      <c r="GQ48" s="54"/>
      <c r="GR48" s="54"/>
      <c r="GS48" s="54"/>
      <c r="GT48" s="54"/>
      <c r="GU48" s="54"/>
      <c r="GV48" s="54"/>
      <c r="GW48" s="54"/>
      <c r="GX48" s="54"/>
      <c r="GY48" s="54"/>
      <c r="GZ48" s="54"/>
      <c r="HA48" s="54"/>
      <c r="HB48" s="54"/>
      <c r="HC48" s="54"/>
      <c r="HD48" s="54"/>
      <c r="HE48" s="54"/>
      <c r="HF48" s="54"/>
      <c r="HG48" s="54"/>
      <c r="HH48" s="54"/>
      <c r="HI48" s="54"/>
      <c r="HJ48" s="54"/>
      <c r="HK48" s="54"/>
      <c r="HL48" s="54"/>
      <c r="HM48" s="54"/>
      <c r="HN48" s="54"/>
      <c r="HO48" s="54"/>
      <c r="HP48" s="54"/>
      <c r="HQ48" s="54"/>
      <c r="HR48" s="54"/>
      <c r="HS48" s="54"/>
      <c r="HT48" s="54"/>
      <c r="HU48" s="54"/>
      <c r="HV48" s="54"/>
      <c r="HW48" s="54"/>
      <c r="HX48" s="54"/>
      <c r="HY48" s="54"/>
      <c r="HZ48" s="54"/>
      <c r="IA48" s="54"/>
      <c r="IB48" s="54"/>
      <c r="IC48" s="54"/>
      <c r="ID48" s="54"/>
      <c r="IE48" s="54"/>
      <c r="IF48" s="54"/>
      <c r="IG48" s="54"/>
      <c r="IH48" s="54"/>
    </row>
    <row r="49" spans="1:242" x14ac:dyDescent="0.2">
      <c r="A49" s="223" t="s">
        <v>298</v>
      </c>
      <c r="B49" s="224"/>
      <c r="C49" s="269">
        <f>Цена!D18</f>
        <v>682.4</v>
      </c>
      <c r="D49" s="268"/>
      <c r="S49" s="184"/>
      <c r="T49" s="214"/>
      <c r="U49" s="266"/>
      <c r="V49" s="463"/>
      <c r="W49" s="464"/>
      <c r="X49" s="464"/>
      <c r="Y49" s="464"/>
      <c r="Z49" s="465"/>
      <c r="AA49" s="156"/>
      <c r="AB49" s="156"/>
      <c r="AC49" s="156"/>
      <c r="AD49" s="156"/>
      <c r="AE49" s="156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  <c r="CJ49" s="54"/>
      <c r="CK49" s="54"/>
      <c r="CL49" s="54"/>
      <c r="CM49" s="54"/>
      <c r="CN49" s="54"/>
      <c r="CO49" s="54"/>
      <c r="CP49" s="54"/>
      <c r="CQ49" s="54"/>
      <c r="CR49" s="54"/>
      <c r="CS49" s="54"/>
      <c r="CT49" s="54"/>
      <c r="CU49" s="54"/>
      <c r="CV49" s="54"/>
      <c r="CW49" s="54"/>
      <c r="CX49" s="54"/>
      <c r="CY49" s="54"/>
      <c r="CZ49" s="54"/>
      <c r="DA49" s="54"/>
      <c r="DB49" s="54"/>
      <c r="DC49" s="54"/>
      <c r="DD49" s="54"/>
      <c r="DE49" s="54"/>
      <c r="DF49" s="54"/>
      <c r="DG49" s="54"/>
      <c r="DH49" s="54"/>
      <c r="DI49" s="54"/>
      <c r="DJ49" s="54"/>
      <c r="DK49" s="54"/>
      <c r="DL49" s="54"/>
      <c r="DM49" s="54"/>
      <c r="DN49" s="54"/>
      <c r="DO49" s="54"/>
      <c r="DP49" s="54"/>
      <c r="DQ49" s="54"/>
      <c r="DR49" s="54"/>
      <c r="DS49" s="54"/>
      <c r="DT49" s="54"/>
      <c r="DU49" s="54"/>
      <c r="DV49" s="54"/>
      <c r="DW49" s="54"/>
      <c r="DX49" s="54"/>
      <c r="DY49" s="54"/>
      <c r="DZ49" s="54"/>
      <c r="EA49" s="54"/>
      <c r="EB49" s="54"/>
      <c r="EC49" s="54"/>
      <c r="ED49" s="54"/>
      <c r="EE49" s="54"/>
      <c r="EF49" s="54"/>
      <c r="EG49" s="54"/>
      <c r="EH49" s="54"/>
      <c r="EI49" s="54"/>
      <c r="EJ49" s="54"/>
      <c r="EK49" s="54"/>
      <c r="EL49" s="54"/>
      <c r="EM49" s="54"/>
      <c r="EN49" s="54"/>
      <c r="EO49" s="54"/>
      <c r="EP49" s="54"/>
      <c r="EQ49" s="54"/>
      <c r="ER49" s="54"/>
      <c r="ES49" s="54"/>
      <c r="ET49" s="54"/>
      <c r="EU49" s="54"/>
      <c r="EV49" s="54"/>
      <c r="EW49" s="54"/>
      <c r="EX49" s="54"/>
      <c r="EY49" s="54"/>
      <c r="EZ49" s="54"/>
      <c r="FA49" s="54"/>
      <c r="FB49" s="54"/>
      <c r="FC49" s="54"/>
      <c r="FD49" s="54"/>
      <c r="FE49" s="54"/>
      <c r="FF49" s="54"/>
      <c r="FG49" s="54"/>
      <c r="FH49" s="54"/>
      <c r="FI49" s="54"/>
      <c r="FJ49" s="54"/>
      <c r="FK49" s="54"/>
      <c r="FL49" s="54"/>
      <c r="FM49" s="54"/>
      <c r="FN49" s="54"/>
      <c r="FO49" s="54"/>
      <c r="FP49" s="54"/>
      <c r="FQ49" s="54"/>
      <c r="FR49" s="54"/>
      <c r="FS49" s="54"/>
      <c r="FT49" s="54"/>
      <c r="FU49" s="54"/>
      <c r="FV49" s="54"/>
      <c r="FW49" s="54"/>
      <c r="FX49" s="54"/>
      <c r="FY49" s="54"/>
      <c r="FZ49" s="54"/>
      <c r="GA49" s="54"/>
      <c r="GB49" s="54"/>
      <c r="GC49" s="54"/>
      <c r="GD49" s="54"/>
      <c r="GE49" s="54"/>
      <c r="GF49" s="54"/>
      <c r="GG49" s="54"/>
      <c r="GH49" s="54"/>
      <c r="GI49" s="54"/>
      <c r="GJ49" s="54"/>
      <c r="GK49" s="54"/>
      <c r="GL49" s="54"/>
      <c r="GM49" s="54"/>
      <c r="GN49" s="54"/>
      <c r="GO49" s="54"/>
      <c r="GP49" s="54"/>
      <c r="GQ49" s="54"/>
      <c r="GR49" s="54"/>
      <c r="GS49" s="54"/>
      <c r="GT49" s="54"/>
      <c r="GU49" s="54"/>
      <c r="GV49" s="54"/>
      <c r="GW49" s="54"/>
      <c r="GX49" s="54"/>
      <c r="GY49" s="54"/>
      <c r="GZ49" s="54"/>
      <c r="HA49" s="54"/>
      <c r="HB49" s="54"/>
      <c r="HC49" s="54"/>
      <c r="HD49" s="54"/>
      <c r="HE49" s="54"/>
      <c r="HF49" s="54"/>
      <c r="HG49" s="54"/>
      <c r="HH49" s="54"/>
      <c r="HI49" s="54"/>
      <c r="HJ49" s="54"/>
      <c r="HK49" s="54"/>
      <c r="HL49" s="54"/>
      <c r="HM49" s="54"/>
      <c r="HN49" s="54"/>
      <c r="HO49" s="54"/>
      <c r="HP49" s="54"/>
      <c r="HQ49" s="54"/>
      <c r="HR49" s="54"/>
      <c r="HS49" s="54"/>
      <c r="HT49" s="54"/>
      <c r="HU49" s="54"/>
      <c r="HV49" s="54"/>
      <c r="HW49" s="54"/>
      <c r="HX49" s="54"/>
      <c r="HY49" s="54"/>
      <c r="HZ49" s="54"/>
      <c r="IA49" s="54"/>
      <c r="IB49" s="54"/>
      <c r="IC49" s="54"/>
      <c r="ID49" s="54"/>
      <c r="IE49" s="54"/>
      <c r="IF49" s="54"/>
      <c r="IG49" s="54"/>
      <c r="IH49" s="54"/>
    </row>
    <row r="50" spans="1:242" x14ac:dyDescent="0.2">
      <c r="A50" s="275" t="s">
        <v>299</v>
      </c>
      <c r="B50" s="276"/>
      <c r="C50" s="277">
        <f>Параметры!B32</f>
        <v>0.95</v>
      </c>
      <c r="D50" s="268"/>
      <c r="S50" s="184"/>
      <c r="T50" s="214"/>
      <c r="U50" s="266"/>
      <c r="V50" s="278"/>
      <c r="W50" s="279"/>
      <c r="X50" s="279"/>
      <c r="Y50" s="279"/>
      <c r="Z50" s="280"/>
      <c r="AA50" s="156"/>
      <c r="AB50" s="156"/>
      <c r="AC50" s="156"/>
      <c r="AD50" s="156"/>
      <c r="AE50" s="156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  <c r="DO50" s="54"/>
      <c r="DP50" s="54"/>
      <c r="DQ50" s="54"/>
      <c r="DR50" s="54"/>
      <c r="DS50" s="54"/>
      <c r="DT50" s="54"/>
      <c r="DU50" s="54"/>
      <c r="DV50" s="54"/>
      <c r="DW50" s="54"/>
      <c r="DX50" s="54"/>
      <c r="DY50" s="54"/>
      <c r="DZ50" s="54"/>
      <c r="EA50" s="54"/>
      <c r="EB50" s="54"/>
      <c r="EC50" s="54"/>
      <c r="ED50" s="54"/>
      <c r="EE50" s="54"/>
      <c r="EF50" s="54"/>
      <c r="EG50" s="54"/>
      <c r="EH50" s="54"/>
      <c r="EI50" s="54"/>
      <c r="EJ50" s="54"/>
      <c r="EK50" s="54"/>
      <c r="EL50" s="54"/>
      <c r="EM50" s="54"/>
      <c r="EN50" s="54"/>
      <c r="EO50" s="54"/>
      <c r="EP50" s="54"/>
      <c r="EQ50" s="54"/>
      <c r="ER50" s="54"/>
      <c r="ES50" s="54"/>
      <c r="ET50" s="54"/>
      <c r="EU50" s="54"/>
      <c r="EV50" s="54"/>
      <c r="EW50" s="54"/>
      <c r="EX50" s="54"/>
      <c r="EY50" s="54"/>
      <c r="EZ50" s="54"/>
      <c r="FA50" s="54"/>
      <c r="FB50" s="54"/>
      <c r="FC50" s="54"/>
      <c r="FD50" s="54"/>
      <c r="FE50" s="54"/>
      <c r="FF50" s="54"/>
      <c r="FG50" s="54"/>
      <c r="FH50" s="54"/>
      <c r="FI50" s="54"/>
      <c r="FJ50" s="54"/>
      <c r="FK50" s="54"/>
      <c r="FL50" s="54"/>
      <c r="FM50" s="54"/>
      <c r="FN50" s="54"/>
      <c r="FO50" s="54"/>
      <c r="FP50" s="54"/>
      <c r="FQ50" s="54"/>
      <c r="FR50" s="54"/>
      <c r="FS50" s="54"/>
      <c r="FT50" s="54"/>
      <c r="FU50" s="54"/>
      <c r="FV50" s="54"/>
      <c r="FW50" s="54"/>
      <c r="FX50" s="54"/>
      <c r="FY50" s="54"/>
      <c r="FZ50" s="54"/>
      <c r="GA50" s="54"/>
      <c r="GB50" s="54"/>
      <c r="GC50" s="54"/>
      <c r="GD50" s="54"/>
      <c r="GE50" s="54"/>
      <c r="GF50" s="54"/>
      <c r="GG50" s="54"/>
      <c r="GH50" s="54"/>
      <c r="GI50" s="54"/>
      <c r="GJ50" s="54"/>
      <c r="GK50" s="54"/>
      <c r="GL50" s="54"/>
      <c r="GM50" s="54"/>
      <c r="GN50" s="54"/>
      <c r="GO50" s="54"/>
      <c r="GP50" s="54"/>
      <c r="GQ50" s="54"/>
      <c r="GR50" s="54"/>
      <c r="GS50" s="54"/>
      <c r="GT50" s="54"/>
      <c r="GU50" s="54"/>
      <c r="GV50" s="54"/>
      <c r="GW50" s="54"/>
      <c r="GX50" s="54"/>
      <c r="GY50" s="54"/>
      <c r="GZ50" s="54"/>
      <c r="HA50" s="54"/>
      <c r="HB50" s="54"/>
      <c r="HC50" s="54"/>
      <c r="HD50" s="54"/>
      <c r="HE50" s="54"/>
      <c r="HF50" s="54"/>
      <c r="HG50" s="54"/>
      <c r="HH50" s="54"/>
      <c r="HI50" s="54"/>
      <c r="HJ50" s="54"/>
      <c r="HK50" s="54"/>
      <c r="HL50" s="54"/>
      <c r="HM50" s="54"/>
      <c r="HN50" s="54"/>
      <c r="HO50" s="54"/>
      <c r="HP50" s="54"/>
      <c r="HQ50" s="54"/>
      <c r="HR50" s="54"/>
      <c r="HS50" s="54"/>
      <c r="HT50" s="54"/>
      <c r="HU50" s="54"/>
      <c r="HV50" s="54"/>
      <c r="HW50" s="54"/>
      <c r="HX50" s="54"/>
      <c r="HY50" s="54"/>
      <c r="HZ50" s="54"/>
      <c r="IA50" s="54"/>
      <c r="IB50" s="54"/>
      <c r="IC50" s="54"/>
      <c r="ID50" s="54"/>
      <c r="IE50" s="54"/>
      <c r="IF50" s="54"/>
      <c r="IG50" s="54"/>
      <c r="IH50" s="54"/>
    </row>
    <row r="51" spans="1:242" x14ac:dyDescent="0.2">
      <c r="A51" s="275" t="s">
        <v>300</v>
      </c>
      <c r="B51" s="276"/>
      <c r="C51" s="281">
        <f>Параметры!B31</f>
        <v>3</v>
      </c>
      <c r="D51" s="268" t="s">
        <v>301</v>
      </c>
      <c r="S51" s="184"/>
      <c r="T51" s="214"/>
      <c r="U51" s="266"/>
      <c r="V51" s="278"/>
      <c r="W51" s="279"/>
      <c r="X51" s="279"/>
      <c r="Y51" s="279"/>
      <c r="Z51" s="280"/>
      <c r="AA51" s="156"/>
      <c r="AB51" s="156"/>
      <c r="AC51" s="156"/>
      <c r="AD51" s="156"/>
      <c r="AE51" s="156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  <c r="DO51" s="54"/>
      <c r="DP51" s="54"/>
      <c r="DQ51" s="54"/>
      <c r="DR51" s="54"/>
      <c r="DS51" s="54"/>
      <c r="DT51" s="54"/>
      <c r="DU51" s="54"/>
      <c r="DV51" s="54"/>
      <c r="DW51" s="54"/>
      <c r="DX51" s="54"/>
      <c r="DY51" s="54"/>
      <c r="DZ51" s="54"/>
      <c r="EA51" s="54"/>
      <c r="EB51" s="54"/>
      <c r="EC51" s="54"/>
      <c r="ED51" s="54"/>
      <c r="EE51" s="54"/>
      <c r="EF51" s="54"/>
      <c r="EG51" s="54"/>
      <c r="EH51" s="54"/>
      <c r="EI51" s="54"/>
      <c r="EJ51" s="54"/>
      <c r="EK51" s="54"/>
      <c r="EL51" s="54"/>
      <c r="EM51" s="54"/>
      <c r="EN51" s="54"/>
      <c r="EO51" s="54"/>
      <c r="EP51" s="54"/>
      <c r="EQ51" s="54"/>
      <c r="ER51" s="54"/>
      <c r="ES51" s="54"/>
      <c r="ET51" s="54"/>
      <c r="EU51" s="54"/>
      <c r="EV51" s="54"/>
      <c r="EW51" s="54"/>
      <c r="EX51" s="54"/>
      <c r="EY51" s="54"/>
      <c r="EZ51" s="54"/>
      <c r="FA51" s="54"/>
      <c r="FB51" s="54"/>
      <c r="FC51" s="54"/>
      <c r="FD51" s="54"/>
      <c r="FE51" s="54"/>
      <c r="FF51" s="54"/>
      <c r="FG51" s="54"/>
      <c r="FH51" s="54"/>
      <c r="FI51" s="54"/>
      <c r="FJ51" s="54"/>
      <c r="FK51" s="54"/>
      <c r="FL51" s="54"/>
      <c r="FM51" s="54"/>
      <c r="FN51" s="54"/>
      <c r="FO51" s="54"/>
      <c r="FP51" s="54"/>
      <c r="FQ51" s="54"/>
      <c r="FR51" s="54"/>
      <c r="FS51" s="54"/>
      <c r="FT51" s="54"/>
      <c r="FU51" s="54"/>
      <c r="FV51" s="54"/>
      <c r="FW51" s="54"/>
      <c r="FX51" s="54"/>
      <c r="FY51" s="54"/>
      <c r="FZ51" s="54"/>
      <c r="GA51" s="54"/>
      <c r="GB51" s="54"/>
      <c r="GC51" s="54"/>
      <c r="GD51" s="54"/>
      <c r="GE51" s="54"/>
      <c r="GF51" s="54"/>
      <c r="GG51" s="54"/>
      <c r="GH51" s="54"/>
      <c r="GI51" s="54"/>
      <c r="GJ51" s="54"/>
      <c r="GK51" s="54"/>
      <c r="GL51" s="54"/>
      <c r="GM51" s="54"/>
      <c r="GN51" s="54"/>
      <c r="GO51" s="54"/>
      <c r="GP51" s="54"/>
      <c r="GQ51" s="54"/>
      <c r="GR51" s="54"/>
      <c r="GS51" s="54"/>
      <c r="GT51" s="54"/>
      <c r="GU51" s="54"/>
      <c r="GV51" s="54"/>
      <c r="GW51" s="54"/>
      <c r="GX51" s="54"/>
      <c r="GY51" s="54"/>
      <c r="GZ51" s="54"/>
      <c r="HA51" s="54"/>
      <c r="HB51" s="54"/>
      <c r="HC51" s="54"/>
      <c r="HD51" s="54"/>
      <c r="HE51" s="54"/>
      <c r="HF51" s="54"/>
      <c r="HG51" s="54"/>
      <c r="HH51" s="54"/>
      <c r="HI51" s="54"/>
      <c r="HJ51" s="54"/>
      <c r="HK51" s="54"/>
      <c r="HL51" s="54"/>
      <c r="HM51" s="54"/>
      <c r="HN51" s="54"/>
      <c r="HO51" s="54"/>
      <c r="HP51" s="54"/>
      <c r="HQ51" s="54"/>
      <c r="HR51" s="54"/>
      <c r="HS51" s="54"/>
      <c r="HT51" s="54"/>
      <c r="HU51" s="54"/>
      <c r="HV51" s="54"/>
      <c r="HW51" s="54"/>
      <c r="HX51" s="54"/>
      <c r="HY51" s="54"/>
      <c r="HZ51" s="54"/>
      <c r="IA51" s="54"/>
      <c r="IB51" s="54"/>
      <c r="IC51" s="54"/>
      <c r="ID51" s="54"/>
      <c r="IE51" s="54"/>
      <c r="IF51" s="54"/>
      <c r="IG51" s="54"/>
      <c r="IH51" s="54"/>
    </row>
    <row r="52" spans="1:242" x14ac:dyDescent="0.2">
      <c r="A52" s="270" t="s">
        <v>302</v>
      </c>
      <c r="B52" s="270"/>
      <c r="C52" s="268">
        <f>MROUND(C49*C50*C51/60,1)</f>
        <v>32</v>
      </c>
      <c r="D52" s="268" t="s">
        <v>287</v>
      </c>
      <c r="S52" s="184">
        <v>30</v>
      </c>
      <c r="T52" s="214" t="s">
        <v>288</v>
      </c>
      <c r="U52" s="266">
        <v>2</v>
      </c>
      <c r="V52" s="463"/>
      <c r="W52" s="464"/>
      <c r="X52" s="464"/>
      <c r="Y52" s="464"/>
      <c r="Z52" s="465"/>
      <c r="AA52" s="156"/>
      <c r="AB52" s="156"/>
      <c r="AC52" s="156"/>
      <c r="AD52" s="156"/>
      <c r="AE52" s="156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  <c r="DO52" s="54"/>
      <c r="DP52" s="54"/>
      <c r="DQ52" s="54"/>
      <c r="DR52" s="54"/>
      <c r="DS52" s="54"/>
      <c r="DT52" s="54"/>
      <c r="DU52" s="54"/>
      <c r="DV52" s="54"/>
      <c r="DW52" s="54"/>
      <c r="DX52" s="54"/>
      <c r="DY52" s="54"/>
      <c r="DZ52" s="54"/>
      <c r="EA52" s="54"/>
      <c r="EB52" s="54"/>
      <c r="EC52" s="54"/>
      <c r="ED52" s="54"/>
      <c r="EE52" s="54"/>
      <c r="EF52" s="54"/>
      <c r="EG52" s="54"/>
      <c r="EH52" s="54"/>
      <c r="EI52" s="54"/>
      <c r="EJ52" s="54"/>
      <c r="EK52" s="54"/>
      <c r="EL52" s="54"/>
      <c r="EM52" s="54"/>
      <c r="EN52" s="54"/>
      <c r="EO52" s="54"/>
      <c r="EP52" s="54"/>
      <c r="EQ52" s="54"/>
      <c r="ER52" s="54"/>
      <c r="ES52" s="54"/>
      <c r="ET52" s="54"/>
      <c r="EU52" s="54"/>
      <c r="EV52" s="54"/>
      <c r="EW52" s="54"/>
      <c r="EX52" s="54"/>
      <c r="EY52" s="54"/>
      <c r="EZ52" s="54"/>
      <c r="FA52" s="54"/>
      <c r="FB52" s="54"/>
      <c r="FC52" s="54"/>
      <c r="FD52" s="54"/>
      <c r="FE52" s="54"/>
      <c r="FF52" s="54"/>
      <c r="FG52" s="54"/>
      <c r="FH52" s="54"/>
      <c r="FI52" s="54"/>
      <c r="FJ52" s="54"/>
      <c r="FK52" s="54"/>
      <c r="FL52" s="54"/>
      <c r="FM52" s="54"/>
      <c r="FN52" s="54"/>
      <c r="FO52" s="54"/>
      <c r="FP52" s="54"/>
      <c r="FQ52" s="54"/>
      <c r="FR52" s="54"/>
      <c r="FS52" s="54"/>
      <c r="FT52" s="54"/>
      <c r="FU52" s="54"/>
      <c r="FV52" s="54"/>
      <c r="FW52" s="54"/>
      <c r="FX52" s="54"/>
      <c r="FY52" s="54"/>
      <c r="FZ52" s="54"/>
      <c r="GA52" s="54"/>
      <c r="GB52" s="54"/>
      <c r="GC52" s="54"/>
      <c r="GD52" s="54"/>
      <c r="GE52" s="54"/>
      <c r="GF52" s="54"/>
      <c r="GG52" s="54"/>
      <c r="GH52" s="54"/>
      <c r="GI52" s="54"/>
      <c r="GJ52" s="54"/>
      <c r="GK52" s="54"/>
      <c r="GL52" s="54"/>
      <c r="GM52" s="54"/>
      <c r="GN52" s="54"/>
      <c r="GO52" s="54"/>
      <c r="GP52" s="54"/>
      <c r="GQ52" s="54"/>
      <c r="GR52" s="54"/>
      <c r="GS52" s="54"/>
      <c r="GT52" s="54"/>
      <c r="GU52" s="54"/>
      <c r="GV52" s="54"/>
      <c r="GW52" s="54"/>
      <c r="GX52" s="54"/>
      <c r="GY52" s="54"/>
      <c r="GZ52" s="54"/>
      <c r="HA52" s="54"/>
      <c r="HB52" s="54"/>
      <c r="HC52" s="54"/>
      <c r="HD52" s="54"/>
      <c r="HE52" s="54"/>
      <c r="HF52" s="54"/>
      <c r="HG52" s="54"/>
      <c r="HH52" s="54"/>
      <c r="HI52" s="54"/>
      <c r="HJ52" s="54"/>
      <c r="HK52" s="54"/>
      <c r="HL52" s="54"/>
      <c r="HM52" s="54"/>
      <c r="HN52" s="54"/>
      <c r="HO52" s="54"/>
      <c r="HP52" s="54"/>
      <c r="HQ52" s="54"/>
      <c r="HR52" s="54"/>
      <c r="HS52" s="54"/>
      <c r="HT52" s="54"/>
      <c r="HU52" s="54"/>
      <c r="HV52" s="54"/>
      <c r="HW52" s="54"/>
      <c r="HX52" s="54"/>
      <c r="HY52" s="54"/>
      <c r="HZ52" s="54"/>
      <c r="IA52" s="54"/>
      <c r="IB52" s="54"/>
      <c r="IC52" s="54"/>
      <c r="ID52" s="54"/>
      <c r="IE52" s="54"/>
      <c r="IF52" s="54"/>
      <c r="IG52" s="54"/>
      <c r="IH52" s="54"/>
    </row>
    <row r="53" spans="1:242" x14ac:dyDescent="0.2">
      <c r="A53" s="222" t="s">
        <v>289</v>
      </c>
      <c r="B53" s="222"/>
      <c r="C53" s="272">
        <f>C43</f>
        <v>340</v>
      </c>
      <c r="D53" s="268" t="s">
        <v>290</v>
      </c>
      <c r="S53" s="184">
        <v>31</v>
      </c>
      <c r="T53" s="214" t="s">
        <v>291</v>
      </c>
      <c r="U53" s="266">
        <v>2</v>
      </c>
      <c r="V53" s="463"/>
      <c r="W53" s="464"/>
      <c r="X53" s="464"/>
      <c r="Y53" s="464"/>
      <c r="Z53" s="465"/>
      <c r="AA53" s="156"/>
      <c r="AB53" s="156"/>
      <c r="AC53" s="156"/>
      <c r="AD53" s="156"/>
      <c r="AE53" s="156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  <c r="DO53" s="54"/>
      <c r="DP53" s="54"/>
      <c r="DQ53" s="54"/>
      <c r="DR53" s="54"/>
      <c r="DS53" s="54"/>
      <c r="DT53" s="54"/>
      <c r="DU53" s="54"/>
      <c r="DV53" s="54"/>
      <c r="DW53" s="54"/>
      <c r="DX53" s="54"/>
      <c r="DY53" s="54"/>
      <c r="DZ53" s="54"/>
      <c r="EA53" s="54"/>
      <c r="EB53" s="54"/>
      <c r="EC53" s="54"/>
      <c r="ED53" s="54"/>
      <c r="EE53" s="54"/>
      <c r="EF53" s="54"/>
      <c r="EG53" s="54"/>
      <c r="EH53" s="54"/>
      <c r="EI53" s="54"/>
      <c r="EJ53" s="54"/>
      <c r="EK53" s="54"/>
      <c r="EL53" s="54"/>
      <c r="EM53" s="54"/>
      <c r="EN53" s="54"/>
      <c r="EO53" s="54"/>
      <c r="EP53" s="54"/>
      <c r="EQ53" s="54"/>
      <c r="ER53" s="54"/>
      <c r="ES53" s="54"/>
      <c r="ET53" s="54"/>
      <c r="EU53" s="54"/>
      <c r="EV53" s="54"/>
      <c r="EW53" s="54"/>
      <c r="EX53" s="54"/>
      <c r="EY53" s="54"/>
      <c r="EZ53" s="54"/>
      <c r="FA53" s="54"/>
      <c r="FB53" s="54"/>
      <c r="FC53" s="54"/>
      <c r="FD53" s="54"/>
      <c r="FE53" s="54"/>
      <c r="FF53" s="54"/>
      <c r="FG53" s="54"/>
      <c r="FH53" s="54"/>
      <c r="FI53" s="54"/>
      <c r="FJ53" s="54"/>
      <c r="FK53" s="54"/>
      <c r="FL53" s="54"/>
      <c r="FM53" s="54"/>
      <c r="FN53" s="54"/>
      <c r="FO53" s="54"/>
      <c r="FP53" s="54"/>
      <c r="FQ53" s="54"/>
      <c r="FR53" s="54"/>
      <c r="FS53" s="54"/>
      <c r="FT53" s="54"/>
      <c r="FU53" s="54"/>
      <c r="FV53" s="54"/>
      <c r="FW53" s="54"/>
      <c r="FX53" s="54"/>
      <c r="FY53" s="54"/>
      <c r="FZ53" s="54"/>
      <c r="GA53" s="54"/>
      <c r="GB53" s="54"/>
      <c r="GC53" s="54"/>
      <c r="GD53" s="54"/>
      <c r="GE53" s="54"/>
      <c r="GF53" s="54"/>
      <c r="GG53" s="54"/>
      <c r="GH53" s="54"/>
      <c r="GI53" s="54"/>
      <c r="GJ53" s="54"/>
      <c r="GK53" s="54"/>
      <c r="GL53" s="54"/>
      <c r="GM53" s="54"/>
      <c r="GN53" s="54"/>
      <c r="GO53" s="54"/>
      <c r="GP53" s="54"/>
      <c r="GQ53" s="54"/>
      <c r="GR53" s="54"/>
      <c r="GS53" s="54"/>
      <c r="GT53" s="54"/>
      <c r="GU53" s="54"/>
      <c r="GV53" s="54"/>
      <c r="GW53" s="54"/>
      <c r="GX53" s="54"/>
      <c r="GY53" s="54"/>
      <c r="GZ53" s="54"/>
      <c r="HA53" s="54"/>
      <c r="HB53" s="54"/>
      <c r="HC53" s="54"/>
      <c r="HD53" s="54"/>
      <c r="HE53" s="54"/>
      <c r="HF53" s="54"/>
      <c r="HG53" s="54"/>
      <c r="HH53" s="54"/>
      <c r="HI53" s="54"/>
      <c r="HJ53" s="54"/>
      <c r="HK53" s="54"/>
      <c r="HL53" s="54"/>
      <c r="HM53" s="54"/>
      <c r="HN53" s="54"/>
      <c r="HO53" s="54"/>
      <c r="HP53" s="54"/>
      <c r="HQ53" s="54"/>
      <c r="HR53" s="54"/>
      <c r="HS53" s="54"/>
      <c r="HT53" s="54"/>
      <c r="HU53" s="54"/>
      <c r="HV53" s="54"/>
      <c r="HW53" s="54"/>
      <c r="HX53" s="54"/>
      <c r="HY53" s="54"/>
      <c r="HZ53" s="54"/>
      <c r="IA53" s="54"/>
      <c r="IB53" s="54"/>
      <c r="IC53" s="54"/>
      <c r="ID53" s="54"/>
      <c r="IE53" s="54"/>
      <c r="IF53" s="54"/>
      <c r="IG53" s="54"/>
      <c r="IH53" s="54"/>
    </row>
    <row r="54" spans="1:242" x14ac:dyDescent="0.2">
      <c r="S54" s="184">
        <v>33</v>
      </c>
      <c r="T54" s="214" t="s">
        <v>294</v>
      </c>
      <c r="U54" s="266">
        <v>1</v>
      </c>
      <c r="V54" s="463"/>
      <c r="W54" s="464"/>
      <c r="X54" s="464"/>
      <c r="Y54" s="464"/>
      <c r="Z54" s="465"/>
      <c r="AA54" s="156"/>
      <c r="AB54" s="156"/>
      <c r="AC54" s="156"/>
      <c r="AD54" s="156"/>
      <c r="AE54" s="156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  <c r="DO54" s="54"/>
      <c r="DP54" s="54"/>
      <c r="DQ54" s="54"/>
      <c r="DR54" s="54"/>
      <c r="DS54" s="54"/>
      <c r="DT54" s="54"/>
      <c r="DU54" s="54"/>
      <c r="DV54" s="54"/>
      <c r="DW54" s="54"/>
      <c r="DX54" s="54"/>
      <c r="DY54" s="54"/>
      <c r="DZ54" s="54"/>
      <c r="EA54" s="54"/>
      <c r="EB54" s="54"/>
      <c r="EC54" s="54"/>
      <c r="ED54" s="54"/>
      <c r="EE54" s="54"/>
      <c r="EF54" s="54"/>
      <c r="EG54" s="54"/>
      <c r="EH54" s="54"/>
      <c r="EI54" s="54"/>
      <c r="EJ54" s="54"/>
      <c r="EK54" s="54"/>
      <c r="EL54" s="54"/>
      <c r="EM54" s="54"/>
      <c r="EN54" s="54"/>
      <c r="EO54" s="54"/>
      <c r="EP54" s="54"/>
      <c r="EQ54" s="54"/>
      <c r="ER54" s="54"/>
      <c r="ES54" s="54"/>
      <c r="ET54" s="54"/>
      <c r="EU54" s="54"/>
      <c r="EV54" s="54"/>
      <c r="EW54" s="54"/>
      <c r="EX54" s="54"/>
      <c r="EY54" s="54"/>
      <c r="EZ54" s="54"/>
      <c r="FA54" s="54"/>
      <c r="FB54" s="54"/>
      <c r="FC54" s="54"/>
      <c r="FD54" s="54"/>
      <c r="FE54" s="54"/>
      <c r="FF54" s="54"/>
      <c r="FG54" s="54"/>
      <c r="FH54" s="54"/>
      <c r="FI54" s="54"/>
      <c r="FJ54" s="54"/>
      <c r="FK54" s="54"/>
      <c r="FL54" s="54"/>
      <c r="FM54" s="54"/>
      <c r="FN54" s="54"/>
      <c r="FO54" s="54"/>
      <c r="FP54" s="54"/>
      <c r="FQ54" s="54"/>
      <c r="FR54" s="54"/>
      <c r="FS54" s="54"/>
      <c r="FT54" s="54"/>
      <c r="FU54" s="54"/>
      <c r="FV54" s="54"/>
      <c r="FW54" s="54"/>
      <c r="FX54" s="54"/>
      <c r="FY54" s="54"/>
      <c r="FZ54" s="54"/>
      <c r="GA54" s="54"/>
      <c r="GB54" s="54"/>
      <c r="GC54" s="54"/>
      <c r="GD54" s="54"/>
      <c r="GE54" s="54"/>
      <c r="GF54" s="54"/>
      <c r="GG54" s="54"/>
      <c r="GH54" s="54"/>
      <c r="GI54" s="54"/>
      <c r="GJ54" s="54"/>
      <c r="GK54" s="54"/>
      <c r="GL54" s="54"/>
      <c r="GM54" s="54"/>
      <c r="GN54" s="54"/>
      <c r="GO54" s="54"/>
      <c r="GP54" s="54"/>
      <c r="GQ54" s="54"/>
      <c r="GR54" s="54"/>
      <c r="GS54" s="54"/>
      <c r="GT54" s="54"/>
      <c r="GU54" s="54"/>
      <c r="GV54" s="54"/>
      <c r="GW54" s="54"/>
      <c r="GX54" s="54"/>
      <c r="GY54" s="54"/>
      <c r="GZ54" s="54"/>
      <c r="HA54" s="54"/>
      <c r="HB54" s="54"/>
      <c r="HC54" s="54"/>
      <c r="HD54" s="54"/>
      <c r="HE54" s="54"/>
      <c r="HF54" s="54"/>
      <c r="HG54" s="54"/>
      <c r="HH54" s="54"/>
      <c r="HI54" s="54"/>
      <c r="HJ54" s="54"/>
      <c r="HK54" s="54"/>
      <c r="HL54" s="54"/>
      <c r="HM54" s="54"/>
      <c r="HN54" s="54"/>
      <c r="HO54" s="54"/>
      <c r="HP54" s="54"/>
      <c r="HQ54" s="54"/>
      <c r="HR54" s="54"/>
      <c r="HS54" s="54"/>
      <c r="HT54" s="54"/>
      <c r="HU54" s="54"/>
      <c r="HV54" s="54"/>
      <c r="HW54" s="54"/>
      <c r="HX54" s="54"/>
      <c r="HY54" s="54"/>
      <c r="HZ54" s="54"/>
      <c r="IA54" s="54"/>
      <c r="IB54" s="54"/>
      <c r="IC54" s="54"/>
      <c r="ID54" s="54"/>
      <c r="IE54" s="54"/>
      <c r="IF54" s="54"/>
      <c r="IG54" s="54"/>
      <c r="IH54" s="54"/>
    </row>
    <row r="55" spans="1:242" ht="15" x14ac:dyDescent="0.2">
      <c r="A55" s="222" t="s">
        <v>303</v>
      </c>
      <c r="B55" s="222"/>
      <c r="C55" s="267">
        <f>C52*C53</f>
        <v>10880</v>
      </c>
      <c r="D55" s="268" t="s">
        <v>282</v>
      </c>
      <c r="S55" s="184">
        <v>34</v>
      </c>
      <c r="T55" s="214" t="s">
        <v>296</v>
      </c>
      <c r="U55" s="266">
        <v>2</v>
      </c>
      <c r="V55" s="463"/>
      <c r="W55" s="464"/>
      <c r="X55" s="464"/>
      <c r="Y55" s="464"/>
      <c r="Z55" s="465"/>
      <c r="AA55" s="156"/>
      <c r="AB55" s="274"/>
      <c r="AC55" s="274"/>
      <c r="AD55" s="274"/>
      <c r="AE55" s="27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  <c r="DO55" s="54"/>
      <c r="DP55" s="54"/>
      <c r="DQ55" s="54"/>
      <c r="DR55" s="54"/>
      <c r="DS55" s="54"/>
      <c r="DT55" s="54"/>
      <c r="DU55" s="54"/>
      <c r="DV55" s="54"/>
      <c r="DW55" s="54"/>
      <c r="DX55" s="54"/>
      <c r="DY55" s="54"/>
      <c r="DZ55" s="54"/>
      <c r="EA55" s="54"/>
      <c r="EB55" s="54"/>
      <c r="EC55" s="54"/>
      <c r="ED55" s="54"/>
      <c r="EE55" s="54"/>
      <c r="EF55" s="54"/>
      <c r="EG55" s="54"/>
      <c r="EH55" s="54"/>
      <c r="EI55" s="54"/>
      <c r="EJ55" s="54"/>
      <c r="EK55" s="54"/>
      <c r="EL55" s="54"/>
      <c r="EM55" s="54"/>
      <c r="EN55" s="54"/>
      <c r="EO55" s="54"/>
      <c r="EP55" s="54"/>
      <c r="EQ55" s="54"/>
      <c r="ER55" s="54"/>
      <c r="ES55" s="54"/>
      <c r="ET55" s="54"/>
      <c r="EU55" s="54"/>
      <c r="EV55" s="54"/>
      <c r="EW55" s="54"/>
      <c r="EX55" s="54"/>
      <c r="EY55" s="54"/>
      <c r="EZ55" s="54"/>
      <c r="FA55" s="54"/>
      <c r="FB55" s="54"/>
      <c r="FC55" s="54"/>
      <c r="FD55" s="54"/>
      <c r="FE55" s="54"/>
      <c r="FF55" s="54"/>
      <c r="FG55" s="54"/>
      <c r="FH55" s="54"/>
      <c r="FI55" s="54"/>
      <c r="FJ55" s="54"/>
      <c r="FK55" s="54"/>
      <c r="FL55" s="54"/>
      <c r="FM55" s="54"/>
      <c r="FN55" s="54"/>
      <c r="FO55" s="54"/>
      <c r="FP55" s="54"/>
      <c r="FQ55" s="54"/>
      <c r="FR55" s="54"/>
      <c r="FS55" s="54"/>
      <c r="FT55" s="54"/>
      <c r="FU55" s="54"/>
      <c r="FV55" s="54"/>
      <c r="FW55" s="54"/>
      <c r="FX55" s="54"/>
      <c r="FY55" s="54"/>
      <c r="FZ55" s="54"/>
      <c r="GA55" s="54"/>
      <c r="GB55" s="54"/>
      <c r="GC55" s="54"/>
      <c r="GD55" s="54"/>
      <c r="GE55" s="54"/>
      <c r="GF55" s="54"/>
      <c r="GG55" s="54"/>
      <c r="GH55" s="54"/>
      <c r="GI55" s="54"/>
      <c r="GJ55" s="54"/>
      <c r="GK55" s="54"/>
      <c r="GL55" s="54"/>
      <c r="GM55" s="54"/>
      <c r="GN55" s="54"/>
      <c r="GO55" s="54"/>
      <c r="GP55" s="54"/>
      <c r="GQ55" s="54"/>
      <c r="GR55" s="54"/>
      <c r="GS55" s="54"/>
      <c r="GT55" s="54"/>
      <c r="GU55" s="54"/>
      <c r="GV55" s="54"/>
      <c r="GW55" s="54"/>
      <c r="GX55" s="54"/>
      <c r="GY55" s="54"/>
      <c r="GZ55" s="54"/>
      <c r="HA55" s="54"/>
      <c r="HB55" s="54"/>
      <c r="HC55" s="54"/>
      <c r="HD55" s="54"/>
      <c r="HE55" s="54"/>
      <c r="HF55" s="54"/>
      <c r="HG55" s="54"/>
      <c r="HH55" s="54"/>
      <c r="HI55" s="54"/>
      <c r="HJ55" s="54"/>
      <c r="HK55" s="54"/>
      <c r="HL55" s="54"/>
      <c r="HM55" s="54"/>
      <c r="HN55" s="54"/>
      <c r="HO55" s="54"/>
      <c r="HP55" s="54"/>
      <c r="HQ55" s="54"/>
      <c r="HR55" s="54"/>
      <c r="HS55" s="54"/>
      <c r="HT55" s="54"/>
      <c r="HU55" s="54"/>
      <c r="HV55" s="54"/>
      <c r="HW55" s="54"/>
      <c r="HX55" s="54"/>
      <c r="HY55" s="54"/>
      <c r="HZ55" s="54"/>
      <c r="IA55" s="54"/>
      <c r="IB55" s="54"/>
      <c r="IC55" s="54"/>
      <c r="ID55" s="54"/>
      <c r="IE55" s="54"/>
      <c r="IF55" s="54"/>
      <c r="IG55" s="54"/>
      <c r="IH55" s="54"/>
    </row>
    <row r="56" spans="1:242" ht="15" x14ac:dyDescent="0.2">
      <c r="S56" s="184">
        <v>35</v>
      </c>
      <c r="T56" s="214" t="s">
        <v>297</v>
      </c>
      <c r="U56" s="266">
        <v>2</v>
      </c>
      <c r="V56" s="463"/>
      <c r="W56" s="464"/>
      <c r="X56" s="464"/>
      <c r="Y56" s="464"/>
      <c r="Z56" s="465"/>
      <c r="AA56" s="156"/>
      <c r="AB56" s="274"/>
      <c r="AC56" s="274"/>
      <c r="AD56" s="274"/>
      <c r="AE56" s="27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  <c r="DO56" s="54"/>
      <c r="DP56" s="54"/>
      <c r="DQ56" s="54"/>
      <c r="DR56" s="54"/>
      <c r="DS56" s="54"/>
      <c r="DT56" s="54"/>
      <c r="DU56" s="54"/>
      <c r="DV56" s="54"/>
      <c r="DW56" s="54"/>
      <c r="DX56" s="54"/>
      <c r="DY56" s="54"/>
      <c r="DZ56" s="54"/>
      <c r="EA56" s="54"/>
      <c r="EB56" s="54"/>
      <c r="EC56" s="54"/>
      <c r="ED56" s="54"/>
      <c r="EE56" s="54"/>
      <c r="EF56" s="54"/>
      <c r="EG56" s="54"/>
      <c r="EH56" s="54"/>
      <c r="EI56" s="54"/>
      <c r="EJ56" s="54"/>
      <c r="EK56" s="54"/>
      <c r="EL56" s="54"/>
      <c r="EM56" s="54"/>
      <c r="EN56" s="54"/>
      <c r="EO56" s="54"/>
      <c r="EP56" s="54"/>
      <c r="EQ56" s="54"/>
      <c r="ER56" s="54"/>
      <c r="ES56" s="54"/>
      <c r="ET56" s="54"/>
      <c r="EU56" s="54"/>
      <c r="EV56" s="54"/>
      <c r="EW56" s="54"/>
      <c r="EX56" s="54"/>
      <c r="EY56" s="54"/>
      <c r="EZ56" s="54"/>
      <c r="FA56" s="54"/>
      <c r="FB56" s="54"/>
      <c r="FC56" s="54"/>
      <c r="FD56" s="54"/>
      <c r="FE56" s="54"/>
      <c r="FF56" s="54"/>
      <c r="FG56" s="54"/>
      <c r="FH56" s="54"/>
      <c r="FI56" s="54"/>
      <c r="FJ56" s="54"/>
      <c r="FK56" s="54"/>
      <c r="FL56" s="54"/>
      <c r="FM56" s="54"/>
      <c r="FN56" s="54"/>
      <c r="FO56" s="54"/>
      <c r="FP56" s="54"/>
      <c r="FQ56" s="54"/>
      <c r="FR56" s="54"/>
      <c r="FS56" s="54"/>
      <c r="FT56" s="54"/>
      <c r="FU56" s="54"/>
      <c r="FV56" s="54"/>
      <c r="FW56" s="54"/>
      <c r="FX56" s="54"/>
      <c r="FY56" s="54"/>
      <c r="FZ56" s="54"/>
      <c r="GA56" s="54"/>
      <c r="GB56" s="54"/>
      <c r="GC56" s="54"/>
      <c r="GD56" s="54"/>
      <c r="GE56" s="54"/>
      <c r="GF56" s="54"/>
      <c r="GG56" s="54"/>
      <c r="GH56" s="54"/>
      <c r="GI56" s="54"/>
      <c r="GJ56" s="54"/>
      <c r="GK56" s="54"/>
      <c r="GL56" s="54"/>
      <c r="GM56" s="54"/>
      <c r="GN56" s="54"/>
      <c r="GO56" s="54"/>
      <c r="GP56" s="54"/>
      <c r="GQ56" s="54"/>
      <c r="GR56" s="54"/>
      <c r="GS56" s="54"/>
      <c r="GT56" s="54"/>
      <c r="GU56" s="54"/>
      <c r="GV56" s="54"/>
      <c r="GW56" s="54"/>
      <c r="GX56" s="54"/>
      <c r="GY56" s="54"/>
      <c r="GZ56" s="54"/>
      <c r="HA56" s="54"/>
      <c r="HB56" s="54"/>
      <c r="HC56" s="54"/>
      <c r="HD56" s="54"/>
      <c r="HE56" s="54"/>
      <c r="HF56" s="54"/>
      <c r="HG56" s="54"/>
      <c r="HH56" s="54"/>
      <c r="HI56" s="54"/>
      <c r="HJ56" s="54"/>
      <c r="HK56" s="54"/>
      <c r="HL56" s="54"/>
      <c r="HM56" s="54"/>
      <c r="HN56" s="54"/>
      <c r="HO56" s="54"/>
      <c r="HP56" s="54"/>
      <c r="HQ56" s="54"/>
      <c r="HR56" s="54"/>
      <c r="HS56" s="54"/>
      <c r="HT56" s="54"/>
      <c r="HU56" s="54"/>
      <c r="HV56" s="54"/>
      <c r="HW56" s="54"/>
      <c r="HX56" s="54"/>
      <c r="HY56" s="54"/>
      <c r="HZ56" s="54"/>
      <c r="IA56" s="54"/>
      <c r="IB56" s="54"/>
      <c r="IC56" s="54"/>
      <c r="ID56" s="54"/>
      <c r="IE56" s="54"/>
      <c r="IF56" s="54"/>
      <c r="IG56" s="54"/>
      <c r="IH56" s="54"/>
    </row>
    <row r="57" spans="1:242" x14ac:dyDescent="0.2">
      <c r="AB57" s="156"/>
      <c r="AC57" s="156"/>
      <c r="AD57" s="156"/>
      <c r="AE57" s="156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  <c r="DO57" s="54"/>
      <c r="DP57" s="54"/>
      <c r="DQ57" s="54"/>
      <c r="DR57" s="54"/>
      <c r="DS57" s="54"/>
      <c r="DT57" s="54"/>
      <c r="DU57" s="54"/>
      <c r="DV57" s="54"/>
      <c r="DW57" s="54"/>
      <c r="DX57" s="54"/>
      <c r="DY57" s="54"/>
      <c r="DZ57" s="54"/>
      <c r="EA57" s="54"/>
      <c r="EB57" s="54"/>
      <c r="EC57" s="54"/>
      <c r="ED57" s="54"/>
      <c r="EE57" s="54"/>
      <c r="EF57" s="54"/>
      <c r="EG57" s="54"/>
      <c r="EH57" s="54"/>
      <c r="EI57" s="54"/>
      <c r="EJ57" s="54"/>
      <c r="EK57" s="54"/>
      <c r="EL57" s="54"/>
      <c r="EM57" s="54"/>
      <c r="EN57" s="54"/>
      <c r="EO57" s="54"/>
      <c r="EP57" s="54"/>
      <c r="EQ57" s="54"/>
      <c r="ER57" s="54"/>
      <c r="ES57" s="54"/>
      <c r="ET57" s="54"/>
      <c r="EU57" s="54"/>
      <c r="EV57" s="54"/>
      <c r="EW57" s="54"/>
      <c r="EX57" s="54"/>
      <c r="EY57" s="54"/>
      <c r="EZ57" s="54"/>
      <c r="FA57" s="54"/>
      <c r="FB57" s="54"/>
      <c r="FC57" s="54"/>
      <c r="FD57" s="54"/>
      <c r="FE57" s="54"/>
      <c r="FF57" s="54"/>
      <c r="FG57" s="54"/>
      <c r="FH57" s="54"/>
      <c r="FI57" s="54"/>
      <c r="FJ57" s="54"/>
      <c r="FK57" s="54"/>
      <c r="FL57" s="54"/>
      <c r="FM57" s="54"/>
      <c r="FN57" s="54"/>
      <c r="FO57" s="54"/>
      <c r="FP57" s="54"/>
      <c r="FQ57" s="54"/>
      <c r="FR57" s="54"/>
      <c r="FS57" s="54"/>
      <c r="FT57" s="54"/>
      <c r="FU57" s="54"/>
      <c r="FV57" s="54"/>
      <c r="FW57" s="54"/>
      <c r="FX57" s="54"/>
      <c r="FY57" s="54"/>
      <c r="FZ57" s="54"/>
      <c r="GA57" s="54"/>
      <c r="GB57" s="54"/>
      <c r="GC57" s="54"/>
      <c r="GD57" s="54"/>
      <c r="GE57" s="54"/>
      <c r="GF57" s="54"/>
      <c r="GG57" s="54"/>
      <c r="GH57" s="54"/>
      <c r="GI57" s="54"/>
      <c r="GJ57" s="54"/>
      <c r="GK57" s="54"/>
      <c r="GL57" s="54"/>
      <c r="GM57" s="54"/>
      <c r="GN57" s="54"/>
      <c r="GO57" s="54"/>
      <c r="GP57" s="54"/>
      <c r="GQ57" s="54"/>
      <c r="GR57" s="54"/>
      <c r="GS57" s="54"/>
      <c r="GT57" s="54"/>
      <c r="GU57" s="54"/>
      <c r="GV57" s="54"/>
      <c r="GW57" s="54"/>
      <c r="GX57" s="54"/>
      <c r="GY57" s="54"/>
      <c r="GZ57" s="54"/>
      <c r="HA57" s="54"/>
      <c r="HB57" s="54"/>
      <c r="HC57" s="54"/>
      <c r="HD57" s="54"/>
      <c r="HE57" s="54"/>
      <c r="HF57" s="54"/>
      <c r="HG57" s="54"/>
      <c r="HH57" s="54"/>
      <c r="HI57" s="54"/>
      <c r="HJ57" s="54"/>
      <c r="HK57" s="54"/>
      <c r="HL57" s="54"/>
      <c r="HM57" s="54"/>
      <c r="HN57" s="54"/>
      <c r="HO57" s="54"/>
      <c r="HP57" s="54"/>
      <c r="HQ57" s="54"/>
      <c r="HR57" s="54"/>
      <c r="HS57" s="54"/>
      <c r="HT57" s="54"/>
      <c r="HU57" s="54"/>
      <c r="HV57" s="54"/>
      <c r="HW57" s="54"/>
      <c r="HX57" s="54"/>
      <c r="HY57" s="54"/>
      <c r="HZ57" s="54"/>
      <c r="IA57" s="54"/>
      <c r="IB57" s="54"/>
      <c r="IC57" s="54"/>
      <c r="ID57" s="54"/>
      <c r="IE57" s="54"/>
      <c r="IF57" s="54"/>
      <c r="IG57" s="54"/>
      <c r="IH57" s="54"/>
    </row>
    <row r="58" spans="1:242" x14ac:dyDescent="0.2">
      <c r="AB58" s="156"/>
      <c r="AC58" s="156"/>
      <c r="AD58" s="156"/>
      <c r="AE58" s="156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  <c r="DO58" s="54"/>
      <c r="DP58" s="54"/>
      <c r="DQ58" s="54"/>
      <c r="DR58" s="54"/>
      <c r="DS58" s="54"/>
      <c r="DT58" s="54"/>
      <c r="DU58" s="54"/>
      <c r="DV58" s="54"/>
      <c r="DW58" s="54"/>
      <c r="DX58" s="54"/>
      <c r="DY58" s="54"/>
      <c r="DZ58" s="54"/>
      <c r="EA58" s="54"/>
      <c r="EB58" s="54"/>
      <c r="EC58" s="54"/>
      <c r="ED58" s="54"/>
      <c r="EE58" s="54"/>
      <c r="EF58" s="54"/>
      <c r="EG58" s="54"/>
      <c r="EH58" s="54"/>
      <c r="EI58" s="54"/>
      <c r="EJ58" s="54"/>
      <c r="EK58" s="54"/>
      <c r="EL58" s="54"/>
      <c r="EM58" s="54"/>
      <c r="EN58" s="54"/>
      <c r="EO58" s="54"/>
      <c r="EP58" s="54"/>
      <c r="EQ58" s="54"/>
      <c r="ER58" s="54"/>
      <c r="ES58" s="54"/>
      <c r="ET58" s="54"/>
      <c r="EU58" s="54"/>
      <c r="EV58" s="54"/>
      <c r="EW58" s="54"/>
      <c r="EX58" s="54"/>
      <c r="EY58" s="54"/>
      <c r="EZ58" s="54"/>
      <c r="FA58" s="54"/>
      <c r="FB58" s="54"/>
      <c r="FC58" s="54"/>
      <c r="FD58" s="54"/>
      <c r="FE58" s="54"/>
      <c r="FF58" s="54"/>
      <c r="FG58" s="54"/>
      <c r="FH58" s="54"/>
      <c r="FI58" s="54"/>
      <c r="FJ58" s="54"/>
      <c r="FK58" s="54"/>
      <c r="FL58" s="54"/>
      <c r="FM58" s="54"/>
      <c r="FN58" s="54"/>
      <c r="FO58" s="54"/>
      <c r="FP58" s="54"/>
      <c r="FQ58" s="54"/>
      <c r="FR58" s="54"/>
      <c r="FS58" s="54"/>
      <c r="FT58" s="54"/>
      <c r="FU58" s="54"/>
      <c r="FV58" s="54"/>
      <c r="FW58" s="54"/>
      <c r="FX58" s="54"/>
      <c r="FY58" s="54"/>
      <c r="FZ58" s="54"/>
      <c r="GA58" s="54"/>
      <c r="GB58" s="54"/>
      <c r="GC58" s="54"/>
      <c r="GD58" s="54"/>
      <c r="GE58" s="54"/>
      <c r="GF58" s="54"/>
      <c r="GG58" s="54"/>
      <c r="GH58" s="54"/>
      <c r="GI58" s="54"/>
      <c r="GJ58" s="54"/>
      <c r="GK58" s="54"/>
      <c r="GL58" s="54"/>
      <c r="GM58" s="54"/>
      <c r="GN58" s="54"/>
      <c r="GO58" s="54"/>
      <c r="GP58" s="54"/>
      <c r="GQ58" s="54"/>
      <c r="GR58" s="54"/>
      <c r="GS58" s="54"/>
      <c r="GT58" s="54"/>
      <c r="GU58" s="54"/>
      <c r="GV58" s="54"/>
      <c r="GW58" s="54"/>
      <c r="GX58" s="54"/>
      <c r="GY58" s="54"/>
      <c r="GZ58" s="54"/>
      <c r="HA58" s="54"/>
      <c r="HB58" s="54"/>
      <c r="HC58" s="54"/>
      <c r="HD58" s="54"/>
      <c r="HE58" s="54"/>
      <c r="HF58" s="54"/>
      <c r="HG58" s="54"/>
      <c r="HH58" s="54"/>
      <c r="HI58" s="54"/>
      <c r="HJ58" s="54"/>
      <c r="HK58" s="54"/>
      <c r="HL58" s="54"/>
      <c r="HM58" s="54"/>
      <c r="HN58" s="54"/>
      <c r="HO58" s="54"/>
      <c r="HP58" s="54"/>
      <c r="HQ58" s="54"/>
      <c r="HR58" s="54"/>
      <c r="HS58" s="54"/>
      <c r="HT58" s="54"/>
      <c r="HU58" s="54"/>
      <c r="HV58" s="54"/>
      <c r="HW58" s="54"/>
      <c r="HX58" s="54"/>
      <c r="HY58" s="54"/>
      <c r="HZ58" s="54"/>
      <c r="IA58" s="54"/>
      <c r="IB58" s="54"/>
      <c r="IC58" s="54"/>
      <c r="ID58" s="54"/>
      <c r="IE58" s="54"/>
      <c r="IF58" s="54"/>
      <c r="IG58" s="54"/>
      <c r="IH58" s="54"/>
    </row>
    <row r="59" spans="1:242" x14ac:dyDescent="0.2">
      <c r="AB59" s="156"/>
      <c r="AC59" s="156"/>
      <c r="AD59" s="156"/>
      <c r="AE59" s="156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  <c r="DO59" s="54"/>
      <c r="DP59" s="54"/>
      <c r="DQ59" s="54"/>
      <c r="DR59" s="54"/>
      <c r="DS59" s="54"/>
      <c r="DT59" s="54"/>
      <c r="DU59" s="54"/>
      <c r="DV59" s="54"/>
      <c r="DW59" s="54"/>
      <c r="DX59" s="54"/>
      <c r="DY59" s="54"/>
      <c r="DZ59" s="54"/>
      <c r="EA59" s="54"/>
      <c r="EB59" s="54"/>
      <c r="EC59" s="54"/>
      <c r="ED59" s="54"/>
      <c r="EE59" s="54"/>
      <c r="EF59" s="54"/>
      <c r="EG59" s="54"/>
      <c r="EH59" s="54"/>
      <c r="EI59" s="54"/>
      <c r="EJ59" s="54"/>
      <c r="EK59" s="54"/>
      <c r="EL59" s="54"/>
      <c r="EM59" s="54"/>
      <c r="EN59" s="54"/>
      <c r="EO59" s="54"/>
      <c r="EP59" s="54"/>
      <c r="EQ59" s="54"/>
      <c r="ER59" s="54"/>
      <c r="ES59" s="54"/>
      <c r="ET59" s="54"/>
      <c r="EU59" s="54"/>
      <c r="EV59" s="54"/>
      <c r="EW59" s="54"/>
      <c r="EX59" s="54"/>
      <c r="EY59" s="54"/>
      <c r="EZ59" s="54"/>
      <c r="FA59" s="54"/>
      <c r="FB59" s="54"/>
      <c r="FC59" s="54"/>
      <c r="FD59" s="54"/>
      <c r="FE59" s="54"/>
      <c r="FF59" s="54"/>
      <c r="FG59" s="54"/>
      <c r="FH59" s="54"/>
      <c r="FI59" s="54"/>
      <c r="FJ59" s="54"/>
      <c r="FK59" s="54"/>
      <c r="FL59" s="54"/>
      <c r="FM59" s="54"/>
      <c r="FN59" s="54"/>
      <c r="FO59" s="54"/>
      <c r="FP59" s="54"/>
      <c r="FQ59" s="54"/>
      <c r="FR59" s="54"/>
      <c r="FS59" s="54"/>
      <c r="FT59" s="54"/>
      <c r="FU59" s="54"/>
      <c r="FV59" s="54"/>
      <c r="FW59" s="54"/>
      <c r="FX59" s="54"/>
      <c r="FY59" s="54"/>
      <c r="FZ59" s="54"/>
      <c r="GA59" s="54"/>
      <c r="GB59" s="54"/>
      <c r="GC59" s="54"/>
      <c r="GD59" s="54"/>
      <c r="GE59" s="54"/>
      <c r="GF59" s="54"/>
      <c r="GG59" s="54"/>
      <c r="GH59" s="54"/>
      <c r="GI59" s="54"/>
      <c r="GJ59" s="54"/>
      <c r="GK59" s="54"/>
      <c r="GL59" s="54"/>
      <c r="GM59" s="54"/>
      <c r="GN59" s="54"/>
      <c r="GO59" s="54"/>
      <c r="GP59" s="54"/>
      <c r="GQ59" s="54"/>
      <c r="GR59" s="54"/>
      <c r="GS59" s="54"/>
      <c r="GT59" s="54"/>
      <c r="GU59" s="54"/>
      <c r="GV59" s="54"/>
      <c r="GW59" s="54"/>
      <c r="GX59" s="54"/>
      <c r="GY59" s="54"/>
      <c r="GZ59" s="54"/>
      <c r="HA59" s="54"/>
      <c r="HB59" s="54"/>
      <c r="HC59" s="54"/>
      <c r="HD59" s="54"/>
      <c r="HE59" s="54"/>
      <c r="HF59" s="54"/>
      <c r="HG59" s="54"/>
      <c r="HH59" s="54"/>
      <c r="HI59" s="54"/>
      <c r="HJ59" s="54"/>
      <c r="HK59" s="54"/>
      <c r="HL59" s="54"/>
      <c r="HM59" s="54"/>
      <c r="HN59" s="54"/>
      <c r="HO59" s="54"/>
      <c r="HP59" s="54"/>
      <c r="HQ59" s="54"/>
      <c r="HR59" s="54"/>
      <c r="HS59" s="54"/>
      <c r="HT59" s="54"/>
      <c r="HU59" s="54"/>
      <c r="HV59" s="54"/>
      <c r="HW59" s="54"/>
      <c r="HX59" s="54"/>
      <c r="HY59" s="54"/>
      <c r="HZ59" s="54"/>
      <c r="IA59" s="54"/>
      <c r="IB59" s="54"/>
      <c r="IC59" s="54"/>
      <c r="ID59" s="54"/>
      <c r="IE59" s="54"/>
      <c r="IF59" s="54"/>
      <c r="IG59" s="54"/>
      <c r="IH59" s="54"/>
    </row>
    <row r="60" spans="1:242" x14ac:dyDescent="0.2">
      <c r="AB60" s="156"/>
      <c r="AC60" s="156"/>
      <c r="AD60" s="156"/>
      <c r="AE60" s="156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  <c r="DO60" s="54"/>
      <c r="DP60" s="54"/>
      <c r="DQ60" s="54"/>
      <c r="DR60" s="54"/>
      <c r="DS60" s="54"/>
      <c r="DT60" s="54"/>
      <c r="DU60" s="54"/>
      <c r="DV60" s="54"/>
      <c r="DW60" s="54"/>
      <c r="DX60" s="54"/>
      <c r="DY60" s="54"/>
      <c r="DZ60" s="54"/>
      <c r="EA60" s="54"/>
      <c r="EB60" s="54"/>
      <c r="EC60" s="54"/>
      <c r="ED60" s="54"/>
      <c r="EE60" s="54"/>
      <c r="EF60" s="54"/>
      <c r="EG60" s="54"/>
      <c r="EH60" s="54"/>
      <c r="EI60" s="54"/>
      <c r="EJ60" s="54"/>
      <c r="EK60" s="54"/>
      <c r="EL60" s="54"/>
      <c r="EM60" s="54"/>
      <c r="EN60" s="54"/>
      <c r="EO60" s="54"/>
      <c r="EP60" s="54"/>
      <c r="EQ60" s="54"/>
      <c r="ER60" s="54"/>
      <c r="ES60" s="54"/>
      <c r="ET60" s="54"/>
      <c r="EU60" s="54"/>
      <c r="EV60" s="54"/>
      <c r="EW60" s="54"/>
      <c r="EX60" s="54"/>
      <c r="EY60" s="54"/>
      <c r="EZ60" s="54"/>
      <c r="FA60" s="54"/>
      <c r="FB60" s="54"/>
      <c r="FC60" s="54"/>
      <c r="FD60" s="54"/>
      <c r="FE60" s="54"/>
      <c r="FF60" s="54"/>
      <c r="FG60" s="54"/>
      <c r="FH60" s="54"/>
      <c r="FI60" s="54"/>
      <c r="FJ60" s="54"/>
      <c r="FK60" s="54"/>
      <c r="FL60" s="54"/>
      <c r="FM60" s="54"/>
      <c r="FN60" s="54"/>
      <c r="FO60" s="54"/>
      <c r="FP60" s="54"/>
      <c r="FQ60" s="54"/>
      <c r="FR60" s="54"/>
      <c r="FS60" s="54"/>
      <c r="FT60" s="54"/>
      <c r="FU60" s="54"/>
      <c r="FV60" s="54"/>
      <c r="FW60" s="54"/>
      <c r="FX60" s="54"/>
      <c r="FY60" s="54"/>
      <c r="FZ60" s="54"/>
      <c r="GA60" s="54"/>
      <c r="GB60" s="54"/>
      <c r="GC60" s="54"/>
      <c r="GD60" s="54"/>
      <c r="GE60" s="54"/>
      <c r="GF60" s="54"/>
      <c r="GG60" s="54"/>
      <c r="GH60" s="54"/>
      <c r="GI60" s="54"/>
      <c r="GJ60" s="54"/>
      <c r="GK60" s="54"/>
      <c r="GL60" s="54"/>
      <c r="GM60" s="54"/>
      <c r="GN60" s="54"/>
      <c r="GO60" s="54"/>
      <c r="GP60" s="54"/>
      <c r="GQ60" s="54"/>
      <c r="GR60" s="54"/>
      <c r="GS60" s="54"/>
      <c r="GT60" s="54"/>
      <c r="GU60" s="54"/>
      <c r="GV60" s="54"/>
      <c r="GW60" s="54"/>
      <c r="GX60" s="54"/>
      <c r="GY60" s="54"/>
      <c r="GZ60" s="54"/>
      <c r="HA60" s="54"/>
      <c r="HB60" s="54"/>
      <c r="HC60" s="54"/>
      <c r="HD60" s="54"/>
      <c r="HE60" s="54"/>
      <c r="HF60" s="54"/>
      <c r="HG60" s="54"/>
      <c r="HH60" s="54"/>
      <c r="HI60" s="54"/>
      <c r="HJ60" s="54"/>
      <c r="HK60" s="54"/>
      <c r="HL60" s="54"/>
      <c r="HM60" s="54"/>
      <c r="HN60" s="54"/>
      <c r="HO60" s="54"/>
      <c r="HP60" s="54"/>
      <c r="HQ60" s="54"/>
      <c r="HR60" s="54"/>
      <c r="HS60" s="54"/>
      <c r="HT60" s="54"/>
      <c r="HU60" s="54"/>
      <c r="HV60" s="54"/>
      <c r="HW60" s="54"/>
      <c r="HX60" s="54"/>
      <c r="HY60" s="54"/>
      <c r="HZ60" s="54"/>
      <c r="IA60" s="54"/>
      <c r="IB60" s="54"/>
      <c r="IC60" s="54"/>
      <c r="ID60" s="54"/>
      <c r="IE60" s="54"/>
      <c r="IF60" s="54"/>
      <c r="IG60" s="54"/>
      <c r="IH60" s="54"/>
    </row>
    <row r="61" spans="1:242" x14ac:dyDescent="0.2">
      <c r="AB61" s="156"/>
      <c r="AC61" s="156"/>
      <c r="AD61" s="156"/>
      <c r="AE61" s="156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  <c r="DO61" s="54"/>
      <c r="DP61" s="54"/>
      <c r="DQ61" s="54"/>
      <c r="DR61" s="54"/>
      <c r="DS61" s="54"/>
      <c r="DT61" s="54"/>
      <c r="DU61" s="54"/>
      <c r="DV61" s="54"/>
      <c r="DW61" s="54"/>
      <c r="DX61" s="54"/>
      <c r="DY61" s="54"/>
      <c r="DZ61" s="54"/>
      <c r="EA61" s="54"/>
      <c r="EB61" s="54"/>
      <c r="EC61" s="54"/>
      <c r="ED61" s="54"/>
      <c r="EE61" s="54"/>
      <c r="EF61" s="54"/>
      <c r="EG61" s="54"/>
      <c r="EH61" s="54"/>
      <c r="EI61" s="54"/>
      <c r="EJ61" s="54"/>
      <c r="EK61" s="54"/>
      <c r="EL61" s="54"/>
      <c r="EM61" s="54"/>
      <c r="EN61" s="54"/>
      <c r="EO61" s="54"/>
      <c r="EP61" s="54"/>
      <c r="EQ61" s="54"/>
      <c r="ER61" s="54"/>
      <c r="ES61" s="54"/>
      <c r="ET61" s="54"/>
      <c r="EU61" s="54"/>
      <c r="EV61" s="54"/>
      <c r="EW61" s="54"/>
      <c r="EX61" s="54"/>
      <c r="EY61" s="54"/>
      <c r="EZ61" s="54"/>
      <c r="FA61" s="54"/>
      <c r="FB61" s="54"/>
      <c r="FC61" s="54"/>
      <c r="FD61" s="54"/>
      <c r="FE61" s="54"/>
      <c r="FF61" s="54"/>
      <c r="FG61" s="54"/>
      <c r="FH61" s="54"/>
      <c r="FI61" s="54"/>
      <c r="FJ61" s="54"/>
      <c r="FK61" s="54"/>
      <c r="FL61" s="54"/>
      <c r="FM61" s="54"/>
      <c r="FN61" s="54"/>
      <c r="FO61" s="54"/>
      <c r="FP61" s="54"/>
      <c r="FQ61" s="54"/>
      <c r="FR61" s="54"/>
      <c r="FS61" s="54"/>
      <c r="FT61" s="54"/>
      <c r="FU61" s="54"/>
      <c r="FV61" s="54"/>
      <c r="FW61" s="54"/>
      <c r="FX61" s="54"/>
      <c r="FY61" s="54"/>
      <c r="FZ61" s="54"/>
      <c r="GA61" s="54"/>
      <c r="GB61" s="54"/>
      <c r="GC61" s="54"/>
      <c r="GD61" s="54"/>
      <c r="GE61" s="54"/>
      <c r="GF61" s="54"/>
      <c r="GG61" s="54"/>
      <c r="GH61" s="54"/>
      <c r="GI61" s="54"/>
      <c r="GJ61" s="54"/>
      <c r="GK61" s="54"/>
      <c r="GL61" s="54"/>
      <c r="GM61" s="54"/>
      <c r="GN61" s="54"/>
      <c r="GO61" s="54"/>
      <c r="GP61" s="54"/>
      <c r="GQ61" s="54"/>
      <c r="GR61" s="54"/>
      <c r="GS61" s="54"/>
      <c r="GT61" s="54"/>
      <c r="GU61" s="54"/>
      <c r="GV61" s="54"/>
      <c r="GW61" s="54"/>
      <c r="GX61" s="54"/>
      <c r="GY61" s="54"/>
      <c r="GZ61" s="54"/>
      <c r="HA61" s="54"/>
      <c r="HB61" s="54"/>
      <c r="HC61" s="54"/>
      <c r="HD61" s="54"/>
      <c r="HE61" s="54"/>
      <c r="HF61" s="54"/>
      <c r="HG61" s="54"/>
      <c r="HH61" s="54"/>
      <c r="HI61" s="54"/>
      <c r="HJ61" s="54"/>
      <c r="HK61" s="54"/>
      <c r="HL61" s="54"/>
      <c r="HM61" s="54"/>
      <c r="HN61" s="54"/>
      <c r="HO61" s="54"/>
      <c r="HP61" s="54"/>
      <c r="HQ61" s="54"/>
      <c r="HR61" s="54"/>
      <c r="HS61" s="54"/>
      <c r="HT61" s="54"/>
      <c r="HU61" s="54"/>
      <c r="HV61" s="54"/>
      <c r="HW61" s="54"/>
      <c r="HX61" s="54"/>
      <c r="HY61" s="54"/>
      <c r="HZ61" s="54"/>
      <c r="IA61" s="54"/>
      <c r="IB61" s="54"/>
      <c r="IC61" s="54"/>
      <c r="ID61" s="54"/>
      <c r="IE61" s="54"/>
      <c r="IF61" s="54"/>
      <c r="IG61" s="54"/>
      <c r="IH61" s="54"/>
    </row>
    <row r="62" spans="1:242" x14ac:dyDescent="0.2">
      <c r="AB62" s="156"/>
      <c r="AC62" s="156"/>
      <c r="AD62" s="156"/>
      <c r="AE62" s="156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  <c r="DO62" s="54"/>
      <c r="DP62" s="54"/>
      <c r="DQ62" s="54"/>
      <c r="DR62" s="54"/>
      <c r="DS62" s="54"/>
      <c r="DT62" s="54"/>
      <c r="DU62" s="54"/>
      <c r="DV62" s="54"/>
      <c r="DW62" s="54"/>
      <c r="DX62" s="54"/>
      <c r="DY62" s="54"/>
      <c r="DZ62" s="54"/>
      <c r="EA62" s="54"/>
      <c r="EB62" s="54"/>
      <c r="EC62" s="54"/>
      <c r="ED62" s="54"/>
      <c r="EE62" s="54"/>
      <c r="EF62" s="54"/>
      <c r="EG62" s="54"/>
      <c r="EH62" s="54"/>
      <c r="EI62" s="54"/>
      <c r="EJ62" s="54"/>
      <c r="EK62" s="54"/>
      <c r="EL62" s="54"/>
      <c r="EM62" s="54"/>
      <c r="EN62" s="54"/>
      <c r="EO62" s="54"/>
      <c r="EP62" s="54"/>
      <c r="EQ62" s="54"/>
      <c r="ER62" s="54"/>
      <c r="ES62" s="54"/>
      <c r="ET62" s="54"/>
      <c r="EU62" s="54"/>
      <c r="EV62" s="54"/>
      <c r="EW62" s="54"/>
      <c r="EX62" s="54"/>
      <c r="EY62" s="54"/>
      <c r="EZ62" s="54"/>
      <c r="FA62" s="54"/>
      <c r="FB62" s="54"/>
      <c r="FC62" s="54"/>
      <c r="FD62" s="54"/>
      <c r="FE62" s="54"/>
      <c r="FF62" s="54"/>
      <c r="FG62" s="54"/>
      <c r="FH62" s="54"/>
      <c r="FI62" s="54"/>
      <c r="FJ62" s="54"/>
      <c r="FK62" s="54"/>
      <c r="FL62" s="54"/>
      <c r="FM62" s="54"/>
      <c r="FN62" s="54"/>
      <c r="FO62" s="54"/>
      <c r="FP62" s="54"/>
      <c r="FQ62" s="54"/>
      <c r="FR62" s="54"/>
      <c r="FS62" s="54"/>
      <c r="FT62" s="54"/>
      <c r="FU62" s="54"/>
      <c r="FV62" s="54"/>
      <c r="FW62" s="54"/>
      <c r="FX62" s="54"/>
      <c r="FY62" s="54"/>
      <c r="FZ62" s="54"/>
      <c r="GA62" s="54"/>
      <c r="GB62" s="54"/>
      <c r="GC62" s="54"/>
      <c r="GD62" s="54"/>
      <c r="GE62" s="54"/>
      <c r="GF62" s="54"/>
      <c r="GG62" s="54"/>
      <c r="GH62" s="54"/>
      <c r="GI62" s="54"/>
      <c r="GJ62" s="54"/>
      <c r="GK62" s="54"/>
      <c r="GL62" s="54"/>
      <c r="GM62" s="54"/>
      <c r="GN62" s="54"/>
      <c r="GO62" s="54"/>
      <c r="GP62" s="54"/>
      <c r="GQ62" s="54"/>
      <c r="GR62" s="54"/>
      <c r="GS62" s="54"/>
      <c r="GT62" s="54"/>
      <c r="GU62" s="54"/>
      <c r="GV62" s="54"/>
      <c r="GW62" s="54"/>
      <c r="GX62" s="54"/>
      <c r="GY62" s="54"/>
      <c r="GZ62" s="54"/>
      <c r="HA62" s="54"/>
      <c r="HB62" s="54"/>
      <c r="HC62" s="54"/>
      <c r="HD62" s="54"/>
      <c r="HE62" s="54"/>
      <c r="HF62" s="54"/>
      <c r="HG62" s="54"/>
      <c r="HH62" s="54"/>
      <c r="HI62" s="54"/>
      <c r="HJ62" s="54"/>
      <c r="HK62" s="54"/>
      <c r="HL62" s="54"/>
      <c r="HM62" s="54"/>
      <c r="HN62" s="54"/>
      <c r="HO62" s="54"/>
      <c r="HP62" s="54"/>
      <c r="HQ62" s="54"/>
      <c r="HR62" s="54"/>
      <c r="HS62" s="54"/>
      <c r="HT62" s="54"/>
      <c r="HU62" s="54"/>
      <c r="HV62" s="54"/>
      <c r="HW62" s="54"/>
      <c r="HX62" s="54"/>
      <c r="HY62" s="54"/>
      <c r="HZ62" s="54"/>
      <c r="IA62" s="54"/>
      <c r="IB62" s="54"/>
      <c r="IC62" s="54"/>
      <c r="ID62" s="54"/>
      <c r="IE62" s="54"/>
      <c r="IF62" s="54"/>
      <c r="IG62" s="54"/>
      <c r="IH62" s="54"/>
    </row>
    <row r="63" spans="1:242" x14ac:dyDescent="0.2">
      <c r="AB63" s="156"/>
      <c r="AC63" s="156"/>
      <c r="AD63" s="156"/>
      <c r="AE63" s="156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  <c r="DO63" s="54"/>
      <c r="DP63" s="54"/>
      <c r="DQ63" s="54"/>
      <c r="DR63" s="54"/>
      <c r="DS63" s="54"/>
      <c r="DT63" s="54"/>
      <c r="DU63" s="54"/>
      <c r="DV63" s="54"/>
      <c r="DW63" s="54"/>
      <c r="DX63" s="54"/>
      <c r="DY63" s="54"/>
      <c r="DZ63" s="54"/>
      <c r="EA63" s="54"/>
      <c r="EB63" s="54"/>
      <c r="EC63" s="54"/>
      <c r="ED63" s="54"/>
      <c r="EE63" s="54"/>
      <c r="EF63" s="54"/>
      <c r="EG63" s="54"/>
      <c r="EH63" s="54"/>
      <c r="EI63" s="54"/>
      <c r="EJ63" s="54"/>
      <c r="EK63" s="54"/>
      <c r="EL63" s="54"/>
      <c r="EM63" s="54"/>
      <c r="EN63" s="54"/>
      <c r="EO63" s="54"/>
      <c r="EP63" s="54"/>
      <c r="EQ63" s="54"/>
      <c r="ER63" s="54"/>
      <c r="ES63" s="54"/>
      <c r="ET63" s="54"/>
      <c r="EU63" s="54"/>
      <c r="EV63" s="54"/>
      <c r="EW63" s="54"/>
      <c r="EX63" s="54"/>
      <c r="EY63" s="54"/>
      <c r="EZ63" s="54"/>
      <c r="FA63" s="54"/>
      <c r="FB63" s="54"/>
      <c r="FC63" s="54"/>
      <c r="FD63" s="54"/>
      <c r="FE63" s="54"/>
      <c r="FF63" s="54"/>
      <c r="FG63" s="54"/>
      <c r="FH63" s="54"/>
      <c r="FI63" s="54"/>
      <c r="FJ63" s="54"/>
      <c r="FK63" s="54"/>
      <c r="FL63" s="54"/>
      <c r="FM63" s="54"/>
      <c r="FN63" s="54"/>
      <c r="FO63" s="54"/>
      <c r="FP63" s="54"/>
      <c r="FQ63" s="54"/>
      <c r="FR63" s="54"/>
      <c r="FS63" s="54"/>
      <c r="FT63" s="54"/>
      <c r="FU63" s="54"/>
      <c r="FV63" s="54"/>
      <c r="FW63" s="54"/>
      <c r="FX63" s="54"/>
      <c r="FY63" s="54"/>
      <c r="FZ63" s="54"/>
      <c r="GA63" s="54"/>
      <c r="GB63" s="54"/>
      <c r="GC63" s="54"/>
      <c r="GD63" s="54"/>
      <c r="GE63" s="54"/>
      <c r="GF63" s="54"/>
      <c r="GG63" s="54"/>
      <c r="GH63" s="54"/>
      <c r="GI63" s="54"/>
      <c r="GJ63" s="54"/>
      <c r="GK63" s="54"/>
      <c r="GL63" s="54"/>
      <c r="GM63" s="54"/>
      <c r="GN63" s="54"/>
      <c r="GO63" s="54"/>
      <c r="GP63" s="54"/>
      <c r="GQ63" s="54"/>
      <c r="GR63" s="54"/>
      <c r="GS63" s="54"/>
      <c r="GT63" s="54"/>
      <c r="GU63" s="54"/>
      <c r="GV63" s="54"/>
      <c r="GW63" s="54"/>
      <c r="GX63" s="54"/>
      <c r="GY63" s="54"/>
      <c r="GZ63" s="54"/>
      <c r="HA63" s="54"/>
      <c r="HB63" s="54"/>
      <c r="HC63" s="54"/>
      <c r="HD63" s="54"/>
      <c r="HE63" s="54"/>
      <c r="HF63" s="54"/>
      <c r="HG63" s="54"/>
      <c r="HH63" s="54"/>
      <c r="HI63" s="54"/>
      <c r="HJ63" s="54"/>
      <c r="HK63" s="54"/>
      <c r="HL63" s="54"/>
      <c r="HM63" s="54"/>
      <c r="HN63" s="54"/>
      <c r="HO63" s="54"/>
      <c r="HP63" s="54"/>
      <c r="HQ63" s="54"/>
      <c r="HR63" s="54"/>
      <c r="HS63" s="54"/>
      <c r="HT63" s="54"/>
      <c r="HU63" s="54"/>
      <c r="HV63" s="54"/>
      <c r="HW63" s="54"/>
      <c r="HX63" s="54"/>
      <c r="HY63" s="54"/>
      <c r="HZ63" s="54"/>
      <c r="IA63" s="54"/>
      <c r="IB63" s="54"/>
      <c r="IC63" s="54"/>
      <c r="ID63" s="54"/>
      <c r="IE63" s="54"/>
      <c r="IF63" s="54"/>
      <c r="IG63" s="54"/>
      <c r="IH63" s="54"/>
    </row>
    <row r="64" spans="1:242" x14ac:dyDescent="0.2">
      <c r="AB64" s="156"/>
      <c r="AC64" s="156"/>
      <c r="AD64" s="156"/>
      <c r="AE64" s="156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  <c r="DO64" s="54"/>
      <c r="DP64" s="54"/>
      <c r="DQ64" s="54"/>
      <c r="DR64" s="54"/>
      <c r="DS64" s="54"/>
      <c r="DT64" s="54"/>
      <c r="DU64" s="54"/>
      <c r="DV64" s="54"/>
      <c r="DW64" s="54"/>
      <c r="DX64" s="54"/>
      <c r="DY64" s="54"/>
      <c r="DZ64" s="54"/>
      <c r="EA64" s="54"/>
      <c r="EB64" s="54"/>
      <c r="EC64" s="54"/>
      <c r="ED64" s="54"/>
      <c r="EE64" s="54"/>
      <c r="EF64" s="54"/>
      <c r="EG64" s="54"/>
      <c r="EH64" s="54"/>
      <c r="EI64" s="54"/>
      <c r="EJ64" s="54"/>
      <c r="EK64" s="54"/>
      <c r="EL64" s="54"/>
      <c r="EM64" s="54"/>
      <c r="EN64" s="54"/>
      <c r="EO64" s="54"/>
      <c r="EP64" s="54"/>
      <c r="EQ64" s="54"/>
      <c r="ER64" s="54"/>
      <c r="ES64" s="54"/>
      <c r="ET64" s="54"/>
      <c r="EU64" s="54"/>
      <c r="EV64" s="54"/>
      <c r="EW64" s="54"/>
      <c r="EX64" s="54"/>
      <c r="EY64" s="54"/>
      <c r="EZ64" s="54"/>
      <c r="FA64" s="54"/>
      <c r="FB64" s="54"/>
      <c r="FC64" s="54"/>
      <c r="FD64" s="54"/>
      <c r="FE64" s="54"/>
      <c r="FF64" s="54"/>
      <c r="FG64" s="54"/>
      <c r="FH64" s="54"/>
      <c r="FI64" s="54"/>
      <c r="FJ64" s="54"/>
      <c r="FK64" s="54"/>
      <c r="FL64" s="54"/>
      <c r="FM64" s="54"/>
      <c r="FN64" s="54"/>
      <c r="FO64" s="54"/>
      <c r="FP64" s="54"/>
      <c r="FQ64" s="54"/>
      <c r="FR64" s="54"/>
      <c r="FS64" s="54"/>
      <c r="FT64" s="54"/>
      <c r="FU64" s="54"/>
      <c r="FV64" s="54"/>
      <c r="FW64" s="54"/>
      <c r="FX64" s="54"/>
      <c r="FY64" s="54"/>
      <c r="FZ64" s="54"/>
      <c r="GA64" s="54"/>
      <c r="GB64" s="54"/>
      <c r="GC64" s="54"/>
      <c r="GD64" s="54"/>
      <c r="GE64" s="54"/>
      <c r="GF64" s="54"/>
      <c r="GG64" s="54"/>
      <c r="GH64" s="54"/>
      <c r="GI64" s="54"/>
      <c r="GJ64" s="54"/>
      <c r="GK64" s="54"/>
      <c r="GL64" s="54"/>
      <c r="GM64" s="54"/>
      <c r="GN64" s="54"/>
      <c r="GO64" s="54"/>
      <c r="GP64" s="54"/>
      <c r="GQ64" s="54"/>
      <c r="GR64" s="54"/>
      <c r="GS64" s="54"/>
      <c r="GT64" s="54"/>
      <c r="GU64" s="54"/>
      <c r="GV64" s="54"/>
      <c r="GW64" s="54"/>
      <c r="GX64" s="54"/>
      <c r="GY64" s="54"/>
      <c r="GZ64" s="54"/>
      <c r="HA64" s="54"/>
      <c r="HB64" s="54"/>
      <c r="HC64" s="54"/>
      <c r="HD64" s="54"/>
      <c r="HE64" s="54"/>
      <c r="HF64" s="54"/>
      <c r="HG64" s="54"/>
      <c r="HH64" s="54"/>
      <c r="HI64" s="54"/>
      <c r="HJ64" s="54"/>
      <c r="HK64" s="54"/>
      <c r="HL64" s="54"/>
      <c r="HM64" s="54"/>
      <c r="HN64" s="54"/>
      <c r="HO64" s="54"/>
      <c r="HP64" s="54"/>
      <c r="HQ64" s="54"/>
      <c r="HR64" s="54"/>
      <c r="HS64" s="54"/>
      <c r="HT64" s="54"/>
      <c r="HU64" s="54"/>
      <c r="HV64" s="54"/>
      <c r="HW64" s="54"/>
      <c r="HX64" s="54"/>
      <c r="HY64" s="54"/>
      <c r="HZ64" s="54"/>
      <c r="IA64" s="54"/>
      <c r="IB64" s="54"/>
      <c r="IC64" s="54"/>
      <c r="ID64" s="54"/>
      <c r="IE64" s="54"/>
      <c r="IF64" s="54"/>
      <c r="IG64" s="54"/>
      <c r="IH64" s="54"/>
    </row>
    <row r="65" spans="2:242" x14ac:dyDescent="0.2">
      <c r="B65" s="42" t="s">
        <v>304</v>
      </c>
      <c r="D65" s="42">
        <v>1500</v>
      </c>
      <c r="E65" s="42">
        <v>1800</v>
      </c>
      <c r="F65" s="42">
        <v>850</v>
      </c>
      <c r="G65" s="42">
        <v>6</v>
      </c>
      <c r="H65" s="42" t="s">
        <v>305</v>
      </c>
      <c r="AB65" s="156"/>
      <c r="AC65" s="156"/>
      <c r="AD65" s="156"/>
      <c r="AE65" s="156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  <c r="DO65" s="54"/>
      <c r="DP65" s="54"/>
      <c r="DQ65" s="54"/>
      <c r="DR65" s="54"/>
      <c r="DS65" s="54"/>
      <c r="DT65" s="54"/>
      <c r="DU65" s="54"/>
      <c r="DV65" s="54"/>
      <c r="DW65" s="54"/>
      <c r="DX65" s="54"/>
      <c r="DY65" s="54"/>
      <c r="DZ65" s="54"/>
      <c r="EA65" s="54"/>
      <c r="EB65" s="54"/>
      <c r="EC65" s="54"/>
      <c r="ED65" s="54"/>
      <c r="EE65" s="54"/>
      <c r="EF65" s="54"/>
      <c r="EG65" s="54"/>
      <c r="EH65" s="54"/>
      <c r="EI65" s="54"/>
      <c r="EJ65" s="54"/>
      <c r="EK65" s="54"/>
      <c r="EL65" s="54"/>
      <c r="EM65" s="54"/>
      <c r="EN65" s="54"/>
      <c r="EO65" s="54"/>
      <c r="EP65" s="54"/>
      <c r="EQ65" s="54"/>
      <c r="ER65" s="54"/>
      <c r="ES65" s="54"/>
      <c r="ET65" s="54"/>
      <c r="EU65" s="54"/>
      <c r="EV65" s="54"/>
      <c r="EW65" s="54"/>
      <c r="EX65" s="54"/>
      <c r="EY65" s="54"/>
      <c r="EZ65" s="54"/>
      <c r="FA65" s="54"/>
      <c r="FB65" s="54"/>
      <c r="FC65" s="54"/>
      <c r="FD65" s="54"/>
      <c r="FE65" s="54"/>
      <c r="FF65" s="54"/>
      <c r="FG65" s="54"/>
      <c r="FH65" s="54"/>
      <c r="FI65" s="54"/>
      <c r="FJ65" s="54"/>
      <c r="FK65" s="54"/>
      <c r="FL65" s="54"/>
      <c r="FM65" s="54"/>
      <c r="FN65" s="54"/>
      <c r="FO65" s="54"/>
      <c r="FP65" s="54"/>
      <c r="FQ65" s="54"/>
      <c r="FR65" s="54"/>
      <c r="FS65" s="54"/>
      <c r="FT65" s="54"/>
      <c r="FU65" s="54"/>
      <c r="FV65" s="54"/>
      <c r="FW65" s="54"/>
      <c r="FX65" s="54"/>
      <c r="FY65" s="54"/>
      <c r="FZ65" s="54"/>
      <c r="GA65" s="54"/>
      <c r="GB65" s="54"/>
      <c r="GC65" s="54"/>
      <c r="GD65" s="54"/>
      <c r="GE65" s="54"/>
      <c r="GF65" s="54"/>
      <c r="GG65" s="54"/>
      <c r="GH65" s="54"/>
      <c r="GI65" s="54"/>
      <c r="GJ65" s="54"/>
      <c r="GK65" s="54"/>
      <c r="GL65" s="54"/>
      <c r="GM65" s="54"/>
      <c r="GN65" s="54"/>
      <c r="GO65" s="54"/>
      <c r="GP65" s="54"/>
      <c r="GQ65" s="54"/>
      <c r="GR65" s="54"/>
      <c r="GS65" s="54"/>
      <c r="GT65" s="54"/>
      <c r="GU65" s="54"/>
      <c r="GV65" s="54"/>
      <c r="GW65" s="54"/>
      <c r="GX65" s="54"/>
      <c r="GY65" s="54"/>
      <c r="GZ65" s="54"/>
      <c r="HA65" s="54"/>
      <c r="HB65" s="54"/>
      <c r="HC65" s="54"/>
      <c r="HD65" s="54"/>
      <c r="HE65" s="54"/>
      <c r="HF65" s="54"/>
      <c r="HG65" s="54"/>
      <c r="HH65" s="54"/>
      <c r="HI65" s="54"/>
      <c r="HJ65" s="54"/>
      <c r="HK65" s="54"/>
      <c r="HL65" s="54"/>
      <c r="HM65" s="54"/>
      <c r="HN65" s="54"/>
      <c r="HO65" s="54"/>
      <c r="HP65" s="54"/>
      <c r="HQ65" s="54"/>
      <c r="HR65" s="54"/>
      <c r="HS65" s="54"/>
      <c r="HT65" s="54"/>
      <c r="HU65" s="54"/>
      <c r="HV65" s="54"/>
      <c r="HW65" s="54"/>
      <c r="HX65" s="54"/>
      <c r="HY65" s="54"/>
      <c r="HZ65" s="54"/>
      <c r="IA65" s="54"/>
      <c r="IB65" s="54"/>
      <c r="IC65" s="54"/>
      <c r="ID65" s="54"/>
      <c r="IE65" s="54"/>
      <c r="IF65" s="54"/>
      <c r="IG65" s="54"/>
      <c r="IH65" s="54"/>
    </row>
    <row r="66" spans="2:242" x14ac:dyDescent="0.2">
      <c r="B66" s="42" t="s">
        <v>306</v>
      </c>
      <c r="D66" s="42">
        <v>1400</v>
      </c>
      <c r="E66" s="42">
        <v>1800</v>
      </c>
      <c r="F66" s="42">
        <v>1500</v>
      </c>
      <c r="G66" s="42">
        <v>10</v>
      </c>
      <c r="H66" s="42" t="s">
        <v>305</v>
      </c>
      <c r="AB66" s="156"/>
      <c r="AC66" s="156"/>
      <c r="AD66" s="156"/>
      <c r="AE66" s="156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  <c r="DO66" s="54"/>
      <c r="DP66" s="54"/>
      <c r="DQ66" s="54"/>
      <c r="DR66" s="54"/>
      <c r="DS66" s="54"/>
      <c r="DT66" s="54"/>
      <c r="DU66" s="54"/>
      <c r="DV66" s="54"/>
      <c r="DW66" s="54"/>
      <c r="DX66" s="54"/>
      <c r="DY66" s="54"/>
      <c r="DZ66" s="54"/>
      <c r="EA66" s="54"/>
      <c r="EB66" s="54"/>
      <c r="EC66" s="54"/>
      <c r="ED66" s="54"/>
      <c r="EE66" s="54"/>
      <c r="EF66" s="54"/>
      <c r="EG66" s="54"/>
      <c r="EH66" s="54"/>
      <c r="EI66" s="54"/>
      <c r="EJ66" s="54"/>
      <c r="EK66" s="54"/>
      <c r="EL66" s="54"/>
      <c r="EM66" s="54"/>
      <c r="EN66" s="54"/>
      <c r="EO66" s="54"/>
      <c r="EP66" s="54"/>
      <c r="EQ66" s="54"/>
      <c r="ER66" s="54"/>
      <c r="ES66" s="54"/>
      <c r="ET66" s="54"/>
      <c r="EU66" s="54"/>
      <c r="EV66" s="54"/>
      <c r="EW66" s="54"/>
      <c r="EX66" s="54"/>
      <c r="EY66" s="54"/>
      <c r="EZ66" s="54"/>
      <c r="FA66" s="54"/>
      <c r="FB66" s="54"/>
      <c r="FC66" s="54"/>
      <c r="FD66" s="54"/>
      <c r="FE66" s="54"/>
      <c r="FF66" s="54"/>
      <c r="FG66" s="54"/>
      <c r="FH66" s="54"/>
      <c r="FI66" s="54"/>
      <c r="FJ66" s="54"/>
      <c r="FK66" s="54"/>
      <c r="FL66" s="54"/>
      <c r="FM66" s="54"/>
      <c r="FN66" s="54"/>
      <c r="FO66" s="54"/>
      <c r="FP66" s="54"/>
      <c r="FQ66" s="54"/>
      <c r="FR66" s="54"/>
      <c r="FS66" s="54"/>
      <c r="FT66" s="54"/>
      <c r="FU66" s="54"/>
      <c r="FV66" s="54"/>
      <c r="FW66" s="54"/>
      <c r="FX66" s="54"/>
      <c r="FY66" s="54"/>
      <c r="FZ66" s="54"/>
      <c r="GA66" s="54"/>
      <c r="GB66" s="54"/>
      <c r="GC66" s="54"/>
      <c r="GD66" s="54"/>
      <c r="GE66" s="54"/>
      <c r="GF66" s="54"/>
      <c r="GG66" s="54"/>
      <c r="GH66" s="54"/>
      <c r="GI66" s="54"/>
      <c r="GJ66" s="54"/>
      <c r="GK66" s="54"/>
      <c r="GL66" s="54"/>
      <c r="GM66" s="54"/>
      <c r="GN66" s="54"/>
      <c r="GO66" s="54"/>
      <c r="GP66" s="54"/>
      <c r="GQ66" s="54"/>
      <c r="GR66" s="54"/>
      <c r="GS66" s="54"/>
      <c r="GT66" s="54"/>
      <c r="GU66" s="54"/>
      <c r="GV66" s="54"/>
      <c r="GW66" s="54"/>
      <c r="GX66" s="54"/>
      <c r="GY66" s="54"/>
      <c r="GZ66" s="54"/>
      <c r="HA66" s="54"/>
      <c r="HB66" s="54"/>
      <c r="HC66" s="54"/>
      <c r="HD66" s="54"/>
      <c r="HE66" s="54"/>
      <c r="HF66" s="54"/>
      <c r="HG66" s="54"/>
      <c r="HH66" s="54"/>
      <c r="HI66" s="54"/>
      <c r="HJ66" s="54"/>
      <c r="HK66" s="54"/>
      <c r="HL66" s="54"/>
      <c r="HM66" s="54"/>
      <c r="HN66" s="54"/>
      <c r="HO66" s="54"/>
      <c r="HP66" s="54"/>
      <c r="HQ66" s="54"/>
      <c r="HR66" s="54"/>
      <c r="HS66" s="54"/>
      <c r="HT66" s="54"/>
      <c r="HU66" s="54"/>
      <c r="HV66" s="54"/>
      <c r="HW66" s="54"/>
      <c r="HX66" s="54"/>
      <c r="HY66" s="54"/>
      <c r="HZ66" s="54"/>
      <c r="IA66" s="54"/>
      <c r="IB66" s="54"/>
      <c r="IC66" s="54"/>
      <c r="ID66" s="54"/>
      <c r="IE66" s="54"/>
      <c r="IF66" s="54"/>
      <c r="IG66" s="54"/>
      <c r="IH66" s="54"/>
    </row>
    <row r="67" spans="2:242" x14ac:dyDescent="0.2">
      <c r="B67" s="42" t="s">
        <v>307</v>
      </c>
      <c r="D67" s="42">
        <v>1200</v>
      </c>
      <c r="E67" s="42">
        <v>1700</v>
      </c>
      <c r="F67" s="42">
        <v>1200</v>
      </c>
      <c r="G67" s="42">
        <v>16</v>
      </c>
      <c r="H67" s="42" t="s">
        <v>305</v>
      </c>
      <c r="AB67" s="156"/>
      <c r="AC67" s="156"/>
      <c r="AD67" s="156"/>
      <c r="AE67" s="156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  <c r="DO67" s="54"/>
      <c r="DP67" s="54"/>
      <c r="DQ67" s="54"/>
      <c r="DR67" s="54"/>
      <c r="DS67" s="54"/>
      <c r="DT67" s="54"/>
      <c r="DU67" s="54"/>
      <c r="DV67" s="54"/>
      <c r="DW67" s="54"/>
      <c r="DX67" s="54"/>
      <c r="DY67" s="54"/>
      <c r="DZ67" s="54"/>
      <c r="EA67" s="54"/>
      <c r="EB67" s="54"/>
      <c r="EC67" s="54"/>
      <c r="ED67" s="54"/>
      <c r="EE67" s="54"/>
      <c r="EF67" s="54"/>
      <c r="EG67" s="54"/>
      <c r="EH67" s="54"/>
      <c r="EI67" s="54"/>
      <c r="EJ67" s="54"/>
      <c r="EK67" s="54"/>
      <c r="EL67" s="54"/>
      <c r="EM67" s="54"/>
      <c r="EN67" s="54"/>
      <c r="EO67" s="54"/>
      <c r="EP67" s="54"/>
      <c r="EQ67" s="54"/>
      <c r="ER67" s="54"/>
      <c r="ES67" s="54"/>
      <c r="ET67" s="54"/>
      <c r="EU67" s="54"/>
      <c r="EV67" s="54"/>
      <c r="EW67" s="54"/>
      <c r="EX67" s="54"/>
      <c r="EY67" s="54"/>
      <c r="EZ67" s="54"/>
      <c r="FA67" s="54"/>
      <c r="FB67" s="54"/>
      <c r="FC67" s="54"/>
      <c r="FD67" s="54"/>
      <c r="FE67" s="54"/>
      <c r="FF67" s="54"/>
      <c r="FG67" s="54"/>
      <c r="FH67" s="54"/>
      <c r="FI67" s="54"/>
      <c r="FJ67" s="54"/>
      <c r="FK67" s="54"/>
      <c r="FL67" s="54"/>
      <c r="FM67" s="54"/>
      <c r="FN67" s="54"/>
      <c r="FO67" s="54"/>
      <c r="FP67" s="54"/>
      <c r="FQ67" s="54"/>
      <c r="FR67" s="54"/>
      <c r="FS67" s="54"/>
      <c r="FT67" s="54"/>
      <c r="FU67" s="54"/>
      <c r="FV67" s="54"/>
      <c r="FW67" s="54"/>
      <c r="FX67" s="54"/>
      <c r="FY67" s="54"/>
      <c r="FZ67" s="54"/>
      <c r="GA67" s="54"/>
      <c r="GB67" s="54"/>
      <c r="GC67" s="54"/>
      <c r="GD67" s="54"/>
      <c r="GE67" s="54"/>
      <c r="GF67" s="54"/>
      <c r="GG67" s="54"/>
      <c r="GH67" s="54"/>
      <c r="GI67" s="54"/>
      <c r="GJ67" s="54"/>
      <c r="GK67" s="54"/>
      <c r="GL67" s="54"/>
      <c r="GM67" s="54"/>
      <c r="GN67" s="54"/>
      <c r="GO67" s="54"/>
      <c r="GP67" s="54"/>
      <c r="GQ67" s="54"/>
      <c r="GR67" s="54"/>
      <c r="GS67" s="54"/>
      <c r="GT67" s="54"/>
      <c r="GU67" s="54"/>
      <c r="GV67" s="54"/>
      <c r="GW67" s="54"/>
      <c r="GX67" s="54"/>
      <c r="GY67" s="54"/>
      <c r="GZ67" s="54"/>
      <c r="HA67" s="54"/>
      <c r="HB67" s="54"/>
      <c r="HC67" s="54"/>
      <c r="HD67" s="54"/>
      <c r="HE67" s="54"/>
      <c r="HF67" s="54"/>
      <c r="HG67" s="54"/>
      <c r="HH67" s="54"/>
      <c r="HI67" s="54"/>
      <c r="HJ67" s="54"/>
      <c r="HK67" s="54"/>
      <c r="HL67" s="54"/>
      <c r="HM67" s="54"/>
      <c r="HN67" s="54"/>
      <c r="HO67" s="54"/>
      <c r="HP67" s="54"/>
      <c r="HQ67" s="54"/>
      <c r="HR67" s="54"/>
      <c r="HS67" s="54"/>
      <c r="HT67" s="54"/>
      <c r="HU67" s="54"/>
      <c r="HV67" s="54"/>
      <c r="HW67" s="54"/>
      <c r="HX67" s="54"/>
      <c r="HY67" s="54"/>
      <c r="HZ67" s="54"/>
      <c r="IA67" s="54"/>
      <c r="IB67" s="54"/>
      <c r="IC67" s="54"/>
      <c r="ID67" s="54"/>
      <c r="IE67" s="54"/>
      <c r="IF67" s="54"/>
      <c r="IG67" s="54"/>
      <c r="IH67" s="54"/>
    </row>
    <row r="68" spans="2:242" x14ac:dyDescent="0.2">
      <c r="B68" s="42" t="s">
        <v>308</v>
      </c>
      <c r="D68" s="42">
        <v>1500</v>
      </c>
      <c r="E68" s="42">
        <v>2000</v>
      </c>
      <c r="F68" s="42">
        <v>800</v>
      </c>
      <c r="G68" s="42">
        <v>10</v>
      </c>
      <c r="H68" s="42" t="s">
        <v>305</v>
      </c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  <c r="DO68" s="54"/>
      <c r="DP68" s="54"/>
      <c r="DQ68" s="54"/>
      <c r="DR68" s="54"/>
      <c r="DS68" s="54"/>
      <c r="DT68" s="54"/>
      <c r="DU68" s="54"/>
      <c r="DV68" s="54"/>
      <c r="DW68" s="54"/>
      <c r="DX68" s="54"/>
      <c r="DY68" s="54"/>
      <c r="DZ68" s="54"/>
      <c r="EA68" s="54"/>
      <c r="EB68" s="54"/>
      <c r="EC68" s="54"/>
      <c r="ED68" s="54"/>
      <c r="EE68" s="54"/>
      <c r="EF68" s="54"/>
      <c r="EG68" s="54"/>
      <c r="EH68" s="54"/>
      <c r="EI68" s="54"/>
      <c r="EJ68" s="54"/>
      <c r="EK68" s="54"/>
      <c r="EL68" s="54"/>
      <c r="EM68" s="54"/>
      <c r="EN68" s="54"/>
      <c r="EO68" s="54"/>
      <c r="EP68" s="54"/>
      <c r="EQ68" s="54"/>
      <c r="ER68" s="54"/>
      <c r="ES68" s="54"/>
      <c r="ET68" s="54"/>
      <c r="EU68" s="54"/>
      <c r="EV68" s="54"/>
      <c r="EW68" s="54"/>
      <c r="EX68" s="54"/>
      <c r="EY68" s="54"/>
      <c r="EZ68" s="54"/>
      <c r="FA68" s="54"/>
      <c r="FB68" s="54"/>
      <c r="FC68" s="54"/>
      <c r="FD68" s="54"/>
      <c r="FE68" s="54"/>
      <c r="FF68" s="54"/>
      <c r="FG68" s="54"/>
      <c r="FH68" s="54"/>
      <c r="FI68" s="54"/>
      <c r="FJ68" s="54"/>
      <c r="FK68" s="54"/>
      <c r="FL68" s="54"/>
      <c r="FM68" s="54"/>
      <c r="FN68" s="54"/>
      <c r="FO68" s="54"/>
      <c r="FP68" s="54"/>
      <c r="FQ68" s="54"/>
      <c r="FR68" s="54"/>
      <c r="FS68" s="54"/>
      <c r="FT68" s="54"/>
      <c r="FU68" s="54"/>
      <c r="FV68" s="54"/>
      <c r="FW68" s="54"/>
      <c r="FX68" s="54"/>
      <c r="FY68" s="54"/>
      <c r="FZ68" s="54"/>
      <c r="GA68" s="54"/>
      <c r="GB68" s="54"/>
      <c r="GC68" s="54"/>
      <c r="GD68" s="54"/>
      <c r="GE68" s="54"/>
      <c r="GF68" s="54"/>
      <c r="GG68" s="54"/>
      <c r="GH68" s="54"/>
      <c r="GI68" s="54"/>
      <c r="GJ68" s="54"/>
      <c r="GK68" s="54"/>
      <c r="GL68" s="54"/>
      <c r="GM68" s="54"/>
      <c r="GN68" s="54"/>
      <c r="GO68" s="54"/>
      <c r="GP68" s="54"/>
      <c r="GQ68" s="54"/>
      <c r="GR68" s="54"/>
      <c r="GS68" s="54"/>
      <c r="GT68" s="54"/>
      <c r="GU68" s="54"/>
      <c r="GV68" s="54"/>
      <c r="GW68" s="54"/>
      <c r="GX68" s="54"/>
      <c r="GY68" s="54"/>
      <c r="GZ68" s="54"/>
      <c r="HA68" s="54"/>
      <c r="HB68" s="54"/>
      <c r="HC68" s="54"/>
      <c r="HD68" s="54"/>
      <c r="HE68" s="54"/>
      <c r="HF68" s="54"/>
      <c r="HG68" s="54"/>
      <c r="HH68" s="54"/>
      <c r="HI68" s="54"/>
      <c r="HJ68" s="54"/>
      <c r="HK68" s="54"/>
      <c r="HL68" s="54"/>
      <c r="HM68" s="54"/>
      <c r="HN68" s="54"/>
      <c r="HO68" s="54"/>
      <c r="HP68" s="54"/>
      <c r="HQ68" s="54"/>
      <c r="HR68" s="54"/>
      <c r="HS68" s="54"/>
      <c r="HT68" s="54"/>
      <c r="HU68" s="54"/>
      <c r="HV68" s="54"/>
      <c r="HW68" s="54"/>
      <c r="HX68" s="54"/>
      <c r="HY68" s="54"/>
      <c r="HZ68" s="54"/>
      <c r="IA68" s="54"/>
      <c r="IB68" s="54"/>
      <c r="IC68" s="54"/>
      <c r="ID68" s="54"/>
      <c r="IE68" s="54"/>
      <c r="IF68" s="54"/>
      <c r="IG68" s="54"/>
      <c r="IH68" s="54"/>
    </row>
    <row r="69" spans="2:242" x14ac:dyDescent="0.2">
      <c r="B69" s="42" t="s">
        <v>309</v>
      </c>
      <c r="D69" s="42">
        <v>1400</v>
      </c>
      <c r="E69" s="42">
        <v>2000</v>
      </c>
      <c r="F69" s="42">
        <v>1200</v>
      </c>
      <c r="G69" s="42">
        <v>8</v>
      </c>
      <c r="H69" s="42" t="s">
        <v>305</v>
      </c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  <c r="DO69" s="54"/>
      <c r="DP69" s="54"/>
      <c r="DQ69" s="54"/>
      <c r="DR69" s="54"/>
      <c r="DS69" s="54"/>
      <c r="DT69" s="54"/>
      <c r="DU69" s="54"/>
      <c r="DV69" s="54"/>
      <c r="DW69" s="54"/>
      <c r="DX69" s="54"/>
      <c r="DY69" s="54"/>
      <c r="DZ69" s="54"/>
      <c r="EA69" s="54"/>
      <c r="EB69" s="54"/>
      <c r="EC69" s="54"/>
      <c r="ED69" s="54"/>
      <c r="EE69" s="54"/>
      <c r="EF69" s="54"/>
      <c r="EG69" s="54"/>
      <c r="EH69" s="54"/>
      <c r="EI69" s="54"/>
      <c r="EJ69" s="54"/>
      <c r="EK69" s="54"/>
      <c r="EL69" s="54"/>
      <c r="EM69" s="54"/>
      <c r="EN69" s="54"/>
      <c r="EO69" s="54"/>
      <c r="EP69" s="54"/>
      <c r="EQ69" s="54"/>
      <c r="ER69" s="54"/>
      <c r="ES69" s="54"/>
      <c r="ET69" s="54"/>
      <c r="EU69" s="54"/>
      <c r="EV69" s="54"/>
      <c r="EW69" s="54"/>
      <c r="EX69" s="54"/>
      <c r="EY69" s="54"/>
      <c r="EZ69" s="54"/>
      <c r="FA69" s="54"/>
      <c r="FB69" s="54"/>
      <c r="FC69" s="54"/>
      <c r="FD69" s="54"/>
      <c r="FE69" s="54"/>
      <c r="FF69" s="54"/>
      <c r="FG69" s="54"/>
      <c r="FH69" s="54"/>
      <c r="FI69" s="54"/>
      <c r="FJ69" s="54"/>
      <c r="FK69" s="54"/>
      <c r="FL69" s="54"/>
      <c r="FM69" s="54"/>
      <c r="FN69" s="54"/>
      <c r="FO69" s="54"/>
      <c r="FP69" s="54"/>
      <c r="FQ69" s="54"/>
      <c r="FR69" s="54"/>
      <c r="FS69" s="54"/>
      <c r="FT69" s="54"/>
      <c r="FU69" s="54"/>
      <c r="FV69" s="54"/>
      <c r="FW69" s="54"/>
      <c r="FX69" s="54"/>
      <c r="FY69" s="54"/>
      <c r="FZ69" s="54"/>
      <c r="GA69" s="54"/>
      <c r="GB69" s="54"/>
      <c r="GC69" s="54"/>
      <c r="GD69" s="54"/>
      <c r="GE69" s="54"/>
      <c r="GF69" s="54"/>
      <c r="GG69" s="54"/>
      <c r="GH69" s="54"/>
      <c r="GI69" s="54"/>
      <c r="GJ69" s="54"/>
      <c r="GK69" s="54"/>
      <c r="GL69" s="54"/>
      <c r="GM69" s="54"/>
      <c r="GN69" s="54"/>
      <c r="GO69" s="54"/>
      <c r="GP69" s="54"/>
      <c r="GQ69" s="54"/>
      <c r="GR69" s="54"/>
      <c r="GS69" s="54"/>
      <c r="GT69" s="54"/>
      <c r="GU69" s="54"/>
      <c r="GV69" s="54"/>
      <c r="GW69" s="54"/>
      <c r="GX69" s="54"/>
      <c r="GY69" s="54"/>
      <c r="GZ69" s="54"/>
      <c r="HA69" s="54"/>
      <c r="HB69" s="54"/>
      <c r="HC69" s="54"/>
      <c r="HD69" s="54"/>
      <c r="HE69" s="54"/>
      <c r="HF69" s="54"/>
      <c r="HG69" s="54"/>
      <c r="HH69" s="54"/>
      <c r="HI69" s="54"/>
      <c r="HJ69" s="54"/>
      <c r="HK69" s="54"/>
      <c r="HL69" s="54"/>
      <c r="HM69" s="54"/>
      <c r="HN69" s="54"/>
      <c r="HO69" s="54"/>
      <c r="HP69" s="54"/>
      <c r="HQ69" s="54"/>
      <c r="HR69" s="54"/>
      <c r="HS69" s="54"/>
      <c r="HT69" s="54"/>
      <c r="HU69" s="54"/>
      <c r="HV69" s="54"/>
      <c r="HW69" s="54"/>
      <c r="HX69" s="54"/>
      <c r="HY69" s="54"/>
      <c r="HZ69" s="54"/>
      <c r="IA69" s="54"/>
      <c r="IB69" s="54"/>
      <c r="IC69" s="54"/>
      <c r="ID69" s="54"/>
      <c r="IE69" s="54"/>
      <c r="IF69" s="54"/>
      <c r="IG69" s="54"/>
      <c r="IH69" s="54"/>
    </row>
    <row r="70" spans="2:242" x14ac:dyDescent="0.2">
      <c r="B70" s="42" t="s">
        <v>310</v>
      </c>
      <c r="D70" s="42">
        <v>1400</v>
      </c>
      <c r="E70" s="42">
        <v>1700</v>
      </c>
      <c r="F70" s="42">
        <v>850</v>
      </c>
      <c r="G70" s="42">
        <v>16</v>
      </c>
      <c r="H70" s="42" t="s">
        <v>305</v>
      </c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  <c r="DO70" s="54"/>
      <c r="DP70" s="54"/>
      <c r="DQ70" s="54"/>
      <c r="DR70" s="54"/>
      <c r="DS70" s="54"/>
      <c r="DT70" s="54"/>
      <c r="DU70" s="54"/>
      <c r="DV70" s="54"/>
      <c r="DW70" s="54"/>
      <c r="DX70" s="54"/>
      <c r="DY70" s="54"/>
      <c r="DZ70" s="54"/>
      <c r="EA70" s="54"/>
      <c r="EB70" s="54"/>
      <c r="EC70" s="54"/>
      <c r="ED70" s="54"/>
      <c r="EE70" s="54"/>
      <c r="EF70" s="54"/>
      <c r="EG70" s="54"/>
      <c r="EH70" s="54"/>
      <c r="EI70" s="54"/>
      <c r="EJ70" s="54"/>
      <c r="EK70" s="54"/>
      <c r="EL70" s="54"/>
      <c r="EM70" s="54"/>
      <c r="EN70" s="54"/>
      <c r="EO70" s="54"/>
      <c r="EP70" s="54"/>
      <c r="EQ70" s="54"/>
      <c r="ER70" s="54"/>
      <c r="ES70" s="54"/>
      <c r="ET70" s="54"/>
      <c r="EU70" s="54"/>
      <c r="EV70" s="54"/>
      <c r="EW70" s="54"/>
      <c r="EX70" s="54"/>
      <c r="EY70" s="54"/>
      <c r="EZ70" s="54"/>
      <c r="FA70" s="54"/>
      <c r="FB70" s="54"/>
      <c r="FC70" s="54"/>
      <c r="FD70" s="54"/>
      <c r="FE70" s="54"/>
      <c r="FF70" s="54"/>
      <c r="FG70" s="54"/>
      <c r="FH70" s="54"/>
      <c r="FI70" s="54"/>
      <c r="FJ70" s="54"/>
      <c r="FK70" s="54"/>
      <c r="FL70" s="54"/>
      <c r="FM70" s="54"/>
      <c r="FN70" s="54"/>
      <c r="FO70" s="54"/>
      <c r="FP70" s="54"/>
      <c r="FQ70" s="54"/>
      <c r="FR70" s="54"/>
      <c r="FS70" s="54"/>
      <c r="FT70" s="54"/>
      <c r="FU70" s="54"/>
      <c r="FV70" s="54"/>
      <c r="FW70" s="54"/>
      <c r="FX70" s="54"/>
      <c r="FY70" s="54"/>
      <c r="FZ70" s="54"/>
      <c r="GA70" s="54"/>
      <c r="GB70" s="54"/>
      <c r="GC70" s="54"/>
      <c r="GD70" s="54"/>
      <c r="GE70" s="54"/>
      <c r="GF70" s="54"/>
      <c r="GG70" s="54"/>
      <c r="GH70" s="54"/>
      <c r="GI70" s="54"/>
      <c r="GJ70" s="54"/>
      <c r="GK70" s="54"/>
      <c r="GL70" s="54"/>
      <c r="GM70" s="54"/>
      <c r="GN70" s="54"/>
      <c r="GO70" s="54"/>
      <c r="GP70" s="54"/>
      <c r="GQ70" s="54"/>
      <c r="GR70" s="54"/>
      <c r="GS70" s="54"/>
      <c r="GT70" s="54"/>
      <c r="GU70" s="54"/>
      <c r="GV70" s="54"/>
      <c r="GW70" s="54"/>
      <c r="GX70" s="54"/>
      <c r="GY70" s="54"/>
      <c r="GZ70" s="54"/>
      <c r="HA70" s="54"/>
      <c r="HB70" s="54"/>
      <c r="HC70" s="54"/>
      <c r="HD70" s="54"/>
      <c r="HE70" s="54"/>
      <c r="HF70" s="54"/>
      <c r="HG70" s="54"/>
      <c r="HH70" s="54"/>
      <c r="HI70" s="54"/>
      <c r="HJ70" s="54"/>
      <c r="HK70" s="54"/>
      <c r="HL70" s="54"/>
      <c r="HM70" s="54"/>
      <c r="HN70" s="54"/>
      <c r="HO70" s="54"/>
      <c r="HP70" s="54"/>
      <c r="HQ70" s="54"/>
      <c r="HR70" s="54"/>
      <c r="HS70" s="54"/>
      <c r="HT70" s="54"/>
      <c r="HU70" s="54"/>
      <c r="HV70" s="54"/>
      <c r="HW70" s="54"/>
      <c r="HX70" s="54"/>
      <c r="HY70" s="54"/>
      <c r="HZ70" s="54"/>
      <c r="IA70" s="54"/>
      <c r="IB70" s="54"/>
      <c r="IC70" s="54"/>
      <c r="ID70" s="54"/>
      <c r="IE70" s="54"/>
      <c r="IF70" s="54"/>
      <c r="IG70" s="54"/>
      <c r="IH70" s="54"/>
    </row>
    <row r="71" spans="2:242" x14ac:dyDescent="0.2">
      <c r="B71" s="42" t="s">
        <v>311</v>
      </c>
      <c r="D71" s="42">
        <v>1100</v>
      </c>
      <c r="E71" s="42">
        <v>1600</v>
      </c>
      <c r="F71" s="42">
        <v>850</v>
      </c>
      <c r="G71" s="42">
        <v>10</v>
      </c>
      <c r="H71" s="42" t="s">
        <v>305</v>
      </c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  <c r="DO71" s="54"/>
      <c r="DP71" s="54"/>
      <c r="DQ71" s="54"/>
      <c r="DR71" s="54"/>
      <c r="DS71" s="54"/>
      <c r="DT71" s="54"/>
      <c r="DU71" s="54"/>
      <c r="DV71" s="54"/>
      <c r="DW71" s="54"/>
      <c r="DX71" s="54"/>
      <c r="DY71" s="54"/>
      <c r="DZ71" s="54"/>
      <c r="EA71" s="54"/>
      <c r="EB71" s="54"/>
      <c r="EC71" s="54"/>
      <c r="ED71" s="54"/>
      <c r="EE71" s="54"/>
      <c r="EF71" s="54"/>
      <c r="EG71" s="54"/>
      <c r="EH71" s="54"/>
      <c r="EI71" s="54"/>
      <c r="EJ71" s="54"/>
      <c r="EK71" s="54"/>
      <c r="EL71" s="54"/>
      <c r="EM71" s="54"/>
      <c r="EN71" s="54"/>
      <c r="EO71" s="54"/>
      <c r="EP71" s="54"/>
      <c r="EQ71" s="54"/>
      <c r="ER71" s="54"/>
      <c r="ES71" s="54"/>
      <c r="ET71" s="54"/>
      <c r="EU71" s="54"/>
      <c r="EV71" s="54"/>
      <c r="EW71" s="54"/>
      <c r="EX71" s="54"/>
      <c r="EY71" s="54"/>
      <c r="EZ71" s="54"/>
      <c r="FA71" s="54"/>
      <c r="FB71" s="54"/>
      <c r="FC71" s="54"/>
      <c r="FD71" s="54"/>
      <c r="FE71" s="54"/>
      <c r="FF71" s="54"/>
      <c r="FG71" s="54"/>
      <c r="FH71" s="54"/>
      <c r="FI71" s="54"/>
      <c r="FJ71" s="54"/>
      <c r="FK71" s="54"/>
      <c r="FL71" s="54"/>
      <c r="FM71" s="54"/>
      <c r="FN71" s="54"/>
      <c r="FO71" s="54"/>
      <c r="FP71" s="54"/>
      <c r="FQ71" s="54"/>
      <c r="FR71" s="54"/>
      <c r="FS71" s="54"/>
      <c r="FT71" s="54"/>
      <c r="FU71" s="54"/>
      <c r="FV71" s="54"/>
      <c r="FW71" s="54"/>
      <c r="FX71" s="54"/>
      <c r="FY71" s="54"/>
      <c r="FZ71" s="54"/>
      <c r="GA71" s="54"/>
      <c r="GB71" s="54"/>
      <c r="GC71" s="54"/>
      <c r="GD71" s="54"/>
      <c r="GE71" s="54"/>
      <c r="GF71" s="54"/>
      <c r="GG71" s="54"/>
      <c r="GH71" s="54"/>
      <c r="GI71" s="54"/>
      <c r="GJ71" s="54"/>
      <c r="GK71" s="54"/>
      <c r="GL71" s="54"/>
      <c r="GM71" s="54"/>
      <c r="GN71" s="54"/>
      <c r="GO71" s="54"/>
      <c r="GP71" s="54"/>
      <c r="GQ71" s="54"/>
      <c r="GR71" s="54"/>
      <c r="GS71" s="54"/>
      <c r="GT71" s="54"/>
      <c r="GU71" s="54"/>
      <c r="GV71" s="54"/>
      <c r="GW71" s="54"/>
      <c r="GX71" s="54"/>
      <c r="GY71" s="54"/>
      <c r="GZ71" s="54"/>
      <c r="HA71" s="54"/>
      <c r="HB71" s="54"/>
      <c r="HC71" s="54"/>
      <c r="HD71" s="54"/>
      <c r="HE71" s="54"/>
      <c r="HF71" s="54"/>
      <c r="HG71" s="54"/>
      <c r="HH71" s="54"/>
      <c r="HI71" s="54"/>
      <c r="HJ71" s="54"/>
      <c r="HK71" s="54"/>
      <c r="HL71" s="54"/>
      <c r="HM71" s="54"/>
      <c r="HN71" s="54"/>
      <c r="HO71" s="54"/>
      <c r="HP71" s="54"/>
      <c r="HQ71" s="54"/>
      <c r="HR71" s="54"/>
      <c r="HS71" s="54"/>
      <c r="HT71" s="54"/>
      <c r="HU71" s="54"/>
      <c r="HV71" s="54"/>
      <c r="HW71" s="54"/>
      <c r="HX71" s="54"/>
      <c r="HY71" s="54"/>
      <c r="HZ71" s="54"/>
      <c r="IA71" s="54"/>
      <c r="IB71" s="54"/>
      <c r="IC71" s="54"/>
      <c r="ID71" s="54"/>
      <c r="IE71" s="54"/>
      <c r="IF71" s="54"/>
      <c r="IG71" s="54"/>
      <c r="IH71" s="54"/>
    </row>
    <row r="72" spans="2:242" x14ac:dyDescent="0.2">
      <c r="B72" s="42" t="s">
        <v>312</v>
      </c>
      <c r="D72" s="42">
        <v>1100</v>
      </c>
      <c r="E72" s="42">
        <v>1400</v>
      </c>
      <c r="F72" s="42">
        <v>850</v>
      </c>
      <c r="G72" s="42">
        <v>10</v>
      </c>
      <c r="H72" s="42" t="s">
        <v>305</v>
      </c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  <c r="DO72" s="54"/>
      <c r="DP72" s="54"/>
      <c r="DQ72" s="54"/>
      <c r="DR72" s="54"/>
      <c r="DS72" s="54"/>
      <c r="DT72" s="54"/>
      <c r="DU72" s="54"/>
      <c r="DV72" s="54"/>
      <c r="DW72" s="54"/>
      <c r="DX72" s="54"/>
      <c r="DY72" s="54"/>
      <c r="DZ72" s="54"/>
      <c r="EA72" s="54"/>
      <c r="EB72" s="54"/>
      <c r="EC72" s="54"/>
      <c r="ED72" s="54"/>
      <c r="EE72" s="54"/>
      <c r="EF72" s="54"/>
      <c r="EG72" s="54"/>
      <c r="EH72" s="54"/>
      <c r="EI72" s="54"/>
      <c r="EJ72" s="54"/>
      <c r="EK72" s="54"/>
      <c r="EL72" s="54"/>
      <c r="EM72" s="54"/>
      <c r="EN72" s="54"/>
      <c r="EO72" s="54"/>
      <c r="EP72" s="54"/>
      <c r="EQ72" s="54"/>
      <c r="ER72" s="54"/>
      <c r="ES72" s="54"/>
      <c r="ET72" s="54"/>
      <c r="EU72" s="54"/>
      <c r="EV72" s="54"/>
      <c r="EW72" s="54"/>
      <c r="EX72" s="54"/>
      <c r="EY72" s="54"/>
      <c r="EZ72" s="54"/>
      <c r="FA72" s="54"/>
      <c r="FB72" s="54"/>
      <c r="FC72" s="54"/>
      <c r="FD72" s="54"/>
      <c r="FE72" s="54"/>
      <c r="FF72" s="54"/>
      <c r="FG72" s="54"/>
      <c r="FH72" s="54"/>
      <c r="FI72" s="54"/>
      <c r="FJ72" s="54"/>
      <c r="FK72" s="54"/>
      <c r="FL72" s="54"/>
      <c r="FM72" s="54"/>
      <c r="FN72" s="54"/>
      <c r="FO72" s="54"/>
      <c r="FP72" s="54"/>
      <c r="FQ72" s="54"/>
      <c r="FR72" s="54"/>
      <c r="FS72" s="54"/>
      <c r="FT72" s="54"/>
      <c r="FU72" s="54"/>
      <c r="FV72" s="54"/>
      <c r="FW72" s="54"/>
      <c r="FX72" s="54"/>
      <c r="FY72" s="54"/>
      <c r="FZ72" s="54"/>
      <c r="GA72" s="54"/>
      <c r="GB72" s="54"/>
      <c r="GC72" s="54"/>
      <c r="GD72" s="54"/>
      <c r="GE72" s="54"/>
      <c r="GF72" s="54"/>
      <c r="GG72" s="54"/>
      <c r="GH72" s="54"/>
      <c r="GI72" s="54"/>
      <c r="GJ72" s="54"/>
      <c r="GK72" s="54"/>
      <c r="GL72" s="54"/>
      <c r="GM72" s="54"/>
      <c r="GN72" s="54"/>
      <c r="GO72" s="54"/>
      <c r="GP72" s="54"/>
      <c r="GQ72" s="54"/>
      <c r="GR72" s="54"/>
      <c r="GS72" s="54"/>
      <c r="GT72" s="54"/>
      <c r="GU72" s="54"/>
      <c r="GV72" s="54"/>
      <c r="GW72" s="54"/>
      <c r="GX72" s="54"/>
      <c r="GY72" s="54"/>
      <c r="GZ72" s="54"/>
      <c r="HA72" s="54"/>
      <c r="HB72" s="54"/>
      <c r="HC72" s="54"/>
      <c r="HD72" s="54"/>
      <c r="HE72" s="54"/>
      <c r="HF72" s="54"/>
      <c r="HG72" s="54"/>
      <c r="HH72" s="54"/>
      <c r="HI72" s="54"/>
      <c r="HJ72" s="54"/>
      <c r="HK72" s="54"/>
      <c r="HL72" s="54"/>
      <c r="HM72" s="54"/>
      <c r="HN72" s="54"/>
      <c r="HO72" s="54"/>
      <c r="HP72" s="54"/>
      <c r="HQ72" s="54"/>
      <c r="HR72" s="54"/>
      <c r="HS72" s="54"/>
      <c r="HT72" s="54"/>
      <c r="HU72" s="54"/>
      <c r="HV72" s="54"/>
      <c r="HW72" s="54"/>
      <c r="HX72" s="54"/>
      <c r="HY72" s="54"/>
      <c r="HZ72" s="54"/>
      <c r="IA72" s="54"/>
      <c r="IB72" s="54"/>
      <c r="IC72" s="54"/>
      <c r="ID72" s="54"/>
      <c r="IE72" s="54"/>
      <c r="IF72" s="54"/>
      <c r="IG72" s="54"/>
      <c r="IH72" s="54"/>
    </row>
    <row r="73" spans="2:242" x14ac:dyDescent="0.2">
      <c r="B73" s="42" t="s">
        <v>313</v>
      </c>
      <c r="D73" s="42">
        <v>1600</v>
      </c>
      <c r="E73" s="42">
        <v>2200</v>
      </c>
      <c r="F73" s="42">
        <v>1200</v>
      </c>
      <c r="G73" s="42">
        <v>16</v>
      </c>
      <c r="H73" s="42" t="s">
        <v>305</v>
      </c>
    </row>
    <row r="74" spans="2:242" x14ac:dyDescent="0.2">
      <c r="B74" s="42" t="s">
        <v>314</v>
      </c>
      <c r="D74" s="42">
        <v>1200</v>
      </c>
      <c r="E74" s="42">
        <v>1500</v>
      </c>
      <c r="F74" s="42">
        <v>850</v>
      </c>
      <c r="G74" s="42">
        <v>10</v>
      </c>
      <c r="H74" s="42" t="s">
        <v>305</v>
      </c>
    </row>
    <row r="75" spans="2:242" x14ac:dyDescent="0.2">
      <c r="B75" s="42" t="s">
        <v>315</v>
      </c>
      <c r="D75" s="42">
        <v>2000</v>
      </c>
      <c r="E75" s="42">
        <v>3100</v>
      </c>
      <c r="F75" s="42">
        <v>850</v>
      </c>
      <c r="G75" s="42">
        <v>14</v>
      </c>
      <c r="H75" s="42" t="s">
        <v>316</v>
      </c>
    </row>
    <row r="76" spans="2:242" x14ac:dyDescent="0.2">
      <c r="B76" s="42" t="s">
        <v>317</v>
      </c>
      <c r="D76" s="42">
        <v>2300</v>
      </c>
      <c r="E76" s="42">
        <v>2000</v>
      </c>
      <c r="F76" s="42">
        <v>1200</v>
      </c>
      <c r="G76" s="42">
        <v>8</v>
      </c>
      <c r="H76" s="42" t="s">
        <v>305</v>
      </c>
    </row>
    <row r="77" spans="2:242" x14ac:dyDescent="0.2">
      <c r="B77" s="42" t="s">
        <v>318</v>
      </c>
      <c r="D77" s="42">
        <v>1200</v>
      </c>
      <c r="E77" s="42">
        <v>1500</v>
      </c>
      <c r="F77" s="42">
        <v>1200</v>
      </c>
      <c r="G77" s="42">
        <v>8</v>
      </c>
      <c r="H77" s="42" t="s">
        <v>319</v>
      </c>
    </row>
    <row r="78" spans="2:242" x14ac:dyDescent="0.2">
      <c r="B78" s="42" t="s">
        <v>320</v>
      </c>
      <c r="D78" s="42">
        <v>900</v>
      </c>
      <c r="E78" s="42">
        <v>1300</v>
      </c>
      <c r="F78" s="42">
        <v>850</v>
      </c>
      <c r="G78" s="42">
        <v>6</v>
      </c>
      <c r="H78" s="42" t="s">
        <v>319</v>
      </c>
    </row>
  </sheetData>
  <mergeCells count="70">
    <mergeCell ref="V55:Z55"/>
    <mergeCell ref="V56:Z56"/>
    <mergeCell ref="V43:Z43"/>
    <mergeCell ref="V44:Z44"/>
    <mergeCell ref="V45:Z45"/>
    <mergeCell ref="V46:Z46"/>
    <mergeCell ref="V47:Z47"/>
    <mergeCell ref="V49:Z49"/>
    <mergeCell ref="V52:Z52"/>
    <mergeCell ref="V53:Z53"/>
    <mergeCell ref="V54:Z54"/>
    <mergeCell ref="V34:Z34"/>
    <mergeCell ref="V35:Z35"/>
    <mergeCell ref="A48:O48"/>
    <mergeCell ref="V48:Z48"/>
    <mergeCell ref="V38:Z38"/>
    <mergeCell ref="V39:Z39"/>
    <mergeCell ref="A40:O40"/>
    <mergeCell ref="V40:Z40"/>
    <mergeCell ref="V41:Z41"/>
    <mergeCell ref="V42:Z42"/>
    <mergeCell ref="V36:Z36"/>
    <mergeCell ref="V30:Z30"/>
    <mergeCell ref="V31:Z31"/>
    <mergeCell ref="V32:Z32"/>
    <mergeCell ref="V33:Z33"/>
    <mergeCell ref="K22:L23"/>
    <mergeCell ref="M22:M23"/>
    <mergeCell ref="N22:O23"/>
    <mergeCell ref="V22:Z22"/>
    <mergeCell ref="V23:Z23"/>
    <mergeCell ref="V24:Z24"/>
    <mergeCell ref="N26:O26"/>
    <mergeCell ref="V26:Z26"/>
    <mergeCell ref="V27:Z27"/>
    <mergeCell ref="V28:Z28"/>
    <mergeCell ref="V29:Z29"/>
    <mergeCell ref="F19:O19"/>
    <mergeCell ref="V19:Z19"/>
    <mergeCell ref="F20:O20"/>
    <mergeCell ref="V20:Z20"/>
    <mergeCell ref="V25:Z25"/>
    <mergeCell ref="F22:F23"/>
    <mergeCell ref="G22:G23"/>
    <mergeCell ref="H22:H23"/>
    <mergeCell ref="I22:I23"/>
    <mergeCell ref="J22:J23"/>
    <mergeCell ref="F21:O21"/>
    <mergeCell ref="V21:Z21"/>
    <mergeCell ref="E17:O17"/>
    <mergeCell ref="V17:Z17"/>
    <mergeCell ref="V18:Z18"/>
    <mergeCell ref="E11:O11"/>
    <mergeCell ref="V11:Z11"/>
    <mergeCell ref="E12:O12"/>
    <mergeCell ref="V12:Z12"/>
    <mergeCell ref="E13:O13"/>
    <mergeCell ref="V13:Z13"/>
    <mergeCell ref="E14:O14"/>
    <mergeCell ref="E15:O15"/>
    <mergeCell ref="V15:Z15"/>
    <mergeCell ref="E16:O16"/>
    <mergeCell ref="V16:Z16"/>
    <mergeCell ref="E10:O10"/>
    <mergeCell ref="V10:Z10"/>
    <mergeCell ref="A1:O1"/>
    <mergeCell ref="A2:O2"/>
    <mergeCell ref="S7:Z7"/>
    <mergeCell ref="E9:O9"/>
    <mergeCell ref="V9:Z9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18</vt:i4>
      </vt:variant>
      <vt:variant>
        <vt:lpstr>Именованные диапазоны</vt:lpstr>
      </vt:variant>
      <vt:variant>
        <vt:i4>2</vt:i4>
      </vt:variant>
    </vt:vector>
  </HeadingPairs>
  <TitlesOfParts>
    <vt:vector size="20" baseType="lpstr">
      <vt:lpstr>tkp_params</vt:lpstr>
      <vt:lpstr>sql_update</vt:lpstr>
      <vt:lpstr>ver.vont</vt:lpstr>
      <vt:lpstr>Параметры</vt:lpstr>
      <vt:lpstr>Спецификация</vt:lpstr>
      <vt:lpstr>Цена</vt:lpstr>
      <vt:lpstr>Гидравлика</vt:lpstr>
      <vt:lpstr>Проверка вес</vt:lpstr>
      <vt:lpstr>ФОТ</vt:lpstr>
      <vt:lpstr>ШУ</vt:lpstr>
      <vt:lpstr>ПКИ</vt:lpstr>
      <vt:lpstr>Вес</vt:lpstr>
      <vt:lpstr>Щётка</vt:lpstr>
      <vt:lpstr>Металл</vt:lpstr>
      <vt:lpstr>Цепи</vt:lpstr>
      <vt:lpstr>Панели</vt:lpstr>
      <vt:lpstr>Привода</vt:lpstr>
      <vt:lpstr>Промывка</vt:lpstr>
      <vt:lpstr>Спецификация!PR_mat</vt:lpstr>
      <vt:lpstr>tkp_params!PR_weight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Махлай Константин Александрович</dc:creator>
  <cp:lastModifiedBy>Махлай Константин Александрович</cp:lastModifiedBy>
  <dcterms:created xsi:type="dcterms:W3CDTF">2015-06-05T18:19:34Z</dcterms:created>
  <dcterms:modified xsi:type="dcterms:W3CDTF">2022-02-22T14:43:17Z</dcterms:modified>
</cp:coreProperties>
</file>