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 s="1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4" i="15"/>
  <c r="B4" i="15" s="1"/>
  <c r="F3" i="15"/>
  <c r="I9" i="15" s="1"/>
  <c r="F2" i="15"/>
  <c r="B68" i="12"/>
  <c r="S7" i="4"/>
  <c r="B14" i="11"/>
  <c r="B16" i="11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 s="1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 s="1"/>
  <c r="D15" i="9" s="1"/>
  <c r="D10" i="9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/>
  <c r="J3" i="1"/>
  <c r="G2" i="1"/>
  <c r="H2" i="1" s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B3" i="4"/>
  <c r="D22" i="8" s="1"/>
  <c r="C14" i="16" s="1"/>
  <c r="C23" i="21" s="1"/>
  <c r="I5" i="15"/>
  <c r="F1" i="3"/>
  <c r="D45" i="16"/>
  <c r="C13" i="9"/>
  <c r="D14" i="9" s="1"/>
  <c r="B3" i="2"/>
  <c r="E9" i="16"/>
  <c r="E16" i="16"/>
  <c r="H101" i="16"/>
  <c r="D29" i="16"/>
  <c r="F1" i="12"/>
  <c r="E5" i="3"/>
  <c r="K6" i="3"/>
  <c r="K4" i="3"/>
  <c r="I10" i="15" l="1"/>
  <c r="I8" i="15"/>
  <c r="B3" i="15" s="1"/>
  <c r="B6" i="15" s="1"/>
  <c r="B4" i="4"/>
  <c r="B14" i="1" s="1"/>
  <c r="D32" i="16"/>
  <c r="B17" i="11"/>
  <c r="C20" i="16" s="1"/>
  <c r="B15" i="11"/>
  <c r="B81" i="12" s="1"/>
  <c r="B83" i="12" s="1"/>
  <c r="B89" i="12" s="1"/>
  <c r="B10" i="6"/>
  <c r="B12" i="1" s="1"/>
  <c r="K5" i="3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B33" i="8"/>
  <c r="F1" i="4"/>
  <c r="B6" i="4" s="1"/>
  <c r="C43" i="8" s="1"/>
  <c r="D43" i="8" s="1"/>
  <c r="F1" i="15"/>
  <c r="C19" i="16"/>
  <c r="D39" i="16"/>
  <c r="E14" i="16"/>
  <c r="C22" i="21" l="1"/>
  <c r="D38" i="16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2" i="10"/>
  <c r="B3" i="10" s="1"/>
  <c r="B4" i="10" s="1"/>
  <c r="C39" i="8" s="1"/>
  <c r="D39" i="8" s="1"/>
  <c r="B11" i="1"/>
  <c r="B13" i="6"/>
  <c r="E19" i="16"/>
  <c r="A40" i="8" l="1"/>
  <c r="B13" i="17"/>
  <c r="G101" i="16"/>
  <c r="G116" i="16" s="1"/>
  <c r="G5" i="17"/>
  <c r="C6" i="16"/>
  <c r="C21" i="21" s="1"/>
  <c r="G8" i="17"/>
  <c r="H8" i="17" s="1"/>
  <c r="E8" i="17" s="1"/>
  <c r="B76" i="12"/>
  <c r="B77" i="12"/>
  <c r="B78" i="12" s="1"/>
  <c r="C45" i="8" s="1"/>
  <c r="D45" i="8" s="1"/>
  <c r="F11" i="17"/>
  <c r="G11" i="17" s="1"/>
  <c r="F13" i="17"/>
  <c r="G13" i="17" s="1"/>
  <c r="H13" i="17" s="1"/>
  <c r="E13" i="17" s="1"/>
  <c r="F12" i="17"/>
  <c r="G12" i="17" s="1"/>
  <c r="H12" i="17" s="1"/>
  <c r="E12" i="17" s="1"/>
  <c r="F6" i="17"/>
  <c r="G6" i="17" s="1"/>
  <c r="F10" i="17"/>
  <c r="G10" i="17" s="1"/>
  <c r="F7" i="17"/>
  <c r="G7" i="17" s="1"/>
  <c r="H7" i="17" s="1"/>
  <c r="E7" i="17" s="1"/>
  <c r="F14" i="17"/>
  <c r="G14" i="17" s="1"/>
  <c r="H14" i="17" s="1"/>
  <c r="E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H5" i="17" l="1"/>
  <c r="E5" i="17" s="1"/>
  <c r="H10" i="17"/>
  <c r="E10" i="17" s="1"/>
  <c r="H11" i="17"/>
  <c r="E11" i="17" s="1"/>
  <c r="C23" i="20"/>
  <c r="D37" i="16"/>
  <c r="C47" i="8"/>
  <c r="D47" i="8" s="1"/>
  <c r="D37" i="8" s="1"/>
  <c r="H9" i="17"/>
  <c r="E9" i="17" s="1"/>
  <c r="H6" i="17"/>
  <c r="E6" i="17" s="1"/>
  <c r="E6" i="16"/>
  <c r="B2" i="16" s="1"/>
  <c r="C37" i="8"/>
  <c r="K29" i="9"/>
  <c r="K34" i="9" s="1"/>
  <c r="D42" i="16"/>
  <c r="C2" i="16"/>
  <c r="C26" i="21" s="1"/>
  <c r="C36" i="9" l="1"/>
  <c r="C37" i="9" s="1"/>
  <c r="C38" i="9" s="1"/>
  <c r="C31" i="8" s="1"/>
  <c r="B31" i="8" s="1"/>
  <c r="C21" i="20"/>
  <c r="E101" i="16"/>
  <c r="C116" i="16" l="1"/>
  <c r="E116" i="16" s="1"/>
  <c r="E119" i="16" s="1"/>
  <c r="C34" i="8"/>
  <c r="C29" i="8" s="1"/>
  <c r="C49" i="8" s="1"/>
  <c r="D49" i="8" s="1"/>
  <c r="D53" i="8" s="1"/>
  <c r="D57" i="8" s="1"/>
  <c r="C119" i="16" l="1"/>
  <c r="C101" i="16"/>
  <c r="B116" i="16" s="1"/>
  <c r="C20" i="20" s="1"/>
  <c r="C53" i="8"/>
  <c r="C57" i="8" s="1"/>
  <c r="C62" i="8" s="1"/>
  <c r="F2" i="16"/>
  <c r="G2" i="16" s="1"/>
  <c r="D58" i="8"/>
  <c r="D62" i="8"/>
  <c r="C58" i="8" l="1"/>
  <c r="D101" i="16"/>
  <c r="B117" i="16" s="1"/>
  <c r="C19" i="20" s="1"/>
  <c r="F116" i="16"/>
  <c r="D60" i="8"/>
  <c r="D61" i="8" s="1"/>
  <c r="D64" i="8"/>
  <c r="C64" i="8"/>
  <c r="C60" i="8"/>
  <c r="C61" i="8" s="1"/>
  <c r="F117" i="16" l="1"/>
  <c r="F119" i="16" s="1"/>
  <c r="B119" i="16"/>
  <c r="G117" i="16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<sst xmlns="http://schemas.openxmlformats.org/spreadsheetml/2006/main" count="903" uniqueCount="675">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</sst>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8649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1000.1300.850.6</v>
      </c>
    </row>
    <row r="9" spans="1:3" x14ac:dyDescent="0.2">
      <c r="A9" s="401"/>
      <c r="B9" s="408" t="s">
        <v>647</v>
      </c>
      <c r="C9" s="409" t="str">
        <f>C8</f>
        <v>ЭРПЭ 1000.1300.850.6</v>
      </c>
    </row>
    <row r="10" spans="1:3" x14ac:dyDescent="0.2">
      <c r="A10" s="401"/>
      <c r="B10" s="408" t="s">
        <v>648</v>
      </c>
      <c r="C10" s="409" t="str">
        <f>C8</f>
        <v>ЭРПЭ 1000.1300.850.6</v>
      </c>
    </row>
    <row r="11" spans="1:3" x14ac:dyDescent="0.2">
      <c r="A11" s="401"/>
      <c r="B11" s="408" t="s">
        <v>649</v>
      </c>
      <c r="C11" s="409" t="str">
        <f>C8</f>
        <v>ЭРПЭ 1000.1300.850.6</v>
      </c>
    </row>
    <row r="12" spans="1:3" x14ac:dyDescent="0.2">
      <c r="A12" s="401"/>
      <c r="B12" s="408" t="s">
        <v>650</v>
      </c>
      <c r="C12" s="409" t="str">
        <f>C8</f>
        <v>ЭРПЭ 1000.1300.850.6</v>
      </c>
    </row>
    <row r="13" spans="1:3" x14ac:dyDescent="0.2">
      <c r="A13" s="401" t="s">
        <v>510</v>
      </c>
      <c r="B13" s="408" t="s">
        <v>653</v>
      </c>
      <c r="C13" s="403">
        <f>Цена!E16</f>
        <v>6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1300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3500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2540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1000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1100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без ШУ.</v>
      </c>
    </row>
    <row r="29" spans="1:3" x14ac:dyDescent="0.2">
      <c r="A29" s="401" t="s">
        <v>483</v>
      </c>
      <c r="B29" s="410" t="s">
        <v>546</v>
      </c>
      <c r="C29" s="403">
        <f>C30</f>
        <v>-2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-2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Нет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Нет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1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0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41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574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984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1558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1300</v>
      </c>
      <c r="H3">
        <f>G3-F3</f>
        <v>-700</v>
      </c>
      <c r="I3">
        <f>H3/100</f>
        <v>-7</v>
      </c>
      <c r="J3">
        <f>I3*B3</f>
        <v>-77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602</v>
      </c>
      <c r="C7" t="s">
        <v>10</v>
      </c>
    </row>
    <row r="8" spans="1:10" x14ac:dyDescent="0.25">
      <c r="A8" t="s">
        <v>30</v>
      </c>
      <c r="B8" s="116">
        <f>Цепи!B14</f>
        <v>21</v>
      </c>
      <c r="C8" t="s">
        <v>10</v>
      </c>
    </row>
    <row r="9" spans="1:10" x14ac:dyDescent="0.25">
      <c r="A9" t="s">
        <v>150</v>
      </c>
      <c r="B9">
        <f>Панели!B14</f>
        <v>123</v>
      </c>
      <c r="C9" t="s">
        <v>10</v>
      </c>
    </row>
    <row r="10" spans="1:10" x14ac:dyDescent="0.25">
      <c r="A10" t="s">
        <v>151</v>
      </c>
      <c r="B10">
        <f>Панели!B13</f>
        <v>57.4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1005.4</v>
      </c>
      <c r="C18" t="s">
        <v>10</v>
      </c>
    </row>
    <row r="20" spans="1:3" x14ac:dyDescent="0.25">
      <c r="A20" t="s">
        <v>144</v>
      </c>
      <c r="B20" s="116">
        <f>B7+B15+B10+B12</f>
        <v>682.4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682.4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855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180533</v>
      </c>
      <c r="C4" s="124"/>
      <c r="E4" s="291" t="s">
        <v>12</v>
      </c>
      <c r="F4" s="293">
        <f>Цена!C16</f>
        <v>1300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6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1300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3204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7602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7.6999999999999993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16</v>
      </c>
      <c r="C13" s="105"/>
    </row>
    <row r="14" spans="1:12" ht="15.75" thickBot="1" x14ac:dyDescent="0.3">
      <c r="A14" s="128" t="s">
        <v>161</v>
      </c>
      <c r="B14" s="129">
        <f>MROUND(B13*B12,1)</f>
        <v>21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50688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7.6999999999999993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41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57.4</v>
      </c>
      <c r="C13" s="125"/>
    </row>
    <row r="14" spans="1:11" s="42" customFormat="1" ht="15.75" thickBot="1" x14ac:dyDescent="0.3">
      <c r="A14" t="s">
        <v>158</v>
      </c>
      <c r="B14">
        <f>B6*B10</f>
        <v>123</v>
      </c>
      <c r="C14" s="125"/>
    </row>
    <row r="15" spans="1:11" ht="15.75" thickBot="1" x14ac:dyDescent="0.3">
      <c r="A15" s="106" t="s">
        <v>149</v>
      </c>
      <c r="B15" s="107">
        <f>B13+B14</f>
        <v>180.4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57318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8649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6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1300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Нет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Нет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0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982438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1100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1000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1000.1300.850.6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1000.1300.850.6 (AISI 201; 2,25 кВт.; IP 55; без ШУ)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1000.1300.850.6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- 1000 м3/ч.; перфорация - 6 мм.; ширина канала - 1000 мм.; глубина канала - 1300 мм.; высота выгрузки отбросов - 850 мм.; вес решетки в сборе - 1100 кг.; привод щётки - 1,5 кВт.; IP 55; 380 В; 50 Гц;  материал исполнения - AISI 201. Расход промывной воды - 0,75 ÷ 0,89 л/с.; давление промывной воды - 5 ÷ 7 бар. без ШУ.</v>
      </c>
      <c r="C2" s="67">
        <f ca="1">C11</f>
        <v>1100</v>
      </c>
      <c r="D2" s="367">
        <f ca="1">C12+C14</f>
        <v>2.25</v>
      </c>
      <c r="E2" s="70">
        <v>1</v>
      </c>
      <c r="F2" s="67">
        <f ca="1">Цена!C49</f>
        <v>982438</v>
      </c>
      <c r="G2" s="67">
        <f ca="1">F2*E2</f>
        <v>982438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1000.1300.850.6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1000</v>
      </c>
      <c r="D6" s="42" t="s">
        <v>467</v>
      </c>
      <c r="E6" s="42" t="str">
        <f ca="1">CONCATENATE(B6," ",C6," ",D6,".;")</f>
        <v>Производительность по чистой воде - 1000 м3/ч.;</v>
      </c>
    </row>
    <row r="7" spans="1:8" x14ac:dyDescent="0.2">
      <c r="B7" s="75" t="s">
        <v>507</v>
      </c>
      <c r="C7" s="67">
        <f>Цена!E16</f>
        <v>6</v>
      </c>
      <c r="D7" s="42" t="s">
        <v>468</v>
      </c>
      <c r="E7" s="42" t="str">
        <f>CONCATENATE(B7," ",C7," ",D7,";")</f>
        <v>перфорация - 6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1300</v>
      </c>
      <c r="D9" s="42" t="s">
        <v>468</v>
      </c>
      <c r="E9" s="42" t="str">
        <f>CONCATENATE(B9," ",C9," ",D9,";")</f>
        <v>глубина канала - 1300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1100</v>
      </c>
      <c r="D11" s="42" t="s">
        <v>10</v>
      </c>
      <c r="E11" s="42" t="str">
        <f ca="1">CONCATENATE(B11," ",C11," ",D11,";")</f>
        <v>вес решетки в сборе - 1100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Нет</v>
      </c>
      <c r="E17" s="42" t="str">
        <f>IF(C17="Да",CONCATENATE(". В комплекте с ШУ",E18," и ВПУ."),". без ШУ.")</f>
        <v>. без ШУ.</v>
      </c>
    </row>
    <row r="18" spans="1:15" x14ac:dyDescent="0.2">
      <c r="B18" s="75" t="s">
        <v>503</v>
      </c>
      <c r="C18" s="67" t="str">
        <f>Цена!D25</f>
        <v>Нет</v>
      </c>
      <c r="E18" s="42" t="str">
        <f>IF(C18="Нет","",CONCATENATE(" (",C18,")"))</f>
        <v/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8649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№8649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1000.1300.850.6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6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1300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3500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2540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1000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1100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без ШУ.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/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/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982438</v>
      </c>
      <c r="D101" s="67">
        <f ca="1">Цена!C49-Спецификация!C101</f>
        <v>0</v>
      </c>
      <c r="E101" s="67">
        <f ca="1">C2</f>
        <v>1100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1000.1300.850.6</v>
      </c>
      <c r="B116" s="67">
        <f ca="1">C101</f>
        <v>982438</v>
      </c>
      <c r="C116" s="70">
        <f>Цена!C31/Параметры!B3</f>
        <v>451</v>
      </c>
      <c r="D116" s="70">
        <f>Цена!C32/Параметры!B3</f>
        <v>35.210355987055017</v>
      </c>
      <c r="E116" s="67">
        <f>MROUND((C116+D116)*Параметры!$B$3*(1+Параметры!$B$4),1)</f>
        <v>423674</v>
      </c>
      <c r="F116" s="67">
        <f ca="1">B116-E116</f>
        <v>558764</v>
      </c>
      <c r="G116" s="42" t="str">
        <f ca="1">CONCATENATE(A116," (",H101,"; ",G101," кВт.; ",F101,")")</f>
        <v>ЭРПЭ 1000.1300.850.6 (AISI 201; 2,25 кВт.; IP 55)</v>
      </c>
    </row>
    <row r="117" spans="1:8" x14ac:dyDescent="0.2">
      <c r="A117" s="42" t="s">
        <v>556</v>
      </c>
      <c r="B117" s="67">
        <f ca="1">IF(A117="-","-",D101)</f>
        <v>0</v>
      </c>
      <c r="C117" s="70">
        <f>IF(A117="-","-",Цена!C33/Параметры!B7)</f>
        <v>0</v>
      </c>
      <c r="D117" s="70">
        <f>IF(A117="-","-",0)</f>
        <v>0</v>
      </c>
      <c r="E117" s="67">
        <f>IF(A117="-","-",MROUND((C117+D117)*Параметры!$B$7*(1+Параметры!$B$4),1))</f>
        <v>0</v>
      </c>
      <c r="F117" s="381">
        <f ca="1">IF(A117="-","-",B117-E117)</f>
        <v>0</v>
      </c>
      <c r="G117" s="42" t="str">
        <f ca="1">IF(B117=0,"-",CONCATENATE(A117," (","ШУ - IP54; ВПУ - ",IF(F101="IP 68","IP 67",F101),,IF(Цена!D25="Нет","",CONCATENATE("; ",Цена!D25)),")"))</f>
        <v>-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982438</v>
      </c>
      <c r="C119" s="67">
        <f>SUM(C116:C117)</f>
        <v>451</v>
      </c>
      <c r="D119" s="67">
        <f>SUM(D116:D117)</f>
        <v>35.210355987055017</v>
      </c>
      <c r="E119" s="67">
        <f>SUM(E116:E117)</f>
        <v>423674</v>
      </c>
      <c r="F119" s="67">
        <f ca="1">SUM(F116:F117)</f>
        <v>558764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671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(8649)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8649 0 0 22.02.22</v>
      </c>
      <c r="J3" s="415"/>
      <c r="K3" s="416"/>
      <c r="L3" s="417"/>
    </row>
    <row r="4" spans="1:254" x14ac:dyDescent="0.2">
      <c r="A4" s="37" t="s">
        <v>102</v>
      </c>
      <c r="B4" s="44" t="s">
        <v>672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1000.1300.850.6</v>
      </c>
      <c r="J4" s="418"/>
      <c r="K4" s="419"/>
      <c r="L4" s="420"/>
    </row>
    <row r="5" spans="1:254" x14ac:dyDescent="0.2">
      <c r="A5" s="37" t="s">
        <v>103</v>
      </c>
      <c r="B5" s="44" t="s">
        <v>673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1000.1300.850.6 (AISI 201; 2,25 кВт.; IP55 без ШУ)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8649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674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1300</v>
      </c>
      <c r="D16" s="53">
        <v>850</v>
      </c>
      <c r="E16" s="52">
        <v>6</v>
      </c>
      <c r="F16" s="54"/>
      <c r="G16" s="335" t="str">
        <f ca="1">CONCATENATE(Гидравлика!B15," м3/ч")</f>
        <v>972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682.4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1100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106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106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423674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451 н.ч.</v>
      </c>
      <c r="C31" s="68">
        <f>ФОТ!C38</f>
        <v>139359</v>
      </c>
    </row>
    <row r="32" spans="1:254" x14ac:dyDescent="0.2">
      <c r="A32" s="50" t="s">
        <v>123</v>
      </c>
      <c r="B32" s="67" t="str">
        <f>CONCATENATE(ROUNDUP(C32/Параметры!B3,0)," н.ч.")</f>
        <v>36 н.ч.</v>
      </c>
      <c r="C32" s="68">
        <f>ФОТ!C55</f>
        <v>10880</v>
      </c>
    </row>
    <row r="33" spans="1:254" x14ac:dyDescent="0.2">
      <c r="A33" s="50" t="s">
        <v>124</v>
      </c>
      <c r="B33" s="67" t="str">
        <f>CONCATENATE(ROUNDUP(C33/Параметры!B7,0)," н.ч.")</f>
        <v>0 н.ч.</v>
      </c>
      <c r="C33" s="68">
        <f>ФОТ!C46</f>
        <v>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273435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558763.84</v>
      </c>
      <c r="D37" s="64">
        <f ca="1">SUM(D39:D47)</f>
        <v>670518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180533</v>
      </c>
      <c r="D39" s="68">
        <f ca="1">MROUND(C39*1.2,1)</f>
        <v>216640</v>
      </c>
    </row>
    <row r="40" spans="1:254" x14ac:dyDescent="0.2">
      <c r="A40" s="42" t="str">
        <f>CONCATENATE("Цепи (",Цепи!B13," м.п.)")</f>
        <v>Цепи (16 м.п.)</v>
      </c>
      <c r="B40" s="72"/>
      <c r="C40" s="68">
        <f ca="1">Цепи!B17</f>
        <v>50688</v>
      </c>
      <c r="D40" s="68">
        <f t="shared" ref="D40:D47" ca="1" si="0">MROUND(C40*1.2,1)</f>
        <v>60826</v>
      </c>
    </row>
    <row r="41" spans="1:254" x14ac:dyDescent="0.2">
      <c r="A41" s="42" t="s">
        <v>164</v>
      </c>
      <c r="B41" s="72"/>
      <c r="C41" s="68">
        <f ca="1">Панели!B19</f>
        <v>57318</v>
      </c>
      <c r="D41" s="68">
        <f t="shared" ca="1" si="0"/>
        <v>68782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73499.839999999982</v>
      </c>
      <c r="D45" s="68">
        <f t="shared" si="0"/>
        <v>88200</v>
      </c>
    </row>
    <row r="46" spans="1:254" x14ac:dyDescent="0.2">
      <c r="A46" s="42" t="s">
        <v>98</v>
      </c>
      <c r="B46" s="72"/>
      <c r="C46" s="68">
        <f>IF(D24="Нет",0,ШУ!B7)</f>
        <v>0</v>
      </c>
      <c r="D46" s="68">
        <f t="shared" si="0"/>
        <v>0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16275</v>
      </c>
      <c r="D47" s="68">
        <f t="shared" ca="1" si="0"/>
        <v>19530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982438</v>
      </c>
      <c r="D49" s="306">
        <f ca="1">MROUND(C49*1.2,1)</f>
        <v>1178926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1866633</v>
      </c>
      <c r="D53" s="79">
        <f ca="1">ROUNDUP(D49*B53,0)</f>
        <v>2239960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1866633</v>
      </c>
      <c r="D57" s="83">
        <f ca="1">D53+D55</f>
        <v>2239960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884195</v>
      </c>
      <c r="D58" s="93">
        <f ca="1">D57-D55-D49</f>
        <v>1061034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1866633</v>
      </c>
      <c r="D62" s="102">
        <f ca="1">D57/(1-B60*(1+B61))</f>
        <v>2239960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1866633</v>
      </c>
      <c r="D64" s="141">
        <f ca="1">D62</f>
        <v>2239960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6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1300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800</v>
      </c>
      <c r="D5" s="324">
        <v>0</v>
      </c>
      <c r="E5" s="324">
        <f ca="1">$B$5-H5</f>
        <v>698</v>
      </c>
      <c r="F5" s="333">
        <f ca="1">B12</f>
        <v>0.27</v>
      </c>
      <c r="G5" s="333">
        <f ca="1">ROUNDUP($B$15/3600/F5,3)</f>
        <v>1</v>
      </c>
      <c r="H5" s="324">
        <f ca="1">ROUNDUP(1/2/9.81/$B$16^2*SIN(RADIANS($B$9))*(G5^2-$B$13^2)*1000,0)</f>
        <v>102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689</v>
      </c>
      <c r="F6" s="324">
        <f t="shared" ref="F6:F14" ca="1" si="1">MROUND($F$5*(1-D6/100),0.01)</f>
        <v>0.26</v>
      </c>
      <c r="G6" s="333">
        <f t="shared" ref="G6:G14" ca="1" si="2">ROUNDUP($B$15/3600/F6,3)</f>
        <v>1.0389999999999999</v>
      </c>
      <c r="H6" s="324">
        <f t="shared" ref="H6:H14" ca="1" si="3">ROUNDUP(1/2/9.81/$B$16^2*SIN(RADIANS($B$9))*(G6^2-$B$13^2)*1000,0)</f>
        <v>111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667</v>
      </c>
      <c r="F7" s="324">
        <f t="shared" ca="1" si="1"/>
        <v>0.24</v>
      </c>
      <c r="G7" s="333">
        <f t="shared" ca="1" si="2"/>
        <v>1.125</v>
      </c>
      <c r="H7" s="324">
        <f t="shared" ca="1" si="3"/>
        <v>133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654</v>
      </c>
      <c r="F8" s="324">
        <f t="shared" ca="1" si="1"/>
        <v>0.23</v>
      </c>
      <c r="G8" s="333">
        <f t="shared" ca="1" si="2"/>
        <v>1.1739999999999999</v>
      </c>
      <c r="H8" s="324">
        <f t="shared" ca="1" si="3"/>
        <v>146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639</v>
      </c>
      <c r="F9" s="324">
        <f t="shared" ca="1" si="1"/>
        <v>0.22</v>
      </c>
      <c r="G9" s="333">
        <f t="shared" ca="1" si="2"/>
        <v>1.228</v>
      </c>
      <c r="H9" s="324">
        <f t="shared" ca="1" si="3"/>
        <v>161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603</v>
      </c>
      <c r="F10" s="324">
        <f t="shared" ca="1" si="1"/>
        <v>0.2</v>
      </c>
      <c r="G10" s="333">
        <f t="shared" ca="1" si="2"/>
        <v>1.35</v>
      </c>
      <c r="H10" s="324">
        <f t="shared" ca="1" si="3"/>
        <v>197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0.59</v>
      </c>
      <c r="D11" s="324">
        <v>30</v>
      </c>
      <c r="E11" s="324">
        <f t="shared" ca="1" si="0"/>
        <v>580</v>
      </c>
      <c r="F11" s="324">
        <f t="shared" ca="1" si="1"/>
        <v>0.19</v>
      </c>
      <c r="G11" s="333">
        <f t="shared" ca="1" si="2"/>
        <v>1.4219999999999999</v>
      </c>
      <c r="H11" s="324">
        <f t="shared" ca="1" si="3"/>
        <v>220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0.27</v>
      </c>
      <c r="D12" s="324">
        <v>35</v>
      </c>
      <c r="E12" s="324">
        <f t="shared" ca="1" si="0"/>
        <v>554</v>
      </c>
      <c r="F12" s="324">
        <f t="shared" ca="1" si="1"/>
        <v>0.18</v>
      </c>
      <c r="G12" s="333">
        <f t="shared" ca="1" si="2"/>
        <v>1.5</v>
      </c>
      <c r="H12" s="324">
        <f t="shared" ca="1" si="3"/>
        <v>246</v>
      </c>
    </row>
    <row r="13" spans="1:14" ht="15.75" customHeight="1" x14ac:dyDescent="0.25">
      <c r="A13" s="326" t="s">
        <v>562</v>
      </c>
      <c r="B13" s="333">
        <f ca="1">$B$15/3600/(B5*$B$2/1000/1000)</f>
        <v>0.33750000000000002</v>
      </c>
      <c r="D13" s="324">
        <v>40</v>
      </c>
      <c r="E13" s="324">
        <f t="shared" ca="1" si="0"/>
        <v>485</v>
      </c>
      <c r="F13" s="324">
        <f t="shared" ca="1" si="1"/>
        <v>0.16</v>
      </c>
      <c r="G13" s="333">
        <f t="shared" ca="1" si="2"/>
        <v>1.6879999999999999</v>
      </c>
      <c r="H13" s="324">
        <f t="shared" ca="1" si="3"/>
        <v>315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441</v>
      </c>
      <c r="F14" s="324">
        <f t="shared" ca="1" si="1"/>
        <v>0.15</v>
      </c>
      <c r="G14" s="333">
        <f t="shared" ca="1" si="2"/>
        <v>1.8</v>
      </c>
      <c r="H14" s="324">
        <f t="shared" ca="1" si="3"/>
        <v>359</v>
      </c>
    </row>
    <row r="15" spans="1:14" ht="15.75" customHeight="1" x14ac:dyDescent="0.25">
      <c r="A15" s="326" t="s">
        <v>372</v>
      </c>
      <c r="B15" s="334">
        <f ca="1">C15</f>
        <v>972</v>
      </c>
      <c r="C15" s="308">
        <f ca="1">MROUND(B12*3600,1)</f>
        <v>972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1300</v>
      </c>
      <c r="D10" s="169">
        <f>CEILING(C10,100)</f>
        <v>1300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1000</v>
      </c>
      <c r="D13" s="190">
        <f>IF(C10&lt;=1200,C10,C10-250)</f>
        <v>1050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1100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1100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225.64449999999999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265.05916666666667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81903.282500000001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265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451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139359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Нет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682.4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32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10880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2022-02-22T14:44:34Z</dcterms:modified>
</cp:coreProperties>
</file>