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ta/Downloads/sigma_s2_excel/"/>
    </mc:Choice>
  </mc:AlternateContent>
  <xr:revisionPtr revIDLastSave="0" documentId="13_ncr:1_{ECF1A2AD-113B-D343-87E1-8704441DB08E}" xr6:coauthVersionLast="47" xr6:coauthVersionMax="47" xr10:uidLastSave="{00000000-0000-0000-0000-000000000000}"/>
  <bookViews>
    <workbookView xWindow="4420" yWindow="-33840" windowWidth="60160" windowHeight="33840" activeTab="2" xr2:uid="{00000000-000D-0000-FFFF-FFFF00000000}"/>
  </bookViews>
  <sheets>
    <sheet name="1-1" sheetId="1" r:id="rId1"/>
    <sheet name="1-2" sheetId="2" r:id="rId2"/>
    <sheet name="1-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3" l="1"/>
  <c r="Z8" i="3"/>
  <c r="X9" i="3"/>
  <c r="X8" i="3"/>
  <c r="V12" i="3"/>
  <c r="V11" i="3"/>
  <c r="V10" i="3"/>
  <c r="V9" i="3"/>
  <c r="V8" i="3"/>
  <c r="T11" i="3"/>
  <c r="T10" i="3"/>
  <c r="T9" i="3"/>
  <c r="T8" i="3"/>
  <c r="R9" i="3"/>
  <c r="R8" i="3"/>
  <c r="Q10" i="3"/>
  <c r="Q9" i="3"/>
  <c r="Q8" i="3"/>
  <c r="P9" i="3"/>
  <c r="P8" i="3"/>
  <c r="M13" i="3"/>
  <c r="M12" i="3"/>
  <c r="M8" i="3"/>
  <c r="M9" i="3"/>
  <c r="M10" i="3"/>
  <c r="J9" i="3"/>
  <c r="J8" i="3"/>
  <c r="F21" i="3"/>
  <c r="F20" i="3"/>
  <c r="F10" i="3"/>
  <c r="F9" i="3"/>
  <c r="C7" i="1"/>
  <c r="C9" i="1"/>
  <c r="C11" i="1"/>
  <c r="C15" i="1"/>
  <c r="C17" i="1" s="1"/>
  <c r="C18" i="1" s="1"/>
  <c r="C16" i="1"/>
  <c r="C36" i="2"/>
  <c r="D36" i="2" s="1"/>
  <c r="C37" i="2"/>
  <c r="C38" i="2"/>
  <c r="C39" i="2"/>
  <c r="C41" i="2"/>
  <c r="C40" i="2" s="1"/>
  <c r="C43" i="2"/>
  <c r="C44" i="2" s="1"/>
  <c r="C45" i="2"/>
  <c r="C47" i="2"/>
  <c r="C46" i="2" s="1"/>
  <c r="C49" i="2"/>
  <c r="C48" i="2" s="1"/>
  <c r="C51" i="2"/>
  <c r="C52" i="2" s="1"/>
  <c r="C53" i="2"/>
  <c r="C55" i="2"/>
  <c r="C54" i="2" s="1"/>
  <c r="C59" i="2"/>
  <c r="C57" i="2" s="1"/>
  <c r="C60" i="2"/>
  <c r="C65" i="2"/>
  <c r="C50" i="2" l="1"/>
  <c r="C42" i="2"/>
  <c r="C58" i="2"/>
  <c r="C56" i="2"/>
  <c r="C61" i="2"/>
  <c r="C64" i="2"/>
  <c r="C62" i="2"/>
  <c r="C19" i="1"/>
  <c r="D37" i="2"/>
  <c r="C63" i="2"/>
  <c r="C20" i="1" l="1"/>
  <c r="C21" i="1" s="1"/>
  <c r="D38" i="2"/>
  <c r="C22" i="1" l="1"/>
  <c r="C23" i="1"/>
  <c r="C24" i="1" s="1"/>
  <c r="D39" i="2"/>
  <c r="D40" i="2" l="1"/>
  <c r="D41" i="2" l="1"/>
  <c r="D42" i="2" l="1"/>
  <c r="D43" i="2" l="1"/>
  <c r="D44" i="2" s="1"/>
  <c r="D45" i="2" s="1"/>
  <c r="D46" i="2"/>
  <c r="D47" i="2"/>
  <c r="D48" i="2" s="1"/>
  <c r="D49" i="2" s="1"/>
  <c r="D50" i="2" s="1"/>
  <c r="D51" i="2" l="1"/>
  <c r="D52" i="2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</calcChain>
</file>

<file path=xl/sharedStrings.xml><?xml version="1.0" encoding="utf-8"?>
<sst xmlns="http://schemas.openxmlformats.org/spreadsheetml/2006/main" count="96" uniqueCount="77">
  <si>
    <t xml:space="preserve"> 金利 (%)</t>
    <rPh sb="1" eb="3">
      <t>キンリ</t>
    </rPh>
    <phoneticPr fontId="2"/>
  </si>
  <si>
    <t>LIBOR6ヶ月</t>
    <rPh sb="7" eb="8">
      <t>ゲツ</t>
    </rPh>
    <phoneticPr fontId="2"/>
  </si>
  <si>
    <t>1.0ｙ　SWAP</t>
    <phoneticPr fontId="2"/>
  </si>
  <si>
    <t>1.5ｙ　SWAP</t>
    <phoneticPr fontId="2"/>
  </si>
  <si>
    <t>2.0ｙ　SWAP</t>
    <phoneticPr fontId="2"/>
  </si>
  <si>
    <t>2.5ｙ　SWAP</t>
    <phoneticPr fontId="2"/>
  </si>
  <si>
    <t>3.0ｙ　SWAP</t>
    <phoneticPr fontId="2"/>
  </si>
  <si>
    <t>3.5ｙ　SWAP</t>
    <phoneticPr fontId="2"/>
  </si>
  <si>
    <t>4.0ｙ　SWAP</t>
    <phoneticPr fontId="2"/>
  </si>
  <si>
    <t>4.5ｙ　SWAP</t>
    <phoneticPr fontId="2"/>
  </si>
  <si>
    <t>5.0ｙ　SWAP</t>
    <phoneticPr fontId="2"/>
  </si>
  <si>
    <t>＜ディスカウント・ファクターを求める＞</t>
    <rPh sb="15" eb="16">
      <t>モト</t>
    </rPh>
    <phoneticPr fontId="2"/>
  </si>
  <si>
    <t>df0.5</t>
    <phoneticPr fontId="2"/>
  </si>
  <si>
    <t>df1.0</t>
    <phoneticPr fontId="2"/>
  </si>
  <si>
    <t>ｄｆ1.5</t>
    <phoneticPr fontId="2"/>
  </si>
  <si>
    <t>ｄｆ2.0</t>
    <phoneticPr fontId="2"/>
  </si>
  <si>
    <t>ｄｆ2.5</t>
    <phoneticPr fontId="2"/>
  </si>
  <si>
    <t>ｄｆ3.0</t>
    <phoneticPr fontId="2"/>
  </si>
  <si>
    <t>ｄｆ3.5</t>
    <phoneticPr fontId="2"/>
  </si>
  <si>
    <t>ｄｆ4.0</t>
    <phoneticPr fontId="2"/>
  </si>
  <si>
    <t>ｄｆ4.5</t>
    <phoneticPr fontId="2"/>
  </si>
  <si>
    <t>ｄｆ5.0</t>
    <phoneticPr fontId="2"/>
  </si>
  <si>
    <t>6.0ｙ　SWAP</t>
    <phoneticPr fontId="2"/>
  </si>
  <si>
    <t>7.0ｙ　SWAP</t>
    <phoneticPr fontId="2"/>
  </si>
  <si>
    <t>8.0y  SWAP</t>
    <phoneticPr fontId="2"/>
  </si>
  <si>
    <t>9.0ｙ　SWAP</t>
    <phoneticPr fontId="2"/>
  </si>
  <si>
    <t>10.0ｙ　SWAP</t>
    <phoneticPr fontId="2"/>
  </si>
  <si>
    <t>12.0ｙ　SWAP</t>
    <phoneticPr fontId="2"/>
  </si>
  <si>
    <t>15.0y  SWAP</t>
    <phoneticPr fontId="2"/>
  </si>
  <si>
    <t xml:space="preserve"> 　　期　　　間</t>
    <rPh sb="3" eb="4">
      <t>キ</t>
    </rPh>
    <rPh sb="7" eb="8">
      <t>アイダ</t>
    </rPh>
    <phoneticPr fontId="2"/>
  </si>
  <si>
    <t>金利 (%)</t>
    <rPh sb="0" eb="2">
      <t>キンリ</t>
    </rPh>
    <phoneticPr fontId="2"/>
  </si>
  <si>
    <t>　ＤＦ</t>
    <phoneticPr fontId="2"/>
  </si>
  <si>
    <t>2.5y  SWAP</t>
    <phoneticPr fontId="2"/>
  </si>
  <si>
    <t>3.5y  SWAP</t>
    <phoneticPr fontId="2"/>
  </si>
  <si>
    <t>4.5y  SWAP</t>
    <phoneticPr fontId="2"/>
  </si>
  <si>
    <t>5.5y  SWAP</t>
    <phoneticPr fontId="2"/>
  </si>
  <si>
    <t>6.5y  SWAP</t>
    <phoneticPr fontId="2"/>
  </si>
  <si>
    <t>7.5y  SWAP</t>
    <phoneticPr fontId="2"/>
  </si>
  <si>
    <t>8.5y  SWAP</t>
    <phoneticPr fontId="2"/>
  </si>
  <si>
    <t>9.5y  SWAP</t>
    <phoneticPr fontId="2"/>
  </si>
  <si>
    <t>10.5y  SWAP</t>
    <phoneticPr fontId="2"/>
  </si>
  <si>
    <t>11.0y  SWAP</t>
    <phoneticPr fontId="2"/>
  </si>
  <si>
    <t>11.5y  SWAP</t>
    <phoneticPr fontId="2"/>
  </si>
  <si>
    <t>12.5y  SWAP</t>
    <phoneticPr fontId="2"/>
  </si>
  <si>
    <t>13.0y  SWAP</t>
    <phoneticPr fontId="2"/>
  </si>
  <si>
    <t>13.5y  SWAP</t>
    <phoneticPr fontId="2"/>
  </si>
  <si>
    <t>14.0y  SWAP</t>
    <phoneticPr fontId="2"/>
  </si>
  <si>
    <t>14.5y  SWAP</t>
    <phoneticPr fontId="2"/>
  </si>
  <si>
    <t>問５のデータ</t>
    <rPh sb="0" eb="1">
      <t>ト</t>
    </rPh>
    <phoneticPr fontId="2"/>
  </si>
  <si>
    <t>　ディスカウント・ファクター</t>
    <phoneticPr fontId="2"/>
  </si>
  <si>
    <t>期間</t>
    <rPh sb="0" eb="2">
      <t>キカン</t>
    </rPh>
    <phoneticPr fontId="2"/>
  </si>
  <si>
    <t>　ｄｆ</t>
    <phoneticPr fontId="2"/>
  </si>
  <si>
    <t>０．５年</t>
    <rPh sb="3" eb="4">
      <t>ネン</t>
    </rPh>
    <phoneticPr fontId="2"/>
  </si>
  <si>
    <t>１．０年</t>
    <rPh sb="3" eb="4">
      <t>ネン</t>
    </rPh>
    <phoneticPr fontId="2"/>
  </si>
  <si>
    <t>１．５年</t>
    <rPh sb="3" eb="4">
      <t>ネン</t>
    </rPh>
    <phoneticPr fontId="2"/>
  </si>
  <si>
    <t>２．０年</t>
    <rPh sb="3" eb="4">
      <t>ネン</t>
    </rPh>
    <phoneticPr fontId="2"/>
  </si>
  <si>
    <t>２．５年</t>
    <rPh sb="3" eb="4">
      <t>ネン</t>
    </rPh>
    <phoneticPr fontId="2"/>
  </si>
  <si>
    <t>３．０年</t>
    <rPh sb="3" eb="4">
      <t>ネン</t>
    </rPh>
    <phoneticPr fontId="2"/>
  </si>
  <si>
    <t>問６のデータ</t>
    <rPh sb="0" eb="1">
      <t>ト</t>
    </rPh>
    <phoneticPr fontId="2"/>
  </si>
  <si>
    <t>　ｄｆ</t>
    <phoneticPr fontId="2"/>
  </si>
  <si>
    <t>第１分冊　試験問題データ</t>
    <rPh sb="0" eb="1">
      <t>ダイ</t>
    </rPh>
    <rPh sb="2" eb="4">
      <t>ブンサツ</t>
    </rPh>
    <rPh sb="5" eb="7">
      <t>シケン</t>
    </rPh>
    <rPh sb="7" eb="9">
      <t>モンダイ</t>
    </rPh>
    <phoneticPr fontId="2"/>
  </si>
  <si>
    <t>LIBOR6ヶ月</t>
  </si>
  <si>
    <t>1.0ｙ　SWAP</t>
  </si>
  <si>
    <t>1.5ｙ　SWAP</t>
  </si>
  <si>
    <t>2.0ｙ　SWAP</t>
  </si>
  <si>
    <t>3.0ｙ　SWAP</t>
  </si>
  <si>
    <t>4.0ｙ　SWAP</t>
  </si>
  <si>
    <t>5.0ｙ　SWAP</t>
  </si>
  <si>
    <t>6.0ｙ　SWAP</t>
  </si>
  <si>
    <t>7.0ｙ　SWAP</t>
  </si>
  <si>
    <t>8.0y  SWAP</t>
  </si>
  <si>
    <t>9.0ｙ　SWAP</t>
  </si>
  <si>
    <t>10.0ｙ　SWAP</t>
  </si>
  <si>
    <t>12.0ｙ　SWAP</t>
  </si>
  <si>
    <t>15.0y  SWAP</t>
  </si>
  <si>
    <t>確認問題３</t>
    <rPh sb="0" eb="2">
      <t>カクニン</t>
    </rPh>
    <rPh sb="2" eb="4">
      <t>モンダイ</t>
    </rPh>
    <phoneticPr fontId="2"/>
  </si>
  <si>
    <t>（ｓａ）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</si>
</sst>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#,##0.000;[Red]\-#,##0.000"/>
    <numFmt numFmtId="178" formatCode="#,##0.0000;[Red]\-#,##0.0000"/>
    <numFmt numFmtId="179" formatCode="#,##0.00000;[Red]\-#,##0.00000"/>
    <numFmt numFmtId="180" formatCode="#,##0.0000000;[Red]\-#,##0.0000000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  <xf numFmtId="180" fontId="1" fillId="0" borderId="1" xfId="1" applyNumberFormat="1" applyBorder="1">
      <alignment vertical="center"/>
    </xf>
    <xf numFmtId="38" fontId="1" fillId="0" borderId="0" xfId="1">
      <alignment vertical="center"/>
    </xf>
    <xf numFmtId="40" fontId="1" fillId="0" borderId="1" xfId="1" applyNumberFormat="1" applyBorder="1">
      <alignment vertical="center"/>
    </xf>
    <xf numFmtId="40" fontId="1" fillId="0" borderId="1" xfId="1" applyNumberFormat="1" applyFill="1" applyBorder="1">
      <alignment vertical="center"/>
    </xf>
    <xf numFmtId="177" fontId="1" fillId="0" borderId="1" xfId="1" applyNumberFormat="1" applyBorder="1">
      <alignment vertical="center"/>
    </xf>
    <xf numFmtId="178" fontId="1" fillId="0" borderId="1" xfId="1" applyNumberFormat="1" applyBorder="1">
      <alignment vertical="center"/>
    </xf>
    <xf numFmtId="179" fontId="1" fillId="0" borderId="1" xfId="1" applyNumberFormat="1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24</xdr:row>
      <xdr:rowOff>85725</xdr:rowOff>
    </xdr:from>
    <xdr:to>
      <xdr:col>4</xdr:col>
      <xdr:colOff>19050</xdr:colOff>
      <xdr:row>32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rrowheads="1"/>
        </xdr:cNvSpPr>
      </xdr:nvSpPr>
      <xdr:spPr bwMode="auto">
        <a:xfrm>
          <a:off x="523875" y="4200525"/>
          <a:ext cx="2800350" cy="1285875"/>
        </a:xfrm>
        <a:prstGeom prst="down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解　　　　答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0"/>
  <sheetViews>
    <sheetView workbookViewId="0"/>
  </sheetViews>
  <sheetFormatPr baseColWidth="10" defaultColWidth="8.83203125" defaultRowHeight="14"/>
  <cols>
    <col min="2" max="2" width="12" customWidth="1"/>
    <col min="3" max="3" width="11.1640625" customWidth="1"/>
  </cols>
  <sheetData>
    <row r="2" spans="2:3">
      <c r="B2" s="1"/>
      <c r="C2" s="1" t="s">
        <v>0</v>
      </c>
    </row>
    <row r="3" spans="2:3">
      <c r="B3" s="1" t="s">
        <v>1</v>
      </c>
      <c r="C3" s="2">
        <v>0.6</v>
      </c>
    </row>
    <row r="4" spans="2:3">
      <c r="B4" s="1" t="s">
        <v>2</v>
      </c>
      <c r="C4" s="2">
        <v>0.9</v>
      </c>
    </row>
    <row r="5" spans="2:3">
      <c r="B5" s="1" t="s">
        <v>3</v>
      </c>
      <c r="C5" s="2">
        <v>1.1000000000000001</v>
      </c>
    </row>
    <row r="6" spans="2:3">
      <c r="B6" s="1" t="s">
        <v>4</v>
      </c>
      <c r="C6" s="2">
        <v>1.3</v>
      </c>
    </row>
    <row r="7" spans="2:3">
      <c r="B7" s="3" t="s">
        <v>5</v>
      </c>
      <c r="C7" s="4">
        <f>(C6+C8)/2</f>
        <v>1.4500000000000002</v>
      </c>
    </row>
    <row r="8" spans="2:3">
      <c r="B8" s="1" t="s">
        <v>6</v>
      </c>
      <c r="C8" s="2">
        <v>1.6</v>
      </c>
    </row>
    <row r="9" spans="2:3">
      <c r="B9" s="3" t="s">
        <v>7</v>
      </c>
      <c r="C9" s="4">
        <f>(C8+C10)/2</f>
        <v>1.75</v>
      </c>
    </row>
    <row r="10" spans="2:3">
      <c r="B10" s="1" t="s">
        <v>8</v>
      </c>
      <c r="C10" s="2">
        <v>1.9</v>
      </c>
    </row>
    <row r="11" spans="2:3">
      <c r="B11" s="5" t="s">
        <v>9</v>
      </c>
      <c r="C11" s="4">
        <f>(C10+C12)/2</f>
        <v>2</v>
      </c>
    </row>
    <row r="12" spans="2:3">
      <c r="B12" s="1" t="s">
        <v>10</v>
      </c>
      <c r="C12" s="2">
        <v>2.1</v>
      </c>
    </row>
    <row r="14" spans="2:3">
      <c r="B14" t="s">
        <v>11</v>
      </c>
    </row>
    <row r="15" spans="2:3">
      <c r="B15" s="1" t="s">
        <v>12</v>
      </c>
      <c r="C15" s="6">
        <f>100/(100+100*C3/100*182.5/360)</f>
        <v>0.99696755701408224</v>
      </c>
    </row>
    <row r="16" spans="2:3">
      <c r="B16" s="1" t="s">
        <v>13</v>
      </c>
      <c r="C16" s="6">
        <f>(100-C4/2*SUM(C$15:C15))/(100+C4/2)</f>
        <v>0.99105390342801047</v>
      </c>
    </row>
    <row r="17" spans="2:3">
      <c r="B17" s="1" t="s">
        <v>14</v>
      </c>
      <c r="C17" s="6">
        <f>(100-C5/2*SUM(C$15:C16))/(100+C5/2)</f>
        <v>0.98365577520394676</v>
      </c>
    </row>
    <row r="18" spans="2:3">
      <c r="B18" s="1" t="s">
        <v>15</v>
      </c>
      <c r="C18" s="6">
        <f>(100-C6/2*SUM(C$15:C17))/(100+C6/2)</f>
        <v>0.97435081765355258</v>
      </c>
    </row>
    <row r="19" spans="2:3">
      <c r="B19" s="1" t="s">
        <v>16</v>
      </c>
      <c r="C19" s="6">
        <f>(100-C7/2*SUM(C$15:C18))/(100+C7/2)</f>
        <v>0.96439940095664234</v>
      </c>
    </row>
    <row r="20" spans="2:3">
      <c r="B20" s="1" t="s">
        <v>17</v>
      </c>
      <c r="C20" s="6">
        <f>(100-C8/2*SUM(C$15:C19))/(100+C8/2)</f>
        <v>0.95309184560114102</v>
      </c>
    </row>
    <row r="21" spans="2:3">
      <c r="B21" s="1" t="s">
        <v>18</v>
      </c>
      <c r="C21" s="6">
        <f>(100-C9/2*SUM(C$15:C20))/(100+C9/2)</f>
        <v>0.94046513618463246</v>
      </c>
    </row>
    <row r="22" spans="2:3">
      <c r="B22" s="1" t="s">
        <v>19</v>
      </c>
      <c r="C22" s="6">
        <f>(100-C10/2*SUM(C$15:C21))/(100+C10/2)</f>
        <v>0.9265598294775641</v>
      </c>
    </row>
    <row r="23" spans="2:3">
      <c r="B23" s="1" t="s">
        <v>20</v>
      </c>
      <c r="C23" s="6">
        <f>(100-C11/2*SUM(C$15:C22))/(100+C11/2)</f>
        <v>0.91355896766812306</v>
      </c>
    </row>
    <row r="24" spans="2:3">
      <c r="B24" s="1" t="s">
        <v>21</v>
      </c>
      <c r="C24" s="6">
        <f>(100-C12/2*SUM(C$15:C23))/(100+C12/2)</f>
        <v>0.89978913018459106</v>
      </c>
    </row>
    <row r="30" spans="2:3">
      <c r="C30" s="7"/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65"/>
  <sheetViews>
    <sheetView workbookViewId="0"/>
  </sheetViews>
  <sheetFormatPr baseColWidth="10" defaultColWidth="8.83203125" defaultRowHeight="14"/>
  <cols>
    <col min="2" max="3" width="12.6640625" customWidth="1"/>
  </cols>
  <sheetData>
    <row r="3" spans="2:3">
      <c r="B3" t="s">
        <v>75</v>
      </c>
    </row>
    <row r="6" spans="2:3">
      <c r="B6" s="1"/>
      <c r="C6" s="1" t="s">
        <v>0</v>
      </c>
    </row>
    <row r="7" spans="2:3">
      <c r="B7" s="1" t="s">
        <v>1</v>
      </c>
      <c r="C7" s="8">
        <v>0.4</v>
      </c>
    </row>
    <row r="8" spans="2:3">
      <c r="B8" s="1" t="s">
        <v>2</v>
      </c>
      <c r="C8" s="8">
        <v>0.6</v>
      </c>
    </row>
    <row r="9" spans="2:3">
      <c r="B9" s="1" t="s">
        <v>3</v>
      </c>
      <c r="C9" s="8">
        <v>0.8</v>
      </c>
    </row>
    <row r="10" spans="2:3">
      <c r="B10" s="1" t="s">
        <v>4</v>
      </c>
      <c r="C10" s="8">
        <v>1</v>
      </c>
    </row>
    <row r="11" spans="2:3">
      <c r="B11" s="1" t="s">
        <v>6</v>
      </c>
      <c r="C11" s="8">
        <v>1.3</v>
      </c>
    </row>
    <row r="12" spans="2:3">
      <c r="B12" s="1" t="s">
        <v>8</v>
      </c>
      <c r="C12" s="8">
        <v>1.6</v>
      </c>
    </row>
    <row r="13" spans="2:3">
      <c r="B13" s="1" t="s">
        <v>10</v>
      </c>
      <c r="C13" s="8">
        <v>1.9</v>
      </c>
    </row>
    <row r="14" spans="2:3">
      <c r="B14" s="1" t="s">
        <v>22</v>
      </c>
      <c r="C14" s="9">
        <v>2.1</v>
      </c>
    </row>
    <row r="15" spans="2:3">
      <c r="B15" s="1" t="s">
        <v>23</v>
      </c>
      <c r="C15" s="9">
        <v>2.2999999999999998</v>
      </c>
    </row>
    <row r="16" spans="2:3">
      <c r="B16" s="1" t="s">
        <v>24</v>
      </c>
      <c r="C16" s="9">
        <v>2.4</v>
      </c>
    </row>
    <row r="17" spans="2:3">
      <c r="B17" s="1" t="s">
        <v>25</v>
      </c>
      <c r="C17" s="9">
        <v>2.5</v>
      </c>
    </row>
    <row r="18" spans="2:3">
      <c r="B18" s="1" t="s">
        <v>26</v>
      </c>
      <c r="C18" s="9">
        <v>2.6</v>
      </c>
    </row>
    <row r="19" spans="2:3">
      <c r="B19" s="1" t="s">
        <v>27</v>
      </c>
      <c r="C19" s="9">
        <v>2.7</v>
      </c>
    </row>
    <row r="20" spans="2:3">
      <c r="B20" s="1" t="s">
        <v>28</v>
      </c>
      <c r="C20" s="9">
        <v>2.8</v>
      </c>
    </row>
    <row r="21" spans="2:3">
      <c r="B21" s="13" t="s">
        <v>76</v>
      </c>
    </row>
    <row r="35" spans="2:4">
      <c r="B35" s="1" t="s">
        <v>29</v>
      </c>
      <c r="C35" s="1" t="s">
        <v>30</v>
      </c>
      <c r="D35" s="1" t="s">
        <v>31</v>
      </c>
    </row>
    <row r="36" spans="2:4">
      <c r="B36" s="1" t="s">
        <v>61</v>
      </c>
      <c r="C36" s="10">
        <f>C7</f>
        <v>0.4</v>
      </c>
      <c r="D36" s="11">
        <f>(100/(100+C36*182.5/360))</f>
        <v>0.99797632578382722</v>
      </c>
    </row>
    <row r="37" spans="2:4">
      <c r="B37" s="1" t="s">
        <v>62</v>
      </c>
      <c r="C37" s="10">
        <f>C8</f>
        <v>0.6</v>
      </c>
      <c r="D37" s="11">
        <f>(100-C37/2*SUM(D$36:D36))/(100+C37/2)</f>
        <v>0.99402399902557181</v>
      </c>
    </row>
    <row r="38" spans="2:4">
      <c r="B38" s="1" t="s">
        <v>63</v>
      </c>
      <c r="C38" s="10">
        <f>C9</f>
        <v>0.8</v>
      </c>
      <c r="D38" s="11">
        <f>(100-C38/2*SUM(D$36:D37))/(100+C38/2)</f>
        <v>0.98807967998083901</v>
      </c>
    </row>
    <row r="39" spans="2:4">
      <c r="B39" s="1" t="s">
        <v>64</v>
      </c>
      <c r="C39" s="10">
        <f>C10</f>
        <v>1</v>
      </c>
      <c r="D39" s="11">
        <f>(100-C39/2*SUM(D$36:D38))/(100+C39/2)</f>
        <v>0.98019860694134209</v>
      </c>
    </row>
    <row r="40" spans="2:4">
      <c r="B40" s="1" t="s">
        <v>32</v>
      </c>
      <c r="C40" s="10">
        <f>(C39+C41)/2</f>
        <v>1.1499999999999999</v>
      </c>
      <c r="D40" s="11">
        <f>(100-C40/2*SUM(D$36:D39))/(100+C40/2)</f>
        <v>0.97164145958990145</v>
      </c>
    </row>
    <row r="41" spans="2:4">
      <c r="B41" s="1" t="s">
        <v>65</v>
      </c>
      <c r="C41" s="10">
        <f>C11</f>
        <v>1.3</v>
      </c>
      <c r="D41" s="11">
        <f>(100-C41/2*SUM(D$36:D40))/(100+C41/2)</f>
        <v>0.96169152462633911</v>
      </c>
    </row>
    <row r="42" spans="2:4">
      <c r="B42" s="1" t="s">
        <v>33</v>
      </c>
      <c r="C42" s="10">
        <f>(C41+C43)/2</f>
        <v>1.4500000000000002</v>
      </c>
      <c r="D42" s="11">
        <f>(100-C42/2*SUM(D$36:D41))/(100+C42/2)</f>
        <v>0.95038105329300404</v>
      </c>
    </row>
    <row r="43" spans="2:4">
      <c r="B43" s="1" t="s">
        <v>66</v>
      </c>
      <c r="C43" s="10">
        <f>C12</f>
        <v>1.6</v>
      </c>
      <c r="D43" s="11">
        <f>(100-C43/2*SUM(D$36:D42))/(100+C43/2)</f>
        <v>0.93774609008539034</v>
      </c>
    </row>
    <row r="44" spans="2:4">
      <c r="B44" s="1" t="s">
        <v>34</v>
      </c>
      <c r="C44" s="10">
        <f>(C43+C45)/2</f>
        <v>1.75</v>
      </c>
      <c r="D44" s="11">
        <f>(100-C44/2*SUM(D$36:D43))/(100+C44/2)</f>
        <v>0.9238263058546673</v>
      </c>
    </row>
    <row r="45" spans="2:4">
      <c r="B45" s="1" t="s">
        <v>67</v>
      </c>
      <c r="C45" s="10">
        <f>C13</f>
        <v>1.9</v>
      </c>
      <c r="D45" s="11">
        <f>(100-C45/2*SUM(D$36:D44))/(100+C45/2)</f>
        <v>0.90866481631578166</v>
      </c>
    </row>
    <row r="46" spans="2:4">
      <c r="B46" s="1" t="s">
        <v>35</v>
      </c>
      <c r="C46" s="10">
        <f>(C45+C47)/2</f>
        <v>2</v>
      </c>
      <c r="D46" s="11">
        <f>(100-C46/2*SUM(D$36:D45))/(100+C46/2)</f>
        <v>0.89490861523270626</v>
      </c>
    </row>
    <row r="47" spans="2:4">
      <c r="B47" s="1" t="s">
        <v>68</v>
      </c>
      <c r="C47" s="10">
        <f>C14</f>
        <v>2.1</v>
      </c>
      <c r="D47" s="11">
        <f>(100-C47/2*SUM(D$36:D46))/(100+C47/2)</f>
        <v>0.8804097436856424</v>
      </c>
    </row>
    <row r="48" spans="2:4">
      <c r="B48" s="1" t="s">
        <v>36</v>
      </c>
      <c r="C48" s="10">
        <f>(C47+C49)/2</f>
        <v>2.2000000000000002</v>
      </c>
      <c r="D48" s="11">
        <f>(100-C48/2*SUM(D$36:D47))/(100+C48/2)</f>
        <v>0.86519779384316009</v>
      </c>
    </row>
    <row r="49" spans="2:4">
      <c r="B49" s="1" t="s">
        <v>69</v>
      </c>
      <c r="C49" s="10">
        <f>C15</f>
        <v>2.2999999999999998</v>
      </c>
      <c r="D49" s="11">
        <f>(100-C49/2*SUM(D$36:D48))/(100+C49/2)</f>
        <v>0.84930343137521602</v>
      </c>
    </row>
    <row r="50" spans="2:4">
      <c r="B50" s="1" t="s">
        <v>37</v>
      </c>
      <c r="C50" s="10">
        <f>(C49+C51)/2</f>
        <v>2.3499999999999996</v>
      </c>
      <c r="D50" s="11">
        <f>(100-C50/2*SUM(D$36:D49))/(100+C50/2)</f>
        <v>0.83620204498523121</v>
      </c>
    </row>
    <row r="51" spans="2:4">
      <c r="B51" s="1" t="s">
        <v>70</v>
      </c>
      <c r="C51" s="10">
        <f>C16</f>
        <v>2.4</v>
      </c>
      <c r="D51" s="11">
        <f>(100-C51/2*SUM(D$36:D50))/(100+C51/2)</f>
        <v>0.82284286770017445</v>
      </c>
    </row>
    <row r="52" spans="2:4">
      <c r="B52" s="1" t="s">
        <v>38</v>
      </c>
      <c r="C52" s="10">
        <f>(C51+C53)/2</f>
        <v>2.4500000000000002</v>
      </c>
      <c r="D52" s="11">
        <f>(100-C52/2*SUM(D$36:D51))/(100+C52/2)</f>
        <v>0.80923891737277831</v>
      </c>
    </row>
    <row r="53" spans="2:4">
      <c r="B53" s="1" t="s">
        <v>71</v>
      </c>
      <c r="C53" s="10">
        <f>C17</f>
        <v>2.5</v>
      </c>
      <c r="D53" s="11">
        <f>(100-C53/2*SUM(D$36:D52))/(100+C53/2)</f>
        <v>0.79540329289269662</v>
      </c>
    </row>
    <row r="54" spans="2:4">
      <c r="B54" s="1" t="s">
        <v>39</v>
      </c>
      <c r="C54" s="10">
        <f>(C53+C55)/2</f>
        <v>2.5499999999999998</v>
      </c>
      <c r="D54" s="11">
        <f>(100-C54/2*SUM(D$36:D53))/(100+C54/2)</f>
        <v>0.78134915699881569</v>
      </c>
    </row>
    <row r="55" spans="2:4">
      <c r="B55" s="1" t="s">
        <v>72</v>
      </c>
      <c r="C55" s="10">
        <f>C18</f>
        <v>2.6</v>
      </c>
      <c r="D55" s="11">
        <f>(100-C55/2*SUM(D$36:D54))/(100+C55/2)</f>
        <v>0.76708971921759128</v>
      </c>
    </row>
    <row r="56" spans="2:4">
      <c r="B56" s="1" t="s">
        <v>40</v>
      </c>
      <c r="C56" s="10">
        <f>C$55+(C$59-C$55)*1/4</f>
        <v>2.625</v>
      </c>
      <c r="D56" s="11">
        <f>(100-C56/2*SUM(D$36:D55))/(100+C56/2)</f>
        <v>0.75494158893225527</v>
      </c>
    </row>
    <row r="57" spans="2:4">
      <c r="B57" s="1" t="s">
        <v>41</v>
      </c>
      <c r="C57" s="10">
        <f>C$55+(C$59-C$55)*1/2</f>
        <v>2.6500000000000004</v>
      </c>
      <c r="D57" s="11">
        <f>(100-C57/2*SUM(D$36:D56))/(100+C57/2)</f>
        <v>0.74276604915177757</v>
      </c>
    </row>
    <row r="58" spans="2:4">
      <c r="B58" s="1" t="s">
        <v>42</v>
      </c>
      <c r="C58" s="10">
        <f>C$55+(C$59-C$55)*3/4</f>
        <v>2.6750000000000003</v>
      </c>
      <c r="D58" s="11">
        <f>(100-C58/2*SUM(D$36:D57))/(100+C58/2)</f>
        <v>0.73056796720504946</v>
      </c>
    </row>
    <row r="59" spans="2:4">
      <c r="B59" s="1" t="s">
        <v>73</v>
      </c>
      <c r="C59" s="10">
        <f>C19</f>
        <v>2.7</v>
      </c>
      <c r="D59" s="11">
        <f>(100-C59/2*SUM(D$36:D58))/(100+C59/2)</f>
        <v>0.71835215670822716</v>
      </c>
    </row>
    <row r="60" spans="2:4">
      <c r="B60" s="1" t="s">
        <v>43</v>
      </c>
      <c r="C60" s="10">
        <f>C$59+(C$65-C$59)*1/6</f>
        <v>2.7166666666666668</v>
      </c>
      <c r="D60" s="11">
        <f>(100-C60/2*SUM(D$36:D59))/(100+C60/2)</f>
        <v>0.7070100367748029</v>
      </c>
    </row>
    <row r="61" spans="2:4">
      <c r="B61" s="1" t="s">
        <v>44</v>
      </c>
      <c r="C61" s="10">
        <f>C$59+(C$65-C$59)*2/6</f>
        <v>2.7333333333333334</v>
      </c>
      <c r="D61" s="11">
        <f>(100-C61/2*SUM(D$36:D60))/(100+C61/2)</f>
        <v>0.69570458961312576</v>
      </c>
    </row>
    <row r="62" spans="2:4">
      <c r="B62" s="1" t="s">
        <v>45</v>
      </c>
      <c r="C62" s="10">
        <f>C$59+(C$65-C$59)*3/6</f>
        <v>2.75</v>
      </c>
      <c r="D62" s="11">
        <f>(100-C62/2*SUM(D$36:D61))/(100+C62/2)</f>
        <v>0.68443810583841536</v>
      </c>
    </row>
    <row r="63" spans="2:4">
      <c r="B63" s="1" t="s">
        <v>46</v>
      </c>
      <c r="C63" s="10">
        <f>C$59+(C$65-C$59)*4/6</f>
        <v>2.7666666666666666</v>
      </c>
      <c r="D63" s="11">
        <f>(100-C63/2*SUM(D$36:D62))/(100+C63/2)</f>
        <v>0.67321283200081861</v>
      </c>
    </row>
    <row r="64" spans="2:4">
      <c r="B64" s="1" t="s">
        <v>47</v>
      </c>
      <c r="C64" s="10">
        <f>C$59+(C$65-C$59)*5/6</f>
        <v>2.7833333333333332</v>
      </c>
      <c r="D64" s="11">
        <f>(100-C64/2*SUM(D$36:D63))/(100+C64/2)</f>
        <v>0.66203097026701729</v>
      </c>
    </row>
    <row r="65" spans="2:4">
      <c r="B65" s="1" t="s">
        <v>74</v>
      </c>
      <c r="C65" s="10">
        <f>C20</f>
        <v>2.8</v>
      </c>
      <c r="D65" s="11">
        <f>(100-C65/2*SUM(D$36:D64))/(100+C65/2)</f>
        <v>0.65089467812811608</v>
      </c>
    </row>
  </sheetData>
  <phoneticPr fontId="2"/>
  <pageMargins left="0.75" right="0.75" top="1" bottom="1" header="0.51200000000000001" footer="0.51200000000000001"/>
  <headerFooter alignWithMargins="0"/>
  <ignoredErrors>
    <ignoredError sqref="C41 C43 C45 C47 C49 C51 C5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30"/>
  <sheetViews>
    <sheetView tabSelected="1" topLeftCell="K7" zoomScale="150" zoomScaleNormal="150" workbookViewId="0">
      <selection activeCell="Z8" sqref="Z8"/>
    </sheetView>
  </sheetViews>
  <sheetFormatPr baseColWidth="10" defaultColWidth="8.83203125" defaultRowHeight="14"/>
  <cols>
    <col min="2" max="2" width="12.1640625" customWidth="1"/>
    <col min="6" max="6" width="14.1640625" bestFit="1" customWidth="1"/>
    <col min="8" max="8" width="11.33203125" customWidth="1"/>
    <col min="16" max="16" width="11" bestFit="1" customWidth="1"/>
    <col min="26" max="26" width="13" bestFit="1" customWidth="1"/>
  </cols>
  <sheetData>
    <row r="3" spans="1:26">
      <c r="A3" t="s">
        <v>60</v>
      </c>
    </row>
    <row r="5" spans="1:26">
      <c r="A5" t="s">
        <v>48</v>
      </c>
    </row>
    <row r="7" spans="1:26">
      <c r="A7" t="s">
        <v>49</v>
      </c>
    </row>
    <row r="8" spans="1:26">
      <c r="J8">
        <f>100*10^4 * 0.375 / 100 * 365 / 360</f>
        <v>3802.0833333333335</v>
      </c>
      <c r="M8">
        <f>2 * ((100 / 98.6)^(1/4) - 1) * 100</f>
        <v>0.70619005286816083</v>
      </c>
      <c r="P8">
        <f>100*10^4 * (1 + 0.0248/2)^4</f>
        <v>1050530.2101381372</v>
      </c>
      <c r="Q8">
        <f>2 * ((100 / 98.6)^(1/4) - 1) * 100</f>
        <v>0.70619005286816083</v>
      </c>
      <c r="R8">
        <f>2 * (((1 + Q9/200)^5) / ((1 + Q8/200)^4)-1) * 100</f>
        <v>1.2655644008981781</v>
      </c>
      <c r="T8">
        <f>(100.48 * 100 - 1.5 / 2 * 99.64) / (100 + 1.5 / 2)</f>
        <v>98.990272952853601</v>
      </c>
      <c r="V8">
        <f>100 / (100 + 0.9 * 365 / 360)</f>
        <v>0.99095751269664323</v>
      </c>
      <c r="X8">
        <f>(100 - 100 * C13) / SUM(C10:C13)*2</f>
        <v>1.3201905983967999</v>
      </c>
      <c r="Z8">
        <f>30*10^8*(2.4/2-2.55/2)/100*SUM(D21:D30)</f>
        <v>-21251366.386703443</v>
      </c>
    </row>
    <row r="9" spans="1:26">
      <c r="B9" s="1" t="s">
        <v>50</v>
      </c>
      <c r="C9" s="1" t="s">
        <v>51</v>
      </c>
      <c r="F9">
        <f>(100 - 100 *  C13) / SUM(C10:C13) * 2</f>
        <v>1.3201905983967999</v>
      </c>
      <c r="J9">
        <f>4.875 * 365 / 360</f>
        <v>4.942708333333333</v>
      </c>
      <c r="M9">
        <f>200 * ((100 / 97.98) ^ (1/5) - 1)</f>
        <v>0.81794041114018334</v>
      </c>
      <c r="P9">
        <f>100 * 10^4 * (1 + 0.0218 / 4) ^ 12</f>
        <v>1067396.4188379811</v>
      </c>
      <c r="Q9">
        <f>2*((100/97.98)^(1/5) - 1) * 100</f>
        <v>0.81794041114018334</v>
      </c>
      <c r="R9">
        <f>2*(((1+Q10/200)^6)/((1+Q9/200)^5) - 1) * 100</f>
        <v>1.5634643077555577</v>
      </c>
      <c r="T9">
        <f>(99.96*100 - 1.2 / 2 * 99.64 - 1.2 / 2 *T8 )/(100 + 1.2 / 2)</f>
        <v>98.179143501275234</v>
      </c>
      <c r="V9">
        <f>(100 - 1.16 * V8) / (100 + 1.16)</f>
        <v>0.97716972405369606</v>
      </c>
      <c r="X9">
        <f>(100-100*C15)/SUM(C10:C15)*2</f>
        <v>1.5399836244541469</v>
      </c>
      <c r="Z9">
        <f>(2.55*SUM(D21:D30) - 1.15*SUM(D21:D24))/SUM(D25:D30)</f>
        <v>3.547000788779413</v>
      </c>
    </row>
    <row r="10" spans="1:26">
      <c r="B10" s="1" t="s">
        <v>52</v>
      </c>
      <c r="C10" s="1">
        <v>0.99626000000000003</v>
      </c>
      <c r="F10">
        <f>2 * (100 - 100 * C15) / SUM(C10:C15)</f>
        <v>1.5399836244541469</v>
      </c>
      <c r="M10">
        <f>200 * ((100 / 97.22) ^ (1/6) - 1)</f>
        <v>0.94200262671351176</v>
      </c>
      <c r="Q10">
        <f xml:space="preserve"> 2 * ((100/97.22)^(1/6) - 1) * 100</f>
        <v>0.94200262671351176</v>
      </c>
      <c r="T10">
        <f>(98.6*100-0.8 / 2 * 99.64 - 0.8/2 * T8 - 0.8/2 * T9) / (100 + 0.8 / 2)</f>
        <v>97.024663679465618</v>
      </c>
      <c r="V10">
        <f>(100-1.38*V8-1.38*V9)/(100+1.38)</f>
        <v>0.95959740001267058</v>
      </c>
    </row>
    <row r="11" spans="1:26">
      <c r="B11" s="1" t="s">
        <v>53</v>
      </c>
      <c r="C11" s="1">
        <v>0.99036000000000002</v>
      </c>
      <c r="F11" s="14"/>
      <c r="T11">
        <f>2.4 / 200 * (99.64 + T8+T9+T10)+T10</f>
        <v>101.75067264106875</v>
      </c>
      <c r="V11">
        <f>(100-1.62*SUM(V8:V10)) / (100 + 1.62)</f>
        <v>0.93738522031533089</v>
      </c>
    </row>
    <row r="12" spans="1:26">
      <c r="B12" s="1" t="s">
        <v>54</v>
      </c>
      <c r="C12" s="1">
        <v>0.98277999999999999</v>
      </c>
      <c r="M12">
        <f>2*((1+M9/200)^5/(1+M8/200) ^ 4 - 1) * 100</f>
        <v>1.2655644008981781</v>
      </c>
      <c r="V12">
        <f>(100 - 1.84 * SUM(V8:V11)) / (100 + 1.84)</f>
        <v>0.91209935057910307</v>
      </c>
    </row>
    <row r="13" spans="1:26">
      <c r="B13" s="1" t="s">
        <v>55</v>
      </c>
      <c r="C13" s="1">
        <v>0.97397</v>
      </c>
      <c r="M13">
        <f>2 *( ((1 + M10/200)^6) / (1 + M9/200)^5 - 1) * 100</f>
        <v>1.5634643077555577</v>
      </c>
    </row>
    <row r="14" spans="1:26">
      <c r="B14" s="1" t="s">
        <v>56</v>
      </c>
      <c r="C14" s="1">
        <v>0.96416999999999997</v>
      </c>
    </row>
    <row r="15" spans="1:26">
      <c r="B15" s="1" t="s">
        <v>57</v>
      </c>
      <c r="C15" s="1">
        <v>0.95486000000000004</v>
      </c>
    </row>
    <row r="18" spans="1:6">
      <c r="A18" t="s">
        <v>58</v>
      </c>
    </row>
    <row r="20" spans="1:6">
      <c r="B20" s="1"/>
      <c r="C20" s="1" t="s">
        <v>0</v>
      </c>
      <c r="D20" s="1" t="s">
        <v>59</v>
      </c>
      <c r="F20">
        <f>50 * 10^8 * (1.2 - 2.55 / 2) / 100 * SUM(D21:D30)</f>
        <v>-35418943.977839068</v>
      </c>
    </row>
    <row r="21" spans="1:6">
      <c r="B21" s="1" t="s">
        <v>1</v>
      </c>
      <c r="C21" s="2">
        <v>0.88</v>
      </c>
      <c r="D21" s="12">
        <v>0.99555870201268792</v>
      </c>
      <c r="F21">
        <f>(2.55 * SUM(D25:D30) - (1.15-2.55) * SUM(D21:D24)) / SUM(D25:D30)</f>
        <v>3.547000788779413</v>
      </c>
    </row>
    <row r="22" spans="1:6">
      <c r="B22" s="1" t="s">
        <v>2</v>
      </c>
      <c r="C22" s="2">
        <v>1.22</v>
      </c>
      <c r="D22" s="12">
        <v>0.98790089644938128</v>
      </c>
    </row>
    <row r="23" spans="1:6">
      <c r="B23" s="1" t="s">
        <v>3</v>
      </c>
      <c r="C23" s="2">
        <v>1.48</v>
      </c>
      <c r="D23" s="12">
        <v>0.97808457313021713</v>
      </c>
    </row>
    <row r="24" spans="1:6">
      <c r="B24" s="1" t="s">
        <v>4</v>
      </c>
      <c r="C24" s="2">
        <v>1.68</v>
      </c>
      <c r="D24" s="12">
        <v>0.96700022705139299</v>
      </c>
    </row>
    <row r="25" spans="1:6">
      <c r="B25" s="1" t="s">
        <v>5</v>
      </c>
      <c r="C25" s="2">
        <v>1.84</v>
      </c>
      <c r="D25" s="12">
        <v>0.95507074071787368</v>
      </c>
    </row>
    <row r="26" spans="1:6">
      <c r="B26" s="1" t="s">
        <v>6</v>
      </c>
      <c r="C26" s="2">
        <v>1.96</v>
      </c>
      <c r="D26" s="12">
        <v>0.94290015016266271</v>
      </c>
    </row>
    <row r="27" spans="1:6">
      <c r="B27" s="1" t="s">
        <v>7</v>
      </c>
      <c r="C27" s="2">
        <v>2.12</v>
      </c>
      <c r="D27" s="12">
        <v>0.92839791997926313</v>
      </c>
    </row>
    <row r="28" spans="1:6">
      <c r="B28" s="1" t="s">
        <v>8</v>
      </c>
      <c r="C28" s="2">
        <v>2.2599999999999998</v>
      </c>
      <c r="D28" s="12">
        <v>0.91334864108831282</v>
      </c>
    </row>
    <row r="29" spans="1:6">
      <c r="B29" s="13" t="s">
        <v>9</v>
      </c>
      <c r="C29" s="2">
        <v>2.4</v>
      </c>
      <c r="D29" s="12">
        <v>0.89721428635661904</v>
      </c>
    </row>
    <row r="30" spans="1:6">
      <c r="B30" s="1" t="s">
        <v>10</v>
      </c>
      <c r="C30" s="2">
        <v>2.5499999999999998</v>
      </c>
      <c r="D30" s="12">
        <v>0.87957559047534695</v>
      </c>
    </row>
  </sheetData>
  <phoneticPr fontId="2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1-1</vt:lpstr>
      <vt:lpstr>1-2</vt:lpstr>
      <vt:lpstr>1-3</vt:lpstr>
    </vt:vector>
  </TitlesOfParts>
  <Company>SIGMA BASE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 Imai</dc:creator>
  <cp:lastModifiedBy>諌山 東京大学</cp:lastModifiedBy>
  <dcterms:created xsi:type="dcterms:W3CDTF">2006-10-03T02:48:26Z</dcterms:created>
  <dcterms:modified xsi:type="dcterms:W3CDTF">2024-09-01T04:12:04Z</dcterms:modified>
</cp:coreProperties>
</file>