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a/Downloads/sigma_s2_excel/"/>
    </mc:Choice>
  </mc:AlternateContent>
  <xr:revisionPtr revIDLastSave="0" documentId="13_ncr:1_{FFEB39C8-FDCE-9649-9203-8E843A512B0F}" xr6:coauthVersionLast="47" xr6:coauthVersionMax="47" xr10:uidLastSave="{00000000-0000-0000-0000-000000000000}"/>
  <bookViews>
    <workbookView xWindow="0" yWindow="0" windowWidth="28800" windowHeight="18000" activeTab="12" xr2:uid="{00000000-000D-0000-FFFF-FFFF00000000}"/>
  </bookViews>
  <sheets>
    <sheet name="2-1" sheetId="1" r:id="rId1"/>
    <sheet name="2-2" sheetId="2" r:id="rId2"/>
    <sheet name="2-3" sheetId="3" r:id="rId3"/>
    <sheet name="2-4" sheetId="4" r:id="rId4"/>
    <sheet name="2-5" sheetId="5" r:id="rId5"/>
    <sheet name="2-6" sheetId="6" r:id="rId6"/>
    <sheet name="2-7" sheetId="7" r:id="rId7"/>
    <sheet name="2-8" sheetId="8" r:id="rId8"/>
    <sheet name="2-9" sheetId="9" r:id="rId9"/>
    <sheet name="2-10" sheetId="10" r:id="rId10"/>
    <sheet name="2-11" sheetId="11" r:id="rId11"/>
    <sheet name="2-12" sheetId="12" r:id="rId12"/>
    <sheet name="2-13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3" l="1"/>
  <c r="V8" i="13"/>
  <c r="V6" i="13"/>
  <c r="Q10" i="13"/>
  <c r="H22" i="13"/>
  <c r="H12" i="13"/>
  <c r="H23" i="13"/>
  <c r="H34" i="13"/>
  <c r="H33" i="13"/>
  <c r="H32" i="13"/>
  <c r="M34" i="13"/>
  <c r="L33" i="13"/>
  <c r="M33" i="13"/>
  <c r="L40" i="13"/>
  <c r="N40" i="13" s="1"/>
  <c r="L35" i="13"/>
  <c r="L36" i="13"/>
  <c r="L37" i="13"/>
  <c r="N37" i="13" s="1"/>
  <c r="L38" i="13"/>
  <c r="N38" i="13" s="1"/>
  <c r="L39" i="13"/>
  <c r="L34" i="13"/>
  <c r="N34" i="13" s="1"/>
  <c r="N35" i="13"/>
  <c r="N36" i="13"/>
  <c r="N39" i="13"/>
  <c r="N33" i="13"/>
  <c r="M35" i="13"/>
  <c r="M36" i="13"/>
  <c r="M37" i="13"/>
  <c r="M38" i="13"/>
  <c r="M39" i="13"/>
  <c r="M40" i="13"/>
  <c r="K33" i="13"/>
  <c r="K40" i="13"/>
  <c r="K35" i="13"/>
  <c r="K36" i="13"/>
  <c r="K37" i="13"/>
  <c r="K38" i="13"/>
  <c r="K39" i="13"/>
  <c r="K34" i="13"/>
  <c r="V9" i="13"/>
  <c r="V7" i="13"/>
  <c r="P17" i="13"/>
  <c r="P16" i="13"/>
  <c r="Q12" i="13"/>
  <c r="Q11" i="13"/>
  <c r="Q9" i="13"/>
  <c r="Q8" i="13"/>
  <c r="D8" i="13"/>
  <c r="I22" i="13"/>
  <c r="H6" i="13"/>
  <c r="D7" i="13"/>
  <c r="F20" i="1"/>
  <c r="F26" i="1" s="1"/>
  <c r="F23" i="1"/>
  <c r="C34" i="1"/>
  <c r="C35" i="1"/>
  <c r="C46" i="1" s="1"/>
  <c r="D46" i="1" s="1"/>
  <c r="C36" i="1"/>
  <c r="C47" i="1" s="1"/>
  <c r="D47" i="1" s="1"/>
  <c r="C37" i="1"/>
  <c r="C48" i="1" s="1"/>
  <c r="D48" i="1" s="1"/>
  <c r="C38" i="1"/>
  <c r="C49" i="1" s="1"/>
  <c r="D49" i="1" s="1"/>
  <c r="C39" i="1"/>
  <c r="C50" i="1" s="1"/>
  <c r="D50" i="1" s="1"/>
  <c r="C45" i="1"/>
  <c r="D45" i="1"/>
  <c r="C20" i="2"/>
  <c r="D31" i="2" s="1"/>
  <c r="E31" i="2" s="1"/>
  <c r="C21" i="2"/>
  <c r="C22" i="2"/>
  <c r="D33" i="2" s="1"/>
  <c r="E33" i="2" s="1"/>
  <c r="C23" i="2"/>
  <c r="D34" i="2" s="1"/>
  <c r="E34" i="2" s="1"/>
  <c r="C24" i="2"/>
  <c r="E30" i="2"/>
  <c r="D32" i="2"/>
  <c r="E32" i="2" s="1"/>
  <c r="D35" i="2"/>
  <c r="E35" i="2" s="1"/>
  <c r="E42" i="2"/>
  <c r="E43" i="2"/>
  <c r="E44" i="2"/>
  <c r="E45" i="2"/>
  <c r="E46" i="2"/>
  <c r="E47" i="2"/>
  <c r="D20" i="3"/>
  <c r="D21" i="3"/>
  <c r="D22" i="3" s="1"/>
  <c r="E24" i="3"/>
  <c r="C33" i="3" s="1"/>
  <c r="C34" i="3"/>
  <c r="C35" i="3"/>
  <c r="C36" i="3"/>
  <c r="C37" i="3"/>
  <c r="C38" i="3"/>
  <c r="E44" i="3" s="1"/>
  <c r="C39" i="3"/>
  <c r="C40" i="3"/>
  <c r="C41" i="3"/>
  <c r="C35" i="4"/>
  <c r="D49" i="4" s="1"/>
  <c r="C36" i="4"/>
  <c r="D50" i="4" s="1"/>
  <c r="C37" i="4"/>
  <c r="C38" i="4"/>
  <c r="C39" i="4"/>
  <c r="D53" i="4" s="1"/>
  <c r="C40" i="4"/>
  <c r="D54" i="4" s="1"/>
  <c r="C41" i="4"/>
  <c r="D55" i="4" s="1"/>
  <c r="C42" i="4"/>
  <c r="C43" i="4"/>
  <c r="D57" i="4" s="1"/>
  <c r="D48" i="4"/>
  <c r="D51" i="4"/>
  <c r="D52" i="4"/>
  <c r="D56" i="4"/>
  <c r="D64" i="4"/>
  <c r="D75" i="4" s="1"/>
  <c r="D65" i="4"/>
  <c r="D66" i="4"/>
  <c r="D67" i="4"/>
  <c r="D68" i="4"/>
  <c r="D69" i="4"/>
  <c r="D70" i="4"/>
  <c r="D71" i="4"/>
  <c r="D72" i="4"/>
  <c r="D73" i="4"/>
  <c r="D27" i="5"/>
  <c r="D28" i="5" s="1"/>
  <c r="B21" i="6"/>
  <c r="B25" i="6" s="1"/>
  <c r="B34" i="6" s="1"/>
  <c r="B38" i="6" s="1"/>
  <c r="B30" i="6"/>
  <c r="C44" i="7"/>
  <c r="D44" i="7"/>
  <c r="D45" i="7" s="1"/>
  <c r="C46" i="7"/>
  <c r="D46" i="7" s="1"/>
  <c r="C47" i="7"/>
  <c r="C48" i="7"/>
  <c r="C49" i="7"/>
  <c r="C51" i="7"/>
  <c r="C52" i="7" s="1"/>
  <c r="C53" i="7"/>
  <c r="C54" i="7"/>
  <c r="C55" i="7"/>
  <c r="C56" i="7"/>
  <c r="C57" i="7"/>
  <c r="B67" i="7"/>
  <c r="B82" i="7"/>
  <c r="C25" i="8"/>
  <c r="C26" i="8"/>
  <c r="E46" i="8" s="1"/>
  <c r="F46" i="8" s="1"/>
  <c r="C27" i="8"/>
  <c r="E47" i="8" s="1"/>
  <c r="F47" i="8" s="1"/>
  <c r="C28" i="8"/>
  <c r="C29" i="8"/>
  <c r="C30" i="8"/>
  <c r="E50" i="8" s="1"/>
  <c r="F50" i="8" s="1"/>
  <c r="C31" i="8"/>
  <c r="E51" i="8" s="1"/>
  <c r="F51" i="8" s="1"/>
  <c r="C32" i="8"/>
  <c r="E52" i="8" s="1"/>
  <c r="F52" i="8" s="1"/>
  <c r="C33" i="8"/>
  <c r="C34" i="8"/>
  <c r="E54" i="8" s="1"/>
  <c r="F54" i="8" s="1"/>
  <c r="C35" i="8"/>
  <c r="E55" i="8" s="1"/>
  <c r="F55" i="8" s="1"/>
  <c r="C36" i="8"/>
  <c r="C37" i="8"/>
  <c r="E57" i="8" s="1"/>
  <c r="F57" i="8" s="1"/>
  <c r="C38" i="8"/>
  <c r="E44" i="8"/>
  <c r="F44" i="8" s="1"/>
  <c r="E45" i="8"/>
  <c r="F45" i="8" s="1"/>
  <c r="E48" i="8"/>
  <c r="F48" i="8" s="1"/>
  <c r="E49" i="8"/>
  <c r="F49" i="8" s="1"/>
  <c r="E53" i="8"/>
  <c r="F53" i="8" s="1"/>
  <c r="E56" i="8"/>
  <c r="F56" i="8" s="1"/>
  <c r="D58" i="8"/>
  <c r="E58" i="8" s="1"/>
  <c r="F58" i="8" s="1"/>
  <c r="E65" i="8"/>
  <c r="F65" i="8" s="1"/>
  <c r="D79" i="8"/>
  <c r="I5" i="9"/>
  <c r="D24" i="9" s="1"/>
  <c r="I6" i="9"/>
  <c r="I7" i="9"/>
  <c r="D25" i="9"/>
  <c r="C41" i="9"/>
  <c r="I5" i="10"/>
  <c r="I6" i="10"/>
  <c r="D25" i="10" s="1"/>
  <c r="E44" i="10" s="1"/>
  <c r="D24" i="10"/>
  <c r="E43" i="10" s="1"/>
  <c r="E59" i="10"/>
  <c r="E63" i="10"/>
  <c r="B30" i="11"/>
  <c r="C30" i="11"/>
  <c r="B31" i="11"/>
  <c r="C31" i="11" s="1"/>
  <c r="B32" i="11"/>
  <c r="C32" i="11" s="1"/>
  <c r="B33" i="11"/>
  <c r="C33" i="11"/>
  <c r="B34" i="11"/>
  <c r="C34" i="11"/>
  <c r="B35" i="11"/>
  <c r="C35" i="11" s="1"/>
  <c r="B24" i="12"/>
  <c r="B28" i="12" s="1"/>
  <c r="B38" i="12"/>
  <c r="B42" i="12" s="1"/>
  <c r="B46" i="12" s="1"/>
  <c r="B53" i="12"/>
  <c r="B57" i="12"/>
  <c r="B61" i="12" s="1"/>
  <c r="D9" i="13"/>
  <c r="I23" i="13" s="1"/>
  <c r="D23" i="13"/>
  <c r="D25" i="13" s="1"/>
  <c r="D24" i="13"/>
  <c r="D52" i="1" l="1"/>
  <c r="E75" i="8"/>
  <c r="F75" i="8" s="1"/>
  <c r="E73" i="8"/>
  <c r="F73" i="8" s="1"/>
  <c r="C50" i="7"/>
  <c r="E71" i="8"/>
  <c r="F71" i="8" s="1"/>
  <c r="E43" i="3"/>
  <c r="E45" i="3" s="1"/>
  <c r="D29" i="5"/>
  <c r="D30" i="5" s="1"/>
  <c r="D31" i="5" s="1"/>
  <c r="F60" i="8"/>
  <c r="E69" i="8"/>
  <c r="F69" i="8" s="1"/>
  <c r="E67" i="8"/>
  <c r="F67" i="8" s="1"/>
  <c r="E49" i="2"/>
  <c r="C37" i="11"/>
  <c r="E26" i="3"/>
  <c r="E47" i="3" s="1"/>
  <c r="E77" i="8"/>
  <c r="F77" i="8" s="1"/>
  <c r="D59" i="4"/>
  <c r="D79" i="4" s="1"/>
  <c r="D26" i="13"/>
  <c r="D27" i="13" s="1"/>
  <c r="D28" i="13" s="1"/>
  <c r="D29" i="13" s="1"/>
  <c r="E37" i="2"/>
  <c r="C54" i="2" s="1"/>
  <c r="D47" i="7"/>
  <c r="I7" i="10"/>
  <c r="D27" i="9"/>
  <c r="I8" i="9"/>
  <c r="D10" i="13"/>
  <c r="E74" i="8"/>
  <c r="F74" i="8" s="1"/>
  <c r="E70" i="8"/>
  <c r="F70" i="8" s="1"/>
  <c r="E78" i="8"/>
  <c r="F78" i="8" s="1"/>
  <c r="E76" i="8"/>
  <c r="F76" i="8" s="1"/>
  <c r="E72" i="8"/>
  <c r="F72" i="8" s="1"/>
  <c r="E68" i="8"/>
  <c r="F68" i="8" s="1"/>
  <c r="E66" i="8"/>
  <c r="F66" i="8" s="1"/>
  <c r="E79" i="8"/>
  <c r="F79" i="8" s="1"/>
  <c r="D11" i="13" l="1"/>
  <c r="H13" i="13"/>
  <c r="H24" i="13" s="1"/>
  <c r="H14" i="13"/>
  <c r="H25" i="13" s="1"/>
  <c r="H7" i="13"/>
  <c r="I24" i="13"/>
  <c r="D32" i="5"/>
  <c r="D33" i="5" s="1"/>
  <c r="D34" i="5" s="1"/>
  <c r="D35" i="5" s="1"/>
  <c r="F81" i="8"/>
  <c r="D30" i="13"/>
  <c r="D26" i="9"/>
  <c r="D12" i="13"/>
  <c r="I8" i="10"/>
  <c r="D29" i="10" s="1"/>
  <c r="D27" i="10"/>
  <c r="D29" i="9"/>
  <c r="D28" i="9" s="1"/>
  <c r="I9" i="9"/>
  <c r="D31" i="9" s="1"/>
  <c r="D48" i="7"/>
  <c r="I26" i="13" l="1"/>
  <c r="H9" i="13"/>
  <c r="H8" i="13"/>
  <c r="I25" i="13"/>
  <c r="H15" i="13"/>
  <c r="H26" i="13" s="1"/>
  <c r="D36" i="5"/>
  <c r="D37" i="5" s="1"/>
  <c r="D49" i="7"/>
  <c r="I10" i="9"/>
  <c r="D30" i="9"/>
  <c r="D28" i="10"/>
  <c r="E47" i="10" s="1"/>
  <c r="E46" i="10"/>
  <c r="D26" i="10"/>
  <c r="E45" i="10" s="1"/>
  <c r="D13" i="13"/>
  <c r="E48" i="10"/>
  <c r="D31" i="13"/>
  <c r="D32" i="13" s="1"/>
  <c r="I9" i="10"/>
  <c r="D14" i="13" l="1"/>
  <c r="I27" i="13"/>
  <c r="H17" i="13"/>
  <c r="H28" i="13" s="1"/>
  <c r="H10" i="13"/>
  <c r="H16" i="13"/>
  <c r="H27" i="13" s="1"/>
  <c r="D38" i="5"/>
  <c r="D39" i="5"/>
  <c r="D40" i="5" s="1"/>
  <c r="D31" i="10"/>
  <c r="I10" i="10"/>
  <c r="D33" i="10" s="1"/>
  <c r="D33" i="9"/>
  <c r="I11" i="9"/>
  <c r="D35" i="9" s="1"/>
  <c r="D15" i="13"/>
  <c r="D50" i="7"/>
  <c r="I29" i="13" l="1"/>
  <c r="I28" i="13"/>
  <c r="H18" i="13"/>
  <c r="H29" i="13" s="1"/>
  <c r="C45" i="5"/>
  <c r="C48" i="5"/>
  <c r="C53" i="5" s="1"/>
  <c r="I11" i="10"/>
  <c r="D35" i="10" s="1"/>
  <c r="D16" i="13"/>
  <c r="E52" i="10"/>
  <c r="D34" i="10"/>
  <c r="D32" i="10"/>
  <c r="E51" i="10" s="1"/>
  <c r="E50" i="10"/>
  <c r="D30" i="10"/>
  <c r="E49" i="10" s="1"/>
  <c r="D51" i="7"/>
  <c r="D52" i="7"/>
  <c r="D53" i="7" s="1"/>
  <c r="D54" i="7" s="1"/>
  <c r="I12" i="9"/>
  <c r="D37" i="9" s="1"/>
  <c r="D36" i="9" s="1"/>
  <c r="D34" i="9"/>
  <c r="D32" i="9"/>
  <c r="D17" i="13" l="1"/>
  <c r="I30" i="13"/>
  <c r="H20" i="13"/>
  <c r="H31" i="13" s="1"/>
  <c r="H19" i="13"/>
  <c r="H30" i="13" s="1"/>
  <c r="B63" i="7"/>
  <c r="B71" i="7" s="1"/>
  <c r="I12" i="10"/>
  <c r="D37" i="10" s="1"/>
  <c r="D36" i="10" s="1"/>
  <c r="E54" i="10"/>
  <c r="E57" i="10" s="1"/>
  <c r="E61" i="10" s="1"/>
  <c r="E65" i="10" s="1"/>
  <c r="C45" i="9"/>
  <c r="C49" i="9" s="1"/>
  <c r="D55" i="7"/>
  <c r="I31" i="13" l="1"/>
  <c r="K31" i="13" s="1"/>
  <c r="G11" i="13"/>
  <c r="P6" i="13"/>
  <c r="D56" i="7"/>
  <c r="D57" i="7" s="1"/>
  <c r="B78" i="7" s="1"/>
  <c r="B86" i="7" s="1"/>
</calcChain>
</file>

<file path=xl/sharedStrings.xml><?xml version="1.0" encoding="utf-8"?>
<sst xmlns="http://schemas.openxmlformats.org/spreadsheetml/2006/main" count="707" uniqueCount="383">
  <si>
    <t>　　ｄｆ</t>
  </si>
  <si>
    <t>1.0ｙ　SWAP</t>
  </si>
  <si>
    <t>1.5ｙ　SWAP</t>
  </si>
  <si>
    <t>2.0ｙ　SWAP</t>
  </si>
  <si>
    <t>2.5ｙ　SWAP</t>
  </si>
  <si>
    <t>3.0ｙ　SWAP</t>
  </si>
  <si>
    <t>3.5ｙ　SWAP</t>
  </si>
  <si>
    <t>4.0ｙ　SWAP</t>
  </si>
  <si>
    <t>4.5ｙ　SWAP</t>
  </si>
  <si>
    <t>5.0ｙ　SWAP</t>
  </si>
  <si>
    <t>5.5ｙ　SWAP</t>
  </si>
  <si>
    <t>6.0ｙ　SWAP</t>
  </si>
  <si>
    <t>6.5ｙ　SWAP</t>
  </si>
  <si>
    <t>7.0ｙ　SWAP</t>
  </si>
  <si>
    <t>　＜前提となる金利体系＞</t>
    <rPh sb="2" eb="4">
      <t>ゼンテイ</t>
    </rPh>
    <rPh sb="7" eb="9">
      <t>キンリ</t>
    </rPh>
    <rPh sb="9" eb="11">
      <t>タイケイ</t>
    </rPh>
    <phoneticPr fontId="2"/>
  </si>
  <si>
    <t xml:space="preserve"> 金利 (%)</t>
    <rPh sb="1" eb="3">
      <t>キンリ</t>
    </rPh>
    <phoneticPr fontId="2"/>
  </si>
  <si>
    <t>　　　　ｄｆ</t>
    <phoneticPr fontId="2"/>
  </si>
  <si>
    <t>LIBOR6ヶ月</t>
    <rPh sb="7" eb="8">
      <t>ゲツ</t>
    </rPh>
    <phoneticPr fontId="2"/>
  </si>
  <si>
    <t>df0.5</t>
    <phoneticPr fontId="2"/>
  </si>
  <si>
    <t>1.0ｙ　SWAP</t>
    <phoneticPr fontId="2"/>
  </si>
  <si>
    <t>df1.0</t>
    <phoneticPr fontId="2"/>
  </si>
  <si>
    <t>1.5ｙ　SWAP</t>
    <phoneticPr fontId="2"/>
  </si>
  <si>
    <t>ｄｆ1.5</t>
    <phoneticPr fontId="2"/>
  </si>
  <si>
    <t>2.0ｙ　SWAP</t>
    <phoneticPr fontId="2"/>
  </si>
  <si>
    <t>ｄｆ2.0</t>
    <phoneticPr fontId="2"/>
  </si>
  <si>
    <t>2.5ｙ　SWAP</t>
    <phoneticPr fontId="2"/>
  </si>
  <si>
    <t>ｄｆ2.5</t>
    <phoneticPr fontId="2"/>
  </si>
  <si>
    <t>3.0ｙ　SWAP</t>
    <phoneticPr fontId="2"/>
  </si>
  <si>
    <t>ｄｆ3.0</t>
    <phoneticPr fontId="2"/>
  </si>
  <si>
    <t>3.5ｙ　SWAP</t>
    <phoneticPr fontId="2"/>
  </si>
  <si>
    <t>ｄｆ3.5</t>
    <phoneticPr fontId="2"/>
  </si>
  <si>
    <t>4.0ｙ　SWAP</t>
    <phoneticPr fontId="2"/>
  </si>
  <si>
    <t>ｄｆ4.0</t>
    <phoneticPr fontId="2"/>
  </si>
  <si>
    <t>4.5ｙ　SWAP</t>
    <phoneticPr fontId="2"/>
  </si>
  <si>
    <t>ｄｆ4.5</t>
    <phoneticPr fontId="2"/>
  </si>
  <si>
    <t>5.0ｙ　SWAP</t>
    <phoneticPr fontId="2"/>
  </si>
  <si>
    <t>ｄｆ5.0</t>
    <phoneticPr fontId="2"/>
  </si>
  <si>
    <t>＜例題１＞</t>
    <rPh sb="1" eb="2">
      <t>レイ</t>
    </rPh>
    <rPh sb="2" eb="3">
      <t>ダイ</t>
    </rPh>
    <phoneticPr fontId="2"/>
  </si>
  <si>
    <t>（１）</t>
    <phoneticPr fontId="2"/>
  </si>
  <si>
    <t>LIBORの現在価値（元本100円）</t>
    <rPh sb="6" eb="8">
      <t>ゲンザイ</t>
    </rPh>
    <rPh sb="8" eb="10">
      <t>カチ</t>
    </rPh>
    <rPh sb="11" eb="13">
      <t>ガンポン</t>
    </rPh>
    <rPh sb="16" eb="17">
      <t>エン</t>
    </rPh>
    <phoneticPr fontId="2"/>
  </si>
  <si>
    <t>（2）</t>
    <phoneticPr fontId="2"/>
  </si>
  <si>
    <t>X=1%と仮定した場合の現在価値</t>
    <rPh sb="5" eb="7">
      <t>カテイ</t>
    </rPh>
    <rPh sb="9" eb="11">
      <t>バアイ</t>
    </rPh>
    <rPh sb="12" eb="14">
      <t>ゲンザイ</t>
    </rPh>
    <rPh sb="14" eb="16">
      <t>カチ</t>
    </rPh>
    <phoneticPr fontId="2"/>
  </si>
  <si>
    <t>（3）</t>
    <phoneticPr fontId="2"/>
  </si>
  <si>
    <t>（１）÷（２）でＸは求められる。</t>
    <rPh sb="10" eb="11">
      <t>モト</t>
    </rPh>
    <phoneticPr fontId="2"/>
  </si>
  <si>
    <t>% (答）</t>
    <rPh sb="3" eb="4">
      <t>コタ</t>
    </rPh>
    <phoneticPr fontId="2"/>
  </si>
  <si>
    <t>＜例題２＞</t>
    <rPh sb="1" eb="2">
      <t>レイ</t>
    </rPh>
    <rPh sb="2" eb="3">
      <t>ダイ</t>
    </rPh>
    <phoneticPr fontId="2"/>
  </si>
  <si>
    <t>(1)　インプライド・フォワード・レートを計算する。</t>
    <rPh sb="21" eb="23">
      <t>ケイサン</t>
    </rPh>
    <phoneticPr fontId="2"/>
  </si>
  <si>
    <t>期間</t>
    <rPh sb="0" eb="2">
      <t>キカン</t>
    </rPh>
    <phoneticPr fontId="2"/>
  </si>
  <si>
    <t xml:space="preserve"> IFR(%)</t>
    <phoneticPr fontId="2"/>
  </si>
  <si>
    <t>1.0～1.5</t>
    <phoneticPr fontId="2"/>
  </si>
  <si>
    <t>1.5～2.0</t>
    <phoneticPr fontId="2"/>
  </si>
  <si>
    <t>2.0～2.5</t>
    <phoneticPr fontId="2"/>
  </si>
  <si>
    <t>2.5～3.0</t>
    <phoneticPr fontId="2"/>
  </si>
  <si>
    <t>3.0～3.5</t>
    <phoneticPr fontId="2"/>
  </si>
  <si>
    <t>3.5～4.0</t>
    <phoneticPr fontId="2"/>
  </si>
  <si>
    <t>(2) インプライド・フォワード・レートで計算された金利の現在価値を求める。</t>
    <rPh sb="21" eb="23">
      <t>ケイサン</t>
    </rPh>
    <rPh sb="26" eb="28">
      <t>キンリ</t>
    </rPh>
    <rPh sb="29" eb="31">
      <t>ゲンザイ</t>
    </rPh>
    <rPh sb="31" eb="33">
      <t>カチ</t>
    </rPh>
    <rPh sb="34" eb="35">
      <t>モト</t>
    </rPh>
    <phoneticPr fontId="2"/>
  </si>
  <si>
    <t xml:space="preserve">      P.V</t>
    <phoneticPr fontId="2"/>
  </si>
  <si>
    <t>　合計</t>
    <rPh sb="1" eb="3">
      <t>ゴウケイ</t>
    </rPh>
    <phoneticPr fontId="2"/>
  </si>
  <si>
    <t>df0.5</t>
    <phoneticPr fontId="2"/>
  </si>
  <si>
    <t>1.0ｙ　SWAP</t>
    <phoneticPr fontId="2"/>
  </si>
  <si>
    <t>df1.0</t>
    <phoneticPr fontId="2"/>
  </si>
  <si>
    <t>1.5ｙ　SWAP</t>
    <phoneticPr fontId="2"/>
  </si>
  <si>
    <t>ｄｆ1.5</t>
    <phoneticPr fontId="2"/>
  </si>
  <si>
    <t>2.0ｙ　SWAP</t>
    <phoneticPr fontId="2"/>
  </si>
  <si>
    <t>ｄｆ2.0</t>
    <phoneticPr fontId="2"/>
  </si>
  <si>
    <t>2.5ｙ　SWAP</t>
    <phoneticPr fontId="2"/>
  </si>
  <si>
    <t>ｄｆ2.5</t>
    <phoneticPr fontId="2"/>
  </si>
  <si>
    <t>3.0ｙ　SWAP</t>
    <phoneticPr fontId="2"/>
  </si>
  <si>
    <t>ｄｆ3.0</t>
    <phoneticPr fontId="2"/>
  </si>
  <si>
    <t>3.5ｙ　SWAP</t>
    <phoneticPr fontId="2"/>
  </si>
  <si>
    <t>ｄｆ3.5</t>
    <phoneticPr fontId="2"/>
  </si>
  <si>
    <t>4.0ｙ　SWAP</t>
    <phoneticPr fontId="2"/>
  </si>
  <si>
    <t>ｄｆ4.0</t>
    <phoneticPr fontId="2"/>
  </si>
  <si>
    <t>4.5ｙ　SWAP</t>
    <phoneticPr fontId="2"/>
  </si>
  <si>
    <t>ｄｆ4.5</t>
    <phoneticPr fontId="2"/>
  </si>
  <si>
    <t>5.0ｙ　SWAP</t>
    <phoneticPr fontId="2"/>
  </si>
  <si>
    <t>ｄｆ5.0</t>
    <phoneticPr fontId="2"/>
  </si>
  <si>
    <t>①　インプライド・フォワード・レートを求める。</t>
    <rPh sb="19" eb="20">
      <t>モト</t>
    </rPh>
    <phoneticPr fontId="2"/>
  </si>
  <si>
    <t>　</t>
    <phoneticPr fontId="2"/>
  </si>
  <si>
    <t>　 IFR(%)</t>
    <phoneticPr fontId="2"/>
  </si>
  <si>
    <t>0.5～1.0</t>
    <phoneticPr fontId="2"/>
  </si>
  <si>
    <t>②　LIBORの現在価値を求める。</t>
    <rPh sb="8" eb="10">
      <t>ゲンザイ</t>
    </rPh>
    <rPh sb="10" eb="12">
      <t>カチ</t>
    </rPh>
    <rPh sb="13" eb="14">
      <t>モト</t>
    </rPh>
    <phoneticPr fontId="2"/>
  </si>
  <si>
    <t>利払時点</t>
    <rPh sb="0" eb="2">
      <t>リバラ</t>
    </rPh>
    <rPh sb="2" eb="4">
      <t>ジテン</t>
    </rPh>
    <phoneticPr fontId="2"/>
  </si>
  <si>
    <t>想定元本</t>
    <rPh sb="0" eb="2">
      <t>ソウテイ</t>
    </rPh>
    <rPh sb="2" eb="4">
      <t>ガンポン</t>
    </rPh>
    <phoneticPr fontId="2"/>
  </si>
  <si>
    <t>　金利</t>
    <rPh sb="1" eb="3">
      <t>キンリ</t>
    </rPh>
    <phoneticPr fontId="2"/>
  </si>
  <si>
    <t>　現在価値</t>
    <rPh sb="1" eb="3">
      <t>ゲンザイ</t>
    </rPh>
    <rPh sb="3" eb="5">
      <t>カチ</t>
    </rPh>
    <phoneticPr fontId="2"/>
  </si>
  <si>
    <t>合計</t>
    <rPh sb="0" eb="2">
      <t>ゴウケイ</t>
    </rPh>
    <phoneticPr fontId="2"/>
  </si>
  <si>
    <t>・・・・（A)</t>
    <phoneticPr fontId="2"/>
  </si>
  <si>
    <t>③　Ｘ＝１％と仮定して現在価値を求める。</t>
    <rPh sb="7" eb="9">
      <t>カテイ</t>
    </rPh>
    <rPh sb="11" eb="13">
      <t>ゲンザイ</t>
    </rPh>
    <rPh sb="13" eb="15">
      <t>カチ</t>
    </rPh>
    <rPh sb="16" eb="17">
      <t>モト</t>
    </rPh>
    <phoneticPr fontId="2"/>
  </si>
  <si>
    <t>・・・・（B)</t>
    <phoneticPr fontId="2"/>
  </si>
  <si>
    <t>④　Ｘを求める。</t>
    <rPh sb="4" eb="5">
      <t>モト</t>
    </rPh>
    <phoneticPr fontId="2"/>
  </si>
  <si>
    <t>(A)÷（Ｂ）</t>
    <phoneticPr fontId="2"/>
  </si>
  <si>
    <t>　　ｄｆ</t>
    <phoneticPr fontId="2"/>
  </si>
  <si>
    <t>LIBOR5ヶ月</t>
    <rPh sb="7" eb="8">
      <t>ゲツ</t>
    </rPh>
    <phoneticPr fontId="2"/>
  </si>
  <si>
    <t>df0.5</t>
    <phoneticPr fontId="2"/>
  </si>
  <si>
    <t>1.0ｙ　SWAP</t>
    <phoneticPr fontId="2"/>
  </si>
  <si>
    <t>df1.0</t>
    <phoneticPr fontId="2"/>
  </si>
  <si>
    <t>1.5ｙ　SWAP</t>
    <phoneticPr fontId="2"/>
  </si>
  <si>
    <t>ｄｆ1.5</t>
    <phoneticPr fontId="2"/>
  </si>
  <si>
    <t>2.0ｙ　SWAP</t>
    <phoneticPr fontId="2"/>
  </si>
  <si>
    <t>ｄｆ2.0</t>
    <phoneticPr fontId="2"/>
  </si>
  <si>
    <t>2.5ｙ　SWAP</t>
    <phoneticPr fontId="2"/>
  </si>
  <si>
    <t>ｄｆ2.5</t>
    <phoneticPr fontId="2"/>
  </si>
  <si>
    <t>3.0ｙ　SWAP</t>
    <phoneticPr fontId="2"/>
  </si>
  <si>
    <t>ｄｆ3.0</t>
    <phoneticPr fontId="2"/>
  </si>
  <si>
    <t>3.5ｙ　SWAP</t>
    <phoneticPr fontId="2"/>
  </si>
  <si>
    <t>ｄｆ3.5</t>
    <phoneticPr fontId="2"/>
  </si>
  <si>
    <t>4.0ｙ　SWAP</t>
    <phoneticPr fontId="2"/>
  </si>
  <si>
    <t>ｄｆ4.0</t>
    <phoneticPr fontId="2"/>
  </si>
  <si>
    <t>4.5ｙ　SWAP</t>
    <phoneticPr fontId="2"/>
  </si>
  <si>
    <t>ｄｆ4.5</t>
    <phoneticPr fontId="2"/>
  </si>
  <si>
    <t>5.0ｙ　SWAP</t>
    <phoneticPr fontId="2"/>
  </si>
  <si>
    <t>ｄｆ5.0</t>
    <phoneticPr fontId="2"/>
  </si>
  <si>
    <t>（１）　次回金利交換部分の現在価値</t>
    <rPh sb="4" eb="6">
      <t>ジカイ</t>
    </rPh>
    <rPh sb="6" eb="8">
      <t>キンリ</t>
    </rPh>
    <rPh sb="8" eb="10">
      <t>コウカン</t>
    </rPh>
    <rPh sb="10" eb="12">
      <t>ブブン</t>
    </rPh>
    <rPh sb="13" eb="15">
      <t>ゲンザイ</t>
    </rPh>
    <rPh sb="15" eb="17">
      <t>カチ</t>
    </rPh>
    <phoneticPr fontId="2"/>
  </si>
  <si>
    <t>受取金利</t>
    <rPh sb="0" eb="2">
      <t>ウケトリ</t>
    </rPh>
    <rPh sb="2" eb="4">
      <t>キンリ</t>
    </rPh>
    <phoneticPr fontId="2"/>
  </si>
  <si>
    <t>（次回の受取LIBORは0.45％で確定）</t>
    <rPh sb="1" eb="3">
      <t>ジカイ</t>
    </rPh>
    <rPh sb="4" eb="6">
      <t>ウケトリ</t>
    </rPh>
    <rPh sb="18" eb="20">
      <t>カクテイ</t>
    </rPh>
    <phoneticPr fontId="2"/>
  </si>
  <si>
    <t>支払金利</t>
    <rPh sb="0" eb="2">
      <t>シハラ</t>
    </rPh>
    <rPh sb="2" eb="4">
      <t>キンリ</t>
    </rPh>
    <phoneticPr fontId="2"/>
  </si>
  <si>
    <t>差額</t>
    <rPh sb="0" eb="2">
      <t>サガク</t>
    </rPh>
    <phoneticPr fontId="2"/>
  </si>
  <si>
    <t>期間５ヶ月のディスカウント・ファクター</t>
    <rPh sb="0" eb="2">
      <t>キカン</t>
    </rPh>
    <rPh sb="4" eb="5">
      <t>ゲツ</t>
    </rPh>
    <phoneticPr fontId="2"/>
  </si>
  <si>
    <t>次回金利交換部分の時価評価額</t>
    <rPh sb="0" eb="2">
      <t>ジカイ</t>
    </rPh>
    <rPh sb="2" eb="4">
      <t>キンリ</t>
    </rPh>
    <rPh sb="4" eb="6">
      <t>コウカン</t>
    </rPh>
    <rPh sb="6" eb="8">
      <t>ブブン</t>
    </rPh>
    <rPh sb="9" eb="11">
      <t>ジカ</t>
    </rPh>
    <rPh sb="11" eb="13">
      <t>ヒョウカ</t>
    </rPh>
    <rPh sb="13" eb="14">
      <t>ガク</t>
    </rPh>
    <phoneticPr fontId="2"/>
  </si>
  <si>
    <t>(２）　２回目以降の金利交換部分の現在価値</t>
    <rPh sb="5" eb="6">
      <t>カイ</t>
    </rPh>
    <rPh sb="6" eb="7">
      <t>メ</t>
    </rPh>
    <rPh sb="7" eb="9">
      <t>イコウ</t>
    </rPh>
    <rPh sb="10" eb="12">
      <t>キンリ</t>
    </rPh>
    <rPh sb="12" eb="14">
      <t>コウカン</t>
    </rPh>
    <rPh sb="14" eb="16">
      <t>ブブン</t>
    </rPh>
    <rPh sb="17" eb="19">
      <t>ゲンザイ</t>
    </rPh>
    <rPh sb="19" eb="21">
      <t>カチ</t>
    </rPh>
    <phoneticPr fontId="2"/>
  </si>
  <si>
    <t>スワップの各利払日に対応したディスカウント・ファクター</t>
    <rPh sb="5" eb="6">
      <t>カク</t>
    </rPh>
    <rPh sb="6" eb="8">
      <t>リバラ</t>
    </rPh>
    <rPh sb="8" eb="9">
      <t>ヒ</t>
    </rPh>
    <rPh sb="10" eb="12">
      <t>タイオウ</t>
    </rPh>
    <phoneticPr fontId="2"/>
  </si>
  <si>
    <t>5Ｍ</t>
    <phoneticPr fontId="2"/>
  </si>
  <si>
    <t>11Ｍ</t>
    <phoneticPr fontId="2"/>
  </si>
  <si>
    <t>1Y5M</t>
    <phoneticPr fontId="2"/>
  </si>
  <si>
    <t>1Y11M</t>
    <phoneticPr fontId="2"/>
  </si>
  <si>
    <t>2Y5M</t>
    <phoneticPr fontId="2"/>
  </si>
  <si>
    <t>2Y11M</t>
    <phoneticPr fontId="2"/>
  </si>
  <si>
    <t>3Y5M</t>
    <phoneticPr fontId="2"/>
  </si>
  <si>
    <t>3Y11M</t>
    <phoneticPr fontId="2"/>
  </si>
  <si>
    <t>4Y5M</t>
    <phoneticPr fontId="2"/>
  </si>
  <si>
    <t>受取金利（LIBOR）の現在価値</t>
    <rPh sb="0" eb="2">
      <t>ウケトリ</t>
    </rPh>
    <rPh sb="2" eb="4">
      <t>キンリ</t>
    </rPh>
    <rPh sb="12" eb="14">
      <t>ゲンザイ</t>
    </rPh>
    <rPh sb="14" eb="16">
      <t>カチ</t>
    </rPh>
    <phoneticPr fontId="2"/>
  </si>
  <si>
    <t>支払金利（2.55%)の現在価値</t>
    <rPh sb="0" eb="2">
      <t>シハラ</t>
    </rPh>
    <rPh sb="2" eb="4">
      <t>キンリ</t>
    </rPh>
    <rPh sb="12" eb="14">
      <t>ゲンザイ</t>
    </rPh>
    <rPh sb="14" eb="16">
      <t>カチ</t>
    </rPh>
    <phoneticPr fontId="2"/>
  </si>
  <si>
    <t>(３）　スワップ取引全体の時価評価額</t>
    <rPh sb="8" eb="10">
      <t>トリヒキ</t>
    </rPh>
    <rPh sb="10" eb="12">
      <t>ゼンタイ</t>
    </rPh>
    <rPh sb="13" eb="15">
      <t>ジカ</t>
    </rPh>
    <rPh sb="15" eb="17">
      <t>ヒョウカ</t>
    </rPh>
    <rPh sb="17" eb="18">
      <t>ガク</t>
    </rPh>
    <phoneticPr fontId="2"/>
  </si>
  <si>
    <t>df0.5</t>
    <phoneticPr fontId="2"/>
  </si>
  <si>
    <t>1.0ｙ　SWAP</t>
    <phoneticPr fontId="2"/>
  </si>
  <si>
    <t>df1.0</t>
    <phoneticPr fontId="2"/>
  </si>
  <si>
    <t>1.5ｙ　SWAP</t>
    <phoneticPr fontId="2"/>
  </si>
  <si>
    <t>ｄｆ1.5</t>
    <phoneticPr fontId="2"/>
  </si>
  <si>
    <t>2.0ｙ　SWAP</t>
    <phoneticPr fontId="2"/>
  </si>
  <si>
    <t>ｄｆ2.0</t>
    <phoneticPr fontId="2"/>
  </si>
  <si>
    <t>2.5ｙ　SWAP</t>
    <phoneticPr fontId="2"/>
  </si>
  <si>
    <t>ｄｆ2.5</t>
    <phoneticPr fontId="2"/>
  </si>
  <si>
    <t>3.0ｙ　SWAP</t>
    <phoneticPr fontId="2"/>
  </si>
  <si>
    <t>ｄｆ3.0</t>
    <phoneticPr fontId="2"/>
  </si>
  <si>
    <t>3.5ｙ　SWAP</t>
    <phoneticPr fontId="2"/>
  </si>
  <si>
    <t>ｄｆ3.5</t>
    <phoneticPr fontId="2"/>
  </si>
  <si>
    <t>4.0ｙ　SWAP</t>
    <phoneticPr fontId="2"/>
  </si>
  <si>
    <t>ｄｆ4.0</t>
    <phoneticPr fontId="2"/>
  </si>
  <si>
    <t>4.5ｙ　SWAP</t>
    <phoneticPr fontId="2"/>
  </si>
  <si>
    <t>ｄｆ4.5</t>
    <phoneticPr fontId="2"/>
  </si>
  <si>
    <t>5.0ｙ　SWAP</t>
    <phoneticPr fontId="2"/>
  </si>
  <si>
    <t>ｄｆ5.0</t>
    <phoneticPr fontId="2"/>
  </si>
  <si>
    <t>　①　アモチの内容</t>
    <rPh sb="7" eb="9">
      <t>ナイヨウ</t>
    </rPh>
    <phoneticPr fontId="2"/>
  </si>
  <si>
    <t>0.5年後</t>
    <rPh sb="3" eb="4">
      <t>ネン</t>
    </rPh>
    <rPh sb="4" eb="5">
      <t>アト</t>
    </rPh>
    <phoneticPr fontId="2"/>
  </si>
  <si>
    <t>1.0年後</t>
    <rPh sb="3" eb="4">
      <t>ネン</t>
    </rPh>
    <rPh sb="4" eb="5">
      <t>アト</t>
    </rPh>
    <phoneticPr fontId="2"/>
  </si>
  <si>
    <t>1.5年後</t>
    <rPh sb="3" eb="4">
      <t>ネン</t>
    </rPh>
    <rPh sb="4" eb="5">
      <t>アト</t>
    </rPh>
    <phoneticPr fontId="2"/>
  </si>
  <si>
    <t>2.0年後</t>
    <rPh sb="3" eb="4">
      <t>ネン</t>
    </rPh>
    <rPh sb="4" eb="5">
      <t>アト</t>
    </rPh>
    <phoneticPr fontId="2"/>
  </si>
  <si>
    <t>2.5年後</t>
    <rPh sb="3" eb="4">
      <t>ネン</t>
    </rPh>
    <rPh sb="4" eb="5">
      <t>アト</t>
    </rPh>
    <phoneticPr fontId="2"/>
  </si>
  <si>
    <t>3.0年後</t>
    <rPh sb="3" eb="4">
      <t>ネン</t>
    </rPh>
    <rPh sb="4" eb="5">
      <t>アト</t>
    </rPh>
    <phoneticPr fontId="2"/>
  </si>
  <si>
    <t>3.5年後</t>
    <rPh sb="3" eb="4">
      <t>ネン</t>
    </rPh>
    <rPh sb="4" eb="5">
      <t>アト</t>
    </rPh>
    <phoneticPr fontId="2"/>
  </si>
  <si>
    <t>4.0年後</t>
    <rPh sb="3" eb="4">
      <t>ネン</t>
    </rPh>
    <rPh sb="4" eb="5">
      <t>アト</t>
    </rPh>
    <phoneticPr fontId="2"/>
  </si>
  <si>
    <t>4.5年後</t>
    <rPh sb="3" eb="4">
      <t>ネン</t>
    </rPh>
    <rPh sb="4" eb="5">
      <t>アト</t>
    </rPh>
    <phoneticPr fontId="2"/>
  </si>
  <si>
    <t>5.0年後</t>
    <rPh sb="3" eb="4">
      <t>ネン</t>
    </rPh>
    <rPh sb="4" eb="5">
      <t>アト</t>
    </rPh>
    <phoneticPr fontId="2"/>
  </si>
  <si>
    <t>　②　インプライド・フォワード・レート（ＩＦＲ）</t>
    <phoneticPr fontId="2"/>
  </si>
  <si>
    <t>利払期間</t>
    <rPh sb="0" eb="2">
      <t>リバラ</t>
    </rPh>
    <rPh sb="2" eb="4">
      <t>キカン</t>
    </rPh>
    <phoneticPr fontId="2"/>
  </si>
  <si>
    <t>ＩＦＲ(%)</t>
    <phoneticPr fontId="2"/>
  </si>
  <si>
    <t>0.5-1.0</t>
    <phoneticPr fontId="2"/>
  </si>
  <si>
    <t>1.0-1.5</t>
    <phoneticPr fontId="2"/>
  </si>
  <si>
    <t>1.5-2.0</t>
    <phoneticPr fontId="2"/>
  </si>
  <si>
    <t>2.0-2.5</t>
    <phoneticPr fontId="2"/>
  </si>
  <si>
    <t>2.5-3.0</t>
    <phoneticPr fontId="2"/>
  </si>
  <si>
    <t>3.0-3.5</t>
    <phoneticPr fontId="2"/>
  </si>
  <si>
    <t>3.5-4.0</t>
    <phoneticPr fontId="2"/>
  </si>
  <si>
    <t>4.0-4.5</t>
    <phoneticPr fontId="2"/>
  </si>
  <si>
    <t>4.5-5.0</t>
    <phoneticPr fontId="2"/>
  </si>
  <si>
    <t xml:space="preserve"> ③　</t>
    <phoneticPr fontId="2"/>
  </si>
  <si>
    <t>LIBOR　サイドの現在価値</t>
    <rPh sb="10" eb="12">
      <t>ゲンザイ</t>
    </rPh>
    <rPh sb="12" eb="14">
      <t>カチ</t>
    </rPh>
    <phoneticPr fontId="2"/>
  </si>
  <si>
    <t>④</t>
    <phoneticPr fontId="2"/>
  </si>
  <si>
    <t>１％の現在価値</t>
    <rPh sb="3" eb="5">
      <t>ゲンザイ</t>
    </rPh>
    <rPh sb="5" eb="7">
      <t>カチ</t>
    </rPh>
    <phoneticPr fontId="2"/>
  </si>
  <si>
    <t>⑤</t>
    <phoneticPr fontId="2"/>
  </si>
  <si>
    <t>Ｘを求める</t>
    <rPh sb="2" eb="3">
      <t>モト</t>
    </rPh>
    <phoneticPr fontId="2"/>
  </si>
  <si>
    <t>Ｘ＝</t>
    <phoneticPr fontId="2"/>
  </si>
  <si>
    <t>＜基本円金利体系＞</t>
    <rPh sb="1" eb="3">
      <t>キホン</t>
    </rPh>
    <rPh sb="3" eb="4">
      <t>エン</t>
    </rPh>
    <rPh sb="4" eb="6">
      <t>キンリ</t>
    </rPh>
    <rPh sb="6" eb="8">
      <t>タイケイ</t>
    </rPh>
    <phoneticPr fontId="2"/>
  </si>
  <si>
    <t>1.0ｙ　SWAP</t>
    <phoneticPr fontId="2"/>
  </si>
  <si>
    <t>1.5ｙ　SWAP</t>
    <phoneticPr fontId="2"/>
  </si>
  <si>
    <t>2.0ｙ　SWAP</t>
    <phoneticPr fontId="2"/>
  </si>
  <si>
    <t>2.5ｙ　SWAP</t>
    <phoneticPr fontId="2"/>
  </si>
  <si>
    <t>3.0ｙ　SWAP</t>
    <phoneticPr fontId="2"/>
  </si>
  <si>
    <t>3.5ｙ　SWAP</t>
    <phoneticPr fontId="2"/>
  </si>
  <si>
    <t>4.0ｙ　SWAP</t>
    <phoneticPr fontId="2"/>
  </si>
  <si>
    <t>4.5ｙ　SWAP</t>
    <phoneticPr fontId="2"/>
  </si>
  <si>
    <t>5.0ｙ　SWAP</t>
    <phoneticPr fontId="2"/>
  </si>
  <si>
    <t>5.5ｙ　SWAP</t>
    <phoneticPr fontId="2"/>
  </si>
  <si>
    <t>6.0ｙ　SWAP</t>
    <phoneticPr fontId="2"/>
  </si>
  <si>
    <t>6.5ｙ　SWAP</t>
    <phoneticPr fontId="2"/>
  </si>
  <si>
    <t>7.0ｙ　SWAP</t>
    <phoneticPr fontId="2"/>
  </si>
  <si>
    <t>* ３年後スタート、期間４年のフォワード･スワップの固定金利を求める。</t>
    <rPh sb="3" eb="4">
      <t>ネン</t>
    </rPh>
    <rPh sb="4" eb="5">
      <t>アト</t>
    </rPh>
    <rPh sb="10" eb="12">
      <t>キカン</t>
    </rPh>
    <rPh sb="13" eb="14">
      <t>ネン</t>
    </rPh>
    <rPh sb="26" eb="28">
      <t>コテイ</t>
    </rPh>
    <rPh sb="28" eb="30">
      <t>キンリ</t>
    </rPh>
    <rPh sb="31" eb="32">
      <t>モト</t>
    </rPh>
    <phoneticPr fontId="2"/>
  </si>
  <si>
    <t xml:space="preserve"> </t>
    <phoneticPr fontId="2"/>
  </si>
  <si>
    <t>　＜ディスカウント・ファクターの計算＞</t>
    <rPh sb="16" eb="18">
      <t>ケイサン</t>
    </rPh>
    <phoneticPr fontId="2"/>
  </si>
  <si>
    <t>　　ｄｆ</t>
    <phoneticPr fontId="2"/>
  </si>
  <si>
    <t xml:space="preserve"> &lt; LIBOR　の現在価値　（元本100円）＞</t>
    <rPh sb="10" eb="12">
      <t>ゲンザイ</t>
    </rPh>
    <rPh sb="12" eb="14">
      <t>カチ</t>
    </rPh>
    <rPh sb="16" eb="18">
      <t>ガンポン</t>
    </rPh>
    <rPh sb="21" eb="22">
      <t>エン</t>
    </rPh>
    <phoneticPr fontId="2"/>
  </si>
  <si>
    <t>&lt; １％の現在価値　＞</t>
    <rPh sb="5" eb="7">
      <t>ゲンザイ</t>
    </rPh>
    <rPh sb="7" eb="9">
      <t>カチ</t>
    </rPh>
    <phoneticPr fontId="2"/>
  </si>
  <si>
    <t>＜フォワード･スワップの固定金利＞</t>
    <rPh sb="12" eb="14">
      <t>コテイ</t>
    </rPh>
    <rPh sb="14" eb="16">
      <t>キンリ</t>
    </rPh>
    <phoneticPr fontId="2"/>
  </si>
  <si>
    <t>　　　　　　　  ＜前提となる円金利　ｼｰﾄ2-4＞</t>
    <rPh sb="10" eb="12">
      <t>ゼンテイ</t>
    </rPh>
    <rPh sb="15" eb="16">
      <t>エン</t>
    </rPh>
    <rPh sb="16" eb="18">
      <t>キンリ</t>
    </rPh>
    <phoneticPr fontId="2"/>
  </si>
  <si>
    <t>「基本円金利体系」</t>
    <rPh sb="1" eb="3">
      <t>キホン</t>
    </rPh>
    <rPh sb="3" eb="4">
      <t>エン</t>
    </rPh>
    <rPh sb="4" eb="6">
      <t>キンリ</t>
    </rPh>
    <rPh sb="6" eb="8">
      <t>タイケイ</t>
    </rPh>
    <phoneticPr fontId="2"/>
  </si>
  <si>
    <t>　①　LIBOR＋0.50％と交換できる固定金利</t>
    <rPh sb="15" eb="17">
      <t>コウカン</t>
    </rPh>
    <rPh sb="20" eb="22">
      <t>コテイ</t>
    </rPh>
    <rPh sb="22" eb="24">
      <t>キンリ</t>
    </rPh>
    <phoneticPr fontId="2"/>
  </si>
  <si>
    <t>・・（Ａ）</t>
    <phoneticPr fontId="2"/>
  </si>
  <si>
    <t>　②　（Ａ）の現在価値 (元本100円）</t>
    <rPh sb="7" eb="9">
      <t>ゲンザイ</t>
    </rPh>
    <rPh sb="9" eb="11">
      <t>カチ</t>
    </rPh>
    <rPh sb="13" eb="15">
      <t>ガンポン</t>
    </rPh>
    <rPh sb="18" eb="19">
      <t>エン</t>
    </rPh>
    <phoneticPr fontId="2"/>
  </si>
  <si>
    <t xml:space="preserve">  ③　前半２年のローン金利の現在価値</t>
    <rPh sb="4" eb="6">
      <t>ゼンハン</t>
    </rPh>
    <rPh sb="7" eb="8">
      <t>ネン</t>
    </rPh>
    <rPh sb="12" eb="14">
      <t>キンリ</t>
    </rPh>
    <rPh sb="15" eb="17">
      <t>ゲンザイ</t>
    </rPh>
    <rPh sb="17" eb="19">
      <t>カチ</t>
    </rPh>
    <phoneticPr fontId="2"/>
  </si>
  <si>
    <t xml:space="preserve"> ③　後半５年のローン金利の現在価値 (②－③）</t>
    <rPh sb="3" eb="5">
      <t>コウハン</t>
    </rPh>
    <rPh sb="6" eb="7">
      <t>ネン</t>
    </rPh>
    <rPh sb="11" eb="13">
      <t>キンリ</t>
    </rPh>
    <rPh sb="14" eb="16">
      <t>ゲンザイ</t>
    </rPh>
    <rPh sb="16" eb="18">
      <t>カチ</t>
    </rPh>
    <phoneticPr fontId="2"/>
  </si>
  <si>
    <t>　④　後半のローン金利Ｘ　(1%と仮定して③との比率を求める）</t>
    <rPh sb="3" eb="5">
      <t>コウハン</t>
    </rPh>
    <rPh sb="9" eb="11">
      <t>キンリ</t>
    </rPh>
    <rPh sb="17" eb="19">
      <t>カテイ</t>
    </rPh>
    <rPh sb="24" eb="26">
      <t>ヒリツ</t>
    </rPh>
    <rPh sb="27" eb="28">
      <t>モト</t>
    </rPh>
    <phoneticPr fontId="2"/>
  </si>
  <si>
    <t>基本円金利体系</t>
    <rPh sb="0" eb="2">
      <t>キホン</t>
    </rPh>
    <rPh sb="2" eb="3">
      <t>エン</t>
    </rPh>
    <rPh sb="3" eb="5">
      <t>キンリ</t>
    </rPh>
    <rPh sb="5" eb="7">
      <t>タイケイ</t>
    </rPh>
    <phoneticPr fontId="2"/>
  </si>
  <si>
    <t>＜ドル金利＞</t>
    <rPh sb="3" eb="5">
      <t>キンリ</t>
    </rPh>
    <phoneticPr fontId="2"/>
  </si>
  <si>
    <t>→基本ドル金利体系</t>
    <rPh sb="1" eb="3">
      <t>キホン</t>
    </rPh>
    <rPh sb="5" eb="7">
      <t>キンリ</t>
    </rPh>
    <rPh sb="7" eb="9">
      <t>タイケイ</t>
    </rPh>
    <phoneticPr fontId="2"/>
  </si>
  <si>
    <t>LIBOR６ヶ月</t>
    <rPh sb="7" eb="8">
      <t>ゲツ</t>
    </rPh>
    <phoneticPr fontId="2"/>
  </si>
  <si>
    <t>1.0ｙ　SWAP</t>
    <phoneticPr fontId="2"/>
  </si>
  <si>
    <t>1.5ｙ　SWAP</t>
    <phoneticPr fontId="2"/>
  </si>
  <si>
    <t>1.5y  SWAP</t>
    <phoneticPr fontId="2"/>
  </si>
  <si>
    <t>2.0ｙ　SWAP</t>
    <phoneticPr fontId="2"/>
  </si>
  <si>
    <t>2.5ｙ　SWAP</t>
    <phoneticPr fontId="2"/>
  </si>
  <si>
    <t>3.0ｙ　SWAP</t>
    <phoneticPr fontId="2"/>
  </si>
  <si>
    <t>4.0ｙ　SWAP</t>
    <phoneticPr fontId="2"/>
  </si>
  <si>
    <t>3.5ｙ　SWAP</t>
    <phoneticPr fontId="2"/>
  </si>
  <si>
    <t>5.0ｙ　SWAP</t>
    <phoneticPr fontId="2"/>
  </si>
  <si>
    <t>6.0ｙ　SWAP</t>
    <phoneticPr fontId="2"/>
  </si>
  <si>
    <t>4.5ｙ　SWAP</t>
    <phoneticPr fontId="2"/>
  </si>
  <si>
    <t>7.0ｙ　SWAP</t>
    <phoneticPr fontId="2"/>
  </si>
  <si>
    <t>＜SA  A/365 ＞</t>
    <phoneticPr fontId="2"/>
  </si>
  <si>
    <t>5.5ｙ　SWAP</t>
    <phoneticPr fontId="2"/>
  </si>
  <si>
    <t>6.5ｙ　SWAP</t>
    <phoneticPr fontId="2"/>
  </si>
  <si>
    <t>＜sa  A/365 ＞</t>
    <phoneticPr fontId="2"/>
  </si>
  <si>
    <t>①　円のディスカウント・ファクター＜例題１の結果をそのまま使用＞</t>
    <rPh sb="2" eb="3">
      <t>エン</t>
    </rPh>
    <rPh sb="18" eb="19">
      <t>レイ</t>
    </rPh>
    <rPh sb="19" eb="20">
      <t>ダイ</t>
    </rPh>
    <rPh sb="22" eb="24">
      <t>ケッカ</t>
    </rPh>
    <rPh sb="29" eb="31">
      <t>シヨウ</t>
    </rPh>
    <phoneticPr fontId="2"/>
  </si>
  <si>
    <t>②　ドルのディスカウント・ファクター</t>
    <phoneticPr fontId="2"/>
  </si>
  <si>
    <t>③　受取キャッシュ・フローの現在価値</t>
    <rPh sb="2" eb="4">
      <t>ウケトリ</t>
    </rPh>
    <rPh sb="14" eb="16">
      <t>ゲンザイ</t>
    </rPh>
    <rPh sb="16" eb="18">
      <t>カチ</t>
    </rPh>
    <phoneticPr fontId="2"/>
  </si>
  <si>
    <t>④　支払キャッシュ・フローの現在価値</t>
    <rPh sb="2" eb="4">
      <t>シハラ</t>
    </rPh>
    <rPh sb="14" eb="16">
      <t>ゲンザイ</t>
    </rPh>
    <rPh sb="16" eb="18">
      <t>カチ</t>
    </rPh>
    <phoneticPr fontId="2"/>
  </si>
  <si>
    <t>⑤　スワップの時価評価額</t>
    <rPh sb="7" eb="9">
      <t>ジカ</t>
    </rPh>
    <rPh sb="9" eb="11">
      <t>ヒョウカ</t>
    </rPh>
    <rPh sb="11" eb="12">
      <t>ガク</t>
    </rPh>
    <phoneticPr fontId="2"/>
  </si>
  <si>
    <t>・ドル6.20％の現在価値（１ドル＝１円）</t>
    <rPh sb="9" eb="11">
      <t>ゲンザイ</t>
    </rPh>
    <rPh sb="11" eb="13">
      <t>カチ</t>
    </rPh>
    <rPh sb="19" eb="20">
      <t>エン</t>
    </rPh>
    <phoneticPr fontId="2"/>
  </si>
  <si>
    <t>　　①</t>
    <phoneticPr fontId="2"/>
  </si>
  <si>
    <t>・円1％の現在価値</t>
    <rPh sb="1" eb="2">
      <t>エン</t>
    </rPh>
    <rPh sb="5" eb="7">
      <t>ゲンザイ</t>
    </rPh>
    <rPh sb="7" eb="9">
      <t>カチ</t>
    </rPh>
    <phoneticPr fontId="2"/>
  </si>
  <si>
    <t>　　②</t>
    <phoneticPr fontId="2"/>
  </si>
  <si>
    <t>・Ｘを求める。（①÷②で求められる）</t>
    <rPh sb="3" eb="4">
      <t>モト</t>
    </rPh>
    <rPh sb="12" eb="13">
      <t>モト</t>
    </rPh>
    <phoneticPr fontId="2"/>
  </si>
  <si>
    <t>①　円のディスカウント・ファクター＜基本金利体系＞</t>
    <rPh sb="2" eb="3">
      <t>エン</t>
    </rPh>
    <rPh sb="18" eb="20">
      <t>キホン</t>
    </rPh>
    <rPh sb="20" eb="22">
      <t>キンリ</t>
    </rPh>
    <rPh sb="22" eb="24">
      <t>タイケイ</t>
    </rPh>
    <phoneticPr fontId="2"/>
  </si>
  <si>
    <t>②　ドルのディスカウント・ファクター＜基本金利体系＞</t>
    <rPh sb="19" eb="21">
      <t>キホン</t>
    </rPh>
    <rPh sb="21" eb="23">
      <t>キンリ</t>
    </rPh>
    <rPh sb="23" eb="25">
      <t>タイケイ</t>
    </rPh>
    <phoneticPr fontId="2"/>
  </si>
  <si>
    <t>③　為替先物レート</t>
    <rPh sb="2" eb="4">
      <t>カワセ</t>
    </rPh>
    <rPh sb="4" eb="6">
      <t>サキモノ</t>
    </rPh>
    <phoneticPr fontId="2"/>
  </si>
  <si>
    <t>直物ﾚｰﾄ</t>
    <rPh sb="0" eb="2">
      <t>ジキモノ</t>
    </rPh>
    <phoneticPr fontId="2"/>
  </si>
  <si>
    <t>決済日</t>
    <rPh sb="0" eb="2">
      <t>ケッサイ</t>
    </rPh>
    <rPh sb="2" eb="3">
      <t>ヒ</t>
    </rPh>
    <phoneticPr fontId="2"/>
  </si>
  <si>
    <t>先物レート</t>
    <rPh sb="0" eb="2">
      <t>サキモノ</t>
    </rPh>
    <phoneticPr fontId="2"/>
  </si>
  <si>
    <t>5.5年後</t>
    <rPh sb="3" eb="4">
      <t>ネン</t>
    </rPh>
    <rPh sb="4" eb="5">
      <t>アト</t>
    </rPh>
    <phoneticPr fontId="2"/>
  </si>
  <si>
    <t>6.0年後</t>
    <rPh sb="3" eb="4">
      <t>ネン</t>
    </rPh>
    <rPh sb="4" eb="5">
      <t>アト</t>
    </rPh>
    <phoneticPr fontId="2"/>
  </si>
  <si>
    <t>6.5年後</t>
    <rPh sb="3" eb="4">
      <t>ネン</t>
    </rPh>
    <rPh sb="4" eb="5">
      <t>アト</t>
    </rPh>
    <phoneticPr fontId="2"/>
  </si>
  <si>
    <t>7.0年後</t>
    <rPh sb="3" eb="4">
      <t>ネン</t>
    </rPh>
    <rPh sb="4" eb="5">
      <t>アト</t>
    </rPh>
    <phoneticPr fontId="2"/>
  </si>
  <si>
    <t>④　ヘッジ対象キャッシュ・フローとヘッジ後キャッシュ・フロー(為替先物取引）</t>
    <rPh sb="5" eb="7">
      <t>タイショウ</t>
    </rPh>
    <rPh sb="20" eb="21">
      <t>アト</t>
    </rPh>
    <rPh sb="31" eb="33">
      <t>カワセ</t>
    </rPh>
    <rPh sb="33" eb="35">
      <t>サキモノ</t>
    </rPh>
    <rPh sb="35" eb="37">
      <t>トリヒキ</t>
    </rPh>
    <phoneticPr fontId="2"/>
  </si>
  <si>
    <t>ヘッジ対象（＄）</t>
    <rPh sb="3" eb="5">
      <t>タイショウ</t>
    </rPh>
    <phoneticPr fontId="2"/>
  </si>
  <si>
    <t>ヘッジ後(円）</t>
    <rPh sb="3" eb="4">
      <t>アト</t>
    </rPh>
    <rPh sb="5" eb="6">
      <t>エン</t>
    </rPh>
    <phoneticPr fontId="2"/>
  </si>
  <si>
    <t>現在価値（円）</t>
    <rPh sb="0" eb="2">
      <t>ゲンザイ</t>
    </rPh>
    <rPh sb="2" eb="4">
      <t>カチ</t>
    </rPh>
    <rPh sb="5" eb="6">
      <t>エン</t>
    </rPh>
    <phoneticPr fontId="2"/>
  </si>
  <si>
    <t>現時点</t>
    <rPh sb="0" eb="3">
      <t>ゲンジテン</t>
    </rPh>
    <phoneticPr fontId="2"/>
  </si>
  <si>
    <t>⑤　ヘッジ対象キャッシュ・フローとヘッジ後キャッシュ・フロー(通貨スワップ取引）</t>
    <rPh sb="5" eb="7">
      <t>タイショウ</t>
    </rPh>
    <rPh sb="20" eb="21">
      <t>アト</t>
    </rPh>
    <rPh sb="31" eb="33">
      <t>ツウカ</t>
    </rPh>
    <rPh sb="37" eb="39">
      <t>トリヒキ</t>
    </rPh>
    <phoneticPr fontId="2"/>
  </si>
  <si>
    <t>②　ドル金利及びドルのディスカウント・ファクター</t>
    <rPh sb="4" eb="6">
      <t>キンリ</t>
    </rPh>
    <rPh sb="6" eb="7">
      <t>オヨ</t>
    </rPh>
    <phoneticPr fontId="2"/>
  </si>
  <si>
    <t>金利（％）</t>
    <rPh sb="0" eb="2">
      <t>キンリ</t>
    </rPh>
    <phoneticPr fontId="2"/>
  </si>
  <si>
    <t>　　ｄｆ</t>
    <phoneticPr fontId="2"/>
  </si>
  <si>
    <t>LIBOR6</t>
    <phoneticPr fontId="2"/>
  </si>
  <si>
    <t>LIBOR12</t>
    <phoneticPr fontId="2"/>
  </si>
  <si>
    <t>2.0ＹＳ</t>
    <phoneticPr fontId="2"/>
  </si>
  <si>
    <t>3.0ＹＳ</t>
    <phoneticPr fontId="2"/>
  </si>
  <si>
    <t>4.0ＹＳ</t>
    <phoneticPr fontId="2"/>
  </si>
  <si>
    <t>5.0ＹＳ</t>
    <phoneticPr fontId="2"/>
  </si>
  <si>
    <t>6.0YS</t>
    <phoneticPr fontId="2"/>
  </si>
  <si>
    <t>7.0YS</t>
    <phoneticPr fontId="2"/>
  </si>
  <si>
    <t>PA  A/360　ベース</t>
    <phoneticPr fontId="2"/>
  </si>
  <si>
    <t>③　ﾄﾞﾙの半年刻みのディスカウント・ファクターを線形補間で求める</t>
    <rPh sb="6" eb="8">
      <t>ハントシ</t>
    </rPh>
    <rPh sb="8" eb="9">
      <t>キザ</t>
    </rPh>
    <rPh sb="25" eb="27">
      <t>センケイ</t>
    </rPh>
    <rPh sb="27" eb="29">
      <t>ホカン</t>
    </rPh>
    <rPh sb="30" eb="31">
      <t>モト</t>
    </rPh>
    <phoneticPr fontId="2"/>
  </si>
  <si>
    <t>　　ＤＦ</t>
    <phoneticPr fontId="2"/>
  </si>
  <si>
    <t>0.5年</t>
    <rPh sb="3" eb="4">
      <t>ネン</t>
    </rPh>
    <phoneticPr fontId="2"/>
  </si>
  <si>
    <t>1.0年</t>
    <rPh sb="3" eb="4">
      <t>ネン</t>
    </rPh>
    <phoneticPr fontId="2"/>
  </si>
  <si>
    <t>1.5年</t>
    <rPh sb="3" eb="4">
      <t>ネン</t>
    </rPh>
    <phoneticPr fontId="2"/>
  </si>
  <si>
    <t>2.0年</t>
    <rPh sb="3" eb="4">
      <t>ネン</t>
    </rPh>
    <phoneticPr fontId="2"/>
  </si>
  <si>
    <t>2.5年</t>
    <rPh sb="3" eb="4">
      <t>ネン</t>
    </rPh>
    <phoneticPr fontId="2"/>
  </si>
  <si>
    <t>3.0年</t>
    <rPh sb="3" eb="4">
      <t>ネン</t>
    </rPh>
    <phoneticPr fontId="2"/>
  </si>
  <si>
    <t>3.5年</t>
    <rPh sb="3" eb="4">
      <t>ネン</t>
    </rPh>
    <phoneticPr fontId="2"/>
  </si>
  <si>
    <t>4.0年</t>
    <rPh sb="3" eb="4">
      <t>ネン</t>
    </rPh>
    <phoneticPr fontId="2"/>
  </si>
  <si>
    <t>4.5年</t>
    <rPh sb="3" eb="4">
      <t>ネン</t>
    </rPh>
    <phoneticPr fontId="2"/>
  </si>
  <si>
    <t>5.0年</t>
    <rPh sb="3" eb="4">
      <t>ネン</t>
    </rPh>
    <phoneticPr fontId="2"/>
  </si>
  <si>
    <t>5.5年</t>
    <rPh sb="3" eb="4">
      <t>ネン</t>
    </rPh>
    <phoneticPr fontId="2"/>
  </si>
  <si>
    <t>6.0年</t>
    <rPh sb="3" eb="4">
      <t>ネン</t>
    </rPh>
    <phoneticPr fontId="2"/>
  </si>
  <si>
    <t>6.5年</t>
    <rPh sb="3" eb="4">
      <t>ネン</t>
    </rPh>
    <phoneticPr fontId="2"/>
  </si>
  <si>
    <t>7.0年</t>
    <rPh sb="3" eb="4">
      <t>ネン</t>
    </rPh>
    <phoneticPr fontId="2"/>
  </si>
  <si>
    <t>④　円の固定金利　8.0％の現在価値　（元本100円）</t>
    <rPh sb="2" eb="3">
      <t>エン</t>
    </rPh>
    <rPh sb="4" eb="6">
      <t>コテイ</t>
    </rPh>
    <rPh sb="6" eb="8">
      <t>キンリ</t>
    </rPh>
    <rPh sb="14" eb="16">
      <t>ゲンザイ</t>
    </rPh>
    <rPh sb="16" eb="18">
      <t>カチ</t>
    </rPh>
    <rPh sb="20" eb="22">
      <t>ガンポン</t>
    </rPh>
    <rPh sb="25" eb="26">
      <t>エン</t>
    </rPh>
    <phoneticPr fontId="2"/>
  </si>
  <si>
    <t>⑤　ドルの固定金利1.0％の現在価値　（元本100ﾄﾞﾙ　1ﾄﾞﾙ＝１円）</t>
    <rPh sb="5" eb="7">
      <t>コテイ</t>
    </rPh>
    <rPh sb="7" eb="9">
      <t>キンリ</t>
    </rPh>
    <rPh sb="14" eb="16">
      <t>ゲンザイ</t>
    </rPh>
    <rPh sb="16" eb="18">
      <t>カチ</t>
    </rPh>
    <rPh sb="20" eb="22">
      <t>ガンポン</t>
    </rPh>
    <rPh sb="35" eb="36">
      <t>エン</t>
    </rPh>
    <phoneticPr fontId="2"/>
  </si>
  <si>
    <t>⑥　ﾄﾞﾙの交換固定金利Ｘ％</t>
    <rPh sb="6" eb="8">
      <t>コウカン</t>
    </rPh>
    <rPh sb="8" eb="10">
      <t>コテイ</t>
    </rPh>
    <rPh sb="10" eb="12">
      <t>キンリ</t>
    </rPh>
    <phoneticPr fontId="2"/>
  </si>
  <si>
    <t>①　円のディスカウント・ファクター</t>
    <rPh sb="2" eb="3">
      <t>エン</t>
    </rPh>
    <phoneticPr fontId="2"/>
  </si>
  <si>
    <t>LIBOR6</t>
    <phoneticPr fontId="2"/>
  </si>
  <si>
    <t>LIBOR12</t>
    <phoneticPr fontId="2"/>
  </si>
  <si>
    <t>2.0ＹＳ</t>
    <phoneticPr fontId="2"/>
  </si>
  <si>
    <t>3.0ＹＳ</t>
    <phoneticPr fontId="2"/>
  </si>
  <si>
    <t>4.0ＹＳ</t>
    <phoneticPr fontId="2"/>
  </si>
  <si>
    <t>5.0ＹＳ</t>
    <phoneticPr fontId="2"/>
  </si>
  <si>
    <t>6.0YS</t>
    <phoneticPr fontId="2"/>
  </si>
  <si>
    <t>7.0YS</t>
    <phoneticPr fontId="2"/>
  </si>
  <si>
    <t>④　投資対象ドル債（額面$１００)の将来受取キャッシュ・フローとその現在価値）</t>
    <rPh sb="2" eb="4">
      <t>トウシ</t>
    </rPh>
    <rPh sb="4" eb="6">
      <t>タイショウ</t>
    </rPh>
    <rPh sb="8" eb="9">
      <t>サイ</t>
    </rPh>
    <rPh sb="10" eb="12">
      <t>ガクメン</t>
    </rPh>
    <rPh sb="18" eb="20">
      <t>ショウライ</t>
    </rPh>
    <rPh sb="20" eb="22">
      <t>ウケトリ</t>
    </rPh>
    <rPh sb="34" eb="36">
      <t>ゲンザイ</t>
    </rPh>
    <rPh sb="36" eb="38">
      <t>カチ</t>
    </rPh>
    <phoneticPr fontId="2"/>
  </si>
  <si>
    <t>　　ＣＦ</t>
    <phoneticPr fontId="2"/>
  </si>
  <si>
    <t>　ＰＶ</t>
    <phoneticPr fontId="2"/>
  </si>
  <si>
    <t>ドル</t>
    <phoneticPr fontId="2"/>
  </si>
  <si>
    <t>　　↓　円ベース</t>
    <rPh sb="4" eb="5">
      <t>エン</t>
    </rPh>
    <phoneticPr fontId="2"/>
  </si>
  <si>
    <t>⑤　円ベース元本の現在価値</t>
    <rPh sb="2" eb="3">
      <t>エン</t>
    </rPh>
    <rPh sb="6" eb="8">
      <t>ガンポン</t>
    </rPh>
    <rPh sb="9" eb="11">
      <t>ゲンザイ</t>
    </rPh>
    <rPh sb="11" eb="13">
      <t>カチ</t>
    </rPh>
    <phoneticPr fontId="2"/>
  </si>
  <si>
    <t>⑥　クーポン部分の現在価値必要額</t>
    <rPh sb="6" eb="8">
      <t>ブブン</t>
    </rPh>
    <rPh sb="9" eb="11">
      <t>ゲンザイ</t>
    </rPh>
    <rPh sb="11" eb="13">
      <t>カチ</t>
    </rPh>
    <rPh sb="13" eb="15">
      <t>ヒツヨウ</t>
    </rPh>
    <rPh sb="15" eb="16">
      <t>ガク</t>
    </rPh>
    <phoneticPr fontId="2"/>
  </si>
  <si>
    <t>⑦　円クーポン１％の現在価値</t>
    <rPh sb="2" eb="3">
      <t>エン</t>
    </rPh>
    <rPh sb="10" eb="12">
      <t>ゲンザイ</t>
    </rPh>
    <rPh sb="12" eb="14">
      <t>カチ</t>
    </rPh>
    <phoneticPr fontId="2"/>
  </si>
  <si>
    <t>⑧　円クーポンＸ％の答え</t>
    <rPh sb="2" eb="3">
      <t>エン</t>
    </rPh>
    <rPh sb="10" eb="11">
      <t>コタ</t>
    </rPh>
    <phoneticPr fontId="2"/>
  </si>
  <si>
    <t>①　円のディスカウント・ファクター&lt;基本金利体系＞</t>
    <rPh sb="2" eb="3">
      <t>エン</t>
    </rPh>
    <rPh sb="18" eb="20">
      <t>キホン</t>
    </rPh>
    <rPh sb="20" eb="22">
      <t>キンリ</t>
    </rPh>
    <rPh sb="22" eb="24">
      <t>タイケイ</t>
    </rPh>
    <phoneticPr fontId="2"/>
  </si>
  <si>
    <t>②</t>
    <phoneticPr fontId="2"/>
  </si>
  <si>
    <t>償還される１ﾄﾞﾙを為替予約レートで円ベースにした場合</t>
    <rPh sb="0" eb="2">
      <t>ショウカン</t>
    </rPh>
    <rPh sb="10" eb="12">
      <t>カワセ</t>
    </rPh>
    <rPh sb="12" eb="14">
      <t>ヨヤク</t>
    </rPh>
    <rPh sb="18" eb="19">
      <t>エン</t>
    </rPh>
    <rPh sb="25" eb="27">
      <t>バアイ</t>
    </rPh>
    <phoneticPr fontId="2"/>
  </si>
  <si>
    <t>　（期日：３年後）</t>
    <rPh sb="2" eb="4">
      <t>キジツ</t>
    </rPh>
    <rPh sb="6" eb="7">
      <t>ネン</t>
    </rPh>
    <rPh sb="7" eb="8">
      <t>アト</t>
    </rPh>
    <phoneticPr fontId="2"/>
  </si>
  <si>
    <t>③</t>
    <phoneticPr fontId="2"/>
  </si>
  <si>
    <t>クーポン5.04％　89.113円償還の債券の現在価値</t>
    <rPh sb="16" eb="17">
      <t>エン</t>
    </rPh>
    <rPh sb="17" eb="19">
      <t>ショウカン</t>
    </rPh>
    <rPh sb="20" eb="22">
      <t>サイケン</t>
    </rPh>
    <rPh sb="23" eb="25">
      <t>ゲンザイ</t>
    </rPh>
    <rPh sb="25" eb="27">
      <t>カチ</t>
    </rPh>
    <phoneticPr fontId="2"/>
  </si>
  <si>
    <t>キャッシュ・フロー</t>
    <phoneticPr fontId="2"/>
  </si>
  <si>
    <t>現在価値</t>
    <rPh sb="0" eb="2">
      <t>ゲンザイ</t>
    </rPh>
    <rPh sb="2" eb="4">
      <t>カチ</t>
    </rPh>
    <phoneticPr fontId="2"/>
  </si>
  <si>
    <t xml:space="preserve"> 合計</t>
    <rPh sb="1" eb="3">
      <t>ゴウケイ</t>
    </rPh>
    <phoneticPr fontId="2"/>
  </si>
  <si>
    <t>②　ドルのディスカウント・ファクター</t>
    <phoneticPr fontId="2"/>
  </si>
  <si>
    <t>(　基本円金利体系　）</t>
    <rPh sb="2" eb="4">
      <t>キホン</t>
    </rPh>
    <rPh sb="4" eb="5">
      <t>エン</t>
    </rPh>
    <rPh sb="5" eb="7">
      <t>キンリ</t>
    </rPh>
    <rPh sb="7" eb="9">
      <t>タイケイ</t>
    </rPh>
    <phoneticPr fontId="2"/>
  </si>
  <si>
    <t>②</t>
    <phoneticPr fontId="2"/>
  </si>
  <si>
    <t>ドル3.64％の現在価値</t>
    <rPh sb="8" eb="10">
      <t>ゲンザイ</t>
    </rPh>
    <rPh sb="10" eb="12">
      <t>カチ</t>
    </rPh>
    <phoneticPr fontId="2"/>
  </si>
  <si>
    <t>③</t>
    <phoneticPr fontId="2"/>
  </si>
  <si>
    <t>ｸｰﾎﾟﾝｽﾜｯﾌﾟの交換円金利</t>
    <rPh sb="11" eb="13">
      <t>コウカン</t>
    </rPh>
    <rPh sb="13" eb="14">
      <t>エン</t>
    </rPh>
    <rPh sb="14" eb="16">
      <t>キンリ</t>
    </rPh>
    <phoneticPr fontId="2"/>
  </si>
  <si>
    <t>①　クーポン：Ｌ+0.5のＦＲＮの現在価値</t>
    <rPh sb="17" eb="19">
      <t>ゲンザイ</t>
    </rPh>
    <rPh sb="19" eb="21">
      <t>カチ</t>
    </rPh>
    <phoneticPr fontId="2"/>
  </si>
  <si>
    <t>②　Ｘの現在価値</t>
    <rPh sb="4" eb="6">
      <t>ゲンザイ</t>
    </rPh>
    <rPh sb="6" eb="8">
      <t>カチ</t>
    </rPh>
    <phoneticPr fontId="2"/>
  </si>
  <si>
    <t>③　Ｘを求める（１％と仮定した現在価値で割る）</t>
    <rPh sb="4" eb="5">
      <t>モト</t>
    </rPh>
    <rPh sb="11" eb="13">
      <t>カテイ</t>
    </rPh>
    <rPh sb="15" eb="17">
      <t>ゲンザイ</t>
    </rPh>
    <rPh sb="17" eb="19">
      <t>カチ</t>
    </rPh>
    <rPh sb="20" eb="21">
      <t>ワ</t>
    </rPh>
    <phoneticPr fontId="2"/>
  </si>
  <si>
    <t>①　Ｌ+0.3%と交換可能な固定円金利</t>
    <rPh sb="9" eb="11">
      <t>コウカン</t>
    </rPh>
    <rPh sb="11" eb="13">
      <t>カノウ</t>
    </rPh>
    <rPh sb="14" eb="16">
      <t>コテイ</t>
    </rPh>
    <rPh sb="16" eb="17">
      <t>エン</t>
    </rPh>
    <rPh sb="17" eb="19">
      <t>キンリ</t>
    </rPh>
    <phoneticPr fontId="2"/>
  </si>
  <si>
    <t>①</t>
    <phoneticPr fontId="2"/>
  </si>
  <si>
    <t>②　①の現在価値</t>
    <rPh sb="4" eb="6">
      <t>ゲンザイ</t>
    </rPh>
    <rPh sb="6" eb="8">
      <t>カチ</t>
    </rPh>
    <phoneticPr fontId="2"/>
  </si>
  <si>
    <t>③　Ｘを求める（1ﾄﾞﾙ＝１円と仮定した上で　１％の現在価値で②を割る）</t>
    <rPh sb="4" eb="5">
      <t>モト</t>
    </rPh>
    <rPh sb="14" eb="15">
      <t>エン</t>
    </rPh>
    <rPh sb="16" eb="18">
      <t>カテイ</t>
    </rPh>
    <rPh sb="20" eb="21">
      <t>ウエ</t>
    </rPh>
    <rPh sb="26" eb="28">
      <t>ゲンザイ</t>
    </rPh>
    <rPh sb="28" eb="30">
      <t>カチ</t>
    </rPh>
    <rPh sb="33" eb="34">
      <t>ワ</t>
    </rPh>
    <phoneticPr fontId="2"/>
  </si>
  <si>
    <t>問１　円金利体系</t>
    <rPh sb="0" eb="1">
      <t>トイ</t>
    </rPh>
    <rPh sb="3" eb="4">
      <t>エン</t>
    </rPh>
    <rPh sb="4" eb="6">
      <t>キンリ</t>
    </rPh>
    <rPh sb="6" eb="8">
      <t>タイケイ</t>
    </rPh>
    <phoneticPr fontId="2"/>
  </si>
  <si>
    <t>（ＳＡ　365日ベース）</t>
    <rPh sb="7" eb="8">
      <t>ニチ</t>
    </rPh>
    <phoneticPr fontId="2"/>
  </si>
  <si>
    <t>問２　ドル金利体系</t>
    <rPh sb="0" eb="1">
      <t>トイ</t>
    </rPh>
    <rPh sb="5" eb="7">
      <t>キンリ</t>
    </rPh>
    <rPh sb="7" eb="9">
      <t>タイケイ</t>
    </rPh>
    <phoneticPr fontId="2"/>
  </si>
  <si>
    <t>金利（%)</t>
    <rPh sb="0" eb="2">
      <t>キンリ</t>
    </rPh>
    <phoneticPr fontId="2"/>
  </si>
  <si>
    <t>1.0y  SWAP</t>
    <phoneticPr fontId="2"/>
  </si>
  <si>
    <t>1.5y  SWAP</t>
    <phoneticPr fontId="2"/>
  </si>
  <si>
    <t>2.0ｙ　SWAP</t>
    <phoneticPr fontId="2"/>
  </si>
  <si>
    <t>2.5y  SWAP</t>
    <phoneticPr fontId="2"/>
  </si>
  <si>
    <t>3.0ｙ　SWAP</t>
    <phoneticPr fontId="2"/>
  </si>
  <si>
    <t>3.5y  SWAP</t>
    <phoneticPr fontId="2"/>
  </si>
  <si>
    <t>4.0ｙ　SWAP</t>
    <phoneticPr fontId="2"/>
  </si>
  <si>
    <t>4.5y  SWAP</t>
    <phoneticPr fontId="2"/>
  </si>
  <si>
    <t>5.0ｙ　SWAP</t>
    <phoneticPr fontId="2"/>
  </si>
  <si>
    <t>LIBOR3ヶ月</t>
    <rPh sb="7" eb="8">
      <t>ゲツ</t>
    </rPh>
    <phoneticPr fontId="2"/>
  </si>
  <si>
    <t>第２分冊　試験問題データ</t>
    <rPh sb="0" eb="1">
      <t>ダイ</t>
    </rPh>
    <rPh sb="2" eb="4">
      <t>ブンサツ</t>
    </rPh>
    <rPh sb="5" eb="7">
      <t>シケン</t>
    </rPh>
    <rPh sb="7" eb="9">
      <t>モンダイ</t>
    </rPh>
    <phoneticPr fontId="2"/>
  </si>
  <si>
    <t>4章末　確認問題１</t>
    <rPh sb="1" eb="2">
      <t>ショウ</t>
    </rPh>
    <rPh sb="2" eb="3">
      <t>マツ</t>
    </rPh>
    <rPh sb="4" eb="6">
      <t>カクニン</t>
    </rPh>
    <rPh sb="6" eb="8">
      <t>モンダイ</t>
    </rPh>
    <phoneticPr fontId="2"/>
  </si>
  <si>
    <t>4章末　確認問題２</t>
    <rPh sb="1" eb="2">
      <t>ショウ</t>
    </rPh>
    <rPh sb="2" eb="3">
      <t>マツ</t>
    </rPh>
    <rPh sb="4" eb="6">
      <t>カクニン</t>
    </rPh>
    <rPh sb="6" eb="8">
      <t>モンダイ</t>
    </rPh>
    <phoneticPr fontId="2"/>
  </si>
  <si>
    <t>(SA 365日ベース　against L6)</t>
    <rPh sb="7" eb="8">
      <t>ニチ</t>
    </rPh>
    <phoneticPr fontId="2"/>
  </si>
  <si>
    <t>1年</t>
    <rPh sb="1" eb="2">
      <t>ネn</t>
    </rPh>
    <phoneticPr fontId="2"/>
  </si>
  <si>
    <t>1.5年</t>
    <rPh sb="3" eb="4">
      <t>ネn</t>
    </rPh>
    <phoneticPr fontId="2"/>
  </si>
  <si>
    <t>2.0年</t>
    <rPh sb="3" eb="4">
      <t>ネn</t>
    </rPh>
    <phoneticPr fontId="2"/>
  </si>
  <si>
    <t>2.5年</t>
    <rPh sb="3" eb="4">
      <t>ネn</t>
    </rPh>
    <phoneticPr fontId="2"/>
  </si>
  <si>
    <t>3年</t>
    <rPh sb="1" eb="2">
      <t>ネn</t>
    </rPh>
    <phoneticPr fontId="2"/>
  </si>
  <si>
    <t>0.5~1year</t>
    <phoneticPr fontId="2"/>
  </si>
  <si>
    <t>1~1.5year</t>
    <phoneticPr fontId="2"/>
  </si>
  <si>
    <t>1.5~2.0year</t>
    <phoneticPr fontId="2"/>
  </si>
  <si>
    <t>2.0~2.5year</t>
    <phoneticPr fontId="2"/>
  </si>
  <si>
    <t>2.5~3.0year</t>
    <phoneticPr fontId="2"/>
  </si>
  <si>
    <t>3.0~3.5</t>
    <phoneticPr fontId="2"/>
  </si>
  <si>
    <t>3.5~4.0</t>
    <phoneticPr fontId="2"/>
  </si>
  <si>
    <t>4.0~4.5</t>
    <phoneticPr fontId="2"/>
  </si>
  <si>
    <t>4.5~5.0</t>
    <phoneticPr fontId="2"/>
  </si>
  <si>
    <t>想定元本</t>
    <rPh sb="0" eb="4">
      <t>ソウテイガンプ</t>
    </rPh>
    <phoneticPr fontId="2"/>
  </si>
  <si>
    <t>インプライドフォワードによる支払い金利のPV</t>
    <phoneticPr fontId="2"/>
  </si>
  <si>
    <t>固定金利1%の時のPV</t>
    <rPh sb="0" eb="4">
      <t>コテイ</t>
    </rPh>
    <rPh sb="7" eb="8">
      <t>トキノ</t>
    </rPh>
    <phoneticPr fontId="2"/>
  </si>
  <si>
    <t>答え</t>
    <rPh sb="0" eb="1">
      <t>コタエ</t>
    </rPh>
    <phoneticPr fontId="2"/>
  </si>
  <si>
    <t>問１</t>
    <phoneticPr fontId="2"/>
  </si>
  <si>
    <t>問２</t>
    <rPh sb="0" eb="1">
      <t>トイ2</t>
    </rPh>
    <phoneticPr fontId="2"/>
  </si>
  <si>
    <t>1.0year</t>
    <phoneticPr fontId="2"/>
  </si>
  <si>
    <t>1.5year</t>
    <phoneticPr fontId="2"/>
  </si>
  <si>
    <t>問３</t>
    <rPh sb="0" eb="1">
      <t xml:space="preserve">トイウト </t>
    </rPh>
    <phoneticPr fontId="2"/>
  </si>
  <si>
    <t>問４</t>
    <rPh sb="0" eb="1">
      <t>トイ4</t>
    </rPh>
    <phoneticPr fontId="2"/>
  </si>
  <si>
    <t>9M</t>
    <phoneticPr fontId="2"/>
  </si>
  <si>
    <t>1Y3M</t>
    <phoneticPr fontId="2"/>
  </si>
  <si>
    <t>1Y9M</t>
    <phoneticPr fontId="2"/>
  </si>
  <si>
    <t>2Y3M</t>
    <phoneticPr fontId="2"/>
  </si>
  <si>
    <t>2Y9M</t>
    <phoneticPr fontId="2"/>
  </si>
  <si>
    <t>3Y3M</t>
    <phoneticPr fontId="2"/>
  </si>
  <si>
    <t>3Y9M</t>
    <phoneticPr fontId="2"/>
  </si>
  <si>
    <t>LIBORの価値</t>
    <phoneticPr fontId="2"/>
  </si>
  <si>
    <t>3M</t>
    <phoneticPr fontId="2"/>
  </si>
  <si>
    <t>固定金利の価値</t>
    <rPh sb="0" eb="4">
      <t>コテイ</t>
    </rPh>
    <rPh sb="5" eb="7">
      <t>カティ</t>
    </rPh>
    <phoneticPr fontId="2"/>
  </si>
  <si>
    <t>PV</t>
    <phoneticPr fontId="2"/>
  </si>
  <si>
    <t>0.5year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</si>
</sst>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_ "/>
    <numFmt numFmtId="177" formatCode="#,##0.000;[Red]\-#,##0.000"/>
    <numFmt numFmtId="178" formatCode="#,##0.0000;[Red]\-#,##0.0000"/>
    <numFmt numFmtId="179" formatCode="#,##0.00000;[Red]\-#,##0.00000"/>
    <numFmt numFmtId="180" formatCode="#,##0.000000;[Red]\-#,##0.000000"/>
    <numFmt numFmtId="181" formatCode="#,##0.0000000;[Red]\-#,##0.0000000"/>
    <numFmt numFmtId="182" formatCode="0.0000_ "/>
    <numFmt numFmtId="187" formatCode="0.00000_ "/>
  </numFmts>
  <fonts count="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81" fontId="1" fillId="0" borderId="1" xfId="1" applyNumberFormat="1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18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0" fillId="0" borderId="0" xfId="0" quotePrefix="1">
      <alignment vertical="center"/>
    </xf>
    <xf numFmtId="182" fontId="0" fillId="0" borderId="1" xfId="0" applyNumberFormat="1" applyBorder="1">
      <alignment vertical="center"/>
    </xf>
    <xf numFmtId="180" fontId="1" fillId="0" borderId="1" xfId="1" applyNumberFormat="1" applyBorder="1">
      <alignment vertical="center"/>
    </xf>
    <xf numFmtId="178" fontId="1" fillId="0" borderId="1" xfId="1" applyNumberFormat="1" applyBorder="1">
      <alignment vertical="center"/>
    </xf>
    <xf numFmtId="178" fontId="1" fillId="0" borderId="0" xfId="1" applyNumberFormat="1">
      <alignment vertical="center"/>
    </xf>
    <xf numFmtId="38" fontId="1" fillId="0" borderId="0" xfId="1">
      <alignment vertical="center"/>
    </xf>
    <xf numFmtId="38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9" fontId="1" fillId="0" borderId="1" xfId="1" applyNumberFormat="1" applyBorder="1">
      <alignment vertical="center"/>
    </xf>
    <xf numFmtId="0" fontId="0" fillId="0" borderId="1" xfId="0" applyBorder="1" applyAlignment="1">
      <alignment horizontal="center" vertical="center"/>
    </xf>
    <xf numFmtId="177" fontId="1" fillId="0" borderId="1" xfId="1" applyNumberFormat="1" applyBorder="1">
      <alignment vertical="center"/>
    </xf>
    <xf numFmtId="0" fontId="3" fillId="0" borderId="0" xfId="0" applyFont="1">
      <alignment vertical="center"/>
    </xf>
    <xf numFmtId="40" fontId="1" fillId="0" borderId="0" xfId="1" applyNumberFormat="1" applyBorder="1">
      <alignment vertical="center"/>
    </xf>
    <xf numFmtId="40" fontId="1" fillId="0" borderId="1" xfId="1" applyNumberFormat="1" applyBorder="1">
      <alignment vertical="center"/>
    </xf>
    <xf numFmtId="40" fontId="1" fillId="2" borderId="1" xfId="1" applyNumberFormat="1" applyFill="1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179" fontId="0" fillId="0" borderId="0" xfId="0" applyNumberFormat="1">
      <alignment vertical="center"/>
    </xf>
    <xf numFmtId="177" fontId="1" fillId="0" borderId="0" xfId="1" applyNumberFormat="1" applyBorder="1">
      <alignment vertical="center"/>
    </xf>
    <xf numFmtId="40" fontId="1" fillId="0" borderId="0" xfId="1" applyNumberFormat="1">
      <alignment vertical="center"/>
    </xf>
    <xf numFmtId="182" fontId="0" fillId="0" borderId="0" xfId="0" applyNumberFormat="1">
      <alignment vertical="center"/>
    </xf>
    <xf numFmtId="38" fontId="1" fillId="0" borderId="1" xfId="1" applyBorder="1">
      <alignment vertical="center"/>
    </xf>
    <xf numFmtId="38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5" fillId="0" borderId="0" xfId="0" applyFont="1">
      <alignment vertical="center"/>
    </xf>
    <xf numFmtId="177" fontId="1" fillId="0" borderId="0" xfId="1" applyNumberFormat="1">
      <alignment vertical="center"/>
    </xf>
    <xf numFmtId="180" fontId="1" fillId="0" borderId="0" xfId="1" applyNumberFormat="1">
      <alignment vertical="center"/>
    </xf>
    <xf numFmtId="38" fontId="1" fillId="0" borderId="0" xfId="1" applyBorder="1">
      <alignment vertical="center"/>
    </xf>
    <xf numFmtId="179" fontId="1" fillId="2" borderId="1" xfId="1" applyNumberFormat="1" applyFill="1" applyBorder="1">
      <alignment vertical="center"/>
    </xf>
    <xf numFmtId="0" fontId="0" fillId="2" borderId="0" xfId="0" applyFill="1">
      <alignment vertical="center"/>
    </xf>
    <xf numFmtId="179" fontId="0" fillId="2" borderId="1" xfId="1" applyNumberFormat="1" applyFont="1" applyFill="1" applyBorder="1">
      <alignment vertical="center"/>
    </xf>
    <xf numFmtId="38" fontId="0" fillId="0" borderId="1" xfId="1" applyFont="1" applyBorder="1">
      <alignment vertical="center"/>
    </xf>
    <xf numFmtId="179" fontId="0" fillId="0" borderId="1" xfId="1" applyNumberFormat="1" applyFont="1" applyBorder="1">
      <alignment vertical="center"/>
    </xf>
    <xf numFmtId="177" fontId="0" fillId="0" borderId="1" xfId="1" applyNumberFormat="1" applyFont="1" applyBorder="1">
      <alignment vertical="center"/>
    </xf>
    <xf numFmtId="0" fontId="1" fillId="0" borderId="0" xfId="1" applyNumberFormat="1">
      <alignment vertical="center"/>
    </xf>
    <xf numFmtId="18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52"/>
  <sheetViews>
    <sheetView topLeftCell="A3" workbookViewId="0">
      <selection activeCell="E7" sqref="E7"/>
    </sheetView>
  </sheetViews>
  <sheetFormatPr baseColWidth="10" defaultColWidth="8.83203125" defaultRowHeight="14"/>
  <cols>
    <col min="2" max="2" width="10.83203125" customWidth="1"/>
    <col min="3" max="3" width="12.33203125" customWidth="1"/>
    <col min="4" max="4" width="12.83203125" customWidth="1"/>
    <col min="5" max="5" width="12.5" customWidth="1"/>
    <col min="6" max="6" width="10.5" bestFit="1" customWidth="1"/>
    <col min="7" max="7" width="9.83203125" bestFit="1" customWidth="1"/>
  </cols>
  <sheetData>
    <row r="3" spans="1:7">
      <c r="A3" t="s">
        <v>14</v>
      </c>
    </row>
    <row r="4" spans="1:7">
      <c r="B4" s="1"/>
      <c r="C4" s="1" t="s">
        <v>15</v>
      </c>
      <c r="D4" s="1"/>
      <c r="E4" s="1" t="s">
        <v>16</v>
      </c>
    </row>
    <row r="5" spans="1:7">
      <c r="B5" s="1" t="s">
        <v>17</v>
      </c>
      <c r="C5" s="2">
        <v>0.6</v>
      </c>
      <c r="D5" s="1" t="s">
        <v>18</v>
      </c>
      <c r="E5" s="10">
        <v>0.99696755701408224</v>
      </c>
    </row>
    <row r="6" spans="1:7">
      <c r="B6" s="1" t="s">
        <v>19</v>
      </c>
      <c r="C6" s="2">
        <v>0.9</v>
      </c>
      <c r="D6" s="1" t="s">
        <v>20</v>
      </c>
      <c r="E6" s="10">
        <v>0.99105390342801047</v>
      </c>
    </row>
    <row r="7" spans="1:7">
      <c r="B7" s="1" t="s">
        <v>21</v>
      </c>
      <c r="C7" s="2">
        <v>1.1000000000000001</v>
      </c>
      <c r="D7" s="1" t="s">
        <v>22</v>
      </c>
      <c r="E7" s="10">
        <v>0.98365577520394676</v>
      </c>
    </row>
    <row r="8" spans="1:7">
      <c r="B8" s="1" t="s">
        <v>23</v>
      </c>
      <c r="C8" s="2">
        <v>1.3</v>
      </c>
      <c r="D8" s="1" t="s">
        <v>24</v>
      </c>
      <c r="E8" s="10">
        <v>0.97435081765355258</v>
      </c>
    </row>
    <row r="9" spans="1:7">
      <c r="B9" s="4" t="s">
        <v>25</v>
      </c>
      <c r="C9" s="5">
        <v>1.45</v>
      </c>
      <c r="D9" s="1" t="s">
        <v>26</v>
      </c>
      <c r="E9" s="10">
        <v>0.96439940095664234</v>
      </c>
    </row>
    <row r="10" spans="1:7">
      <c r="B10" s="4" t="s">
        <v>27</v>
      </c>
      <c r="C10" s="5">
        <v>1.6</v>
      </c>
      <c r="D10" s="1" t="s">
        <v>28</v>
      </c>
      <c r="E10" s="10">
        <v>0.95309184560114102</v>
      </c>
      <c r="G10" s="6"/>
    </row>
    <row r="11" spans="1:7">
      <c r="B11" s="4" t="s">
        <v>29</v>
      </c>
      <c r="C11" s="5">
        <v>1.75</v>
      </c>
      <c r="D11" s="1" t="s">
        <v>30</v>
      </c>
      <c r="E11" s="10">
        <v>0.94046513618463246</v>
      </c>
    </row>
    <row r="12" spans="1:7">
      <c r="B12" s="4" t="s">
        <v>31</v>
      </c>
      <c r="C12" s="5">
        <v>1.9</v>
      </c>
      <c r="D12" s="1" t="s">
        <v>32</v>
      </c>
      <c r="E12" s="10">
        <v>0.9265598294775641</v>
      </c>
    </row>
    <row r="13" spans="1:7">
      <c r="B13" s="7" t="s">
        <v>33</v>
      </c>
      <c r="C13" s="5">
        <v>2</v>
      </c>
      <c r="D13" s="1" t="s">
        <v>34</v>
      </c>
      <c r="E13" s="10">
        <v>0.91355896766812306</v>
      </c>
    </row>
    <row r="14" spans="1:7">
      <c r="B14" s="1" t="s">
        <v>35</v>
      </c>
      <c r="C14" s="2">
        <v>2.1</v>
      </c>
      <c r="D14" s="1" t="s">
        <v>36</v>
      </c>
      <c r="E14" s="10">
        <v>0.89978913018459106</v>
      </c>
    </row>
    <row r="17" spans="1:7">
      <c r="A17" t="s">
        <v>37</v>
      </c>
    </row>
    <row r="20" spans="1:7">
      <c r="A20" s="8" t="s">
        <v>38</v>
      </c>
      <c r="B20" t="s">
        <v>39</v>
      </c>
      <c r="F20" s="9">
        <f>100*(E6-E12)</f>
        <v>6.4494073950446378</v>
      </c>
    </row>
    <row r="23" spans="1:7">
      <c r="A23" s="8" t="s">
        <v>40</v>
      </c>
      <c r="B23" t="s">
        <v>41</v>
      </c>
      <c r="F23" s="9">
        <f>0.5*SUM(E7:E12)</f>
        <v>2.8712614025387393</v>
      </c>
    </row>
    <row r="26" spans="1:7">
      <c r="A26" s="8" t="s">
        <v>42</v>
      </c>
      <c r="B26" t="s">
        <v>43</v>
      </c>
      <c r="F26" s="9">
        <f>F20/F23</f>
        <v>2.246193045795879</v>
      </c>
      <c r="G26" t="s">
        <v>44</v>
      </c>
    </row>
    <row r="28" spans="1:7">
      <c r="A28" t="s">
        <v>45</v>
      </c>
    </row>
    <row r="30" spans="1:7">
      <c r="A30" t="s">
        <v>46</v>
      </c>
    </row>
    <row r="33" spans="1:4">
      <c r="B33" s="1" t="s">
        <v>47</v>
      </c>
      <c r="C33" s="1" t="s">
        <v>48</v>
      </c>
    </row>
    <row r="34" spans="1:4">
      <c r="B34" s="1" t="s">
        <v>49</v>
      </c>
      <c r="C34" s="10">
        <f t="shared" ref="C34:C39" si="0">(E6/E7-1)*200</f>
        <v>1.5042108043395341</v>
      </c>
    </row>
    <row r="35" spans="1:4">
      <c r="B35" s="1" t="s">
        <v>50</v>
      </c>
      <c r="C35" s="10">
        <f t="shared" si="0"/>
        <v>1.9099809600001016</v>
      </c>
    </row>
    <row r="36" spans="1:4">
      <c r="B36" s="1" t="s">
        <v>51</v>
      </c>
      <c r="C36" s="10">
        <f t="shared" si="0"/>
        <v>2.0637542261098041</v>
      </c>
    </row>
    <row r="37" spans="1:4">
      <c r="B37" s="1" t="s">
        <v>52</v>
      </c>
      <c r="C37" s="10">
        <f t="shared" si="0"/>
        <v>2.3728154653068767</v>
      </c>
    </row>
    <row r="38" spans="1:4">
      <c r="B38" s="1" t="s">
        <v>53</v>
      </c>
      <c r="C38" s="10">
        <f t="shared" si="0"/>
        <v>2.6852052097824153</v>
      </c>
    </row>
    <row r="39" spans="1:4">
      <c r="B39" s="1" t="s">
        <v>54</v>
      </c>
      <c r="C39" s="10">
        <f t="shared" si="0"/>
        <v>3.0014913801969634</v>
      </c>
    </row>
    <row r="41" spans="1:4">
      <c r="A41" t="s">
        <v>55</v>
      </c>
    </row>
    <row r="44" spans="1:4">
      <c r="B44" s="1" t="s">
        <v>47</v>
      </c>
      <c r="C44" s="1" t="s">
        <v>48</v>
      </c>
      <c r="D44" s="1" t="s">
        <v>56</v>
      </c>
    </row>
    <row r="45" spans="1:4">
      <c r="B45" s="1" t="s">
        <v>49</v>
      </c>
      <c r="C45" s="10">
        <f t="shared" ref="C45:C50" si="1">C34</f>
        <v>1.5042108043395341</v>
      </c>
      <c r="D45" s="10">
        <f t="shared" ref="D45:D50" si="2">C45/2*E7</f>
        <v>0.73981282240637836</v>
      </c>
    </row>
    <row r="46" spans="1:4">
      <c r="B46" s="1" t="s">
        <v>50</v>
      </c>
      <c r="C46" s="10">
        <f t="shared" si="1"/>
        <v>1.9099809600001016</v>
      </c>
      <c r="D46" s="10">
        <f t="shared" si="2"/>
        <v>0.93049575503940818</v>
      </c>
    </row>
    <row r="47" spans="1:4">
      <c r="B47" s="1" t="s">
        <v>51</v>
      </c>
      <c r="C47" s="10">
        <f t="shared" si="1"/>
        <v>2.0637542261098041</v>
      </c>
      <c r="D47" s="10">
        <f t="shared" si="2"/>
        <v>0.99514166969101703</v>
      </c>
    </row>
    <row r="48" spans="1:4">
      <c r="B48" s="1" t="s">
        <v>52</v>
      </c>
      <c r="C48" s="10">
        <f t="shared" si="1"/>
        <v>2.3728154653068767</v>
      </c>
      <c r="D48" s="10">
        <f t="shared" si="2"/>
        <v>1.1307555355501306</v>
      </c>
    </row>
    <row r="49" spans="2:4">
      <c r="B49" s="1" t="s">
        <v>53</v>
      </c>
      <c r="C49" s="10">
        <f t="shared" si="1"/>
        <v>2.6852052097824153</v>
      </c>
      <c r="D49" s="10">
        <f t="shared" si="2"/>
        <v>1.2626709416508519</v>
      </c>
    </row>
    <row r="50" spans="2:4">
      <c r="B50" s="1" t="s">
        <v>54</v>
      </c>
      <c r="C50" s="10">
        <f t="shared" si="1"/>
        <v>3.0014913801969634</v>
      </c>
      <c r="D50" s="10">
        <f t="shared" si="2"/>
        <v>1.3905306707068386</v>
      </c>
    </row>
    <row r="51" spans="2:4">
      <c r="D51" s="12"/>
    </row>
    <row r="52" spans="2:4">
      <c r="C52" t="s">
        <v>57</v>
      </c>
      <c r="D52" s="11">
        <f>SUM(D45:D50)</f>
        <v>6.4494073950446245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54"/>
  <sheetViews>
    <sheetView topLeftCell="A28" workbookViewId="0">
      <selection activeCell="E56" sqref="E56"/>
    </sheetView>
  </sheetViews>
  <sheetFormatPr baseColWidth="10" defaultColWidth="8.83203125" defaultRowHeight="14"/>
  <cols>
    <col min="2" max="5" width="10.6640625" customWidth="1"/>
    <col min="7" max="7" width="11.83203125" customWidth="1"/>
    <col min="10" max="10" width="11.33203125" bestFit="1" customWidth="1"/>
  </cols>
  <sheetData>
    <row r="3" spans="1:7">
      <c r="A3" t="s">
        <v>14</v>
      </c>
    </row>
    <row r="4" spans="1:7">
      <c r="B4" s="1"/>
      <c r="C4" s="1" t="s">
        <v>15</v>
      </c>
      <c r="D4" s="1"/>
      <c r="E4" s="1" t="s">
        <v>16</v>
      </c>
    </row>
    <row r="5" spans="1:7">
      <c r="B5" s="1" t="s">
        <v>17</v>
      </c>
      <c r="C5" s="2">
        <v>0.6</v>
      </c>
      <c r="D5" s="1" t="s">
        <v>58</v>
      </c>
      <c r="E5" s="3">
        <v>0.99696755701408224</v>
      </c>
      <c r="G5" s="13"/>
    </row>
    <row r="6" spans="1:7">
      <c r="B6" s="1" t="s">
        <v>59</v>
      </c>
      <c r="C6" s="2">
        <v>0.9</v>
      </c>
      <c r="D6" s="1" t="s">
        <v>60</v>
      </c>
      <c r="E6" s="3">
        <v>0.99105390342801047</v>
      </c>
    </row>
    <row r="7" spans="1:7">
      <c r="B7" s="1" t="s">
        <v>61</v>
      </c>
      <c r="C7" s="2">
        <v>1.1000000000000001</v>
      </c>
      <c r="D7" s="1" t="s">
        <v>62</v>
      </c>
      <c r="E7" s="3">
        <v>0.98365577520394676</v>
      </c>
    </row>
    <row r="8" spans="1:7">
      <c r="B8" s="1" t="s">
        <v>63</v>
      </c>
      <c r="C8" s="2">
        <v>1.3</v>
      </c>
      <c r="D8" s="1" t="s">
        <v>64</v>
      </c>
      <c r="E8" s="3">
        <v>0.97435081765355258</v>
      </c>
    </row>
    <row r="9" spans="1:7">
      <c r="B9" s="4" t="s">
        <v>65</v>
      </c>
      <c r="C9" s="5">
        <v>1.45</v>
      </c>
      <c r="D9" s="1" t="s">
        <v>66</v>
      </c>
      <c r="E9" s="3">
        <v>0.96439940095664234</v>
      </c>
    </row>
    <row r="10" spans="1:7">
      <c r="B10" s="4" t="s">
        <v>67</v>
      </c>
      <c r="C10" s="5">
        <v>1.6</v>
      </c>
      <c r="D10" s="1" t="s">
        <v>68</v>
      </c>
      <c r="E10" s="3">
        <v>0.95309184560114102</v>
      </c>
    </row>
    <row r="11" spans="1:7">
      <c r="B11" s="4" t="s">
        <v>69</v>
      </c>
      <c r="C11" s="5">
        <v>1.75</v>
      </c>
      <c r="D11" s="1" t="s">
        <v>70</v>
      </c>
      <c r="E11" s="3">
        <v>0.94046513618463246</v>
      </c>
    </row>
    <row r="12" spans="1:7">
      <c r="B12" s="4" t="s">
        <v>71</v>
      </c>
      <c r="C12" s="5">
        <v>1.9</v>
      </c>
      <c r="D12" s="1" t="s">
        <v>72</v>
      </c>
      <c r="E12" s="3">
        <v>0.9265598294775641</v>
      </c>
    </row>
    <row r="13" spans="1:7">
      <c r="B13" s="7" t="s">
        <v>73</v>
      </c>
      <c r="C13" s="5">
        <v>2</v>
      </c>
      <c r="D13" s="1" t="s">
        <v>74</v>
      </c>
      <c r="E13" s="3">
        <v>0.91355896766812306</v>
      </c>
    </row>
    <row r="14" spans="1:7">
      <c r="B14" s="1" t="s">
        <v>75</v>
      </c>
      <c r="C14" s="2">
        <v>2.1</v>
      </c>
      <c r="D14" s="1" t="s">
        <v>76</v>
      </c>
      <c r="E14" s="3">
        <v>0.89978913018459106</v>
      </c>
    </row>
    <row r="15" spans="1:7">
      <c r="G15" s="13"/>
    </row>
    <row r="17" spans="1:10">
      <c r="A17" t="s">
        <v>77</v>
      </c>
    </row>
    <row r="18" spans="1:10"/>
    <row r="19" spans="1:10">
      <c r="A19" t="s">
        <v>78</v>
      </c>
      <c r="B19" s="1" t="s">
        <v>47</v>
      </c>
      <c r="C19" s="1" t="s">
        <v>79</v>
      </c>
      <c r="J19" s="13"/>
    </row>
    <row r="20" spans="1:10">
      <c r="B20" s="1" t="s">
        <v>80</v>
      </c>
      <c r="C20" s="11">
        <f>(E5/E6-1)*200</f>
        <v>1.1934070519508122</v>
      </c>
    </row>
    <row r="21" spans="1:10">
      <c r="B21" s="1" t="s">
        <v>49</v>
      </c>
      <c r="C21" s="11">
        <f>(E6/E7-1)*200</f>
        <v>1.5042108043395341</v>
      </c>
      <c r="J21" s="13"/>
    </row>
    <row r="22" spans="1:10">
      <c r="B22" s="1" t="s">
        <v>50</v>
      </c>
      <c r="C22" s="11">
        <f>(E7/E8-1)*200</f>
        <v>1.9099809600001016</v>
      </c>
    </row>
    <row r="23" spans="1:10">
      <c r="B23" s="1" t="s">
        <v>51</v>
      </c>
      <c r="C23" s="11">
        <f>(E8/E9-1)*200</f>
        <v>2.0637542261098041</v>
      </c>
      <c r="J23" s="14"/>
    </row>
    <row r="24" spans="1:10">
      <c r="B24" s="1" t="s">
        <v>52</v>
      </c>
      <c r="C24" s="11">
        <f>(E9/E10-1)*200</f>
        <v>2.3728154653068767</v>
      </c>
    </row>
    <row r="25" spans="1:10">
      <c r="J25" s="14"/>
    </row>
    <row r="26" spans="1:10"/>
    <row r="27" spans="1:10">
      <c r="A27" t="s">
        <v>81</v>
      </c>
    </row>
    <row r="28" spans="1:10"/>
    <row r="29" spans="1:10">
      <c r="B29" s="1" t="s">
        <v>82</v>
      </c>
      <c r="C29" s="1" t="s">
        <v>83</v>
      </c>
      <c r="D29" s="1" t="s">
        <v>84</v>
      </c>
      <c r="E29" s="1" t="s">
        <v>85</v>
      </c>
    </row>
    <row r="30" spans="1:10">
      <c r="B30" s="2">
        <v>0.5</v>
      </c>
      <c r="C30" s="1">
        <v>30</v>
      </c>
      <c r="D30" s="1">
        <v>0.6</v>
      </c>
      <c r="E30" s="11">
        <f>C30*D30/100*182.5/360*E5</f>
        <v>9.0973289577535005E-2</v>
      </c>
    </row>
    <row r="31" spans="1:10">
      <c r="B31" s="2">
        <v>1</v>
      </c>
      <c r="C31" s="1">
        <v>25</v>
      </c>
      <c r="D31" s="15">
        <f>C20</f>
        <v>1.1934070519508122</v>
      </c>
      <c r="E31" s="11">
        <f>C31*D31/100*0.5*E6</f>
        <v>0.14784133965179586</v>
      </c>
    </row>
    <row r="32" spans="1:10">
      <c r="B32" s="2">
        <v>1.5</v>
      </c>
      <c r="C32" s="1">
        <v>20</v>
      </c>
      <c r="D32" s="15">
        <f>C21</f>
        <v>1.5042108043395341</v>
      </c>
      <c r="E32" s="11">
        <f>C32*D32/100*0.5*E7</f>
        <v>0.14796256448127568</v>
      </c>
    </row>
    <row r="33" spans="1:6">
      <c r="B33" s="2">
        <v>2</v>
      </c>
      <c r="C33" s="1">
        <v>15</v>
      </c>
      <c r="D33" s="15">
        <f>C22</f>
        <v>1.9099809600001016</v>
      </c>
      <c r="E33" s="11">
        <f>C33*D33/100*0.5*E8</f>
        <v>0.13957436325591122</v>
      </c>
    </row>
    <row r="34" spans="1:6">
      <c r="B34" s="2">
        <v>2.5</v>
      </c>
      <c r="C34" s="1">
        <v>10</v>
      </c>
      <c r="D34" s="15">
        <f>C23</f>
        <v>2.0637542261098041</v>
      </c>
      <c r="E34" s="11">
        <f>C34*D34/100*0.5*E9</f>
        <v>9.9514166969101703E-2</v>
      </c>
    </row>
    <row r="35" spans="1:6">
      <c r="B35" s="2">
        <v>3</v>
      </c>
      <c r="C35" s="1">
        <v>5</v>
      </c>
      <c r="D35" s="15">
        <f>C24</f>
        <v>2.3728154653068767</v>
      </c>
      <c r="E35" s="11">
        <f>C35*D35/100*0.5*E10</f>
        <v>5.6537776777506536E-2</v>
      </c>
    </row>
    <row r="36" spans="1:6">
      <c r="B36" s="16"/>
      <c r="E36" s="12"/>
    </row>
    <row r="37" spans="1:6">
      <c r="D37" s="1" t="s">
        <v>86</v>
      </c>
      <c r="E37" s="11">
        <f>SUM(E30:E35)</f>
        <v>0.68240350071312605</v>
      </c>
      <c r="F37" t="s">
        <v>87</v>
      </c>
    </row>
    <row r="39" spans="1:6">
      <c r="A39" t="s">
        <v>88</v>
      </c>
    </row>
    <row r="41" spans="1:6">
      <c r="B41" s="1" t="s">
        <v>82</v>
      </c>
      <c r="C41" s="1" t="s">
        <v>83</v>
      </c>
      <c r="D41" s="1" t="s">
        <v>84</v>
      </c>
      <c r="E41" s="1" t="s">
        <v>85</v>
      </c>
    </row>
    <row r="42" spans="1:6">
      <c r="B42" s="2">
        <v>0.5</v>
      </c>
      <c r="C42" s="1">
        <v>30</v>
      </c>
      <c r="D42" s="1">
        <v>1</v>
      </c>
      <c r="E42" s="11">
        <f t="shared" ref="E42:E47" si="0">C42*D42/100*0.5*E5</f>
        <v>0.14954513355211232</v>
      </c>
    </row>
    <row r="43" spans="1:6">
      <c r="B43" s="2">
        <v>1</v>
      </c>
      <c r="C43" s="1">
        <v>25</v>
      </c>
      <c r="D43" s="1">
        <v>1</v>
      </c>
      <c r="E43" s="11">
        <f t="shared" si="0"/>
        <v>0.12388173792850131</v>
      </c>
    </row>
    <row r="44" spans="1:6">
      <c r="B44" s="2">
        <v>1.5</v>
      </c>
      <c r="C44" s="1">
        <v>20</v>
      </c>
      <c r="D44" s="1">
        <v>1</v>
      </c>
      <c r="E44" s="11">
        <f t="shared" si="0"/>
        <v>9.8365577520394681E-2</v>
      </c>
    </row>
    <row r="45" spans="1:6">
      <c r="B45" s="2">
        <v>2</v>
      </c>
      <c r="C45" s="1">
        <v>15</v>
      </c>
      <c r="D45" s="1">
        <v>1</v>
      </c>
      <c r="E45" s="11">
        <f t="shared" si="0"/>
        <v>7.3076311324016444E-2</v>
      </c>
    </row>
    <row r="46" spans="1:6">
      <c r="B46" s="2">
        <v>2.5</v>
      </c>
      <c r="C46" s="1">
        <v>10</v>
      </c>
      <c r="D46" s="1">
        <v>1</v>
      </c>
      <c r="E46" s="11">
        <f t="shared" si="0"/>
        <v>4.8219970047832121E-2</v>
      </c>
    </row>
    <row r="47" spans="1:6">
      <c r="B47" s="2">
        <v>3</v>
      </c>
      <c r="C47" s="1">
        <v>5</v>
      </c>
      <c r="D47" s="1">
        <v>1</v>
      </c>
      <c r="E47" s="11">
        <f t="shared" si="0"/>
        <v>2.3827296140028528E-2</v>
      </c>
    </row>
    <row r="48" spans="1:6">
      <c r="B48" s="16"/>
      <c r="E48" s="12"/>
    </row>
    <row r="49" spans="1:6">
      <c r="D49" s="1" t="s">
        <v>86</v>
      </c>
      <c r="E49" s="11">
        <f>SUM(E42:E47)</f>
        <v>0.51691602651288537</v>
      </c>
      <c r="F49" t="s">
        <v>89</v>
      </c>
    </row>
    <row r="52" spans="1:6">
      <c r="A52" t="s">
        <v>90</v>
      </c>
    </row>
    <row r="54" spans="1:6">
      <c r="B54" t="s">
        <v>91</v>
      </c>
      <c r="C54" s="11">
        <f>E37/E49</f>
        <v>1.3201438255196283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47"/>
  <sheetViews>
    <sheetView workbookViewId="0">
      <selection activeCell="H45" sqref="H45"/>
    </sheetView>
  </sheetViews>
  <sheetFormatPr baseColWidth="10" defaultColWidth="8.83203125" defaultRowHeight="14"/>
  <cols>
    <col min="2" max="2" width="12.1640625" customWidth="1"/>
    <col min="4" max="4" width="10.5" bestFit="1" customWidth="1"/>
    <col min="5" max="5" width="13.5" customWidth="1"/>
  </cols>
  <sheetData>
    <row r="3" spans="1:5">
      <c r="A3" t="s">
        <v>14</v>
      </c>
    </row>
    <row r="4" spans="1:5">
      <c r="B4" s="1"/>
      <c r="C4" s="1" t="s">
        <v>15</v>
      </c>
      <c r="D4" s="1"/>
      <c r="E4" s="1" t="s">
        <v>92</v>
      </c>
    </row>
    <row r="5" spans="1:5">
      <c r="B5" s="1" t="s">
        <v>93</v>
      </c>
      <c r="C5" s="1">
        <v>0.54</v>
      </c>
      <c r="D5" s="1"/>
      <c r="E5" s="1"/>
    </row>
    <row r="6" spans="1:5">
      <c r="B6" s="1" t="s">
        <v>17</v>
      </c>
      <c r="C6" s="2">
        <v>0.6</v>
      </c>
      <c r="D6" s="1" t="s">
        <v>94</v>
      </c>
      <c r="E6" s="3">
        <v>0.99696755701408224</v>
      </c>
    </row>
    <row r="7" spans="1:5">
      <c r="B7" s="1" t="s">
        <v>95</v>
      </c>
      <c r="C7" s="2">
        <v>0.9</v>
      </c>
      <c r="D7" s="1" t="s">
        <v>96</v>
      </c>
      <c r="E7" s="3">
        <v>0.99105390342801047</v>
      </c>
    </row>
    <row r="8" spans="1:5">
      <c r="B8" s="1" t="s">
        <v>97</v>
      </c>
      <c r="C8" s="2">
        <v>1.1000000000000001</v>
      </c>
      <c r="D8" s="1" t="s">
        <v>98</v>
      </c>
      <c r="E8" s="3">
        <v>0.98365577520394676</v>
      </c>
    </row>
    <row r="9" spans="1:5">
      <c r="B9" s="1" t="s">
        <v>99</v>
      </c>
      <c r="C9" s="2">
        <v>1.3</v>
      </c>
      <c r="D9" s="1" t="s">
        <v>100</v>
      </c>
      <c r="E9" s="3">
        <v>0.97435081765355258</v>
      </c>
    </row>
    <row r="10" spans="1:5">
      <c r="B10" s="4" t="s">
        <v>101</v>
      </c>
      <c r="C10" s="5">
        <v>1.45</v>
      </c>
      <c r="D10" s="1" t="s">
        <v>102</v>
      </c>
      <c r="E10" s="3">
        <v>0.96439940095664234</v>
      </c>
    </row>
    <row r="11" spans="1:5">
      <c r="B11" s="4" t="s">
        <v>103</v>
      </c>
      <c r="C11" s="5">
        <v>1.6</v>
      </c>
      <c r="D11" s="1" t="s">
        <v>104</v>
      </c>
      <c r="E11" s="3">
        <v>0.95309184560114102</v>
      </c>
    </row>
    <row r="12" spans="1:5">
      <c r="B12" s="4" t="s">
        <v>105</v>
      </c>
      <c r="C12" s="5">
        <v>1.75</v>
      </c>
      <c r="D12" s="1" t="s">
        <v>106</v>
      </c>
      <c r="E12" s="3">
        <v>0.94046513618463246</v>
      </c>
    </row>
    <row r="13" spans="1:5">
      <c r="B13" s="4" t="s">
        <v>107</v>
      </c>
      <c r="C13" s="5">
        <v>1.9</v>
      </c>
      <c r="D13" s="1" t="s">
        <v>108</v>
      </c>
      <c r="E13" s="3">
        <v>0.9265598294775641</v>
      </c>
    </row>
    <row r="14" spans="1:5">
      <c r="B14" s="7" t="s">
        <v>109</v>
      </c>
      <c r="C14" s="5">
        <v>2</v>
      </c>
      <c r="D14" s="1" t="s">
        <v>110</v>
      </c>
      <c r="E14" s="3">
        <v>0.91355896766812306</v>
      </c>
    </row>
    <row r="15" spans="1:5">
      <c r="B15" s="1" t="s">
        <v>111</v>
      </c>
      <c r="C15" s="2">
        <v>2.1</v>
      </c>
      <c r="D15" s="1" t="s">
        <v>112</v>
      </c>
      <c r="E15" s="3">
        <v>0.89978913018459106</v>
      </c>
    </row>
    <row r="18" spans="1:5">
      <c r="A18" s="8" t="s">
        <v>113</v>
      </c>
    </row>
    <row r="20" spans="1:5">
      <c r="B20" t="s">
        <v>114</v>
      </c>
      <c r="D20" s="1">
        <f>3000000000*0.0045*(182.5/360)</f>
        <v>6843749.9999999991</v>
      </c>
      <c r="E20" t="s">
        <v>115</v>
      </c>
    </row>
    <row r="21" spans="1:5">
      <c r="B21" t="s">
        <v>116</v>
      </c>
      <c r="D21" s="1">
        <f>3000000000*0.0255*0.5</f>
        <v>38250000</v>
      </c>
    </row>
    <row r="22" spans="1:5">
      <c r="B22" t="s">
        <v>117</v>
      </c>
      <c r="D22" s="1">
        <f>D20-D21</f>
        <v>-31406250</v>
      </c>
    </row>
    <row r="24" spans="1:5">
      <c r="B24" t="s">
        <v>118</v>
      </c>
      <c r="E24" s="1">
        <f>100/(100*(1+C5/100*(365*5/12)/360))</f>
        <v>0.99772394225672678</v>
      </c>
    </row>
    <row r="26" spans="1:5">
      <c r="B26" t="s">
        <v>119</v>
      </c>
      <c r="E26" s="41">
        <f>D22*E24</f>
        <v>-31334767.561500326</v>
      </c>
    </row>
    <row r="29" spans="1:5">
      <c r="A29" t="s">
        <v>120</v>
      </c>
    </row>
    <row r="31" spans="1:5">
      <c r="B31" t="s">
        <v>121</v>
      </c>
    </row>
    <row r="33" spans="1:5">
      <c r="B33" s="1" t="s">
        <v>122</v>
      </c>
      <c r="C33" s="17">
        <f>E24</f>
        <v>0.99772394225672678</v>
      </c>
    </row>
    <row r="34" spans="1:5">
      <c r="B34" s="1" t="s">
        <v>123</v>
      </c>
      <c r="C34" s="17">
        <f t="shared" ref="C34:C41" si="0">E6+(E7-E6)*5/6</f>
        <v>0.99203951235902244</v>
      </c>
    </row>
    <row r="35" spans="1:5">
      <c r="B35" s="1" t="s">
        <v>124</v>
      </c>
      <c r="C35" s="17">
        <f t="shared" si="0"/>
        <v>0.98488879657462403</v>
      </c>
    </row>
    <row r="36" spans="1:5">
      <c r="B36" s="1" t="s">
        <v>125</v>
      </c>
      <c r="C36" s="17">
        <f t="shared" si="0"/>
        <v>0.97590164391195167</v>
      </c>
    </row>
    <row r="37" spans="1:5">
      <c r="B37" s="1" t="s">
        <v>126</v>
      </c>
      <c r="C37" s="17">
        <f t="shared" si="0"/>
        <v>0.9660579704061274</v>
      </c>
    </row>
    <row r="38" spans="1:5">
      <c r="B38" s="1" t="s">
        <v>127</v>
      </c>
      <c r="C38" s="17">
        <f t="shared" si="0"/>
        <v>0.95497643816039124</v>
      </c>
    </row>
    <row r="39" spans="1:5">
      <c r="B39" s="1" t="s">
        <v>128</v>
      </c>
      <c r="C39" s="17">
        <f t="shared" si="0"/>
        <v>0.94256958775405053</v>
      </c>
    </row>
    <row r="40" spans="1:5">
      <c r="B40" s="1" t="s">
        <v>129</v>
      </c>
      <c r="C40" s="17">
        <f t="shared" si="0"/>
        <v>0.92887738059540881</v>
      </c>
    </row>
    <row r="41" spans="1:5">
      <c r="B41" s="1" t="s">
        <v>130</v>
      </c>
      <c r="C41" s="17">
        <f t="shared" si="0"/>
        <v>0.91572577796969656</v>
      </c>
    </row>
    <row r="43" spans="1:5">
      <c r="B43" t="s">
        <v>131</v>
      </c>
      <c r="E43" s="1">
        <f>3000000000*(C33-C41)</f>
        <v>245994492.86109066</v>
      </c>
    </row>
    <row r="44" spans="1:5">
      <c r="B44" t="s">
        <v>132</v>
      </c>
      <c r="E44" s="1">
        <f>3000000000*0.0255/2*SUM(C34:C41)</f>
        <v>293034669.37072116</v>
      </c>
    </row>
    <row r="45" spans="1:5">
      <c r="B45" t="s">
        <v>117</v>
      </c>
      <c r="E45" s="41">
        <f>E43-E44</f>
        <v>-47040176.509630501</v>
      </c>
    </row>
    <row r="47" spans="1:5">
      <c r="A47" t="s">
        <v>133</v>
      </c>
      <c r="E47" s="41">
        <f>E26+E45</f>
        <v>-78374944.071130827</v>
      </c>
    </row>
  </sheetData>
  <phoneticPr fontId="2"/>
  <pageMargins left="0.75" right="0.75" top="1" bottom="1" header="0.51200000000000001" footer="0.5120000000000000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79"/>
  <sheetViews>
    <sheetView topLeftCell="A34" workbookViewId="0">
      <selection activeCell="E56" sqref="E56"/>
    </sheetView>
  </sheetViews>
  <sheetFormatPr baseColWidth="10" defaultColWidth="8.83203125" defaultRowHeight="14"/>
  <cols>
    <col min="2" max="2" width="13.6640625" customWidth="1"/>
    <col min="3" max="3" width="10" customWidth="1"/>
  </cols>
  <sheetData>
    <row r="3" spans="1:5">
      <c r="A3" t="s">
        <v>14</v>
      </c>
    </row>
    <row r="4" spans="1:5">
      <c r="B4" s="1"/>
      <c r="C4" s="1" t="s">
        <v>15</v>
      </c>
      <c r="D4" s="1"/>
      <c r="E4" s="1" t="s">
        <v>16</v>
      </c>
    </row>
    <row r="5" spans="1:5">
      <c r="B5" s="1" t="s">
        <v>17</v>
      </c>
      <c r="C5" s="2">
        <v>0.6</v>
      </c>
      <c r="D5" s="1" t="s">
        <v>134</v>
      </c>
      <c r="E5" s="3">
        <v>0.99696755701408224</v>
      </c>
    </row>
    <row r="6" spans="1:5">
      <c r="B6" s="1" t="s">
        <v>135</v>
      </c>
      <c r="C6" s="2">
        <v>0.9</v>
      </c>
      <c r="D6" s="1" t="s">
        <v>136</v>
      </c>
      <c r="E6" s="3">
        <v>0.99105390342801047</v>
      </c>
    </row>
    <row r="7" spans="1:5">
      <c r="B7" s="1" t="s">
        <v>137</v>
      </c>
      <c r="C7" s="2">
        <v>1.1000000000000001</v>
      </c>
      <c r="D7" s="1" t="s">
        <v>138</v>
      </c>
      <c r="E7" s="3">
        <v>0.98365577520394676</v>
      </c>
    </row>
    <row r="8" spans="1:5">
      <c r="B8" s="1" t="s">
        <v>139</v>
      </c>
      <c r="C8" s="2">
        <v>1.3</v>
      </c>
      <c r="D8" s="1" t="s">
        <v>140</v>
      </c>
      <c r="E8" s="3">
        <v>0.97435081765355258</v>
      </c>
    </row>
    <row r="9" spans="1:5">
      <c r="B9" s="4" t="s">
        <v>141</v>
      </c>
      <c r="C9" s="5">
        <v>1.45</v>
      </c>
      <c r="D9" s="1" t="s">
        <v>142</v>
      </c>
      <c r="E9" s="3">
        <v>0.96439940095664234</v>
      </c>
    </row>
    <row r="10" spans="1:5">
      <c r="B10" s="4" t="s">
        <v>143</v>
      </c>
      <c r="C10" s="5">
        <v>1.6</v>
      </c>
      <c r="D10" s="1" t="s">
        <v>144</v>
      </c>
      <c r="E10" s="3">
        <v>0.95309184560114102</v>
      </c>
    </row>
    <row r="11" spans="1:5">
      <c r="B11" s="4" t="s">
        <v>145</v>
      </c>
      <c r="C11" s="5">
        <v>1.75</v>
      </c>
      <c r="D11" s="1" t="s">
        <v>146</v>
      </c>
      <c r="E11" s="3">
        <v>0.94046513618463246</v>
      </c>
    </row>
    <row r="12" spans="1:5">
      <c r="B12" s="4" t="s">
        <v>147</v>
      </c>
      <c r="C12" s="5">
        <v>1.9</v>
      </c>
      <c r="D12" s="1" t="s">
        <v>148</v>
      </c>
      <c r="E12" s="3">
        <v>0.9265598294775641</v>
      </c>
    </row>
    <row r="13" spans="1:5">
      <c r="B13" s="7" t="s">
        <v>149</v>
      </c>
      <c r="C13" s="5">
        <v>2</v>
      </c>
      <c r="D13" s="1" t="s">
        <v>150</v>
      </c>
      <c r="E13" s="3">
        <v>0.91355896766812306</v>
      </c>
    </row>
    <row r="14" spans="1:5">
      <c r="B14" s="1" t="s">
        <v>151</v>
      </c>
      <c r="C14" s="2">
        <v>2.1</v>
      </c>
      <c r="D14" s="1" t="s">
        <v>152</v>
      </c>
      <c r="E14" s="3">
        <v>0.89978913018459106</v>
      </c>
    </row>
    <row r="17" spans="1:3">
      <c r="A17" t="s">
        <v>153</v>
      </c>
    </row>
    <row r="19" spans="1:3">
      <c r="B19" s="1" t="s">
        <v>82</v>
      </c>
      <c r="C19" s="1" t="s">
        <v>83</v>
      </c>
    </row>
    <row r="20" spans="1:3">
      <c r="B20" s="1" t="s">
        <v>154</v>
      </c>
      <c r="C20" s="1">
        <v>100</v>
      </c>
    </row>
    <row r="21" spans="1:3">
      <c r="B21" s="1" t="s">
        <v>155</v>
      </c>
      <c r="C21" s="1">
        <v>100</v>
      </c>
    </row>
    <row r="22" spans="1:3">
      <c r="B22" s="1" t="s">
        <v>156</v>
      </c>
      <c r="C22" s="1">
        <v>80</v>
      </c>
    </row>
    <row r="23" spans="1:3">
      <c r="B23" s="1" t="s">
        <v>157</v>
      </c>
      <c r="C23" s="1">
        <v>80</v>
      </c>
    </row>
    <row r="24" spans="1:3">
      <c r="B24" s="1" t="s">
        <v>158</v>
      </c>
      <c r="C24" s="1">
        <v>60</v>
      </c>
    </row>
    <row r="25" spans="1:3">
      <c r="B25" s="1" t="s">
        <v>159</v>
      </c>
      <c r="C25" s="1">
        <v>60</v>
      </c>
    </row>
    <row r="26" spans="1:3">
      <c r="B26" s="1" t="s">
        <v>160</v>
      </c>
      <c r="C26" s="1">
        <v>40</v>
      </c>
    </row>
    <row r="27" spans="1:3">
      <c r="B27" s="1" t="s">
        <v>161</v>
      </c>
      <c r="C27" s="1">
        <v>40</v>
      </c>
    </row>
    <row r="28" spans="1:3">
      <c r="B28" s="1" t="s">
        <v>162</v>
      </c>
      <c r="C28" s="1">
        <v>20</v>
      </c>
    </row>
    <row r="29" spans="1:3">
      <c r="B29" s="1" t="s">
        <v>163</v>
      </c>
      <c r="C29" s="1">
        <v>20</v>
      </c>
    </row>
    <row r="32" spans="1:3">
      <c r="A32" t="s">
        <v>164</v>
      </c>
    </row>
    <row r="34" spans="1:4">
      <c r="B34" s="1" t="s">
        <v>165</v>
      </c>
      <c r="C34" s="18" t="s">
        <v>166</v>
      </c>
    </row>
    <row r="35" spans="1:4">
      <c r="B35" s="1" t="s">
        <v>167</v>
      </c>
      <c r="C35" s="19">
        <f t="shared" ref="C35:C43" si="0">(E5/E6-1)*200</f>
        <v>1.1934070519508122</v>
      </c>
    </row>
    <row r="36" spans="1:4">
      <c r="B36" s="1" t="s">
        <v>168</v>
      </c>
      <c r="C36" s="19">
        <f t="shared" si="0"/>
        <v>1.5042108043395341</v>
      </c>
    </row>
    <row r="37" spans="1:4">
      <c r="B37" s="1" t="s">
        <v>169</v>
      </c>
      <c r="C37" s="19">
        <f t="shared" si="0"/>
        <v>1.9099809600001016</v>
      </c>
    </row>
    <row r="38" spans="1:4">
      <c r="B38" s="1" t="s">
        <v>170</v>
      </c>
      <c r="C38" s="19">
        <f t="shared" si="0"/>
        <v>2.0637542261098041</v>
      </c>
    </row>
    <row r="39" spans="1:4">
      <c r="B39" s="1" t="s">
        <v>171</v>
      </c>
      <c r="C39" s="19">
        <f t="shared" si="0"/>
        <v>2.3728154653068767</v>
      </c>
    </row>
    <row r="40" spans="1:4">
      <c r="B40" s="1" t="s">
        <v>172</v>
      </c>
      <c r="C40" s="19">
        <f t="shared" si="0"/>
        <v>2.6852052097824153</v>
      </c>
    </row>
    <row r="41" spans="1:4">
      <c r="B41" s="1" t="s">
        <v>173</v>
      </c>
      <c r="C41" s="19">
        <f t="shared" si="0"/>
        <v>3.0014913801969634</v>
      </c>
    </row>
    <row r="42" spans="1:4">
      <c r="B42" s="1" t="s">
        <v>174</v>
      </c>
      <c r="C42" s="19">
        <f t="shared" si="0"/>
        <v>2.8462009064671445</v>
      </c>
    </row>
    <row r="43" spans="1:4">
      <c r="B43" s="1" t="s">
        <v>175</v>
      </c>
      <c r="C43" s="19">
        <f t="shared" si="0"/>
        <v>3.0606810021603703</v>
      </c>
    </row>
    <row r="44" spans="1:4"/>
    <row r="45" spans="1:4">
      <c r="A45" t="s">
        <v>176</v>
      </c>
      <c r="B45" t="s">
        <v>177</v>
      </c>
    </row>
    <row r="47" spans="1:4">
      <c r="B47" s="1" t="s">
        <v>82</v>
      </c>
      <c r="C47" s="1" t="s">
        <v>83</v>
      </c>
      <c r="D47" s="1"/>
    </row>
    <row r="48" spans="1:4">
      <c r="B48" s="1" t="s">
        <v>154</v>
      </c>
      <c r="C48" s="1">
        <v>100</v>
      </c>
      <c r="D48" s="17">
        <f>C48*C5/100*182.5/360*E5</f>
        <v>0.30324429859178331</v>
      </c>
    </row>
    <row r="49" spans="1:4">
      <c r="B49" s="1" t="s">
        <v>155</v>
      </c>
      <c r="C49" s="1">
        <v>100</v>
      </c>
      <c r="D49" s="17">
        <f t="shared" ref="D49:D57" si="1">C49*C35/200*E6</f>
        <v>0.59136535860718342</v>
      </c>
    </row>
    <row r="50" spans="1:4">
      <c r="B50" s="1" t="s">
        <v>156</v>
      </c>
      <c r="C50" s="1">
        <v>80</v>
      </c>
      <c r="D50" s="17">
        <f t="shared" si="1"/>
        <v>0.59185025792510271</v>
      </c>
    </row>
    <row r="51" spans="1:4">
      <c r="B51" s="1" t="s">
        <v>157</v>
      </c>
      <c r="C51" s="1">
        <v>80</v>
      </c>
      <c r="D51" s="17">
        <f t="shared" si="1"/>
        <v>0.74439660403152652</v>
      </c>
    </row>
    <row r="52" spans="1:4">
      <c r="B52" s="1" t="s">
        <v>158</v>
      </c>
      <c r="C52" s="1">
        <v>60</v>
      </c>
      <c r="D52" s="17">
        <f t="shared" si="1"/>
        <v>0.59708500181461022</v>
      </c>
    </row>
    <row r="53" spans="1:4">
      <c r="B53" s="1" t="s">
        <v>159</v>
      </c>
      <c r="C53" s="1">
        <v>60</v>
      </c>
      <c r="D53" s="17">
        <f t="shared" si="1"/>
        <v>0.67845332133007841</v>
      </c>
    </row>
    <row r="54" spans="1:4">
      <c r="B54" s="1" t="s">
        <v>160</v>
      </c>
      <c r="C54" s="1">
        <v>40</v>
      </c>
      <c r="D54" s="17">
        <f t="shared" si="1"/>
        <v>0.50506837666034077</v>
      </c>
    </row>
    <row r="55" spans="1:4">
      <c r="B55" s="1" t="s">
        <v>161</v>
      </c>
      <c r="C55" s="1">
        <v>40</v>
      </c>
      <c r="D55" s="17">
        <f t="shared" si="1"/>
        <v>0.5562122682827354</v>
      </c>
    </row>
    <row r="56" spans="1:4">
      <c r="B56" s="1" t="s">
        <v>162</v>
      </c>
      <c r="C56" s="1">
        <v>20</v>
      </c>
      <c r="D56" s="17">
        <f t="shared" si="1"/>
        <v>0.26001723618882006</v>
      </c>
    </row>
    <row r="57" spans="1:4">
      <c r="B57" s="1" t="s">
        <v>163</v>
      </c>
      <c r="C57" s="1">
        <v>20</v>
      </c>
      <c r="D57" s="17">
        <f t="shared" si="1"/>
        <v>0.27539674967063821</v>
      </c>
    </row>
    <row r="59" spans="1:4">
      <c r="C59" t="s">
        <v>86</v>
      </c>
      <c r="D59" s="11">
        <f>SUM(D48:D57)</f>
        <v>5.103089473102818</v>
      </c>
    </row>
    <row r="61" spans="1:4">
      <c r="A61" t="s">
        <v>178</v>
      </c>
      <c r="B61" t="s">
        <v>179</v>
      </c>
    </row>
    <row r="63" spans="1:4">
      <c r="B63" s="1" t="s">
        <v>82</v>
      </c>
      <c r="C63" s="1" t="s">
        <v>83</v>
      </c>
      <c r="D63" s="1"/>
    </row>
    <row r="64" spans="1:4">
      <c r="B64" s="1" t="s">
        <v>154</v>
      </c>
      <c r="C64" s="1">
        <v>100</v>
      </c>
      <c r="D64" s="17">
        <f t="shared" ref="D64:D73" si="2">C64*0.01/2*E5</f>
        <v>0.49848377850704112</v>
      </c>
    </row>
    <row r="65" spans="1:4">
      <c r="B65" s="1" t="s">
        <v>155</v>
      </c>
      <c r="C65" s="1">
        <v>100</v>
      </c>
      <c r="D65" s="17">
        <f t="shared" si="2"/>
        <v>0.49552695171400524</v>
      </c>
    </row>
    <row r="66" spans="1:4">
      <c r="B66" s="1" t="s">
        <v>156</v>
      </c>
      <c r="C66" s="1">
        <v>80</v>
      </c>
      <c r="D66" s="17">
        <f t="shared" si="2"/>
        <v>0.39346231008157873</v>
      </c>
    </row>
    <row r="67" spans="1:4">
      <c r="B67" s="1" t="s">
        <v>157</v>
      </c>
      <c r="C67" s="1">
        <v>80</v>
      </c>
      <c r="D67" s="17">
        <f t="shared" si="2"/>
        <v>0.38974032706142103</v>
      </c>
    </row>
    <row r="68" spans="1:4">
      <c r="B68" s="1" t="s">
        <v>158</v>
      </c>
      <c r="C68" s="1">
        <v>60</v>
      </c>
      <c r="D68" s="17">
        <f t="shared" si="2"/>
        <v>0.28931982028699271</v>
      </c>
    </row>
    <row r="69" spans="1:4">
      <c r="B69" s="1" t="s">
        <v>159</v>
      </c>
      <c r="C69" s="1">
        <v>60</v>
      </c>
      <c r="D69" s="17">
        <f t="shared" si="2"/>
        <v>0.28592755368034228</v>
      </c>
    </row>
    <row r="70" spans="1:4">
      <c r="B70" s="1" t="s">
        <v>160</v>
      </c>
      <c r="C70" s="1">
        <v>40</v>
      </c>
      <c r="D70" s="17">
        <f t="shared" si="2"/>
        <v>0.1880930272369265</v>
      </c>
    </row>
    <row r="71" spans="1:4">
      <c r="B71" s="1" t="s">
        <v>161</v>
      </c>
      <c r="C71" s="1">
        <v>40</v>
      </c>
      <c r="D71" s="17">
        <f t="shared" si="2"/>
        <v>0.18531196589551283</v>
      </c>
    </row>
    <row r="72" spans="1:4">
      <c r="B72" s="1" t="s">
        <v>162</v>
      </c>
      <c r="C72" s="1">
        <v>20</v>
      </c>
      <c r="D72" s="17">
        <f t="shared" si="2"/>
        <v>9.1355896766812314E-2</v>
      </c>
    </row>
    <row r="73" spans="1:4">
      <c r="B73" s="1" t="s">
        <v>163</v>
      </c>
      <c r="C73" s="1">
        <v>20</v>
      </c>
      <c r="D73" s="17">
        <f t="shared" si="2"/>
        <v>8.9978913018459117E-2</v>
      </c>
    </row>
    <row r="75" spans="1:4">
      <c r="C75" t="s">
        <v>86</v>
      </c>
      <c r="D75" s="11">
        <f>SUM(D64:D73)</f>
        <v>2.9072005442490916</v>
      </c>
    </row>
    <row r="78" spans="1:4">
      <c r="A78" t="s">
        <v>180</v>
      </c>
      <c r="B78" t="s">
        <v>181</v>
      </c>
    </row>
    <row r="79" spans="1:4">
      <c r="C79" t="s">
        <v>182</v>
      </c>
      <c r="D79" s="11">
        <f>D59/D75</f>
        <v>1.7553276409491414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53"/>
  <sheetViews>
    <sheetView workbookViewId="0">
      <selection activeCell="E10" sqref="E10"/>
    </sheetView>
  </sheetViews>
  <sheetFormatPr baseColWidth="10" defaultColWidth="8.83203125" defaultRowHeight="14"/>
  <cols>
    <col min="2" max="2" width="11.1640625" customWidth="1"/>
    <col min="3" max="3" width="10.83203125" customWidth="1"/>
    <col min="4" max="4" width="10.6640625" customWidth="1"/>
  </cols>
  <sheetData>
    <row r="2" spans="2:3">
      <c r="B2" s="20" t="s">
        <v>183</v>
      </c>
    </row>
    <row r="3" spans="2:3">
      <c r="B3" s="1"/>
      <c r="C3" s="1" t="s">
        <v>15</v>
      </c>
    </row>
    <row r="4" spans="2:3">
      <c r="B4" s="1" t="s">
        <v>17</v>
      </c>
      <c r="C4" s="2">
        <v>0.5</v>
      </c>
    </row>
    <row r="5" spans="2:3">
      <c r="B5" s="1" t="s">
        <v>184</v>
      </c>
      <c r="C5" s="2">
        <v>0.7</v>
      </c>
    </row>
    <row r="6" spans="2:3">
      <c r="B6" s="1" t="s">
        <v>185</v>
      </c>
      <c r="C6" s="2">
        <v>0.9</v>
      </c>
    </row>
    <row r="7" spans="2:3">
      <c r="B7" s="1" t="s">
        <v>186</v>
      </c>
      <c r="C7" s="2">
        <v>1.1000000000000001</v>
      </c>
    </row>
    <row r="8" spans="2:3">
      <c r="B8" s="4" t="s">
        <v>187</v>
      </c>
      <c r="C8" s="5">
        <v>1.3</v>
      </c>
    </row>
    <row r="9" spans="2:3">
      <c r="B9" s="4" t="s">
        <v>188</v>
      </c>
      <c r="C9" s="5">
        <v>1.5</v>
      </c>
    </row>
    <row r="10" spans="2:3">
      <c r="B10" s="4" t="s">
        <v>189</v>
      </c>
      <c r="C10" s="5">
        <v>1.7</v>
      </c>
    </row>
    <row r="11" spans="2:3">
      <c r="B11" s="4" t="s">
        <v>190</v>
      </c>
      <c r="C11" s="5">
        <v>1.9</v>
      </c>
    </row>
    <row r="12" spans="2:3">
      <c r="B12" s="7" t="s">
        <v>191</v>
      </c>
      <c r="C12" s="5">
        <v>2.1</v>
      </c>
    </row>
    <row r="13" spans="2:3">
      <c r="B13" s="1" t="s">
        <v>192</v>
      </c>
      <c r="C13" s="2">
        <v>2.2999999999999998</v>
      </c>
    </row>
    <row r="14" spans="2:3">
      <c r="B14" s="1" t="s">
        <v>193</v>
      </c>
      <c r="C14" s="5">
        <v>2.4</v>
      </c>
    </row>
    <row r="15" spans="2:3">
      <c r="B15" s="1" t="s">
        <v>194</v>
      </c>
      <c r="C15" s="5">
        <v>2.5</v>
      </c>
    </row>
    <row r="16" spans="2:3">
      <c r="B16" s="1" t="s">
        <v>195</v>
      </c>
      <c r="C16" s="5">
        <v>2.6</v>
      </c>
    </row>
    <row r="17" spans="1:9">
      <c r="B17" s="1" t="s">
        <v>196</v>
      </c>
      <c r="C17" s="5">
        <v>2.7</v>
      </c>
    </row>
    <row r="18" spans="1:9">
      <c r="B18" t="s">
        <v>346</v>
      </c>
    </row>
    <row r="21" spans="1:9">
      <c r="A21" t="s">
        <v>197</v>
      </c>
    </row>
    <row r="22" spans="1:9">
      <c r="A22" t="s">
        <v>198</v>
      </c>
    </row>
    <row r="24" spans="1:9">
      <c r="A24" t="s">
        <v>199</v>
      </c>
    </row>
    <row r="26" spans="1:9">
      <c r="B26" s="1"/>
      <c r="C26" s="1" t="s">
        <v>15</v>
      </c>
      <c r="D26" s="1" t="s">
        <v>200</v>
      </c>
    </row>
    <row r="27" spans="1:9">
      <c r="B27" s="1" t="s">
        <v>17</v>
      </c>
      <c r="C27" s="2">
        <v>0.5</v>
      </c>
      <c r="D27" s="1">
        <f>100/(100+100*C27/100*182.5/360)</f>
        <v>0.99747168635056971</v>
      </c>
    </row>
    <row r="28" spans="1:9">
      <c r="B28" s="1" t="s">
        <v>184</v>
      </c>
      <c r="C28" s="2">
        <v>0.7</v>
      </c>
      <c r="D28" s="1">
        <f>(100-C28/2*SUM(D$27:D27))/(100+C28/2)</f>
        <v>0.99303323278303246</v>
      </c>
    </row>
    <row r="29" spans="1:9">
      <c r="B29" s="1" t="s">
        <v>185</v>
      </c>
      <c r="C29" s="2">
        <v>0.9</v>
      </c>
      <c r="D29" s="1">
        <f>(100-C29/2*SUM(D$27:D28))/(100+C29/2)</f>
        <v>0.98660301429955088</v>
      </c>
    </row>
    <row r="30" spans="1:9">
      <c r="B30" s="1" t="s">
        <v>186</v>
      </c>
      <c r="C30" s="2">
        <v>1.1000000000000001</v>
      </c>
      <c r="D30" s="1">
        <f>(100-C30/2*SUM(D$27:D29))/(100+C30/2)</f>
        <v>0.97824555580916728</v>
      </c>
    </row>
    <row r="31" spans="1:9">
      <c r="B31" s="4" t="s">
        <v>187</v>
      </c>
      <c r="C31" s="5">
        <v>1.3</v>
      </c>
      <c r="D31" s="1">
        <f>(100-C31/2*SUM(D$27:D30))/(100+C31/2)</f>
        <v>0.9679982139293839</v>
      </c>
    </row>
    <row r="32" spans="1:9">
      <c r="B32" s="4" t="s">
        <v>188</v>
      </c>
      <c r="C32" s="5">
        <v>1.5</v>
      </c>
      <c r="D32" s="1">
        <f>(100-C32/2*SUM(D$27:D31))/(100+C32/2)</f>
        <v>0.95590557044785329</v>
      </c>
      <c r="H32" s="21"/>
      <c r="I32" s="21"/>
    </row>
    <row r="33" spans="1:9">
      <c r="B33" s="4" t="s">
        <v>189</v>
      </c>
      <c r="C33" s="5">
        <v>1.7</v>
      </c>
      <c r="D33" s="1">
        <f>(100-C33/2*SUM(D$27:D32))/(100+C33/2)</f>
        <v>0.94201915039586892</v>
      </c>
      <c r="H33" s="21"/>
      <c r="I33" s="21"/>
    </row>
    <row r="34" spans="1:9">
      <c r="B34" s="4" t="s">
        <v>190</v>
      </c>
      <c r="C34" s="5">
        <v>1.9</v>
      </c>
      <c r="D34" s="1">
        <f>(100-C34/2*SUM(D$27:D33))/(100+C34/2)</f>
        <v>0.92639710150753185</v>
      </c>
    </row>
    <row r="35" spans="1:9">
      <c r="B35" s="7" t="s">
        <v>191</v>
      </c>
      <c r="C35" s="5">
        <v>2.1</v>
      </c>
      <c r="D35" s="1">
        <f>(100-C35/2*SUM(D$27:D34))/(100+C35/2)</f>
        <v>0.90910383768630287</v>
      </c>
    </row>
    <row r="36" spans="1:9">
      <c r="B36" s="1" t="s">
        <v>192</v>
      </c>
      <c r="C36" s="2">
        <v>2.2999999999999998</v>
      </c>
      <c r="D36" s="1">
        <f>(100-C36/2*SUM(D$27:D35))/(100+C36/2)</f>
        <v>0.89020964935550517</v>
      </c>
    </row>
    <row r="37" spans="1:9">
      <c r="B37" s="1" t="s">
        <v>193</v>
      </c>
      <c r="C37" s="5">
        <v>2.4</v>
      </c>
      <c r="D37" s="1">
        <f>(100-C37/2*SUM(D$27:D36))/(100+C37/2)</f>
        <v>0.87493691289448894</v>
      </c>
    </row>
    <row r="38" spans="1:9">
      <c r="B38" s="1" t="s">
        <v>194</v>
      </c>
      <c r="C38" s="5">
        <v>2.5</v>
      </c>
      <c r="D38" s="1">
        <f>(100-C38/2*SUM(D$27:D37))/(100+C38/2)</f>
        <v>0.85898859351284862</v>
      </c>
    </row>
    <row r="39" spans="1:9">
      <c r="B39" s="1" t="s">
        <v>195</v>
      </c>
      <c r="C39" s="5">
        <v>2.6</v>
      </c>
      <c r="D39" s="1">
        <f>(100-C39/2*SUM(D$27:D38))/(100+C39/2)</f>
        <v>0.84239697655810719</v>
      </c>
    </row>
    <row r="40" spans="1:9">
      <c r="B40" s="1" t="s">
        <v>196</v>
      </c>
      <c r="C40" s="5">
        <v>2.7</v>
      </c>
      <c r="D40" s="1">
        <f>(100-C40/2*SUM(D$27:D39))/(100+C40/2)</f>
        <v>0.82519518678869475</v>
      </c>
    </row>
    <row r="43" spans="1:9">
      <c r="A43" t="s">
        <v>201</v>
      </c>
    </row>
    <row r="45" spans="1:9">
      <c r="C45" s="42">
        <f>100*(D32-D40)</f>
        <v>13.071038365915854</v>
      </c>
    </row>
    <row r="47" spans="1:9">
      <c r="A47" t="s">
        <v>202</v>
      </c>
    </row>
    <row r="48" spans="1:9">
      <c r="C48" s="42">
        <f>0.5*SUM(D33:D40)</f>
        <v>3.534623704349674</v>
      </c>
    </row>
    <row r="51" spans="1:3">
      <c r="A51" t="s">
        <v>203</v>
      </c>
    </row>
    <row r="53" spans="1:3">
      <c r="C53" s="19">
        <f>C45/C48</f>
        <v>3.6979999737541394</v>
      </c>
    </row>
  </sheetData>
  <phoneticPr fontId="2"/>
  <pageMargins left="0.75" right="0.75" top="1" bottom="1" header="0.51200000000000001" footer="0.5120000000000000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38"/>
  <sheetViews>
    <sheetView workbookViewId="0">
      <selection activeCell="E56" sqref="E56"/>
    </sheetView>
  </sheetViews>
  <sheetFormatPr baseColWidth="10" defaultColWidth="8.83203125" defaultRowHeight="14"/>
  <cols>
    <col min="2" max="2" width="11.1640625" customWidth="1"/>
  </cols>
  <sheetData>
    <row r="2" spans="1:4">
      <c r="A2" t="s">
        <v>204</v>
      </c>
      <c r="B2" t="s">
        <v>205</v>
      </c>
    </row>
    <row r="3" spans="1:4">
      <c r="B3" s="1"/>
      <c r="C3" s="1" t="s">
        <v>15</v>
      </c>
      <c r="D3" s="1" t="s">
        <v>0</v>
      </c>
    </row>
    <row r="4" spans="1:4">
      <c r="B4" s="1" t="s">
        <v>17</v>
      </c>
      <c r="C4" s="2">
        <v>0.5</v>
      </c>
      <c r="D4" s="1">
        <v>0.99747168635056971</v>
      </c>
    </row>
    <row r="5" spans="1:4">
      <c r="B5" s="1" t="s">
        <v>1</v>
      </c>
      <c r="C5" s="2">
        <v>0.7</v>
      </c>
      <c r="D5" s="1">
        <v>0.99303323278303246</v>
      </c>
    </row>
    <row r="6" spans="1:4">
      <c r="B6" s="1" t="s">
        <v>2</v>
      </c>
      <c r="C6" s="2">
        <v>0.9</v>
      </c>
      <c r="D6" s="1">
        <v>0.98660301429955088</v>
      </c>
    </row>
    <row r="7" spans="1:4">
      <c r="B7" s="1" t="s">
        <v>3</v>
      </c>
      <c r="C7" s="2">
        <v>1.1000000000000001</v>
      </c>
      <c r="D7" s="1">
        <v>0.97824555580916728</v>
      </c>
    </row>
    <row r="8" spans="1:4">
      <c r="B8" s="4" t="s">
        <v>4</v>
      </c>
      <c r="C8" s="5">
        <v>1.3</v>
      </c>
      <c r="D8" s="1">
        <v>0.9679982139293839</v>
      </c>
    </row>
    <row r="9" spans="1:4">
      <c r="B9" s="4" t="s">
        <v>5</v>
      </c>
      <c r="C9" s="5">
        <v>1.5</v>
      </c>
      <c r="D9" s="1">
        <v>0.95590557044785329</v>
      </c>
    </row>
    <row r="10" spans="1:4">
      <c r="B10" s="4" t="s">
        <v>6</v>
      </c>
      <c r="C10" s="5">
        <v>1.7</v>
      </c>
      <c r="D10" s="1">
        <v>0.94201915039586892</v>
      </c>
    </row>
    <row r="11" spans="1:4">
      <c r="B11" s="4" t="s">
        <v>7</v>
      </c>
      <c r="C11" s="5">
        <v>1.9</v>
      </c>
      <c r="D11" s="1">
        <v>0.92639710150753185</v>
      </c>
    </row>
    <row r="12" spans="1:4">
      <c r="B12" s="7" t="s">
        <v>8</v>
      </c>
      <c r="C12" s="5">
        <v>2.1</v>
      </c>
      <c r="D12" s="1">
        <v>0.90910383768630287</v>
      </c>
    </row>
    <row r="13" spans="1:4">
      <c r="B13" s="1" t="s">
        <v>9</v>
      </c>
      <c r="C13" s="2">
        <v>2.2999999999999998</v>
      </c>
      <c r="D13" s="1">
        <v>0.89020964935550517</v>
      </c>
    </row>
    <row r="14" spans="1:4">
      <c r="B14" s="1" t="s">
        <v>10</v>
      </c>
      <c r="C14" s="5">
        <v>2.4</v>
      </c>
      <c r="D14" s="1">
        <v>0.87493691289448894</v>
      </c>
    </row>
    <row r="15" spans="1:4">
      <c r="B15" s="1" t="s">
        <v>11</v>
      </c>
      <c r="C15" s="5">
        <v>2.5</v>
      </c>
      <c r="D15" s="1">
        <v>0.85898859351284862</v>
      </c>
    </row>
    <row r="16" spans="1:4">
      <c r="B16" s="1" t="s">
        <v>12</v>
      </c>
      <c r="C16" s="5">
        <v>2.6</v>
      </c>
      <c r="D16" s="1">
        <v>0.84239697655810719</v>
      </c>
    </row>
    <row r="17" spans="1:4">
      <c r="B17" s="1" t="s">
        <v>13</v>
      </c>
      <c r="C17" s="5">
        <v>2.7</v>
      </c>
      <c r="D17" s="1">
        <v>0.82519518678869475</v>
      </c>
    </row>
    <row r="19" spans="1:4">
      <c r="A19" t="s">
        <v>206</v>
      </c>
    </row>
    <row r="21" spans="1:4">
      <c r="B21" s="11">
        <f>C17+0.5*365/360</f>
        <v>3.2069444444444448</v>
      </c>
      <c r="C21" t="s">
        <v>207</v>
      </c>
    </row>
    <row r="23" spans="1:4">
      <c r="A23" t="s">
        <v>208</v>
      </c>
    </row>
    <row r="25" spans="1:4">
      <c r="B25" s="11">
        <f>B21/2*SUM(D4:D17)</f>
        <v>20.762567577412749</v>
      </c>
    </row>
    <row r="28" spans="1:4">
      <c r="A28" t="s">
        <v>209</v>
      </c>
    </row>
    <row r="30" spans="1:4">
      <c r="B30" s="11">
        <f>0.6*SUM(D4:D7)</f>
        <v>2.3732120935453924</v>
      </c>
    </row>
    <row r="32" spans="1:4">
      <c r="A32" t="s">
        <v>210</v>
      </c>
    </row>
    <row r="34" spans="1:2">
      <c r="B34" s="11">
        <f>B25-B30</f>
        <v>18.389355483867355</v>
      </c>
    </row>
    <row r="36" spans="1:2">
      <c r="A36" t="s">
        <v>211</v>
      </c>
    </row>
    <row r="38" spans="1:2">
      <c r="B38" s="19">
        <f>B34/(0.5*SUM(D8:D17))</f>
        <v>4.0896355657902141</v>
      </c>
    </row>
  </sheetData>
  <phoneticPr fontId="2"/>
  <pageMargins left="0.75" right="0.75" top="1" bottom="1" header="0.51200000000000001" footer="0.5120000000000000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86"/>
  <sheetViews>
    <sheetView workbookViewId="0">
      <selection activeCell="E56" sqref="E56"/>
    </sheetView>
  </sheetViews>
  <sheetFormatPr baseColWidth="10" defaultColWidth="8.83203125" defaultRowHeight="14"/>
  <cols>
    <col min="2" max="2" width="13" customWidth="1"/>
    <col min="5" max="5" width="11.33203125" customWidth="1"/>
    <col min="6" max="6" width="10.5" bestFit="1" customWidth="1"/>
  </cols>
  <sheetData>
    <row r="2" spans="2:10">
      <c r="B2" t="s">
        <v>212</v>
      </c>
      <c r="E2" t="s">
        <v>213</v>
      </c>
      <c r="F2" s="20" t="s">
        <v>214</v>
      </c>
    </row>
    <row r="3" spans="2:10">
      <c r="B3" s="1"/>
      <c r="C3" s="1" t="s">
        <v>15</v>
      </c>
      <c r="E3" s="1"/>
      <c r="F3" s="1" t="s">
        <v>15</v>
      </c>
    </row>
    <row r="4" spans="2:10">
      <c r="B4" s="1" t="s">
        <v>17</v>
      </c>
      <c r="C4" s="2">
        <v>0.5</v>
      </c>
      <c r="E4" s="1" t="s">
        <v>215</v>
      </c>
      <c r="F4" s="22">
        <v>4.75</v>
      </c>
      <c r="J4" s="16"/>
    </row>
    <row r="5" spans="2:10">
      <c r="B5" s="1" t="s">
        <v>216</v>
      </c>
      <c r="C5" s="2">
        <v>0.7</v>
      </c>
      <c r="E5" s="1" t="s">
        <v>216</v>
      </c>
      <c r="F5" s="22">
        <v>4.9000000000000004</v>
      </c>
      <c r="J5" s="16"/>
    </row>
    <row r="6" spans="2:10">
      <c r="B6" s="1" t="s">
        <v>217</v>
      </c>
      <c r="C6" s="2">
        <v>0.9</v>
      </c>
      <c r="E6" s="1" t="s">
        <v>218</v>
      </c>
      <c r="F6" s="22">
        <v>5.0999999999999996</v>
      </c>
    </row>
    <row r="7" spans="2:10">
      <c r="B7" s="1" t="s">
        <v>219</v>
      </c>
      <c r="C7" s="2">
        <v>1.1000000000000001</v>
      </c>
      <c r="E7" s="1" t="s">
        <v>219</v>
      </c>
      <c r="F7" s="22">
        <v>5.2</v>
      </c>
    </row>
    <row r="8" spans="2:10">
      <c r="B8" s="4" t="s">
        <v>220</v>
      </c>
      <c r="C8" s="5">
        <v>1.3</v>
      </c>
      <c r="E8" s="4" t="s">
        <v>221</v>
      </c>
      <c r="F8" s="23">
        <v>5.4</v>
      </c>
    </row>
    <row r="9" spans="2:10">
      <c r="B9" s="4" t="s">
        <v>221</v>
      </c>
      <c r="C9" s="5">
        <v>1.5</v>
      </c>
      <c r="E9" s="4" t="s">
        <v>222</v>
      </c>
      <c r="F9" s="23">
        <v>5.6</v>
      </c>
    </row>
    <row r="10" spans="2:10">
      <c r="B10" s="4" t="s">
        <v>223</v>
      </c>
      <c r="C10" s="5">
        <v>1.7</v>
      </c>
      <c r="E10" s="1" t="s">
        <v>224</v>
      </c>
      <c r="F10" s="22">
        <v>5.8</v>
      </c>
    </row>
    <row r="11" spans="2:10">
      <c r="B11" s="4" t="s">
        <v>222</v>
      </c>
      <c r="C11" s="5">
        <v>1.9</v>
      </c>
      <c r="E11" s="1" t="s">
        <v>225</v>
      </c>
      <c r="F11" s="23">
        <v>6</v>
      </c>
    </row>
    <row r="12" spans="2:10">
      <c r="B12" s="7" t="s">
        <v>226</v>
      </c>
      <c r="C12" s="5">
        <v>2.1</v>
      </c>
      <c r="E12" s="1" t="s">
        <v>227</v>
      </c>
      <c r="F12" s="23">
        <v>6.2</v>
      </c>
    </row>
    <row r="13" spans="2:10">
      <c r="B13" s="1" t="s">
        <v>224</v>
      </c>
      <c r="C13" s="2">
        <v>2.2999999999999998</v>
      </c>
      <c r="E13" s="24" t="s">
        <v>228</v>
      </c>
    </row>
    <row r="14" spans="2:10">
      <c r="B14" s="1" t="s">
        <v>229</v>
      </c>
      <c r="C14" s="5">
        <v>2.4</v>
      </c>
    </row>
    <row r="15" spans="2:10">
      <c r="B15" s="1" t="s">
        <v>225</v>
      </c>
      <c r="C15" s="5">
        <v>2.5</v>
      </c>
    </row>
    <row r="16" spans="2:10">
      <c r="B16" s="1" t="s">
        <v>230</v>
      </c>
      <c r="C16" s="5">
        <v>2.6</v>
      </c>
    </row>
    <row r="17" spans="1:8">
      <c r="B17" s="1" t="s">
        <v>227</v>
      </c>
      <c r="C17" s="5">
        <v>2.7</v>
      </c>
    </row>
    <row r="18" spans="1:8">
      <c r="B18" s="24" t="s">
        <v>231</v>
      </c>
    </row>
    <row r="21" spans="1:8">
      <c r="A21" t="s">
        <v>232</v>
      </c>
    </row>
    <row r="22" spans="1:8"/>
    <row r="23" spans="1:8">
      <c r="B23" s="1"/>
      <c r="C23" s="1" t="s">
        <v>15</v>
      </c>
      <c r="D23" s="1" t="s">
        <v>0</v>
      </c>
      <c r="H23" s="25"/>
    </row>
    <row r="24" spans="1:8">
      <c r="B24" s="1" t="s">
        <v>17</v>
      </c>
      <c r="C24" s="1">
        <v>0.5</v>
      </c>
      <c r="D24" s="17">
        <v>0.99747168635056971</v>
      </c>
      <c r="F24" s="26"/>
      <c r="H24" s="27"/>
    </row>
    <row r="25" spans="1:8">
      <c r="B25" s="1" t="s">
        <v>1</v>
      </c>
      <c r="C25" s="1">
        <v>0.7</v>
      </c>
      <c r="D25" s="17">
        <v>0.99303323278303246</v>
      </c>
      <c r="H25" s="27"/>
    </row>
    <row r="26" spans="1:8">
      <c r="B26" s="1" t="s">
        <v>2</v>
      </c>
      <c r="C26" s="1">
        <v>0.9</v>
      </c>
      <c r="D26" s="17">
        <v>0.98660301429955088</v>
      </c>
      <c r="H26" s="27"/>
    </row>
    <row r="27" spans="1:8">
      <c r="B27" s="1" t="s">
        <v>3</v>
      </c>
      <c r="C27" s="1">
        <v>1.1000000000000001</v>
      </c>
      <c r="D27" s="17">
        <v>0.97824555580916728</v>
      </c>
      <c r="H27" s="27"/>
    </row>
    <row r="28" spans="1:8">
      <c r="B28" s="1" t="s">
        <v>4</v>
      </c>
      <c r="C28" s="1">
        <v>1.3</v>
      </c>
      <c r="D28" s="17">
        <v>0.9679982139293839</v>
      </c>
      <c r="H28" s="27"/>
    </row>
    <row r="29" spans="1:8">
      <c r="B29" s="1" t="s">
        <v>5</v>
      </c>
      <c r="C29" s="1">
        <v>1.5</v>
      </c>
      <c r="D29" s="17">
        <v>0.95590557044785329</v>
      </c>
      <c r="H29" s="27"/>
    </row>
    <row r="30" spans="1:8">
      <c r="B30" s="1" t="s">
        <v>6</v>
      </c>
      <c r="C30" s="1">
        <v>1.7</v>
      </c>
      <c r="D30" s="17">
        <v>0.94201915039586892</v>
      </c>
      <c r="H30" s="27"/>
    </row>
    <row r="31" spans="1:8">
      <c r="B31" s="1" t="s">
        <v>7</v>
      </c>
      <c r="C31" s="1">
        <v>1.9</v>
      </c>
      <c r="D31" s="17">
        <v>0.92639710150753185</v>
      </c>
      <c r="H31" s="27"/>
    </row>
    <row r="32" spans="1:8">
      <c r="B32" s="1" t="s">
        <v>8</v>
      </c>
      <c r="C32" s="1">
        <v>2.1</v>
      </c>
      <c r="D32" s="17">
        <v>0.90910383768630287</v>
      </c>
      <c r="H32" s="27"/>
    </row>
    <row r="33" spans="1:8">
      <c r="B33" s="1" t="s">
        <v>9</v>
      </c>
      <c r="C33" s="1">
        <v>2.2999999999999998</v>
      </c>
      <c r="D33" s="17">
        <v>0.89020964935550517</v>
      </c>
      <c r="H33" s="27"/>
    </row>
    <row r="34" spans="1:8">
      <c r="B34" s="1" t="s">
        <v>10</v>
      </c>
      <c r="C34" s="1">
        <v>2.4</v>
      </c>
      <c r="D34" s="17">
        <v>0.87493691289448894</v>
      </c>
      <c r="H34" s="27"/>
    </row>
    <row r="35" spans="1:8">
      <c r="B35" s="1" t="s">
        <v>11</v>
      </c>
      <c r="C35" s="1">
        <v>2.5</v>
      </c>
      <c r="D35" s="17">
        <v>0.85898859351284862</v>
      </c>
      <c r="H35" s="27"/>
    </row>
    <row r="36" spans="1:8">
      <c r="B36" s="1" t="s">
        <v>12</v>
      </c>
      <c r="C36" s="1">
        <v>2.6</v>
      </c>
      <c r="D36" s="17">
        <v>0.84239697655810719</v>
      </c>
      <c r="H36" s="27"/>
    </row>
    <row r="37" spans="1:8">
      <c r="B37" s="1" t="s">
        <v>13</v>
      </c>
      <c r="C37" s="1">
        <v>2.7</v>
      </c>
      <c r="D37" s="17">
        <v>0.82519518678869475</v>
      </c>
      <c r="H37" s="27"/>
    </row>
    <row r="40" spans="1:8">
      <c r="A40" t="s">
        <v>233</v>
      </c>
    </row>
    <row r="43" spans="1:8">
      <c r="B43" s="1"/>
      <c r="C43" s="1" t="s">
        <v>15</v>
      </c>
      <c r="D43" s="1" t="s">
        <v>0</v>
      </c>
    </row>
    <row r="44" spans="1:8">
      <c r="B44" s="1" t="s">
        <v>17</v>
      </c>
      <c r="C44" s="22">
        <f>F4</f>
        <v>4.75</v>
      </c>
      <c r="D44" s="17">
        <f>100/(100+C44*182.5/360)</f>
        <v>0.9764863444487768</v>
      </c>
    </row>
    <row r="45" spans="1:8">
      <c r="B45" s="1" t="s">
        <v>1</v>
      </c>
      <c r="C45" s="22">
        <v>4.9000000000000004</v>
      </c>
      <c r="D45" s="17">
        <f>(100-C45/2*SUM(D$44:D44))/(100+C45/2)</f>
        <v>0.95273409913226448</v>
      </c>
    </row>
    <row r="46" spans="1:8">
      <c r="B46" s="1" t="s">
        <v>2</v>
      </c>
      <c r="C46" s="22">
        <f>F6</f>
        <v>5.0999999999999996</v>
      </c>
      <c r="D46" s="17">
        <f>(100-C46/2*SUM(D$44:D45))/(100+C46/2)</f>
        <v>0.92716224152967674</v>
      </c>
    </row>
    <row r="47" spans="1:8">
      <c r="B47" s="1" t="s">
        <v>3</v>
      </c>
      <c r="C47" s="22">
        <f>F7</f>
        <v>5.2</v>
      </c>
      <c r="D47" s="17">
        <f>(100-C47/2*SUM(D$44:D46))/(100+C47/2)</f>
        <v>0.90227490271649258</v>
      </c>
    </row>
    <row r="48" spans="1:8">
      <c r="B48" s="1" t="s">
        <v>4</v>
      </c>
      <c r="C48" s="22">
        <f>(C47+C49)/2</f>
        <v>5.3000000000000007</v>
      </c>
      <c r="D48" s="17">
        <f>(100-C48/2*SUM(D$44:D47))/(100+C48/2)</f>
        <v>0.87715107055292629</v>
      </c>
    </row>
    <row r="49" spans="1:7">
      <c r="B49" s="1" t="s">
        <v>5</v>
      </c>
      <c r="C49" s="22">
        <f>F8</f>
        <v>5.4</v>
      </c>
      <c r="D49" s="17">
        <f>(100-C49/2*SUM(D$44:D48))/(100+C49/2)</f>
        <v>0.85183365747199236</v>
      </c>
    </row>
    <row r="50" spans="1:7">
      <c r="B50" s="1" t="s">
        <v>6</v>
      </c>
      <c r="C50" s="22">
        <f>(C49+C51)/2</f>
        <v>5.5</v>
      </c>
      <c r="D50" s="17">
        <f>(100-C50/2*SUM(D$44:D49))/(100+C50/2)</f>
        <v>0.82636480419860481</v>
      </c>
    </row>
    <row r="51" spans="1:7">
      <c r="B51" s="1" t="s">
        <v>7</v>
      </c>
      <c r="C51" s="22">
        <f>F9</f>
        <v>5.6</v>
      </c>
      <c r="D51" s="17">
        <f>(100-C51/2*SUM(D$44:D50))/(100+C51/2)</f>
        <v>0.80078579828655583</v>
      </c>
    </row>
    <row r="52" spans="1:7">
      <c r="B52" s="1" t="s">
        <v>8</v>
      </c>
      <c r="C52" s="22">
        <f>(C51+C53)/2</f>
        <v>5.6999999999999993</v>
      </c>
      <c r="D52" s="17">
        <f>(100-C52/2*SUM(D$44:D51))/(100+C52/2)</f>
        <v>0.77513699740144604</v>
      </c>
    </row>
    <row r="53" spans="1:7">
      <c r="B53" s="1" t="s">
        <v>9</v>
      </c>
      <c r="C53" s="22">
        <f>F10</f>
        <v>5.8</v>
      </c>
      <c r="D53" s="17">
        <f>(100-C53/2*SUM(D$44:D52))/(100+C53/2)</f>
        <v>0.74945775747675081</v>
      </c>
    </row>
    <row r="54" spans="1:7">
      <c r="B54" s="1" t="s">
        <v>10</v>
      </c>
      <c r="C54" s="22">
        <f>(C53+C55)/2</f>
        <v>5.9</v>
      </c>
      <c r="D54" s="17">
        <f>(100-C54/2*SUM(D$44:D53))/(100+C54/2)</f>
        <v>0.72378636584763778</v>
      </c>
    </row>
    <row r="55" spans="1:7">
      <c r="B55" s="1" t="s">
        <v>11</v>
      </c>
      <c r="C55" s="22">
        <f>F11</f>
        <v>6</v>
      </c>
      <c r="D55" s="17">
        <f>(100-C55/2*SUM(D$44:D54))/(100+C55/2)</f>
        <v>0.69815997944476338</v>
      </c>
    </row>
    <row r="56" spans="1:7">
      <c r="B56" s="1" t="s">
        <v>12</v>
      </c>
      <c r="C56" s="22">
        <f>(C55+C57)/2</f>
        <v>6.1</v>
      </c>
      <c r="D56" s="17">
        <f>(100-C56/2*SUM(D$44:D55))/(100+C56/2)</f>
        <v>0.67261456810820908</v>
      </c>
    </row>
    <row r="57" spans="1:7">
      <c r="B57" s="1" t="s">
        <v>13</v>
      </c>
      <c r="C57" s="22">
        <f>F12</f>
        <v>6.2</v>
      </c>
      <c r="D57" s="17">
        <f>(100-C57/2*SUM(D$44:D56))/(100+C57/2)</f>
        <v>0.64718486306003986</v>
      </c>
    </row>
    <row r="58" spans="1:7">
      <c r="F58" s="28"/>
    </row>
    <row r="60" spans="1:7">
      <c r="F60" s="28"/>
    </row>
    <row r="61" spans="1:7">
      <c r="A61" t="s">
        <v>234</v>
      </c>
      <c r="G61" s="29"/>
    </row>
    <row r="62" spans="1:7">
      <c r="F62" s="28"/>
    </row>
    <row r="63" spans="1:7">
      <c r="B63" s="30">
        <f>25000000*10.56/200*SUM(D44:D53)*115</f>
        <v>1311459048.7941108</v>
      </c>
      <c r="F63" s="28"/>
    </row>
    <row r="65" spans="1:3">
      <c r="A65" t="s">
        <v>235</v>
      </c>
    </row>
    <row r="67" spans="1:3">
      <c r="B67" s="30">
        <f>3000000000*9.5/200*SUM(D24:D33)</f>
        <v>1360445649.2904792</v>
      </c>
    </row>
    <row r="69" spans="1:3">
      <c r="A69" t="s">
        <v>236</v>
      </c>
    </row>
    <row r="71" spans="1:3">
      <c r="B71" s="31">
        <f>B63-B67</f>
        <v>-48986600.496368408</v>
      </c>
    </row>
    <row r="74" spans="1:3">
      <c r="A74" t="s">
        <v>45</v>
      </c>
    </row>
    <row r="76" spans="1:3">
      <c r="A76" t="s">
        <v>237</v>
      </c>
    </row>
    <row r="78" spans="1:3">
      <c r="B78" s="11">
        <f>6.2/2*SUM(D44:D57)</f>
        <v>35.281513693996025</v>
      </c>
      <c r="C78" t="s">
        <v>238</v>
      </c>
    </row>
    <row r="80" spans="1:3">
      <c r="A80" t="s">
        <v>239</v>
      </c>
    </row>
    <row r="82" spans="1:3">
      <c r="B82" s="11">
        <f>0.5*SUM(D24:D37)</f>
        <v>6.4742523411594535</v>
      </c>
      <c r="C82" t="s">
        <v>240</v>
      </c>
    </row>
    <row r="84" spans="1:3">
      <c r="A84" t="s">
        <v>241</v>
      </c>
    </row>
    <row r="86" spans="1:3">
      <c r="B86" s="19">
        <f>B78/B82</f>
        <v>5.4495116709766016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I81"/>
  <sheetViews>
    <sheetView workbookViewId="0">
      <selection activeCell="D87" sqref="D87"/>
    </sheetView>
  </sheetViews>
  <sheetFormatPr baseColWidth="10" defaultColWidth="8.83203125" defaultRowHeight="14"/>
  <cols>
    <col min="2" max="2" width="16.1640625" customWidth="1"/>
    <col min="3" max="3" width="11" customWidth="1"/>
    <col min="4" max="4" width="12.83203125" customWidth="1"/>
    <col min="5" max="5" width="13.83203125" customWidth="1"/>
    <col min="6" max="6" width="13" customWidth="1"/>
    <col min="7" max="7" width="11" customWidth="1"/>
  </cols>
  <sheetData>
    <row r="3" spans="1:9">
      <c r="A3" t="s">
        <v>242</v>
      </c>
      <c r="F3" t="s">
        <v>243</v>
      </c>
    </row>
    <row r="5" spans="1:9">
      <c r="B5" s="1"/>
      <c r="C5" s="1" t="s">
        <v>15</v>
      </c>
      <c r="D5" s="1" t="s">
        <v>0</v>
      </c>
      <c r="G5" s="1"/>
      <c r="H5" s="1" t="s">
        <v>15</v>
      </c>
      <c r="I5" s="1" t="s">
        <v>0</v>
      </c>
    </row>
    <row r="6" spans="1:9">
      <c r="B6" s="1" t="s">
        <v>17</v>
      </c>
      <c r="C6" s="1">
        <v>0.5</v>
      </c>
      <c r="D6" s="1">
        <v>0.99747168635056971</v>
      </c>
      <c r="G6" s="1" t="s">
        <v>17</v>
      </c>
      <c r="H6" s="1">
        <v>4.75</v>
      </c>
      <c r="I6" s="1">
        <v>0.9764863444487768</v>
      </c>
    </row>
    <row r="7" spans="1:9">
      <c r="B7" s="1" t="s">
        <v>1</v>
      </c>
      <c r="C7" s="1">
        <v>0.7</v>
      </c>
      <c r="D7" s="1">
        <v>0.99303323278303246</v>
      </c>
      <c r="G7" s="1" t="s">
        <v>1</v>
      </c>
      <c r="H7" s="22">
        <v>4.9000000000000004</v>
      </c>
      <c r="I7" s="1">
        <v>0.95273409913226448</v>
      </c>
    </row>
    <row r="8" spans="1:9">
      <c r="B8" s="1" t="s">
        <v>2</v>
      </c>
      <c r="C8" s="1">
        <v>0.9</v>
      </c>
      <c r="D8" s="1">
        <v>0.98660301429955088</v>
      </c>
      <c r="G8" s="1" t="s">
        <v>2</v>
      </c>
      <c r="H8" s="22">
        <v>5.0999999999999996</v>
      </c>
      <c r="I8" s="1">
        <v>0.92716224152967674</v>
      </c>
    </row>
    <row r="9" spans="1:9">
      <c r="B9" s="1" t="s">
        <v>3</v>
      </c>
      <c r="C9" s="1">
        <v>1.1000000000000001</v>
      </c>
      <c r="D9" s="1">
        <v>0.97824555580916728</v>
      </c>
      <c r="G9" s="1" t="s">
        <v>3</v>
      </c>
      <c r="H9" s="22">
        <v>5.2</v>
      </c>
      <c r="I9" s="1">
        <v>0.90227490271649258</v>
      </c>
    </row>
    <row r="10" spans="1:9">
      <c r="B10" s="1" t="s">
        <v>4</v>
      </c>
      <c r="C10" s="1">
        <v>1.3</v>
      </c>
      <c r="D10" s="1">
        <v>0.9679982139293839</v>
      </c>
      <c r="G10" s="1" t="s">
        <v>4</v>
      </c>
      <c r="H10" s="22">
        <v>5.3</v>
      </c>
      <c r="I10" s="1">
        <v>0.87715107055292629</v>
      </c>
    </row>
    <row r="11" spans="1:9">
      <c r="B11" s="1" t="s">
        <v>5</v>
      </c>
      <c r="C11" s="1">
        <v>1.5</v>
      </c>
      <c r="D11" s="1">
        <v>0.95590557044785329</v>
      </c>
      <c r="G11" s="1" t="s">
        <v>5</v>
      </c>
      <c r="H11" s="22">
        <v>5.4</v>
      </c>
      <c r="I11" s="1">
        <v>0.85183365747199236</v>
      </c>
    </row>
    <row r="12" spans="1:9">
      <c r="B12" s="1" t="s">
        <v>6</v>
      </c>
      <c r="C12" s="1">
        <v>1.7</v>
      </c>
      <c r="D12" s="1">
        <v>0.94201915039586892</v>
      </c>
      <c r="G12" s="1" t="s">
        <v>6</v>
      </c>
      <c r="H12" s="22">
        <v>5.5</v>
      </c>
      <c r="I12" s="1">
        <v>0.82636480419860481</v>
      </c>
    </row>
    <row r="13" spans="1:9">
      <c r="B13" s="1" t="s">
        <v>7</v>
      </c>
      <c r="C13" s="1">
        <v>1.9</v>
      </c>
      <c r="D13" s="1">
        <v>0.92639710150753185</v>
      </c>
      <c r="G13" s="1" t="s">
        <v>7</v>
      </c>
      <c r="H13" s="22">
        <v>5.6</v>
      </c>
      <c r="I13" s="1">
        <v>0.80078579828655583</v>
      </c>
    </row>
    <row r="14" spans="1:9">
      <c r="B14" s="1" t="s">
        <v>8</v>
      </c>
      <c r="C14" s="1">
        <v>2.1</v>
      </c>
      <c r="D14" s="1">
        <v>0.90910383768630287</v>
      </c>
      <c r="G14" s="1" t="s">
        <v>8</v>
      </c>
      <c r="H14" s="22">
        <v>5.7</v>
      </c>
      <c r="I14" s="1">
        <v>0.77513699740144604</v>
      </c>
    </row>
    <row r="15" spans="1:9">
      <c r="B15" s="1" t="s">
        <v>9</v>
      </c>
      <c r="C15" s="1">
        <v>2.2999999999999998</v>
      </c>
      <c r="D15" s="1">
        <v>0.89020964935550517</v>
      </c>
      <c r="G15" s="1" t="s">
        <v>9</v>
      </c>
      <c r="H15" s="22">
        <v>5.8</v>
      </c>
      <c r="I15" s="1">
        <v>0.74945775747675081</v>
      </c>
    </row>
    <row r="16" spans="1:9">
      <c r="B16" s="1" t="s">
        <v>10</v>
      </c>
      <c r="C16" s="1">
        <v>2.4</v>
      </c>
      <c r="D16" s="1">
        <v>0.87493691289448894</v>
      </c>
      <c r="G16" s="1" t="s">
        <v>10</v>
      </c>
      <c r="H16" s="22">
        <v>5.9</v>
      </c>
      <c r="I16" s="1">
        <v>0.72378636584763778</v>
      </c>
    </row>
    <row r="17" spans="1:9">
      <c r="B17" s="1" t="s">
        <v>11</v>
      </c>
      <c r="C17" s="1">
        <v>2.5</v>
      </c>
      <c r="D17" s="1">
        <v>0.85898859351284862</v>
      </c>
      <c r="G17" s="1" t="s">
        <v>11</v>
      </c>
      <c r="H17" s="22">
        <v>6</v>
      </c>
      <c r="I17" s="1">
        <v>0.69815997944476338</v>
      </c>
    </row>
    <row r="18" spans="1:9">
      <c r="B18" s="1" t="s">
        <v>12</v>
      </c>
      <c r="C18" s="1">
        <v>2.6</v>
      </c>
      <c r="D18" s="1">
        <v>0.84239697655810719</v>
      </c>
      <c r="G18" s="1" t="s">
        <v>12</v>
      </c>
      <c r="H18" s="22">
        <v>6.1</v>
      </c>
      <c r="I18" s="1">
        <v>0.67261456810820908</v>
      </c>
    </row>
    <row r="19" spans="1:9">
      <c r="B19" s="1" t="s">
        <v>13</v>
      </c>
      <c r="C19" s="1">
        <v>2.7</v>
      </c>
      <c r="D19" s="1">
        <v>0.82519518678869475</v>
      </c>
      <c r="G19" s="1" t="s">
        <v>13</v>
      </c>
      <c r="H19" s="22">
        <v>6.2</v>
      </c>
      <c r="I19" s="1">
        <v>0.64718486306003986</v>
      </c>
    </row>
    <row r="22" spans="1:9">
      <c r="A22" t="s">
        <v>244</v>
      </c>
      <c r="C22" t="s">
        <v>245</v>
      </c>
      <c r="D22" s="1">
        <v>100</v>
      </c>
    </row>
    <row r="24" spans="1:9">
      <c r="B24" s="1" t="s">
        <v>246</v>
      </c>
      <c r="C24" s="32" t="s">
        <v>247</v>
      </c>
    </row>
    <row r="25" spans="1:9">
      <c r="B25" s="1" t="s">
        <v>154</v>
      </c>
      <c r="C25" s="19">
        <f t="shared" ref="C25:C38" si="0">D$22*I6/D6</f>
        <v>97.896146608574782</v>
      </c>
    </row>
    <row r="26" spans="1:9">
      <c r="B26" s="1" t="s">
        <v>155</v>
      </c>
      <c r="C26" s="19">
        <f t="shared" si="0"/>
        <v>95.941814199125304</v>
      </c>
    </row>
    <row r="27" spans="1:9">
      <c r="B27" s="1" t="s">
        <v>156</v>
      </c>
      <c r="C27" s="19">
        <f t="shared" si="0"/>
        <v>93.975208679848322</v>
      </c>
    </row>
    <row r="28" spans="1:9">
      <c r="B28" s="1" t="s">
        <v>157</v>
      </c>
      <c r="C28" s="19">
        <f t="shared" si="0"/>
        <v>92.233989447584591</v>
      </c>
    </row>
    <row r="29" spans="1:9">
      <c r="B29" s="1" t="s">
        <v>158</v>
      </c>
      <c r="C29" s="19">
        <f t="shared" si="0"/>
        <v>90.614947210730605</v>
      </c>
    </row>
    <row r="30" spans="1:9">
      <c r="B30" s="1" t="s">
        <v>159</v>
      </c>
      <c r="C30" s="19">
        <f t="shared" si="0"/>
        <v>89.11274123791307</v>
      </c>
    </row>
    <row r="31" spans="1:9">
      <c r="B31" s="1" t="s">
        <v>160</v>
      </c>
      <c r="C31" s="19">
        <f t="shared" si="0"/>
        <v>87.722718147644642</v>
      </c>
    </row>
    <row r="32" spans="1:9">
      <c r="B32" s="1" t="s">
        <v>161</v>
      </c>
      <c r="C32" s="19">
        <f t="shared" si="0"/>
        <v>86.44087907695652</v>
      </c>
    </row>
    <row r="33" spans="1:6">
      <c r="B33" s="1" t="s">
        <v>162</v>
      </c>
      <c r="C33" s="19">
        <f t="shared" si="0"/>
        <v>85.263857138057347</v>
      </c>
    </row>
    <row r="34" spans="1:6">
      <c r="B34" s="1" t="s">
        <v>163</v>
      </c>
      <c r="C34" s="19">
        <f t="shared" si="0"/>
        <v>84.188905166254258</v>
      </c>
    </row>
    <row r="35" spans="1:6">
      <c r="B35" s="1" t="s">
        <v>248</v>
      </c>
      <c r="C35" s="19">
        <f t="shared" si="0"/>
        <v>82.724406203550046</v>
      </c>
    </row>
    <row r="36" spans="1:6">
      <c r="B36" s="1" t="s">
        <v>249</v>
      </c>
      <c r="C36" s="19">
        <f t="shared" si="0"/>
        <v>81.276979079503974</v>
      </c>
    </row>
    <row r="37" spans="1:6">
      <c r="B37" s="1" t="s">
        <v>250</v>
      </c>
      <c r="C37" s="19">
        <f t="shared" si="0"/>
        <v>79.84532077220878</v>
      </c>
    </row>
    <row r="38" spans="1:6">
      <c r="B38" s="1" t="s">
        <v>251</v>
      </c>
      <c r="C38" s="19">
        <f t="shared" si="0"/>
        <v>78.428094761265555</v>
      </c>
    </row>
    <row r="41" spans="1:6">
      <c r="A41" t="s">
        <v>252</v>
      </c>
    </row>
    <row r="43" spans="1:6">
      <c r="D43" s="1" t="s">
        <v>253</v>
      </c>
      <c r="E43" s="1" t="s">
        <v>254</v>
      </c>
      <c r="F43" s="1" t="s">
        <v>255</v>
      </c>
    </row>
    <row r="44" spans="1:6">
      <c r="C44" s="33" t="s">
        <v>256</v>
      </c>
      <c r="D44" s="30">
        <v>100000000</v>
      </c>
      <c r="E44" s="30">
        <f>D44*100</f>
        <v>10000000000</v>
      </c>
      <c r="F44" s="31">
        <f>E44</f>
        <v>10000000000</v>
      </c>
    </row>
    <row r="45" spans="1:6">
      <c r="C45" s="33" t="s">
        <v>154</v>
      </c>
      <c r="D45" s="30">
        <v>-3100000</v>
      </c>
      <c r="E45" s="30">
        <f t="shared" ref="E45:E58" si="1">D45*C25</f>
        <v>-303478054.4865818</v>
      </c>
      <c r="F45" s="30">
        <f t="shared" ref="F45:F58" si="2">E45*D6</f>
        <v>-302710766.7791208</v>
      </c>
    </row>
    <row r="46" spans="1:6">
      <c r="C46" s="33" t="s">
        <v>155</v>
      </c>
      <c r="D46" s="30">
        <v>-3100000</v>
      </c>
      <c r="E46" s="30">
        <f t="shared" si="1"/>
        <v>-297419624.01728845</v>
      </c>
      <c r="F46" s="30">
        <f t="shared" si="2"/>
        <v>-295347570.73100197</v>
      </c>
    </row>
    <row r="47" spans="1:6">
      <c r="C47" s="33" t="s">
        <v>156</v>
      </c>
      <c r="D47" s="30">
        <v>-3100000</v>
      </c>
      <c r="E47" s="30">
        <f t="shared" si="1"/>
        <v>-291323146.90752977</v>
      </c>
      <c r="F47" s="30">
        <f t="shared" si="2"/>
        <v>-287420294.87419975</v>
      </c>
    </row>
    <row r="48" spans="1:6">
      <c r="C48" s="33" t="s">
        <v>157</v>
      </c>
      <c r="D48" s="30">
        <v>-3100000</v>
      </c>
      <c r="E48" s="30">
        <f t="shared" si="1"/>
        <v>-285925367.28751224</v>
      </c>
      <c r="F48" s="30">
        <f t="shared" si="2"/>
        <v>-279705219.84211272</v>
      </c>
    </row>
    <row r="49" spans="1:6">
      <c r="C49" s="33" t="s">
        <v>158</v>
      </c>
      <c r="D49" s="30">
        <v>-3100000</v>
      </c>
      <c r="E49" s="30">
        <f t="shared" si="1"/>
        <v>-280906336.35326487</v>
      </c>
      <c r="F49" s="30">
        <f t="shared" si="2"/>
        <v>-271916831.87140715</v>
      </c>
    </row>
    <row r="50" spans="1:6">
      <c r="C50" s="33" t="s">
        <v>159</v>
      </c>
      <c r="D50" s="30">
        <v>-3100000</v>
      </c>
      <c r="E50" s="30">
        <f t="shared" si="1"/>
        <v>-276249497.83753049</v>
      </c>
      <c r="F50" s="30">
        <f t="shared" si="2"/>
        <v>-264068433.81631759</v>
      </c>
    </row>
    <row r="51" spans="1:6">
      <c r="C51" s="33" t="s">
        <v>160</v>
      </c>
      <c r="D51" s="30">
        <v>-3100000</v>
      </c>
      <c r="E51" s="30">
        <f t="shared" si="1"/>
        <v>-271940426.25769842</v>
      </c>
      <c r="F51" s="30">
        <f t="shared" si="2"/>
        <v>-256173089.30156749</v>
      </c>
    </row>
    <row r="52" spans="1:6">
      <c r="C52" s="33" t="s">
        <v>161</v>
      </c>
      <c r="D52" s="30">
        <v>-3100000</v>
      </c>
      <c r="E52" s="30">
        <f t="shared" si="1"/>
        <v>-267966725.13856521</v>
      </c>
      <c r="F52" s="30">
        <f t="shared" si="2"/>
        <v>-248243597.46883228</v>
      </c>
    </row>
    <row r="53" spans="1:6">
      <c r="C53" s="33" t="s">
        <v>162</v>
      </c>
      <c r="D53" s="30">
        <v>-3100000</v>
      </c>
      <c r="E53" s="30">
        <f t="shared" si="1"/>
        <v>-264317957.12797779</v>
      </c>
      <c r="F53" s="30">
        <f t="shared" si="2"/>
        <v>-240292469.19444829</v>
      </c>
    </row>
    <row r="54" spans="1:6">
      <c r="C54" s="33" t="s">
        <v>163</v>
      </c>
      <c r="D54" s="30">
        <v>-3100000</v>
      </c>
      <c r="E54" s="30">
        <f t="shared" si="1"/>
        <v>-260985606.01538819</v>
      </c>
      <c r="F54" s="30">
        <f t="shared" si="2"/>
        <v>-232331904.81779274</v>
      </c>
    </row>
    <row r="55" spans="1:6">
      <c r="C55" s="33" t="s">
        <v>248</v>
      </c>
      <c r="D55" s="30">
        <v>-3100000</v>
      </c>
      <c r="E55" s="30">
        <f t="shared" si="1"/>
        <v>-256445659.23100513</v>
      </c>
      <c r="F55" s="30">
        <f t="shared" si="2"/>
        <v>-224373773.41276774</v>
      </c>
    </row>
    <row r="56" spans="1:6">
      <c r="C56" s="33" t="s">
        <v>249</v>
      </c>
      <c r="D56" s="30">
        <v>-3100000</v>
      </c>
      <c r="E56" s="30">
        <f t="shared" si="1"/>
        <v>-251958635.14646232</v>
      </c>
      <c r="F56" s="30">
        <f t="shared" si="2"/>
        <v>-216429593.62787667</v>
      </c>
    </row>
    <row r="57" spans="1:6">
      <c r="C57" s="33" t="s">
        <v>250</v>
      </c>
      <c r="D57" s="30">
        <v>-3100000</v>
      </c>
      <c r="E57" s="30">
        <f t="shared" si="1"/>
        <v>-247520494.39384723</v>
      </c>
      <c r="F57" s="30">
        <f t="shared" si="2"/>
        <v>-208510516.11354482</v>
      </c>
    </row>
    <row r="58" spans="1:6">
      <c r="C58" s="33" t="s">
        <v>251</v>
      </c>
      <c r="D58" s="30">
        <f>-3100000-100000000</f>
        <v>-103100000</v>
      </c>
      <c r="E58" s="30">
        <f t="shared" si="1"/>
        <v>-8085936569.8864784</v>
      </c>
      <c r="F58" s="30">
        <f t="shared" si="2"/>
        <v>-6672475938.1490107</v>
      </c>
    </row>
    <row r="60" spans="1:6">
      <c r="E60" t="s">
        <v>57</v>
      </c>
      <c r="F60" s="31">
        <f>SUM(F44:F58)</f>
        <v>0</v>
      </c>
    </row>
    <row r="62" spans="1:6">
      <c r="A62" t="s">
        <v>257</v>
      </c>
    </row>
    <row r="64" spans="1:6">
      <c r="D64" s="1" t="s">
        <v>253</v>
      </c>
      <c r="E64" s="1" t="s">
        <v>254</v>
      </c>
      <c r="F64" s="1" t="s">
        <v>255</v>
      </c>
    </row>
    <row r="65" spans="3:6">
      <c r="C65" s="33" t="s">
        <v>256</v>
      </c>
      <c r="D65" s="30">
        <v>100000000</v>
      </c>
      <c r="E65" s="30">
        <f>D65*100</f>
        <v>10000000000</v>
      </c>
      <c r="F65" s="31">
        <f>E65</f>
        <v>10000000000</v>
      </c>
    </row>
    <row r="66" spans="3:6">
      <c r="C66" s="33" t="s">
        <v>154</v>
      </c>
      <c r="D66" s="30">
        <v>-3100000</v>
      </c>
      <c r="E66" s="30">
        <f t="shared" ref="E66:E78" si="3">-E$65*2.7/200</f>
        <v>-135000000</v>
      </c>
      <c r="F66" s="30">
        <f t="shared" ref="F66:F79" si="4">E66*D6</f>
        <v>-134658677.65732691</v>
      </c>
    </row>
    <row r="67" spans="3:6">
      <c r="C67" s="33" t="s">
        <v>155</v>
      </c>
      <c r="D67" s="30">
        <v>-3100000</v>
      </c>
      <c r="E67" s="30">
        <f t="shared" si="3"/>
        <v>-135000000</v>
      </c>
      <c r="F67" s="30">
        <f t="shared" si="4"/>
        <v>-134059486.42570938</v>
      </c>
    </row>
    <row r="68" spans="3:6">
      <c r="C68" s="33" t="s">
        <v>156</v>
      </c>
      <c r="D68" s="30">
        <v>-3100000</v>
      </c>
      <c r="E68" s="30">
        <f t="shared" si="3"/>
        <v>-135000000</v>
      </c>
      <c r="F68" s="30">
        <f t="shared" si="4"/>
        <v>-133191406.93043937</v>
      </c>
    </row>
    <row r="69" spans="3:6">
      <c r="C69" s="33" t="s">
        <v>157</v>
      </c>
      <c r="D69" s="30">
        <v>-3100000</v>
      </c>
      <c r="E69" s="30">
        <f t="shared" si="3"/>
        <v>-135000000</v>
      </c>
      <c r="F69" s="30">
        <f t="shared" si="4"/>
        <v>-132063150.03423758</v>
      </c>
    </row>
    <row r="70" spans="3:6">
      <c r="C70" s="33" t="s">
        <v>158</v>
      </c>
      <c r="D70" s="30">
        <v>-3100000</v>
      </c>
      <c r="E70" s="30">
        <f t="shared" si="3"/>
        <v>-135000000</v>
      </c>
      <c r="F70" s="30">
        <f t="shared" si="4"/>
        <v>-130679758.88046683</v>
      </c>
    </row>
    <row r="71" spans="3:6">
      <c r="C71" s="33" t="s">
        <v>159</v>
      </c>
      <c r="D71" s="30">
        <v>-3100000</v>
      </c>
      <c r="E71" s="30">
        <f t="shared" si="3"/>
        <v>-135000000</v>
      </c>
      <c r="F71" s="30">
        <f t="shared" si="4"/>
        <v>-129047252.0104602</v>
      </c>
    </row>
    <row r="72" spans="3:6">
      <c r="C72" s="33" t="s">
        <v>160</v>
      </c>
      <c r="D72" s="30">
        <v>-3100000</v>
      </c>
      <c r="E72" s="30">
        <f t="shared" si="3"/>
        <v>-135000000</v>
      </c>
      <c r="F72" s="30">
        <f t="shared" si="4"/>
        <v>-127172585.3034423</v>
      </c>
    </row>
    <row r="73" spans="3:6">
      <c r="C73" s="33" t="s">
        <v>161</v>
      </c>
      <c r="D73" s="30">
        <v>-3100000</v>
      </c>
      <c r="E73" s="30">
        <f t="shared" si="3"/>
        <v>-135000000</v>
      </c>
      <c r="F73" s="30">
        <f t="shared" si="4"/>
        <v>-125063608.7035168</v>
      </c>
    </row>
    <row r="74" spans="3:6">
      <c r="C74" s="33" t="s">
        <v>162</v>
      </c>
      <c r="D74" s="30">
        <v>-3100000</v>
      </c>
      <c r="E74" s="30">
        <f t="shared" si="3"/>
        <v>-135000000</v>
      </c>
      <c r="F74" s="30">
        <f t="shared" si="4"/>
        <v>-122729018.0876509</v>
      </c>
    </row>
    <row r="75" spans="3:6">
      <c r="C75" s="33" t="s">
        <v>163</v>
      </c>
      <c r="D75" s="30">
        <v>-3100000</v>
      </c>
      <c r="E75" s="30">
        <f t="shared" si="3"/>
        <v>-135000000</v>
      </c>
      <c r="F75" s="30">
        <f t="shared" si="4"/>
        <v>-120178302.66299319</v>
      </c>
    </row>
    <row r="76" spans="3:6">
      <c r="C76" s="33" t="s">
        <v>248</v>
      </c>
      <c r="D76" s="30">
        <v>-3100000</v>
      </c>
      <c r="E76" s="30">
        <f t="shared" si="3"/>
        <v>-135000000</v>
      </c>
      <c r="F76" s="30">
        <f t="shared" si="4"/>
        <v>-118116483.24075601</v>
      </c>
    </row>
    <row r="77" spans="3:6">
      <c r="C77" s="33" t="s">
        <v>249</v>
      </c>
      <c r="D77" s="30">
        <v>-3100000</v>
      </c>
      <c r="E77" s="30">
        <f t="shared" si="3"/>
        <v>-135000000</v>
      </c>
      <c r="F77" s="30">
        <f t="shared" si="4"/>
        <v>-115963460.12423456</v>
      </c>
    </row>
    <row r="78" spans="3:6">
      <c r="C78" s="33" t="s">
        <v>250</v>
      </c>
      <c r="D78" s="30">
        <v>-3100000</v>
      </c>
      <c r="E78" s="30">
        <f t="shared" si="3"/>
        <v>-135000000</v>
      </c>
      <c r="F78" s="30">
        <f t="shared" si="4"/>
        <v>-113723591.83534446</v>
      </c>
    </row>
    <row r="79" spans="3:6">
      <c r="C79" s="33" t="s">
        <v>251</v>
      </c>
      <c r="D79" s="30">
        <f>-3100000-100000000</f>
        <v>-103100000</v>
      </c>
      <c r="E79" s="30">
        <f>-E$65*2.7/200-10000000000</f>
        <v>-10135000000</v>
      </c>
      <c r="F79" s="30">
        <f t="shared" si="4"/>
        <v>-8363353218.1034212</v>
      </c>
    </row>
    <row r="81" spans="5:6">
      <c r="E81" t="s">
        <v>57</v>
      </c>
      <c r="F81" s="31">
        <f>SUM(F65:F79)</f>
        <v>0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I49"/>
  <sheetViews>
    <sheetView workbookViewId="0">
      <selection activeCell="J22" sqref="J22"/>
    </sheetView>
  </sheetViews>
  <sheetFormatPr baseColWidth="10" defaultColWidth="8.83203125" defaultRowHeight="14"/>
  <cols>
    <col min="3" max="3" width="10.6640625" customWidth="1"/>
  </cols>
  <sheetData>
    <row r="2" spans="2:9">
      <c r="B2" t="s">
        <v>242</v>
      </c>
      <c r="G2" t="s">
        <v>258</v>
      </c>
    </row>
    <row r="4" spans="2:9">
      <c r="C4" s="1"/>
      <c r="D4" s="1" t="s">
        <v>15</v>
      </c>
      <c r="E4" s="1" t="s">
        <v>0</v>
      </c>
      <c r="G4" s="1"/>
      <c r="H4" s="1" t="s">
        <v>259</v>
      </c>
      <c r="I4" s="1" t="s">
        <v>260</v>
      </c>
    </row>
    <row r="5" spans="2:9">
      <c r="C5" s="1" t="s">
        <v>17</v>
      </c>
      <c r="D5" s="1">
        <v>0.5</v>
      </c>
      <c r="E5" s="1">
        <v>0.99747168635056971</v>
      </c>
      <c r="G5" s="1" t="s">
        <v>261</v>
      </c>
      <c r="H5" s="1">
        <v>4.68</v>
      </c>
      <c r="I5" s="1">
        <f>100/(100*(1+H5/100*182.5/360))</f>
        <v>0.97682483088720118</v>
      </c>
    </row>
    <row r="6" spans="2:9">
      <c r="C6" s="1" t="s">
        <v>1</v>
      </c>
      <c r="D6" s="1">
        <v>0.7</v>
      </c>
      <c r="E6" s="1">
        <v>0.99303323278303246</v>
      </c>
      <c r="G6" s="1" t="s">
        <v>262</v>
      </c>
      <c r="H6" s="1">
        <v>4.82</v>
      </c>
      <c r="I6" s="1">
        <f>100/(100*(1+H6/100*365/360))</f>
        <v>0.95340750490607618</v>
      </c>
    </row>
    <row r="7" spans="2:9">
      <c r="C7" s="1" t="s">
        <v>2</v>
      </c>
      <c r="D7" s="1">
        <v>0.9</v>
      </c>
      <c r="E7" s="1">
        <v>0.98660301429955088</v>
      </c>
      <c r="G7" s="1" t="s">
        <v>263</v>
      </c>
      <c r="H7" s="1">
        <v>5.04</v>
      </c>
      <c r="I7" s="1">
        <f>(100-H7*365/360*SUM(I$6:I6))/(100+H7*365/360)</f>
        <v>0.90503365664475266</v>
      </c>
    </row>
    <row r="8" spans="2:9">
      <c r="C8" s="1" t="s">
        <v>3</v>
      </c>
      <c r="D8" s="1">
        <v>1.1000000000000001</v>
      </c>
      <c r="E8" s="1">
        <v>0.97824555580916728</v>
      </c>
      <c r="G8" s="1" t="s">
        <v>264</v>
      </c>
      <c r="H8" s="1">
        <v>5.24</v>
      </c>
      <c r="I8" s="1">
        <f>(100-H8*365/360*SUM(I$6:I7))/(100+H8*365/360)</f>
        <v>0.85579847951387888</v>
      </c>
    </row>
    <row r="9" spans="2:9">
      <c r="C9" s="1" t="s">
        <v>4</v>
      </c>
      <c r="D9" s="1">
        <v>1.3</v>
      </c>
      <c r="E9" s="1">
        <v>0.9679982139293839</v>
      </c>
      <c r="G9" s="1" t="s">
        <v>265</v>
      </c>
      <c r="H9" s="1">
        <v>5.46</v>
      </c>
      <c r="I9" s="1">
        <f>(100-H9*365/360*SUM(I$6:I8))/(100+H9*365/360)</f>
        <v>0.80517127724712112</v>
      </c>
    </row>
    <row r="10" spans="2:9">
      <c r="C10" s="1" t="s">
        <v>5</v>
      </c>
      <c r="D10" s="1">
        <v>1.5</v>
      </c>
      <c r="E10" s="1">
        <v>0.95590557044785329</v>
      </c>
      <c r="G10" s="1" t="s">
        <v>266</v>
      </c>
      <c r="H10" s="1">
        <v>5.68</v>
      </c>
      <c r="I10" s="1">
        <f>(100-H10*365/360*SUM(I$6:I9))/(100+H10*365/360)</f>
        <v>0.75390451246955648</v>
      </c>
    </row>
    <row r="11" spans="2:9">
      <c r="C11" s="1" t="s">
        <v>6</v>
      </c>
      <c r="D11" s="1">
        <v>1.7</v>
      </c>
      <c r="E11" s="1">
        <v>0.94201915039586892</v>
      </c>
      <c r="G11" s="1" t="s">
        <v>267</v>
      </c>
      <c r="H11" s="22">
        <v>5.8</v>
      </c>
      <c r="I11" s="1">
        <f>(100-H11*365/360*SUM(I$6:I10))/(100+H11*365/360)</f>
        <v>0.70712257609559515</v>
      </c>
    </row>
    <row r="12" spans="2:9">
      <c r="C12" s="1" t="s">
        <v>7</v>
      </c>
      <c r="D12" s="1">
        <v>1.9</v>
      </c>
      <c r="E12" s="1">
        <v>0.92639710150753185</v>
      </c>
      <c r="G12" s="1" t="s">
        <v>268</v>
      </c>
      <c r="H12" s="22">
        <v>5.96</v>
      </c>
      <c r="I12" s="1">
        <f>(100-H12*365/360*SUM(I$6:I11))/(100+H12*365/360)</f>
        <v>0.6592086830744357</v>
      </c>
    </row>
    <row r="13" spans="2:9">
      <c r="C13" s="1" t="s">
        <v>8</v>
      </c>
      <c r="D13" s="1">
        <v>2.1</v>
      </c>
      <c r="E13" s="1">
        <v>0.90910383768630287</v>
      </c>
      <c r="G13" s="20" t="s">
        <v>269</v>
      </c>
    </row>
    <row r="14" spans="2:9">
      <c r="C14" s="1" t="s">
        <v>9</v>
      </c>
      <c r="D14" s="1">
        <v>2.2999999999999998</v>
      </c>
      <c r="E14" s="1">
        <v>0.89020964935550517</v>
      </c>
    </row>
    <row r="15" spans="2:9">
      <c r="C15" s="1" t="s">
        <v>10</v>
      </c>
      <c r="D15" s="1">
        <v>2.4</v>
      </c>
      <c r="E15" s="1">
        <v>0.87493691289448894</v>
      </c>
    </row>
    <row r="16" spans="2:9">
      <c r="C16" s="1" t="s">
        <v>11</v>
      </c>
      <c r="D16" s="1">
        <v>2.5</v>
      </c>
      <c r="E16" s="1">
        <v>0.85898859351284862</v>
      </c>
    </row>
    <row r="17" spans="2:5">
      <c r="C17" s="1" t="s">
        <v>12</v>
      </c>
      <c r="D17" s="1">
        <v>2.6</v>
      </c>
      <c r="E17" s="1">
        <v>0.84239697655810719</v>
      </c>
    </row>
    <row r="18" spans="2:5">
      <c r="C18" s="1" t="s">
        <v>13</v>
      </c>
      <c r="D18" s="1">
        <v>2.7</v>
      </c>
      <c r="E18" s="1">
        <v>0.82519518678869475</v>
      </c>
    </row>
    <row r="21" spans="2:5">
      <c r="B21" t="s">
        <v>270</v>
      </c>
    </row>
    <row r="23" spans="2:5">
      <c r="D23" s="1" t="s">
        <v>271</v>
      </c>
    </row>
    <row r="24" spans="2:5">
      <c r="C24" s="1" t="s">
        <v>272</v>
      </c>
      <c r="D24" s="1">
        <f>I5</f>
        <v>0.97682483088720118</v>
      </c>
    </row>
    <row r="25" spans="2:5">
      <c r="C25" s="1" t="s">
        <v>273</v>
      </c>
      <c r="D25" s="1">
        <f>I6</f>
        <v>0.95340750490607618</v>
      </c>
    </row>
    <row r="26" spans="2:5">
      <c r="C26" s="1" t="s">
        <v>274</v>
      </c>
      <c r="D26" s="1">
        <f>(D25+D27)/2</f>
        <v>0.92922058077541436</v>
      </c>
    </row>
    <row r="27" spans="2:5">
      <c r="C27" s="1" t="s">
        <v>275</v>
      </c>
      <c r="D27" s="1">
        <f>I7</f>
        <v>0.90503365664475266</v>
      </c>
    </row>
    <row r="28" spans="2:5">
      <c r="C28" s="1" t="s">
        <v>276</v>
      </c>
      <c r="D28" s="1">
        <f>(D27+D29)/2</f>
        <v>0.88041606807931583</v>
      </c>
    </row>
    <row r="29" spans="2:5">
      <c r="C29" s="1" t="s">
        <v>277</v>
      </c>
      <c r="D29" s="1">
        <f>I8</f>
        <v>0.85579847951387888</v>
      </c>
    </row>
    <row r="30" spans="2:5">
      <c r="C30" s="1" t="s">
        <v>278</v>
      </c>
      <c r="D30" s="1">
        <f>(D29+D31)/2</f>
        <v>0.8304848783805</v>
      </c>
    </row>
    <row r="31" spans="2:5">
      <c r="C31" s="1" t="s">
        <v>279</v>
      </c>
      <c r="D31" s="1">
        <f>I9</f>
        <v>0.80517127724712112</v>
      </c>
    </row>
    <row r="32" spans="2:5">
      <c r="C32" s="1" t="s">
        <v>280</v>
      </c>
      <c r="D32" s="1">
        <f>(D31+D33)/2</f>
        <v>0.7795378948583388</v>
      </c>
    </row>
    <row r="33" spans="2:4">
      <c r="C33" s="1" t="s">
        <v>281</v>
      </c>
      <c r="D33" s="1">
        <f>I10</f>
        <v>0.75390451246955648</v>
      </c>
    </row>
    <row r="34" spans="2:4">
      <c r="C34" s="1" t="s">
        <v>282</v>
      </c>
      <c r="D34" s="1">
        <f>(D33+D35)/2</f>
        <v>0.73051354428257587</v>
      </c>
    </row>
    <row r="35" spans="2:4">
      <c r="C35" s="1" t="s">
        <v>283</v>
      </c>
      <c r="D35" s="1">
        <f>I11</f>
        <v>0.70712257609559515</v>
      </c>
    </row>
    <row r="36" spans="2:4">
      <c r="C36" s="1" t="s">
        <v>284</v>
      </c>
      <c r="D36" s="1">
        <f>(D35+D37)/2</f>
        <v>0.68316562958501548</v>
      </c>
    </row>
    <row r="37" spans="2:4">
      <c r="C37" s="1" t="s">
        <v>285</v>
      </c>
      <c r="D37" s="1">
        <f>I12</f>
        <v>0.6592086830744357</v>
      </c>
    </row>
    <row r="39" spans="2:4">
      <c r="B39" t="s">
        <v>286</v>
      </c>
    </row>
    <row r="41" spans="2:4">
      <c r="C41" s="11">
        <f>8/2*SUM(E5:E18)</f>
        <v>51.794018729275628</v>
      </c>
    </row>
    <row r="43" spans="2:4">
      <c r="B43" t="s">
        <v>287</v>
      </c>
    </row>
    <row r="45" spans="2:4">
      <c r="C45" s="11">
        <f>0.5*SUM(D24:D37)</f>
        <v>5.7249050583998891</v>
      </c>
    </row>
    <row r="47" spans="2:4">
      <c r="B47" t="s">
        <v>288</v>
      </c>
    </row>
    <row r="49" spans="3:3">
      <c r="C49" s="19">
        <f>C41/C45</f>
        <v>9.0471402059813464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I65"/>
  <sheetViews>
    <sheetView workbookViewId="0">
      <selection activeCell="H67" sqref="H67"/>
    </sheetView>
  </sheetViews>
  <sheetFormatPr baseColWidth="10" defaultColWidth="8.83203125" defaultRowHeight="14"/>
  <cols>
    <col min="3" max="3" width="11.5" customWidth="1"/>
    <col min="5" max="5" width="14" customWidth="1"/>
  </cols>
  <sheetData>
    <row r="2" spans="2:9">
      <c r="B2" t="s">
        <v>289</v>
      </c>
      <c r="G2" t="s">
        <v>258</v>
      </c>
    </row>
    <row r="4" spans="2:9">
      <c r="C4" s="1"/>
      <c r="D4" s="1" t="s">
        <v>15</v>
      </c>
      <c r="E4" s="1" t="s">
        <v>0</v>
      </c>
      <c r="G4" s="1"/>
      <c r="H4" s="1" t="s">
        <v>259</v>
      </c>
      <c r="I4" s="1" t="s">
        <v>260</v>
      </c>
    </row>
    <row r="5" spans="2:9">
      <c r="C5" s="1" t="s">
        <v>17</v>
      </c>
      <c r="D5" s="1">
        <v>0.5</v>
      </c>
      <c r="E5" s="1">
        <v>0.99747168635056971</v>
      </c>
      <c r="G5" s="1" t="s">
        <v>290</v>
      </c>
      <c r="H5" s="1">
        <v>4.68</v>
      </c>
      <c r="I5" s="1">
        <f>100/(100*(1+H5/100*182.5/360))</f>
        <v>0.97682483088720118</v>
      </c>
    </row>
    <row r="6" spans="2:9">
      <c r="C6" s="1" t="s">
        <v>1</v>
      </c>
      <c r="D6" s="1">
        <v>0.7</v>
      </c>
      <c r="E6" s="1">
        <v>0.99303323278303246</v>
      </c>
      <c r="G6" s="1" t="s">
        <v>291</v>
      </c>
      <c r="H6" s="1">
        <v>4.82</v>
      </c>
      <c r="I6" s="1">
        <f>100/(100*(1+H6/100*365/360))</f>
        <v>0.95340750490607618</v>
      </c>
    </row>
    <row r="7" spans="2:9">
      <c r="C7" s="1" t="s">
        <v>2</v>
      </c>
      <c r="D7" s="1">
        <v>0.9</v>
      </c>
      <c r="E7" s="1">
        <v>0.98660301429955088</v>
      </c>
      <c r="G7" s="1" t="s">
        <v>292</v>
      </c>
      <c r="H7" s="1">
        <v>5.04</v>
      </c>
      <c r="I7" s="1">
        <f>(100-H7*365/360*SUM(I$6:I6))/(100+H7*365/360)</f>
        <v>0.90503365664475266</v>
      </c>
    </row>
    <row r="8" spans="2:9">
      <c r="C8" s="1" t="s">
        <v>3</v>
      </c>
      <c r="D8" s="1">
        <v>1.1000000000000001</v>
      </c>
      <c r="E8" s="1">
        <v>0.97824555580916728</v>
      </c>
      <c r="G8" s="1" t="s">
        <v>293</v>
      </c>
      <c r="H8" s="1">
        <v>5.24</v>
      </c>
      <c r="I8" s="1">
        <f>(100-H8*365/360*SUM(I$6:I7))/(100+H8*365/360)</f>
        <v>0.85579847951387888</v>
      </c>
    </row>
    <row r="9" spans="2:9">
      <c r="C9" s="1" t="s">
        <v>4</v>
      </c>
      <c r="D9" s="1">
        <v>1.3</v>
      </c>
      <c r="E9" s="1">
        <v>0.9679982139293839</v>
      </c>
      <c r="G9" s="1" t="s">
        <v>294</v>
      </c>
      <c r="H9" s="1">
        <v>5.46</v>
      </c>
      <c r="I9" s="1">
        <f>(100-H9*365/360*SUM(I$6:I8))/(100+H9*365/360)</f>
        <v>0.80517127724712112</v>
      </c>
    </row>
    <row r="10" spans="2:9">
      <c r="C10" s="1" t="s">
        <v>5</v>
      </c>
      <c r="D10" s="1">
        <v>1.5</v>
      </c>
      <c r="E10" s="1">
        <v>0.95590557044785329</v>
      </c>
      <c r="G10" s="1" t="s">
        <v>295</v>
      </c>
      <c r="H10" s="1">
        <v>5.68</v>
      </c>
      <c r="I10" s="1">
        <f>(100-H10*365/360*SUM(I$6:I9))/(100+H10*365/360)</f>
        <v>0.75390451246955648</v>
      </c>
    </row>
    <row r="11" spans="2:9">
      <c r="C11" s="1" t="s">
        <v>6</v>
      </c>
      <c r="D11" s="1">
        <v>1.7</v>
      </c>
      <c r="E11" s="1">
        <v>0.94201915039586892</v>
      </c>
      <c r="G11" s="1" t="s">
        <v>296</v>
      </c>
      <c r="H11" s="22">
        <v>5.8</v>
      </c>
      <c r="I11" s="1">
        <f>(100-H11*365/360*SUM(I$6:I10))/(100+H11*365/360)</f>
        <v>0.70712257609559515</v>
      </c>
    </row>
    <row r="12" spans="2:9">
      <c r="C12" s="1" t="s">
        <v>7</v>
      </c>
      <c r="D12" s="1">
        <v>1.9</v>
      </c>
      <c r="E12" s="1">
        <v>0.92639710150753185</v>
      </c>
      <c r="G12" s="1" t="s">
        <v>297</v>
      </c>
      <c r="H12" s="22">
        <v>5.96</v>
      </c>
      <c r="I12" s="1">
        <f>(100-H12*365/360*SUM(I$6:I11))/(100+H12*365/360)</f>
        <v>0.6592086830744357</v>
      </c>
    </row>
    <row r="13" spans="2:9">
      <c r="C13" s="1" t="s">
        <v>8</v>
      </c>
      <c r="D13" s="1">
        <v>2.1</v>
      </c>
      <c r="E13" s="1">
        <v>0.90910383768630287</v>
      </c>
    </row>
    <row r="14" spans="2:9">
      <c r="C14" s="1" t="s">
        <v>9</v>
      </c>
      <c r="D14" s="1">
        <v>2.2999999999999998</v>
      </c>
      <c r="E14" s="1">
        <v>0.89020964935550517</v>
      </c>
    </row>
    <row r="15" spans="2:9">
      <c r="C15" s="1" t="s">
        <v>10</v>
      </c>
      <c r="D15" s="1">
        <v>2.4</v>
      </c>
      <c r="E15" s="1">
        <v>0.87493691289448894</v>
      </c>
    </row>
    <row r="16" spans="2:9">
      <c r="C16" s="1" t="s">
        <v>11</v>
      </c>
      <c r="D16" s="1">
        <v>2.5</v>
      </c>
      <c r="E16" s="1">
        <v>0.85898859351284862</v>
      </c>
    </row>
    <row r="17" spans="2:5">
      <c r="C17" s="1" t="s">
        <v>12</v>
      </c>
      <c r="D17" s="1">
        <v>2.6</v>
      </c>
      <c r="E17" s="1">
        <v>0.84239697655810719</v>
      </c>
    </row>
    <row r="18" spans="2:5">
      <c r="C18" s="1" t="s">
        <v>13</v>
      </c>
      <c r="D18" s="1">
        <v>2.7</v>
      </c>
      <c r="E18" s="1">
        <v>0.82519518678869475</v>
      </c>
    </row>
    <row r="21" spans="2:5">
      <c r="B21" t="s">
        <v>270</v>
      </c>
    </row>
    <row r="23" spans="2:5">
      <c r="D23" s="1" t="s">
        <v>271</v>
      </c>
    </row>
    <row r="24" spans="2:5">
      <c r="C24" s="1" t="s">
        <v>272</v>
      </c>
      <c r="D24" s="4">
        <f>I5</f>
        <v>0.97682483088720118</v>
      </c>
    </row>
    <row r="25" spans="2:5">
      <c r="C25" s="1" t="s">
        <v>273</v>
      </c>
      <c r="D25" s="4">
        <f>I6</f>
        <v>0.95340750490607618</v>
      </c>
    </row>
    <row r="26" spans="2:5">
      <c r="C26" s="1" t="s">
        <v>274</v>
      </c>
      <c r="D26" s="4">
        <f>(D25+D27)/2</f>
        <v>0.92922058077541436</v>
      </c>
    </row>
    <row r="27" spans="2:5">
      <c r="C27" s="1" t="s">
        <v>275</v>
      </c>
      <c r="D27" s="4">
        <f>I7</f>
        <v>0.90503365664475266</v>
      </c>
    </row>
    <row r="28" spans="2:5">
      <c r="C28" s="1" t="s">
        <v>276</v>
      </c>
      <c r="D28" s="4">
        <f>(D27+D29)/2</f>
        <v>0.88041606807931583</v>
      </c>
    </row>
    <row r="29" spans="2:5">
      <c r="C29" s="1" t="s">
        <v>277</v>
      </c>
      <c r="D29" s="4">
        <f>I8</f>
        <v>0.85579847951387888</v>
      </c>
    </row>
    <row r="30" spans="2:5">
      <c r="C30" s="1" t="s">
        <v>278</v>
      </c>
      <c r="D30" s="4">
        <f>(D29+D31)/2</f>
        <v>0.8304848783805</v>
      </c>
    </row>
    <row r="31" spans="2:5">
      <c r="C31" s="1" t="s">
        <v>279</v>
      </c>
      <c r="D31" s="4">
        <f>I9</f>
        <v>0.80517127724712112</v>
      </c>
    </row>
    <row r="32" spans="2:5">
      <c r="C32" s="1" t="s">
        <v>280</v>
      </c>
      <c r="D32" s="4">
        <f>(D31+D33)/2</f>
        <v>0.7795378948583388</v>
      </c>
    </row>
    <row r="33" spans="2:5">
      <c r="C33" s="1" t="s">
        <v>281</v>
      </c>
      <c r="D33" s="4">
        <f>I10</f>
        <v>0.75390451246955648</v>
      </c>
    </row>
    <row r="34" spans="2:5">
      <c r="C34" s="1" t="s">
        <v>282</v>
      </c>
      <c r="D34" s="4">
        <f>(D33+D35)/2</f>
        <v>0.73051354428257587</v>
      </c>
    </row>
    <row r="35" spans="2:5">
      <c r="C35" s="1" t="s">
        <v>283</v>
      </c>
      <c r="D35" s="4">
        <f>I11</f>
        <v>0.70712257609559515</v>
      </c>
    </row>
    <row r="36" spans="2:5">
      <c r="C36" s="1" t="s">
        <v>284</v>
      </c>
      <c r="D36" s="4">
        <f>(D35+D37)/2</f>
        <v>0.68316562958501548</v>
      </c>
    </row>
    <row r="37" spans="2:5">
      <c r="C37" s="1" t="s">
        <v>285</v>
      </c>
      <c r="D37" s="4">
        <f>I12</f>
        <v>0.6592086830744357</v>
      </c>
    </row>
    <row r="40" spans="2:5">
      <c r="B40" t="s">
        <v>298</v>
      </c>
    </row>
    <row r="42" spans="2:5">
      <c r="C42" s="1"/>
      <c r="D42" s="1" t="s">
        <v>299</v>
      </c>
      <c r="E42" s="1" t="s">
        <v>300</v>
      </c>
    </row>
    <row r="43" spans="2:5">
      <c r="C43" s="1" t="s">
        <v>154</v>
      </c>
      <c r="D43" s="1">
        <v>3.4</v>
      </c>
      <c r="E43" s="1">
        <f t="shared" ref="E43:E52" si="0">D43*D24</f>
        <v>3.3212044250164841</v>
      </c>
    </row>
    <row r="44" spans="2:5">
      <c r="C44" s="1" t="s">
        <v>155</v>
      </c>
      <c r="D44" s="1">
        <v>3.4</v>
      </c>
      <c r="E44" s="1">
        <f t="shared" si="0"/>
        <v>3.2415855166806589</v>
      </c>
    </row>
    <row r="45" spans="2:5">
      <c r="C45" s="1" t="s">
        <v>156</v>
      </c>
      <c r="D45" s="1">
        <v>3.4</v>
      </c>
      <c r="E45" s="1">
        <f t="shared" si="0"/>
        <v>3.1593499746364087</v>
      </c>
    </row>
    <row r="46" spans="2:5">
      <c r="C46" s="1" t="s">
        <v>157</v>
      </c>
      <c r="D46" s="1">
        <v>3.4</v>
      </c>
      <c r="E46" s="1">
        <f t="shared" si="0"/>
        <v>3.0771144325921589</v>
      </c>
    </row>
    <row r="47" spans="2:5">
      <c r="C47" s="1" t="s">
        <v>158</v>
      </c>
      <c r="D47" s="1">
        <v>3.4</v>
      </c>
      <c r="E47" s="1">
        <f t="shared" si="0"/>
        <v>2.9934146314696739</v>
      </c>
    </row>
    <row r="48" spans="2:5">
      <c r="C48" s="1" t="s">
        <v>159</v>
      </c>
      <c r="D48" s="1">
        <v>3.4</v>
      </c>
      <c r="E48" s="1">
        <f t="shared" si="0"/>
        <v>2.909714830347188</v>
      </c>
    </row>
    <row r="49" spans="2:6">
      <c r="C49" s="1" t="s">
        <v>160</v>
      </c>
      <c r="D49" s="1">
        <v>3.4</v>
      </c>
      <c r="E49" s="1">
        <f t="shared" si="0"/>
        <v>2.8236485864936998</v>
      </c>
    </row>
    <row r="50" spans="2:6">
      <c r="C50" s="1" t="s">
        <v>161</v>
      </c>
      <c r="D50" s="1">
        <v>3.4</v>
      </c>
      <c r="E50" s="1">
        <f t="shared" si="0"/>
        <v>2.7375823426402119</v>
      </c>
    </row>
    <row r="51" spans="2:6">
      <c r="C51" s="1" t="s">
        <v>162</v>
      </c>
      <c r="D51" s="1">
        <v>3.4</v>
      </c>
      <c r="E51" s="1">
        <f t="shared" si="0"/>
        <v>2.6504288425183518</v>
      </c>
    </row>
    <row r="52" spans="2:6">
      <c r="C52" s="1" t="s">
        <v>163</v>
      </c>
      <c r="D52" s="1">
        <v>103.4</v>
      </c>
      <c r="E52" s="1">
        <f t="shared" si="0"/>
        <v>77.953726589352144</v>
      </c>
    </row>
    <row r="54" spans="2:6">
      <c r="D54" t="s">
        <v>86</v>
      </c>
      <c r="E54" s="1">
        <f>SUM(E43:E52)</f>
        <v>104.86777017174698</v>
      </c>
      <c r="F54" t="s">
        <v>301</v>
      </c>
    </row>
    <row r="55" spans="2:6">
      <c r="E55" t="s">
        <v>302</v>
      </c>
    </row>
    <row r="57" spans="2:6">
      <c r="E57" s="22">
        <f>E54*120</f>
        <v>12584.132420609638</v>
      </c>
    </row>
    <row r="59" spans="2:6">
      <c r="B59" t="s">
        <v>303</v>
      </c>
      <c r="E59" s="22">
        <f>100*120*E14</f>
        <v>10682.515792266062</v>
      </c>
    </row>
    <row r="61" spans="2:6">
      <c r="B61" t="s">
        <v>304</v>
      </c>
      <c r="E61" s="22">
        <f>E57-E59</f>
        <v>1901.6166283435759</v>
      </c>
    </row>
    <row r="63" spans="2:6">
      <c r="B63" t="s">
        <v>305</v>
      </c>
      <c r="E63" s="22">
        <f>100*120*0.01*0.5*SUM(E5:E14)</f>
        <v>572.81922075388604</v>
      </c>
    </row>
    <row r="65" spans="2:5">
      <c r="B65" t="s">
        <v>306</v>
      </c>
      <c r="E65" s="19">
        <f>E61/E63</f>
        <v>3.3197500353442448</v>
      </c>
    </row>
  </sheetData>
  <phoneticPr fontId="2"/>
  <pageMargins left="0.75" right="0.75" top="1" bottom="1" header="0.51200000000000001" footer="0.5120000000000000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D37"/>
  <sheetViews>
    <sheetView workbookViewId="0">
      <selection activeCell="G27" sqref="G27"/>
    </sheetView>
  </sheetViews>
  <sheetFormatPr baseColWidth="10" defaultColWidth="8.83203125" defaultRowHeight="14"/>
  <cols>
    <col min="2" max="2" width="10.6640625" customWidth="1"/>
    <col min="7" max="7" width="10.6640625" customWidth="1"/>
  </cols>
  <sheetData>
    <row r="3" spans="1:4">
      <c r="A3" t="s">
        <v>307</v>
      </c>
    </row>
    <row r="4" spans="1:4"/>
    <row r="5" spans="1:4">
      <c r="B5" s="1"/>
      <c r="C5" s="1" t="s">
        <v>15</v>
      </c>
      <c r="D5" s="1" t="s">
        <v>0</v>
      </c>
    </row>
    <row r="6" spans="1:4">
      <c r="B6" s="1" t="s">
        <v>17</v>
      </c>
      <c r="C6" s="1">
        <v>0.5</v>
      </c>
      <c r="D6" s="1">
        <v>0.99747168635056971</v>
      </c>
    </row>
    <row r="7" spans="1:4">
      <c r="B7" s="1" t="s">
        <v>1</v>
      </c>
      <c r="C7" s="1">
        <v>0.7</v>
      </c>
      <c r="D7" s="1">
        <v>0.99303323278303246</v>
      </c>
    </row>
    <row r="8" spans="1:4">
      <c r="B8" s="1" t="s">
        <v>2</v>
      </c>
      <c r="C8" s="1">
        <v>0.9</v>
      </c>
      <c r="D8" s="1">
        <v>0.98660301429955088</v>
      </c>
    </row>
    <row r="9" spans="1:4">
      <c r="B9" s="1" t="s">
        <v>3</v>
      </c>
      <c r="C9" s="1">
        <v>1.1000000000000001</v>
      </c>
      <c r="D9" s="1">
        <v>0.97824555580916728</v>
      </c>
    </row>
    <row r="10" spans="1:4">
      <c r="B10" s="1" t="s">
        <v>4</v>
      </c>
      <c r="C10" s="1">
        <v>1.3</v>
      </c>
      <c r="D10" s="1">
        <v>0.9679982139293839</v>
      </c>
    </row>
    <row r="11" spans="1:4">
      <c r="B11" s="1" t="s">
        <v>5</v>
      </c>
      <c r="C11" s="1">
        <v>1.5</v>
      </c>
      <c r="D11" s="1">
        <v>0.95590557044785329</v>
      </c>
    </row>
    <row r="12" spans="1:4">
      <c r="B12" s="1" t="s">
        <v>6</v>
      </c>
      <c r="C12" s="1">
        <v>1.7</v>
      </c>
      <c r="D12" s="1">
        <v>0.94201915039586892</v>
      </c>
    </row>
    <row r="13" spans="1:4">
      <c r="B13" s="1" t="s">
        <v>7</v>
      </c>
      <c r="C13" s="1">
        <v>1.9</v>
      </c>
      <c r="D13" s="1">
        <v>0.92639710150753185</v>
      </c>
    </row>
    <row r="14" spans="1:4">
      <c r="B14" s="1" t="s">
        <v>8</v>
      </c>
      <c r="C14" s="1">
        <v>2.1</v>
      </c>
      <c r="D14" s="1">
        <v>0.90910383768630287</v>
      </c>
    </row>
    <row r="15" spans="1:4">
      <c r="B15" s="1" t="s">
        <v>9</v>
      </c>
      <c r="C15" s="1">
        <v>2.2999999999999998</v>
      </c>
      <c r="D15" s="1">
        <v>0.89020964935550517</v>
      </c>
    </row>
    <row r="16" spans="1:4">
      <c r="B16" s="1" t="s">
        <v>10</v>
      </c>
      <c r="C16" s="1">
        <v>2.4</v>
      </c>
      <c r="D16" s="1">
        <v>0.87493691289448894</v>
      </c>
    </row>
    <row r="17" spans="1:4">
      <c r="B17" s="1" t="s">
        <v>11</v>
      </c>
      <c r="C17" s="1">
        <v>2.5</v>
      </c>
      <c r="D17" s="1">
        <v>0.85898859351284862</v>
      </c>
    </row>
    <row r="18" spans="1:4">
      <c r="B18" s="1" t="s">
        <v>12</v>
      </c>
      <c r="C18" s="1">
        <v>2.6</v>
      </c>
      <c r="D18" s="1">
        <v>0.84239697655810719</v>
      </c>
    </row>
    <row r="19" spans="1:4">
      <c r="B19" s="1" t="s">
        <v>13</v>
      </c>
      <c r="C19" s="1">
        <v>2.7</v>
      </c>
      <c r="D19" s="1">
        <v>0.82519518678869475</v>
      </c>
    </row>
    <row r="22" spans="1:4">
      <c r="A22" t="s">
        <v>308</v>
      </c>
      <c r="B22" t="s">
        <v>309</v>
      </c>
    </row>
    <row r="24" spans="1:4">
      <c r="A24" t="s">
        <v>247</v>
      </c>
      <c r="B24" s="43">
        <v>89.11274123791307</v>
      </c>
      <c r="C24" t="s">
        <v>310</v>
      </c>
    </row>
    <row r="27" spans="1:4">
      <c r="A27" t="s">
        <v>311</v>
      </c>
      <c r="B27" t="s">
        <v>312</v>
      </c>
    </row>
    <row r="29" spans="1:4">
      <c r="B29" s="34" t="s">
        <v>313</v>
      </c>
      <c r="C29" t="s">
        <v>314</v>
      </c>
    </row>
    <row r="30" spans="1:4">
      <c r="A30" s="2">
        <v>0.5</v>
      </c>
      <c r="B30" s="1">
        <f>5.04/2</f>
        <v>2.52</v>
      </c>
      <c r="C30" s="1">
        <f t="shared" ref="C30:C35" si="0">B30*D6</f>
        <v>2.5136286496034357</v>
      </c>
    </row>
    <row r="31" spans="1:4">
      <c r="A31" s="2">
        <v>1</v>
      </c>
      <c r="B31" s="1">
        <f>5.04/2</f>
        <v>2.52</v>
      </c>
      <c r="C31" s="1">
        <f t="shared" si="0"/>
        <v>2.5024437466132419</v>
      </c>
    </row>
    <row r="32" spans="1:4">
      <c r="A32" s="2">
        <v>1.5</v>
      </c>
      <c r="B32" s="1">
        <f>5.04/2</f>
        <v>2.52</v>
      </c>
      <c r="C32" s="1">
        <f t="shared" si="0"/>
        <v>2.4862395960348684</v>
      </c>
    </row>
    <row r="33" spans="1:3">
      <c r="A33" s="2">
        <v>2</v>
      </c>
      <c r="B33" s="1">
        <f>5.04/2</f>
        <v>2.52</v>
      </c>
      <c r="C33" s="1">
        <f t="shared" si="0"/>
        <v>2.4651788006391016</v>
      </c>
    </row>
    <row r="34" spans="1:3">
      <c r="A34" s="2">
        <v>2.5</v>
      </c>
      <c r="B34" s="1">
        <f>5.04/2</f>
        <v>2.52</v>
      </c>
      <c r="C34" s="1">
        <f t="shared" si="0"/>
        <v>2.4393554991020476</v>
      </c>
    </row>
    <row r="35" spans="1:3">
      <c r="A35" s="2">
        <v>3</v>
      </c>
      <c r="B35" s="1">
        <f>5.04/2+B24</f>
        <v>91.632741237913066</v>
      </c>
      <c r="C35" s="1">
        <f t="shared" si="0"/>
        <v>87.592247784727817</v>
      </c>
    </row>
    <row r="37" spans="1:3">
      <c r="B37" t="s">
        <v>315</v>
      </c>
      <c r="C37" s="28">
        <f>SUM(C30:C35)</f>
        <v>99.99909407672051</v>
      </c>
    </row>
  </sheetData>
  <phoneticPr fontId="2"/>
  <pageMargins left="0.75" right="0.75" top="1" bottom="1" header="0.51200000000000001" footer="0.5120000000000000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I61"/>
  <sheetViews>
    <sheetView topLeftCell="A6" workbookViewId="0">
      <selection activeCell="G32" sqref="G32"/>
    </sheetView>
  </sheetViews>
  <sheetFormatPr baseColWidth="10" defaultColWidth="8.83203125" defaultRowHeight="14"/>
  <sheetData>
    <row r="3" spans="1:9">
      <c r="A3" t="s">
        <v>289</v>
      </c>
      <c r="F3" t="s">
        <v>316</v>
      </c>
    </row>
    <row r="4" spans="1:9">
      <c r="B4" t="s">
        <v>317</v>
      </c>
    </row>
    <row r="5" spans="1:9">
      <c r="B5" s="1"/>
      <c r="C5" s="1" t="s">
        <v>15</v>
      </c>
      <c r="D5" s="1" t="s">
        <v>0</v>
      </c>
      <c r="G5" s="1"/>
      <c r="H5" s="1" t="s">
        <v>15</v>
      </c>
      <c r="I5" s="1" t="s">
        <v>0</v>
      </c>
    </row>
    <row r="6" spans="1:9">
      <c r="B6" s="1" t="s">
        <v>17</v>
      </c>
      <c r="C6" s="1">
        <v>0.5</v>
      </c>
      <c r="D6" s="1">
        <v>0.99747168635056971</v>
      </c>
      <c r="G6" s="1" t="s">
        <v>17</v>
      </c>
      <c r="H6" s="1">
        <v>4.75</v>
      </c>
      <c r="I6" s="1">
        <v>0.9764863444487768</v>
      </c>
    </row>
    <row r="7" spans="1:9">
      <c r="B7" s="1" t="s">
        <v>1</v>
      </c>
      <c r="C7" s="1">
        <v>0.7</v>
      </c>
      <c r="D7" s="1">
        <v>0.99303323278303246</v>
      </c>
      <c r="G7" s="1" t="s">
        <v>1</v>
      </c>
      <c r="H7" s="22">
        <v>4.9000000000000004</v>
      </c>
      <c r="I7" s="1">
        <v>0.95273409913226448</v>
      </c>
    </row>
    <row r="8" spans="1:9">
      <c r="B8" s="1" t="s">
        <v>2</v>
      </c>
      <c r="C8" s="1">
        <v>0.9</v>
      </c>
      <c r="D8" s="1">
        <v>0.98660301429955088</v>
      </c>
      <c r="G8" s="1" t="s">
        <v>2</v>
      </c>
      <c r="H8" s="22">
        <v>5.0999999999999996</v>
      </c>
      <c r="I8" s="1">
        <v>0.92716224152967674</v>
      </c>
    </row>
    <row r="9" spans="1:9">
      <c r="B9" s="1" t="s">
        <v>3</v>
      </c>
      <c r="C9" s="1">
        <v>1.1000000000000001</v>
      </c>
      <c r="D9" s="1">
        <v>0.97824555580916728</v>
      </c>
      <c r="G9" s="1" t="s">
        <v>3</v>
      </c>
      <c r="H9" s="22">
        <v>5.2</v>
      </c>
      <c r="I9" s="1">
        <v>0.90227490271649258</v>
      </c>
    </row>
    <row r="10" spans="1:9">
      <c r="B10" s="1" t="s">
        <v>4</v>
      </c>
      <c r="C10" s="1">
        <v>1.3</v>
      </c>
      <c r="D10" s="1">
        <v>0.9679982139293839</v>
      </c>
      <c r="G10" s="1" t="s">
        <v>4</v>
      </c>
      <c r="H10" s="22">
        <v>5.3</v>
      </c>
      <c r="I10" s="1">
        <v>0.87715107055292629</v>
      </c>
    </row>
    <row r="11" spans="1:9">
      <c r="B11" s="1" t="s">
        <v>5</v>
      </c>
      <c r="C11" s="1">
        <v>1.5</v>
      </c>
      <c r="D11" s="1">
        <v>0.95590557044785329</v>
      </c>
      <c r="G11" s="1" t="s">
        <v>5</v>
      </c>
      <c r="H11" s="22">
        <v>5.4</v>
      </c>
      <c r="I11" s="1">
        <v>0.85183365747199236</v>
      </c>
    </row>
    <row r="12" spans="1:9">
      <c r="B12" s="1" t="s">
        <v>6</v>
      </c>
      <c r="C12" s="1">
        <v>1.7</v>
      </c>
      <c r="D12" s="1">
        <v>0.94201915039586892</v>
      </c>
      <c r="G12" s="1" t="s">
        <v>6</v>
      </c>
      <c r="H12" s="22">
        <v>5.5</v>
      </c>
      <c r="I12" s="1">
        <v>0.82636480419860481</v>
      </c>
    </row>
    <row r="13" spans="1:9">
      <c r="B13" s="1" t="s">
        <v>7</v>
      </c>
      <c r="C13" s="1">
        <v>1.9</v>
      </c>
      <c r="D13" s="1">
        <v>0.92639710150753185</v>
      </c>
      <c r="G13" s="1" t="s">
        <v>7</v>
      </c>
      <c r="H13" s="22">
        <v>5.6</v>
      </c>
      <c r="I13" s="1">
        <v>0.80078579828655583</v>
      </c>
    </row>
    <row r="14" spans="1:9">
      <c r="B14" s="1" t="s">
        <v>8</v>
      </c>
      <c r="C14" s="1">
        <v>2.1</v>
      </c>
      <c r="D14" s="1">
        <v>0.90910383768630287</v>
      </c>
      <c r="G14" s="1" t="s">
        <v>8</v>
      </c>
      <c r="H14" s="22">
        <v>5.7</v>
      </c>
      <c r="I14" s="1">
        <v>0.77513699740144604</v>
      </c>
    </row>
    <row r="15" spans="1:9">
      <c r="B15" s="1" t="s">
        <v>9</v>
      </c>
      <c r="C15" s="1">
        <v>2.2999999999999998</v>
      </c>
      <c r="D15" s="1">
        <v>0.89020964935550517</v>
      </c>
      <c r="G15" s="1" t="s">
        <v>9</v>
      </c>
      <c r="H15" s="22">
        <v>5.8</v>
      </c>
      <c r="I15" s="1">
        <v>0.74945775747675081</v>
      </c>
    </row>
    <row r="16" spans="1:9">
      <c r="B16" s="1" t="s">
        <v>10</v>
      </c>
      <c r="C16" s="1">
        <v>2.4</v>
      </c>
      <c r="D16" s="1">
        <v>0.87493691289448894</v>
      </c>
      <c r="G16" s="1" t="s">
        <v>10</v>
      </c>
      <c r="H16" s="22">
        <v>5.9</v>
      </c>
      <c r="I16" s="1">
        <v>0.72378636584763778</v>
      </c>
    </row>
    <row r="17" spans="1:9">
      <c r="B17" s="1" t="s">
        <v>11</v>
      </c>
      <c r="C17" s="1">
        <v>2.5</v>
      </c>
      <c r="D17" s="1">
        <v>0.85898859351284862</v>
      </c>
      <c r="G17" s="1" t="s">
        <v>11</v>
      </c>
      <c r="H17" s="22">
        <v>6</v>
      </c>
      <c r="I17" s="1">
        <v>0.69815997944476338</v>
      </c>
    </row>
    <row r="18" spans="1:9">
      <c r="B18" s="1" t="s">
        <v>12</v>
      </c>
      <c r="C18" s="1">
        <v>2.6</v>
      </c>
      <c r="D18" s="1">
        <v>0.84239697655810719</v>
      </c>
      <c r="G18" s="1" t="s">
        <v>12</v>
      </c>
      <c r="H18" s="22">
        <v>6.1</v>
      </c>
      <c r="I18" s="1">
        <v>0.67261456810820908</v>
      </c>
    </row>
    <row r="19" spans="1:9">
      <c r="B19" s="1" t="s">
        <v>13</v>
      </c>
      <c r="C19" s="1">
        <v>2.7</v>
      </c>
      <c r="D19" s="1">
        <v>0.82519518678869475</v>
      </c>
      <c r="G19" s="1" t="s">
        <v>13</v>
      </c>
      <c r="H19" s="22">
        <v>6.2</v>
      </c>
      <c r="I19" s="1">
        <v>0.64718486306003986</v>
      </c>
    </row>
    <row r="22" spans="1:9">
      <c r="A22" t="s">
        <v>318</v>
      </c>
      <c r="B22" t="s">
        <v>319</v>
      </c>
    </row>
    <row r="24" spans="1:9">
      <c r="B24" s="1">
        <f>3.64/2*SUM(I6:I19)</f>
        <v>20.71366287841057</v>
      </c>
    </row>
    <row r="26" spans="1:9">
      <c r="A26" t="s">
        <v>320</v>
      </c>
      <c r="B26" t="s">
        <v>321</v>
      </c>
    </row>
    <row r="28" spans="1:9">
      <c r="B28" s="22">
        <f>B24/(0.5*SUM(D6:D19))</f>
        <v>3.1993907229604561</v>
      </c>
    </row>
    <row r="34" spans="1:2">
      <c r="A34" t="s">
        <v>344</v>
      </c>
    </row>
    <row r="36" spans="1:2">
      <c r="A36" t="s">
        <v>322</v>
      </c>
    </row>
    <row r="38" spans="1:2">
      <c r="B38" s="1">
        <f>100+0.5*182.5/360*SUM(D6:D11)</f>
        <v>101.49022840616051</v>
      </c>
    </row>
    <row r="40" spans="1:2">
      <c r="A40" t="s">
        <v>323</v>
      </c>
    </row>
    <row r="42" spans="1:2">
      <c r="B42" s="11">
        <f>B38-0.8*I11*125</f>
        <v>16.306862658961265</v>
      </c>
    </row>
    <row r="44" spans="1:2">
      <c r="A44" t="s">
        <v>324</v>
      </c>
    </row>
    <row r="46" spans="1:2">
      <c r="B46" s="19">
        <f>B42/(0.5*SUM(D6:D11))</f>
        <v>5.5472526205412898</v>
      </c>
    </row>
    <row r="47" spans="1:2">
      <c r="B47" s="35"/>
    </row>
    <row r="49" spans="1:3">
      <c r="A49" t="s">
        <v>345</v>
      </c>
    </row>
    <row r="51" spans="1:3">
      <c r="A51" t="s">
        <v>325</v>
      </c>
    </row>
    <row r="53" spans="1:3">
      <c r="B53" s="19">
        <f>C15+0.3*365/360</f>
        <v>2.6041666666666665</v>
      </c>
      <c r="C53" t="s">
        <v>326</v>
      </c>
    </row>
    <row r="55" spans="1:3">
      <c r="A55" t="s">
        <v>327</v>
      </c>
    </row>
    <row r="57" spans="1:3">
      <c r="B57" s="11">
        <f>B53/2*SUM(D6:D15)</f>
        <v>12.430972672610373</v>
      </c>
    </row>
    <row r="59" spans="1:3">
      <c r="A59" t="s">
        <v>328</v>
      </c>
    </row>
    <row r="61" spans="1:3">
      <c r="B61" s="19">
        <f>B57/(0.5*SUM(I6:I15))</f>
        <v>2.877743919548803</v>
      </c>
    </row>
  </sheetData>
  <phoneticPr fontId="2"/>
  <pageMargins left="0.75" right="0.75" top="1" bottom="1" header="0.51200000000000001" footer="0.5120000000000000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V40"/>
  <sheetViews>
    <sheetView tabSelected="1" workbookViewId="0">
      <selection activeCell="V11" sqref="V11"/>
    </sheetView>
  </sheetViews>
  <sheetFormatPr baseColWidth="10" defaultColWidth="8.83203125" defaultRowHeight="14"/>
  <cols>
    <col min="2" max="2" width="11" customWidth="1"/>
    <col min="4" max="4" width="11" customWidth="1"/>
    <col min="6" max="6" width="11.1640625" customWidth="1"/>
    <col min="7" max="7" width="11.5" customWidth="1"/>
    <col min="8" max="8" width="11.1640625" customWidth="1"/>
    <col min="9" max="9" width="11" customWidth="1"/>
    <col min="12" max="14" width="12" bestFit="1" customWidth="1"/>
    <col min="17" max="17" width="10.83203125" bestFit="1" customWidth="1"/>
  </cols>
  <sheetData>
    <row r="2" spans="1:22">
      <c r="A2" t="s">
        <v>343</v>
      </c>
    </row>
    <row r="4" spans="1:22">
      <c r="A4" t="s">
        <v>329</v>
      </c>
    </row>
    <row r="5" spans="1:22">
      <c r="F5" t="s">
        <v>365</v>
      </c>
      <c r="O5" t="s">
        <v>366</v>
      </c>
      <c r="T5" t="s">
        <v>370</v>
      </c>
    </row>
    <row r="6" spans="1:22">
      <c r="B6" s="4"/>
      <c r="C6" s="4" t="s">
        <v>15</v>
      </c>
      <c r="D6" s="4" t="s">
        <v>0</v>
      </c>
      <c r="F6">
        <v>1</v>
      </c>
      <c r="G6" t="s">
        <v>347</v>
      </c>
      <c r="H6">
        <f>2*((1 / D9)^(1/2) - 1)*100</f>
        <v>0.92020389578930661</v>
      </c>
      <c r="O6">
        <v>1</v>
      </c>
      <c r="P6">
        <f>7.5 * SUM(D23:D32) / SUM(D8:D17)</f>
        <v>6.8372262483514383</v>
      </c>
      <c r="T6">
        <v>1</v>
      </c>
      <c r="U6">
        <v>1</v>
      </c>
      <c r="V6">
        <f>C17+0.4*365/360</f>
        <v>2.1555555555555554</v>
      </c>
    </row>
    <row r="7" spans="1:22">
      <c r="B7" s="4" t="s">
        <v>342</v>
      </c>
      <c r="C7" s="4">
        <v>0.65</v>
      </c>
      <c r="D7" s="40">
        <f>100/(100*(1+C7/100*91.25/360))</f>
        <v>0.99835514057568342</v>
      </c>
      <c r="G7" t="s">
        <v>348</v>
      </c>
      <c r="H7">
        <f>200 * ((1 /D10)^(1/3) - 1)</f>
        <v>1.0508397302420924</v>
      </c>
      <c r="O7">
        <v>2</v>
      </c>
      <c r="P7">
        <v>1</v>
      </c>
      <c r="Q7">
        <v>5.0999999999999996</v>
      </c>
      <c r="U7">
        <v>2</v>
      </c>
      <c r="V7">
        <f>V6/2 * SUM(D8:D17) / (D24+D26+D28+D30+D32)</f>
        <v>2.3948862998933498</v>
      </c>
    </row>
    <row r="8" spans="1:22">
      <c r="B8" s="4" t="s">
        <v>17</v>
      </c>
      <c r="C8" s="23">
        <v>0.82</v>
      </c>
      <c r="D8" s="38">
        <f>100/(100*(1+C8/100*182.5/360))</f>
        <v>0.99586026420726059</v>
      </c>
      <c r="F8" s="36"/>
      <c r="G8" t="s">
        <v>349</v>
      </c>
      <c r="H8">
        <f>200*((1/D11)^(1/4) - 1)</f>
        <v>1.1818659182478708</v>
      </c>
      <c r="P8">
        <v>2</v>
      </c>
      <c r="Q8">
        <f>100 * 0.75 / 200 * SUM(D8:D17)</f>
        <v>3.6043842587920323</v>
      </c>
      <c r="T8">
        <v>2</v>
      </c>
      <c r="U8">
        <v>1</v>
      </c>
      <c r="V8">
        <f>C15+0.4*365/360</f>
        <v>1.9455555555555555</v>
      </c>
    </row>
    <row r="9" spans="1:22">
      <c r="B9" s="4" t="s">
        <v>1</v>
      </c>
      <c r="C9" s="23">
        <v>0.92</v>
      </c>
      <c r="D9" s="38">
        <f>(100-C9/2*SUM(D$8:D8))/(100+C9/2)</f>
        <v>0.99086108180832833</v>
      </c>
      <c r="F9" s="36"/>
      <c r="G9" t="s">
        <v>350</v>
      </c>
      <c r="H9">
        <f>200*((1/D12)^(1/5) - 1)</f>
        <v>1.262612349467318</v>
      </c>
      <c r="P9">
        <v>3</v>
      </c>
      <c r="Q9">
        <f>200*Q8/(100 * SUM(D23:D32)) + C32</f>
        <v>5.9227020425653274</v>
      </c>
      <c r="U9">
        <v>2</v>
      </c>
      <c r="V9">
        <f>100*D15-100*D30</f>
        <v>11.987465712462381</v>
      </c>
    </row>
    <row r="10" spans="1:22">
      <c r="B10" s="4" t="s">
        <v>2</v>
      </c>
      <c r="C10" s="23">
        <v>1.05</v>
      </c>
      <c r="D10" s="38">
        <f>(100-C10/2*SUM(D$8:D9))/(100+C10/2)</f>
        <v>0.9844016045097419</v>
      </c>
      <c r="F10" s="36"/>
      <c r="G10" t="s">
        <v>351</v>
      </c>
      <c r="H10">
        <f>200*((1/D13)^(1/6) - 1)</f>
        <v>1.3538729740329991</v>
      </c>
      <c r="O10">
        <v>3</v>
      </c>
      <c r="P10" t="s">
        <v>382</v>
      </c>
      <c r="Q10">
        <f>125*D23/D8</f>
        <v>122.62889727907081</v>
      </c>
      <c r="U10">
        <v>3</v>
      </c>
      <c r="V10">
        <f>(V9+V8/2*SUM(D8:D15)) / (0.5*SUM(D8:D15))</f>
        <v>5.0321119282062625</v>
      </c>
    </row>
    <row r="11" spans="1:22">
      <c r="B11" s="4" t="s">
        <v>3</v>
      </c>
      <c r="C11" s="23">
        <v>1.18</v>
      </c>
      <c r="D11" s="38">
        <f>(100-C11/2*SUM(D$8:D10))/(100+C11/2)</f>
        <v>0.9767077985802769</v>
      </c>
      <c r="F11" s="44">
        <v>2</v>
      </c>
      <c r="G11">
        <f>2 * (D11 - D17) / (SUM(D12:D17)) * 100</f>
        <v>2.1473020670638721</v>
      </c>
      <c r="P11" t="s">
        <v>367</v>
      </c>
      <c r="Q11" s="45">
        <f>125 * D24/D9</f>
        <v>120.42655841955182</v>
      </c>
    </row>
    <row r="12" spans="1:22">
      <c r="B12" s="4" t="s">
        <v>4</v>
      </c>
      <c r="C12" s="23">
        <v>1.26</v>
      </c>
      <c r="D12" s="38">
        <f>(100-C12/2*SUM(D$8:D11))/(100+C12/2)</f>
        <v>0.96902381623833322</v>
      </c>
      <c r="F12" s="44">
        <v>3</v>
      </c>
      <c r="G12" t="s">
        <v>352</v>
      </c>
      <c r="H12">
        <f>200*(D8 / D9 - 1)</f>
        <v>1.0090581799436116</v>
      </c>
      <c r="P12" t="s">
        <v>368</v>
      </c>
      <c r="Q12" s="45">
        <f>125 * D25/D10</f>
        <v>118.34477060700023</v>
      </c>
    </row>
    <row r="13" spans="1:22">
      <c r="B13" s="4" t="s">
        <v>5</v>
      </c>
      <c r="C13" s="23">
        <v>1.35</v>
      </c>
      <c r="D13" s="38">
        <f>(100-C13/2*SUM(D$8:D12))/(100+C13/2)</f>
        <v>0.96032901086061928</v>
      </c>
      <c r="F13" s="36"/>
      <c r="G13" t="s">
        <v>353</v>
      </c>
      <c r="H13">
        <f t="shared" ref="H13:H20" si="0">200*(D9 / D10 - 1)</f>
        <v>1.3123662677903436</v>
      </c>
      <c r="Q13" s="45"/>
    </row>
    <row r="14" spans="1:22">
      <c r="B14" s="4" t="s">
        <v>6</v>
      </c>
      <c r="C14" s="23">
        <v>1.46</v>
      </c>
      <c r="D14" s="38">
        <f>(100-C14/2*SUM(D$8:D13))/(100+C14/2)</f>
        <v>0.95016038905361533</v>
      </c>
      <c r="F14" s="36"/>
      <c r="G14" t="s">
        <v>354</v>
      </c>
      <c r="H14">
        <f t="shared" si="0"/>
        <v>1.5754570488017983</v>
      </c>
    </row>
    <row r="15" spans="1:22">
      <c r="B15" s="4" t="s">
        <v>7</v>
      </c>
      <c r="C15" s="23">
        <v>1.54</v>
      </c>
      <c r="D15" s="38">
        <f>(100-C15/2*SUM(D$8:D14))/(100+C15/2)</f>
        <v>0.94018998855563374</v>
      </c>
      <c r="F15" s="36"/>
      <c r="G15" t="s">
        <v>355</v>
      </c>
      <c r="H15">
        <f t="shared" si="0"/>
        <v>1.5859222886331459</v>
      </c>
    </row>
    <row r="16" spans="1:22">
      <c r="B16" s="4" t="s">
        <v>8</v>
      </c>
      <c r="C16" s="23">
        <v>1.65</v>
      </c>
      <c r="D16" s="38">
        <f>(100-C16/2*SUM(D$8:D15))/(100+C16/2)</f>
        <v>0.92825970233675781</v>
      </c>
      <c r="F16" s="36"/>
      <c r="G16" t="s">
        <v>356</v>
      </c>
      <c r="H16">
        <f t="shared" si="0"/>
        <v>1.8107971912505239</v>
      </c>
      <c r="O16" t="s">
        <v>369</v>
      </c>
      <c r="P16">
        <f>0.7 * 365 / 360</f>
        <v>0.70972222222222214</v>
      </c>
    </row>
    <row r="17" spans="1:16">
      <c r="B17" s="4" t="s">
        <v>9</v>
      </c>
      <c r="C17" s="23">
        <v>1.75</v>
      </c>
      <c r="D17" s="38">
        <f>(100-C17/2*SUM(D$8:D16))/(100+C17/2)</f>
        <v>0.91589770062818598</v>
      </c>
      <c r="F17" s="44"/>
      <c r="G17" t="s">
        <v>357</v>
      </c>
      <c r="H17">
        <f t="shared" si="0"/>
        <v>2.1404011205165219</v>
      </c>
      <c r="P17">
        <f>0.5 * 365 / 360 + 4</f>
        <v>4.5069444444444446</v>
      </c>
    </row>
    <row r="18" spans="1:16">
      <c r="B18" s="39" t="s">
        <v>330</v>
      </c>
      <c r="C18" s="39"/>
      <c r="D18" s="39"/>
      <c r="G18" t="s">
        <v>358</v>
      </c>
      <c r="H18">
        <f t="shared" si="0"/>
        <v>2.1209331346526472</v>
      </c>
    </row>
    <row r="19" spans="1:16">
      <c r="G19" s="37" t="s">
        <v>359</v>
      </c>
      <c r="H19">
        <f t="shared" si="0"/>
        <v>2.5704630264231199</v>
      </c>
    </row>
    <row r="20" spans="1:16">
      <c r="G20" s="13" t="s">
        <v>360</v>
      </c>
      <c r="H20">
        <f t="shared" si="0"/>
        <v>2.6994284842276617</v>
      </c>
    </row>
    <row r="21" spans="1:16">
      <c r="A21" t="s">
        <v>331</v>
      </c>
      <c r="F21">
        <v>4</v>
      </c>
      <c r="G21" t="s">
        <v>361</v>
      </c>
      <c r="H21" t="s">
        <v>362</v>
      </c>
      <c r="I21" t="s">
        <v>363</v>
      </c>
    </row>
    <row r="22" spans="1:16">
      <c r="B22" s="1"/>
      <c r="C22" s="1" t="s">
        <v>332</v>
      </c>
      <c r="D22" s="1" t="s">
        <v>0</v>
      </c>
      <c r="G22" s="14">
        <v>10</v>
      </c>
      <c r="H22">
        <f>G22*C8/100*182.5/360*D8</f>
        <v>4.1397357927393477E-2</v>
      </c>
      <c r="I22">
        <f>G22*1/200*D8</f>
        <v>4.979301321036303E-2</v>
      </c>
    </row>
    <row r="23" spans="1:16">
      <c r="B23" s="1" t="s">
        <v>17</v>
      </c>
      <c r="C23" s="22">
        <v>4.6500000000000004</v>
      </c>
      <c r="D23" s="17">
        <f>100/(100*(1+C23/100*182.5/360))</f>
        <v>0.97696996835024374</v>
      </c>
      <c r="G23" s="28">
        <v>9</v>
      </c>
      <c r="H23">
        <f>G23*H12/200*D9</f>
        <v>4.4992641590391139E-2</v>
      </c>
      <c r="I23">
        <f t="shared" ref="I23:I31" si="1">G23*1/200*D9</f>
        <v>4.4588748681374774E-2</v>
      </c>
    </row>
    <row r="24" spans="1:16">
      <c r="B24" s="1" t="s">
        <v>333</v>
      </c>
      <c r="C24" s="22">
        <v>4.7</v>
      </c>
      <c r="D24" s="17">
        <f>(100-C24/2*SUM(D$23:D23))/(100+C24/2)</f>
        <v>0.95460791963240776</v>
      </c>
      <c r="G24" s="28">
        <v>8</v>
      </c>
      <c r="H24">
        <f t="shared" ref="H24:H31" si="2">G24*H13/200*D10</f>
        <v>5.1675818388691036E-2</v>
      </c>
      <c r="I24">
        <f t="shared" si="1"/>
        <v>3.9376064180389678E-2</v>
      </c>
    </row>
    <row r="25" spans="1:16">
      <c r="B25" s="1" t="s">
        <v>334</v>
      </c>
      <c r="C25" s="22">
        <v>4.75</v>
      </c>
      <c r="D25" s="17">
        <f>(100-C25/2*SUM(D$23:D24))/(100+C25/2)</f>
        <v>0.93199025656694701</v>
      </c>
      <c r="G25" s="28">
        <v>7</v>
      </c>
      <c r="H25">
        <f t="shared" si="2"/>
        <v>5.3856641506254452E-2</v>
      </c>
      <c r="I25">
        <f t="shared" si="1"/>
        <v>3.4184772950309694E-2</v>
      </c>
    </row>
    <row r="26" spans="1:16">
      <c r="B26" s="1" t="s">
        <v>335</v>
      </c>
      <c r="C26" s="22">
        <v>4.8</v>
      </c>
      <c r="D26" s="17">
        <f>(100-C26/2*SUM(D$23:D25))/(100+C26/2)</f>
        <v>0.90944762161211867</v>
      </c>
      <c r="G26" s="28">
        <v>6</v>
      </c>
      <c r="H26">
        <f t="shared" si="2"/>
        <v>4.6103894051661674E-2</v>
      </c>
      <c r="I26">
        <f t="shared" si="1"/>
        <v>2.9070714487149995E-2</v>
      </c>
    </row>
    <row r="27" spans="1:16">
      <c r="B27" s="1" t="s">
        <v>336</v>
      </c>
      <c r="C27" s="22">
        <v>4.8499999999999996</v>
      </c>
      <c r="D27" s="17">
        <f>(100-C27/2*SUM(D$23:D26))/(100+C27/2)</f>
        <v>0.88699474510185827</v>
      </c>
      <c r="G27" s="28">
        <v>5</v>
      </c>
      <c r="H27">
        <f t="shared" si="2"/>
        <v>4.3474026888570078E-2</v>
      </c>
      <c r="I27">
        <f t="shared" si="1"/>
        <v>2.4008225271515485E-2</v>
      </c>
    </row>
    <row r="28" spans="1:16">
      <c r="B28" s="1" t="s">
        <v>337</v>
      </c>
      <c r="C28" s="22">
        <v>4.9000000000000004</v>
      </c>
      <c r="D28" s="17">
        <f>(100-C28/2*SUM(D$23:D27))/(100+C28/2)</f>
        <v>0.86464591749540498</v>
      </c>
      <c r="G28" s="28">
        <v>4</v>
      </c>
      <c r="H28">
        <f t="shared" si="2"/>
        <v>4.0674487228015449E-2</v>
      </c>
      <c r="I28">
        <f t="shared" si="1"/>
        <v>1.9003207781072309E-2</v>
      </c>
    </row>
    <row r="29" spans="1:16">
      <c r="B29" s="1" t="s">
        <v>338</v>
      </c>
      <c r="C29" s="22">
        <v>4.95</v>
      </c>
      <c r="D29" s="17">
        <f>(100-C29/2*SUM(D$23:D28))/(100+C29/2)</f>
        <v>0.84241498256961722</v>
      </c>
      <c r="G29" s="28">
        <v>3</v>
      </c>
      <c r="H29">
        <f t="shared" si="2"/>
        <v>2.991120149394505E-2</v>
      </c>
      <c r="I29">
        <f t="shared" si="1"/>
        <v>1.4102849828334506E-2</v>
      </c>
    </row>
    <row r="30" spans="1:16">
      <c r="B30" s="1" t="s">
        <v>339</v>
      </c>
      <c r="C30" s="22">
        <v>5</v>
      </c>
      <c r="D30" s="17">
        <f>(100-C30/2*SUM(D$23:D29))/(100+C30/2)</f>
        <v>0.82031533143100988</v>
      </c>
      <c r="G30" s="28">
        <v>2</v>
      </c>
      <c r="H30">
        <f t="shared" si="2"/>
        <v>2.3860572437751668E-2</v>
      </c>
      <c r="I30">
        <f t="shared" si="1"/>
        <v>9.2825970233675788E-3</v>
      </c>
      <c r="K30" t="s">
        <v>364</v>
      </c>
    </row>
    <row r="31" spans="1:16">
      <c r="B31" s="1" t="s">
        <v>340</v>
      </c>
      <c r="C31" s="22">
        <v>5.05</v>
      </c>
      <c r="D31" s="17">
        <f>(100-C31/2*SUM(D$23:D30))/(100+C31/2)</f>
        <v>0.79835989733754675</v>
      </c>
      <c r="G31" s="28">
        <v>1</v>
      </c>
      <c r="H31">
        <f t="shared" si="2"/>
        <v>1.2362001708571723E-2</v>
      </c>
      <c r="I31">
        <f t="shared" si="1"/>
        <v>4.5794885031409304E-3</v>
      </c>
      <c r="K31">
        <f>SUM(H22:H31) / SUM(I22:I31)</f>
        <v>1.4489686335815128</v>
      </c>
    </row>
    <row r="32" spans="1:16">
      <c r="B32" s="1" t="s">
        <v>341</v>
      </c>
      <c r="C32" s="22">
        <v>5.0999999999999996</v>
      </c>
      <c r="D32" s="17">
        <f>(100-C32/2*SUM(D$23:D31))/(100+C32/2)</f>
        <v>0.77656115131889092</v>
      </c>
      <c r="F32">
        <v>5</v>
      </c>
      <c r="G32" s="44">
        <v>1</v>
      </c>
      <c r="H32" s="46">
        <f>50*10^8 * (1.6 / 200 - 0.625 / 100 * 182.5 / 360) * D7 / 10000</f>
        <v>2411.824961998374</v>
      </c>
      <c r="L32" t="s">
        <v>378</v>
      </c>
      <c r="M32" t="s">
        <v>380</v>
      </c>
      <c r="N32" t="s">
        <v>381</v>
      </c>
    </row>
    <row r="33" spans="2:14">
      <c r="B33" s="39" t="s">
        <v>330</v>
      </c>
      <c r="G33" s="28">
        <v>2</v>
      </c>
      <c r="H33" s="46">
        <f>SUM(N34:N40) / 10000</f>
        <v>608.05942419997791</v>
      </c>
      <c r="J33" t="s">
        <v>379</v>
      </c>
      <c r="K33" s="26">
        <f>D7</f>
        <v>0.99835514057568342</v>
      </c>
      <c r="L33">
        <f>50*10^8*0.625/100*182.5/360*K33</f>
        <v>15815956.003043596</v>
      </c>
      <c r="M33">
        <f>50*10^8*1.6/200*K33</f>
        <v>39934205.62302734</v>
      </c>
      <c r="N33">
        <f>M33-L33</f>
        <v>24118249.619983744</v>
      </c>
    </row>
    <row r="34" spans="2:14">
      <c r="G34" s="28">
        <v>3</v>
      </c>
      <c r="H34" s="46">
        <f>SUM(N33:N40) / 10000</f>
        <v>3019.8843861983523</v>
      </c>
      <c r="J34" t="s">
        <v>371</v>
      </c>
      <c r="K34">
        <f>(D8+D9)/2</f>
        <v>0.9933606730077944</v>
      </c>
      <c r="L34">
        <f>50*10^8*(K33-K34)</f>
        <v>24972337.839445081</v>
      </c>
      <c r="M34">
        <f>50*10^8*1.6/200*K34</f>
        <v>39734426.920311779</v>
      </c>
      <c r="N34">
        <f t="shared" ref="N34:N40" si="3">M34-L34</f>
        <v>14762089.080866698</v>
      </c>
    </row>
    <row r="35" spans="2:14">
      <c r="J35" t="s">
        <v>372</v>
      </c>
      <c r="K35">
        <f>(D9+D10)/2</f>
        <v>0.98763134315903511</v>
      </c>
      <c r="L35">
        <f t="shared" ref="L35:L40" si="4">50*10^8*(K34-K35)</f>
        <v>28646649.243796453</v>
      </c>
      <c r="M35">
        <f t="shared" ref="M34:M40" si="5">50*10^8*1.6/200*K35</f>
        <v>39505253.726361401</v>
      </c>
      <c r="N35">
        <f t="shared" si="3"/>
        <v>10858604.482564948</v>
      </c>
    </row>
    <row r="36" spans="2:14">
      <c r="J36" t="s">
        <v>373</v>
      </c>
      <c r="K36">
        <f>(D10+D11)/2</f>
        <v>0.98055470154500934</v>
      </c>
      <c r="L36">
        <f t="shared" si="4"/>
        <v>35383208.070128843</v>
      </c>
      <c r="M36">
        <f t="shared" si="5"/>
        <v>39222188.061800376</v>
      </c>
      <c r="N36">
        <f t="shared" si="3"/>
        <v>3838979.9916715324</v>
      </c>
    </row>
    <row r="37" spans="2:14">
      <c r="J37" t="s">
        <v>374</v>
      </c>
      <c r="K37">
        <f>(D11+D12)/2</f>
        <v>0.97286580740930506</v>
      </c>
      <c r="L37">
        <f t="shared" si="4"/>
        <v>38444470.678521417</v>
      </c>
      <c r="M37">
        <f t="shared" si="5"/>
        <v>38914632.296372205</v>
      </c>
      <c r="N37">
        <f t="shared" si="3"/>
        <v>470161.61785078794</v>
      </c>
    </row>
    <row r="38" spans="2:14">
      <c r="J38" t="s">
        <v>375</v>
      </c>
      <c r="K38">
        <f>(D12+D13)/2</f>
        <v>0.96467641354947631</v>
      </c>
      <c r="L38">
        <f t="shared" si="4"/>
        <v>40946969.299143761</v>
      </c>
      <c r="M38">
        <f t="shared" si="5"/>
        <v>38587056.541979052</v>
      </c>
      <c r="N38">
        <f t="shared" si="3"/>
        <v>-2359912.7571647093</v>
      </c>
    </row>
    <row r="39" spans="2:14">
      <c r="J39" t="s">
        <v>376</v>
      </c>
      <c r="K39">
        <f>(D13+D14)/2</f>
        <v>0.95524469995711736</v>
      </c>
      <c r="L39">
        <f t="shared" si="4"/>
        <v>47158567.961794741</v>
      </c>
      <c r="M39">
        <f t="shared" si="5"/>
        <v>38209787.998284698</v>
      </c>
      <c r="N39">
        <f t="shared" si="3"/>
        <v>-8948779.9635100439</v>
      </c>
    </row>
    <row r="40" spans="2:14">
      <c r="J40" t="s">
        <v>377</v>
      </c>
      <c r="K40">
        <f>(D14+D15)/2</f>
        <v>0.94517518880462448</v>
      </c>
      <c r="L40">
        <f t="shared" si="4"/>
        <v>50347555.762464412</v>
      </c>
      <c r="M40">
        <f t="shared" si="5"/>
        <v>37807007.552184977</v>
      </c>
      <c r="N40">
        <f t="shared" si="3"/>
        <v>-12540548.210279435</v>
      </c>
    </row>
  </sheetData>
  <phoneticPr fontId="2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2-1</vt:lpstr>
      <vt:lpstr>2-2</vt:lpstr>
      <vt:lpstr>2-3</vt:lpstr>
      <vt:lpstr>2-4</vt:lpstr>
      <vt:lpstr>2-5</vt:lpstr>
      <vt:lpstr>2-6</vt:lpstr>
      <vt:lpstr>2-7</vt:lpstr>
      <vt:lpstr>2-8</vt:lpstr>
      <vt:lpstr>2-9</vt:lpstr>
      <vt:lpstr>2-10</vt:lpstr>
      <vt:lpstr>2-11</vt:lpstr>
      <vt:lpstr>2-12</vt:lpstr>
      <vt:lpstr>2-13</vt:lpstr>
    </vt:vector>
  </TitlesOfParts>
  <Company>SIGMA BASE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Takao Imai</dc:creator>
  <cp:lastModifiedBy>諌山 東京大学</cp:lastModifiedBy>
  <dcterms:created xsi:type="dcterms:W3CDTF">2006-10-03T05:24:06Z</dcterms:created>
  <dcterms:modified xsi:type="dcterms:W3CDTF">2024-10-05T03:29:02Z</dcterms:modified>
</cp:coreProperties>
</file>