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a/Downloads/sigma_s2_excel/"/>
    </mc:Choice>
  </mc:AlternateContent>
  <xr:revisionPtr revIDLastSave="0" documentId="13_ncr:1_{5DAAE4DE-FBB8-B441-92C0-BAACED545945}" xr6:coauthVersionLast="47" xr6:coauthVersionMax="47" xr10:uidLastSave="{00000000-0000-0000-0000-000000000000}"/>
  <bookViews>
    <workbookView xWindow="0" yWindow="520" windowWidth="28800" windowHeight="16500" firstSheet="6" activeTab="21" xr2:uid="{00000000-000D-0000-FFFF-FFFF00000000}"/>
  </bookViews>
  <sheets>
    <sheet name="3-1" sheetId="1" r:id="rId1"/>
    <sheet name="3-2" sheetId="2" r:id="rId2"/>
    <sheet name="3-3" sheetId="3" r:id="rId3"/>
    <sheet name="3-4" sheetId="4" r:id="rId4"/>
    <sheet name="3-5" sheetId="5" r:id="rId5"/>
    <sheet name="3-6" sheetId="6" r:id="rId6"/>
    <sheet name="3-7" sheetId="7" r:id="rId7"/>
    <sheet name="3-8" sheetId="19" r:id="rId8"/>
    <sheet name="3-9" sheetId="20" r:id="rId9"/>
    <sheet name="3-10" sheetId="21" r:id="rId10"/>
    <sheet name="3-11" sheetId="22" r:id="rId11"/>
    <sheet name="3-12 " sheetId="26" r:id="rId12"/>
    <sheet name="3-12 (2)" sheetId="25" r:id="rId13"/>
    <sheet name="3-13" sheetId="27" r:id="rId14"/>
    <sheet name="3-14" sheetId="30" r:id="rId15"/>
    <sheet name="3-15" sheetId="28" r:id="rId16"/>
    <sheet name="3-16" sheetId="31" r:id="rId17"/>
    <sheet name="3-16-2" sheetId="35" r:id="rId18"/>
    <sheet name="3-17" sheetId="33" r:id="rId19"/>
    <sheet name="3-17-2" sheetId="36" r:id="rId20"/>
    <sheet name="3-18" sheetId="34" r:id="rId21"/>
    <sheet name="3-18-2" sheetId="37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37" l="1"/>
  <c r="H7" i="34"/>
  <c r="H26" i="37"/>
  <c r="U18" i="37"/>
  <c r="U19" i="37"/>
  <c r="U20" i="37"/>
  <c r="U21" i="37"/>
  <c r="U22" i="37"/>
  <c r="U23" i="37"/>
  <c r="U24" i="37"/>
  <c r="U25" i="37"/>
  <c r="U17" i="37"/>
  <c r="T18" i="37"/>
  <c r="T19" i="37"/>
  <c r="T20" i="37"/>
  <c r="T21" i="37"/>
  <c r="T22" i="37"/>
  <c r="T23" i="37"/>
  <c r="T24" i="37"/>
  <c r="T25" i="37"/>
  <c r="T17" i="37"/>
  <c r="I2" i="37"/>
  <c r="I3" i="37" s="1"/>
  <c r="I5" i="37" s="1"/>
  <c r="S18" i="37"/>
  <c r="S19" i="37"/>
  <c r="S20" i="37"/>
  <c r="S21" i="37"/>
  <c r="S22" i="37"/>
  <c r="S23" i="37"/>
  <c r="S24" i="37"/>
  <c r="S25" i="37"/>
  <c r="S17" i="37"/>
  <c r="R18" i="37"/>
  <c r="R19" i="37"/>
  <c r="R20" i="37"/>
  <c r="R21" i="37"/>
  <c r="R22" i="37"/>
  <c r="R23" i="37"/>
  <c r="R24" i="37"/>
  <c r="R25" i="37"/>
  <c r="R17" i="37"/>
  <c r="K6" i="37"/>
  <c r="K13" i="37" s="1"/>
  <c r="K14" i="37" s="1"/>
  <c r="K15" i="37" s="1"/>
  <c r="F79" i="36"/>
  <c r="F78" i="36"/>
  <c r="F76" i="36"/>
  <c r="E79" i="36"/>
  <c r="E78" i="36"/>
  <c r="E77" i="36"/>
  <c r="E76" i="36"/>
  <c r="E74" i="36"/>
  <c r="E73" i="36"/>
  <c r="E71" i="36"/>
  <c r="C66" i="36"/>
  <c r="C65" i="36"/>
  <c r="C64" i="36"/>
  <c r="C63" i="36"/>
  <c r="C62" i="36"/>
  <c r="C61" i="36"/>
  <c r="C60" i="36"/>
  <c r="C59" i="36"/>
  <c r="C58" i="36"/>
  <c r="C56" i="36"/>
  <c r="C57" i="36"/>
  <c r="E45" i="36"/>
  <c r="E46" i="36"/>
  <c r="E47" i="36"/>
  <c r="E48" i="36"/>
  <c r="E49" i="36"/>
  <c r="E50" i="36"/>
  <c r="E44" i="36"/>
  <c r="D50" i="36"/>
  <c r="D45" i="36"/>
  <c r="D46" i="36"/>
  <c r="D47" i="36"/>
  <c r="D48" i="36"/>
  <c r="D49" i="36"/>
  <c r="D44" i="36"/>
  <c r="C44" i="36"/>
  <c r="E33" i="36"/>
  <c r="E34" i="36"/>
  <c r="E35" i="36"/>
  <c r="E36" i="36"/>
  <c r="E37" i="36"/>
  <c r="E38" i="36"/>
  <c r="E39" i="36"/>
  <c r="E32" i="36"/>
  <c r="C39" i="36"/>
  <c r="D32" i="36"/>
  <c r="C33" i="36"/>
  <c r="C34" i="36"/>
  <c r="C35" i="36"/>
  <c r="C36" i="36"/>
  <c r="C37" i="36"/>
  <c r="C38" i="36"/>
  <c r="C32" i="36"/>
  <c r="AF32" i="36"/>
  <c r="AE32" i="36"/>
  <c r="AD32" i="36"/>
  <c r="AC32" i="36"/>
  <c r="AB32" i="36"/>
  <c r="AA32" i="36"/>
  <c r="Z32" i="36"/>
  <c r="Y32" i="36"/>
  <c r="X32" i="36"/>
  <c r="R14" i="36"/>
  <c r="T19" i="36" s="1"/>
  <c r="R13" i="36"/>
  <c r="T17" i="36" s="1"/>
  <c r="R12" i="36"/>
  <c r="T15" i="36" s="1"/>
  <c r="T16" i="36" s="1"/>
  <c r="R11" i="36"/>
  <c r="T13" i="36" s="1"/>
  <c r="R10" i="36"/>
  <c r="T11" i="36" s="1"/>
  <c r="AC9" i="36"/>
  <c r="AC10" i="36" s="1"/>
  <c r="AC11" i="36" s="1"/>
  <c r="AC12" i="36" s="1"/>
  <c r="AC13" i="36" s="1"/>
  <c r="R9" i="36"/>
  <c r="T9" i="36" s="1"/>
  <c r="AE8" i="36"/>
  <c r="AE9" i="36" s="1"/>
  <c r="AE10" i="36" s="1"/>
  <c r="AE11" i="36" s="1"/>
  <c r="AE12" i="36" s="1"/>
  <c r="AE13" i="36" s="1"/>
  <c r="AE14" i="36" s="1"/>
  <c r="AE15" i="36" s="1"/>
  <c r="AE16" i="36" s="1"/>
  <c r="AE17" i="36" s="1"/>
  <c r="AC8" i="36"/>
  <c r="R8" i="36"/>
  <c r="T8" i="36" s="1"/>
  <c r="AF7" i="36"/>
  <c r="AF8" i="36" s="1"/>
  <c r="AF9" i="36" s="1"/>
  <c r="AF10" i="36" s="1"/>
  <c r="AF11" i="36" s="1"/>
  <c r="AF12" i="36" s="1"/>
  <c r="AF13" i="36" s="1"/>
  <c r="AF14" i="36" s="1"/>
  <c r="AF15" i="36" s="1"/>
  <c r="AF16" i="36" s="1"/>
  <c r="AF17" i="36" s="1"/>
  <c r="AF18" i="36" s="1"/>
  <c r="AF19" i="36" s="1"/>
  <c r="AE7" i="36"/>
  <c r="AC7" i="36"/>
  <c r="Z7" i="36"/>
  <c r="Z8" i="36" s="1"/>
  <c r="R7" i="36"/>
  <c r="T7" i="36" s="1"/>
  <c r="AF6" i="36"/>
  <c r="AE6" i="36"/>
  <c r="AD6" i="36"/>
  <c r="AD7" i="36" s="1"/>
  <c r="AD8" i="36" s="1"/>
  <c r="AD9" i="36" s="1"/>
  <c r="AD10" i="36" s="1"/>
  <c r="AD11" i="36" s="1"/>
  <c r="AD12" i="36" s="1"/>
  <c r="AD13" i="36" s="1"/>
  <c r="AD14" i="36" s="1"/>
  <c r="AD15" i="36" s="1"/>
  <c r="AC6" i="36"/>
  <c r="AB6" i="36"/>
  <c r="AB7" i="36" s="1"/>
  <c r="AB8" i="36" s="1"/>
  <c r="AB9" i="36" s="1"/>
  <c r="AB10" i="36" s="1"/>
  <c r="AB11" i="36" s="1"/>
  <c r="AA6" i="36"/>
  <c r="AA7" i="36" s="1"/>
  <c r="AA8" i="36" s="1"/>
  <c r="AA9" i="36" s="1"/>
  <c r="Z6" i="36"/>
  <c r="Y6" i="36"/>
  <c r="Y7" i="36" s="1"/>
  <c r="X6" i="36"/>
  <c r="R6" i="36"/>
  <c r="T6" i="36" s="1"/>
  <c r="U6" i="36" s="1"/>
  <c r="K29" i="35"/>
  <c r="J25" i="35"/>
  <c r="J26" i="35"/>
  <c r="J27" i="35"/>
  <c r="J28" i="35"/>
  <c r="J29" i="35"/>
  <c r="J24" i="35"/>
  <c r="I26" i="35"/>
  <c r="I27" i="35"/>
  <c r="I28" i="35"/>
  <c r="I29" i="35"/>
  <c r="I25" i="35"/>
  <c r="I24" i="35"/>
  <c r="H29" i="35"/>
  <c r="H25" i="35"/>
  <c r="H26" i="35"/>
  <c r="H27" i="35"/>
  <c r="H28" i="35"/>
  <c r="H24" i="35"/>
  <c r="G24" i="35"/>
  <c r="I18" i="35"/>
  <c r="I6" i="35"/>
  <c r="I7" i="35"/>
  <c r="I8" i="35"/>
  <c r="I9" i="35"/>
  <c r="I10" i="35"/>
  <c r="I11" i="35"/>
  <c r="I12" i="35"/>
  <c r="I13" i="35"/>
  <c r="I14" i="35"/>
  <c r="I15" i="35"/>
  <c r="I16" i="35"/>
  <c r="I17" i="35"/>
  <c r="I5" i="35"/>
  <c r="J5" i="35"/>
  <c r="K18" i="35"/>
  <c r="K6" i="35"/>
  <c r="K7" i="35"/>
  <c r="K8" i="35"/>
  <c r="K9" i="35"/>
  <c r="K10" i="35"/>
  <c r="K11" i="35"/>
  <c r="K12" i="35"/>
  <c r="K13" i="35"/>
  <c r="K14" i="35"/>
  <c r="K15" i="35"/>
  <c r="K16" i="35"/>
  <c r="K17" i="35"/>
  <c r="K5" i="35"/>
  <c r="H7" i="35"/>
  <c r="H8" i="35" s="1"/>
  <c r="H6" i="35"/>
  <c r="H5" i="35"/>
  <c r="G17" i="35"/>
  <c r="G15" i="35"/>
  <c r="G13" i="35"/>
  <c r="G11" i="35"/>
  <c r="G9" i="35"/>
  <c r="P6" i="34"/>
  <c r="R7" i="34"/>
  <c r="R8" i="34"/>
  <c r="R9" i="34"/>
  <c r="R10" i="34"/>
  <c r="R11" i="34"/>
  <c r="R12" i="34"/>
  <c r="R13" i="34"/>
  <c r="R14" i="34"/>
  <c r="R6" i="34"/>
  <c r="Q6" i="34"/>
  <c r="N7" i="34"/>
  <c r="N8" i="34"/>
  <c r="N9" i="34"/>
  <c r="N10" i="34"/>
  <c r="N11" i="34"/>
  <c r="N12" i="34"/>
  <c r="N13" i="34"/>
  <c r="N14" i="34"/>
  <c r="N6" i="34"/>
  <c r="P7" i="34"/>
  <c r="P8" i="34"/>
  <c r="P9" i="34"/>
  <c r="P10" i="34"/>
  <c r="P11" i="34"/>
  <c r="Q11" i="34" s="1"/>
  <c r="P12" i="34"/>
  <c r="Q12" i="34" s="1"/>
  <c r="P13" i="34"/>
  <c r="I20" i="34"/>
  <c r="H13" i="34"/>
  <c r="H12" i="34"/>
  <c r="H11" i="34"/>
  <c r="F24" i="34"/>
  <c r="F23" i="34"/>
  <c r="C19" i="34"/>
  <c r="C23" i="34" s="1"/>
  <c r="F19" i="34"/>
  <c r="R7" i="33"/>
  <c r="T7" i="33" s="1"/>
  <c r="R8" i="33"/>
  <c r="T8" i="33" s="1"/>
  <c r="R9" i="33"/>
  <c r="T9" i="33" s="1"/>
  <c r="R10" i="33"/>
  <c r="T11" i="33" s="1"/>
  <c r="R11" i="33"/>
  <c r="T13" i="33" s="1"/>
  <c r="R12" i="33"/>
  <c r="T15" i="33" s="1"/>
  <c r="R13" i="33"/>
  <c r="T17" i="33" s="1"/>
  <c r="R14" i="33"/>
  <c r="T19" i="33" s="1"/>
  <c r="R6" i="33"/>
  <c r="T6" i="33" s="1"/>
  <c r="U6" i="33" s="1"/>
  <c r="C64" i="33"/>
  <c r="C63" i="33"/>
  <c r="C58" i="33"/>
  <c r="C57" i="33"/>
  <c r="D50" i="33"/>
  <c r="E50" i="33" s="1"/>
  <c r="C66" i="33" s="1"/>
  <c r="D45" i="33"/>
  <c r="D46" i="33"/>
  <c r="D47" i="33"/>
  <c r="D48" i="33"/>
  <c r="E48" i="33" s="1"/>
  <c r="D49" i="33"/>
  <c r="E49" i="33" s="1"/>
  <c r="C65" i="33" s="1"/>
  <c r="D44" i="33"/>
  <c r="E44" i="33" s="1"/>
  <c r="D32" i="33"/>
  <c r="C39" i="33"/>
  <c r="E39" i="33" s="1"/>
  <c r="C33" i="33"/>
  <c r="C34" i="33"/>
  <c r="C35" i="33"/>
  <c r="E35" i="33" s="1"/>
  <c r="C59" i="33" s="1"/>
  <c r="C36" i="33"/>
  <c r="E36" i="33" s="1"/>
  <c r="C60" i="33" s="1"/>
  <c r="C37" i="33"/>
  <c r="C38" i="33"/>
  <c r="E38" i="33" s="1"/>
  <c r="C62" i="33" s="1"/>
  <c r="C32" i="33"/>
  <c r="E33" i="33"/>
  <c r="C44" i="33"/>
  <c r="E34" i="33"/>
  <c r="E6" i="33"/>
  <c r="E37" i="33"/>
  <c r="C61" i="33" s="1"/>
  <c r="G34" i="31"/>
  <c r="J28" i="31"/>
  <c r="J29" i="31"/>
  <c r="J30" i="31"/>
  <c r="J31" i="31"/>
  <c r="J32" i="31"/>
  <c r="J27" i="31"/>
  <c r="I31" i="31"/>
  <c r="I32" i="31"/>
  <c r="I29" i="31"/>
  <c r="I30" i="31"/>
  <c r="I28" i="31"/>
  <c r="I27" i="31"/>
  <c r="G27" i="31"/>
  <c r="H32" i="31"/>
  <c r="H28" i="31"/>
  <c r="H29" i="31"/>
  <c r="H30" i="31"/>
  <c r="H31" i="31"/>
  <c r="H27" i="31"/>
  <c r="J6" i="31"/>
  <c r="J7" i="31"/>
  <c r="J8" i="31"/>
  <c r="J9" i="31"/>
  <c r="K9" i="31" s="1"/>
  <c r="J10" i="31"/>
  <c r="K10" i="31" s="1"/>
  <c r="J11" i="31"/>
  <c r="K11" i="31" s="1"/>
  <c r="J12" i="31"/>
  <c r="K12" i="31" s="1"/>
  <c r="J13" i="31"/>
  <c r="K13" i="31" s="1"/>
  <c r="J14" i="31"/>
  <c r="J15" i="31"/>
  <c r="J16" i="31"/>
  <c r="J17" i="31"/>
  <c r="J5" i="31"/>
  <c r="J18" i="31"/>
  <c r="K6" i="31"/>
  <c r="K7" i="31"/>
  <c r="K8" i="31"/>
  <c r="K14" i="31"/>
  <c r="K15" i="31"/>
  <c r="K16" i="31"/>
  <c r="I5" i="31"/>
  <c r="K5" i="31"/>
  <c r="O10" i="31"/>
  <c r="O9" i="31"/>
  <c r="O8" i="31"/>
  <c r="O7" i="31"/>
  <c r="O6" i="31"/>
  <c r="H7" i="31"/>
  <c r="H8" i="31" s="1"/>
  <c r="H6" i="31"/>
  <c r="H5" i="31"/>
  <c r="G17" i="31"/>
  <c r="G15" i="31"/>
  <c r="G13" i="31"/>
  <c r="G11" i="31"/>
  <c r="G9" i="31"/>
  <c r="C79" i="26"/>
  <c r="C78" i="26"/>
  <c r="C76" i="26"/>
  <c r="D41" i="26"/>
  <c r="C31" i="26"/>
  <c r="D35" i="26"/>
  <c r="C45" i="26"/>
  <c r="C42" i="26"/>
  <c r="C43" i="26"/>
  <c r="C44" i="26"/>
  <c r="C41" i="26"/>
  <c r="D32" i="26"/>
  <c r="D33" i="26"/>
  <c r="D34" i="26"/>
  <c r="D31" i="26"/>
  <c r="E32" i="26"/>
  <c r="X6" i="33"/>
  <c r="Y6" i="33"/>
  <c r="Z6" i="33"/>
  <c r="Z7" i="33" s="1"/>
  <c r="Z8" i="33" s="1"/>
  <c r="AA6" i="33"/>
  <c r="AB6" i="33"/>
  <c r="AB7" i="33" s="1"/>
  <c r="AB8" i="33" s="1"/>
  <c r="AB9" i="33" s="1"/>
  <c r="AB10" i="33" s="1"/>
  <c r="AB11" i="33" s="1"/>
  <c r="AC6" i="33"/>
  <c r="AC7" i="33" s="1"/>
  <c r="AC8" i="33" s="1"/>
  <c r="AC9" i="33" s="1"/>
  <c r="AC10" i="33" s="1"/>
  <c r="AC11" i="33" s="1"/>
  <c r="AC12" i="33" s="1"/>
  <c r="AC13" i="33" s="1"/>
  <c r="AD6" i="33"/>
  <c r="AD7" i="33" s="1"/>
  <c r="AD8" i="33" s="1"/>
  <c r="AD9" i="33" s="1"/>
  <c r="AD10" i="33" s="1"/>
  <c r="AD11" i="33" s="1"/>
  <c r="AD12" i="33" s="1"/>
  <c r="AD13" i="33" s="1"/>
  <c r="AD14" i="33" s="1"/>
  <c r="AD15" i="33" s="1"/>
  <c r="AE6" i="33"/>
  <c r="AE7" i="33" s="1"/>
  <c r="AE8" i="33" s="1"/>
  <c r="AE9" i="33" s="1"/>
  <c r="AE10" i="33" s="1"/>
  <c r="AE11" i="33" s="1"/>
  <c r="AE12" i="33" s="1"/>
  <c r="AE13" i="33" s="1"/>
  <c r="AE14" i="33" s="1"/>
  <c r="AE15" i="33" s="1"/>
  <c r="AE16" i="33" s="1"/>
  <c r="AE17" i="33" s="1"/>
  <c r="AF6" i="33"/>
  <c r="AF7" i="33" s="1"/>
  <c r="AF8" i="33" s="1"/>
  <c r="AF9" i="33" s="1"/>
  <c r="AF10" i="33" s="1"/>
  <c r="AF11" i="33" s="1"/>
  <c r="AF12" i="33" s="1"/>
  <c r="AF13" i="33" s="1"/>
  <c r="AF14" i="33" s="1"/>
  <c r="AF15" i="33" s="1"/>
  <c r="AF16" i="33" s="1"/>
  <c r="AF17" i="33" s="1"/>
  <c r="AF18" i="33" s="1"/>
  <c r="AF19" i="33" s="1"/>
  <c r="Y7" i="33"/>
  <c r="AA7" i="33"/>
  <c r="AA8" i="33" s="1"/>
  <c r="AA9" i="33" s="1"/>
  <c r="X32" i="33"/>
  <c r="Y32" i="33"/>
  <c r="Z32" i="33"/>
  <c r="AA32" i="33"/>
  <c r="AB32" i="33"/>
  <c r="AC32" i="33"/>
  <c r="AD32" i="33"/>
  <c r="AE32" i="33"/>
  <c r="AF32" i="33"/>
  <c r="E45" i="33"/>
  <c r="E46" i="33"/>
  <c r="E47" i="33"/>
  <c r="P11" i="26"/>
  <c r="R13" i="26" s="1"/>
  <c r="P12" i="26"/>
  <c r="R15" i="26" s="1"/>
  <c r="P6" i="26"/>
  <c r="R6" i="26" s="1"/>
  <c r="S6" i="26" s="1"/>
  <c r="P7" i="26"/>
  <c r="R7" i="26" s="1"/>
  <c r="P8" i="26"/>
  <c r="R8" i="26" s="1"/>
  <c r="P9" i="26"/>
  <c r="R9" i="26" s="1"/>
  <c r="P10" i="26"/>
  <c r="R11" i="26" s="1"/>
  <c r="E37" i="21"/>
  <c r="F37" i="21" s="1"/>
  <c r="G37" i="21" s="1"/>
  <c r="H37" i="21" s="1"/>
  <c r="P12" i="25"/>
  <c r="R15" i="25" s="1"/>
  <c r="P11" i="25"/>
  <c r="R13" i="25" s="1"/>
  <c r="P10" i="25"/>
  <c r="R11" i="25" s="1"/>
  <c r="P9" i="25"/>
  <c r="R9" i="25" s="1"/>
  <c r="P8" i="25"/>
  <c r="R8" i="25" s="1"/>
  <c r="P7" i="25"/>
  <c r="R7" i="25" s="1"/>
  <c r="P6" i="25"/>
  <c r="R6" i="25" s="1"/>
  <c r="S6" i="25" s="1"/>
  <c r="D51" i="25" s="1"/>
  <c r="E29" i="7"/>
  <c r="D66" i="7" s="1"/>
  <c r="E28" i="7"/>
  <c r="D64" i="7" s="1"/>
  <c r="E27" i="7"/>
  <c r="D62" i="7" s="1"/>
  <c r="E26" i="7"/>
  <c r="E25" i="7"/>
  <c r="E24" i="7"/>
  <c r="D56" i="7" s="1"/>
  <c r="E23" i="7"/>
  <c r="D54" i="7" s="1"/>
  <c r="E22" i="7"/>
  <c r="D52" i="7" s="1"/>
  <c r="E21" i="7"/>
  <c r="D50" i="7" s="1"/>
  <c r="E20" i="7"/>
  <c r="D49" i="7" s="1"/>
  <c r="E19" i="7"/>
  <c r="D48" i="7" s="1"/>
  <c r="E18" i="7"/>
  <c r="E17" i="7"/>
  <c r="D46" i="7" s="1"/>
  <c r="E16" i="7"/>
  <c r="E15" i="7"/>
  <c r="D44" i="7" s="1"/>
  <c r="E14" i="7"/>
  <c r="D43" i="7" s="1"/>
  <c r="E13" i="7"/>
  <c r="D42" i="7" s="1"/>
  <c r="E12" i="7"/>
  <c r="D41" i="7" s="1"/>
  <c r="J41" i="7" s="1"/>
  <c r="E41" i="7" s="1"/>
  <c r="E11" i="7"/>
  <c r="D40" i="7" s="1"/>
  <c r="E10" i="7"/>
  <c r="E9" i="7"/>
  <c r="E8" i="7"/>
  <c r="E9" i="5"/>
  <c r="D38" i="5" s="1"/>
  <c r="E10" i="5"/>
  <c r="D39" i="5" s="1"/>
  <c r="E11" i="5"/>
  <c r="D40" i="5" s="1"/>
  <c r="E12" i="5"/>
  <c r="D41" i="5" s="1"/>
  <c r="E13" i="5"/>
  <c r="D42" i="5" s="1"/>
  <c r="E14" i="5"/>
  <c r="E15" i="5"/>
  <c r="D44" i="5" s="1"/>
  <c r="E16" i="5"/>
  <c r="D45" i="5" s="1"/>
  <c r="J45" i="5" s="1"/>
  <c r="E17" i="5"/>
  <c r="D46" i="5" s="1"/>
  <c r="E18" i="5"/>
  <c r="E19" i="5"/>
  <c r="D48" i="5" s="1"/>
  <c r="E20" i="5"/>
  <c r="D49" i="5" s="1"/>
  <c r="E21" i="5"/>
  <c r="D50" i="5" s="1"/>
  <c r="E22" i="5"/>
  <c r="D52" i="5" s="1"/>
  <c r="E23" i="5"/>
  <c r="D54" i="5" s="1"/>
  <c r="E24" i="5"/>
  <c r="D56" i="5" s="1"/>
  <c r="E25" i="5"/>
  <c r="D58" i="5" s="1"/>
  <c r="E26" i="5"/>
  <c r="D60" i="5" s="1"/>
  <c r="E27" i="5"/>
  <c r="D62" i="5" s="1"/>
  <c r="E28" i="5"/>
  <c r="D64" i="5" s="1"/>
  <c r="E29" i="5"/>
  <c r="D66" i="5" s="1"/>
  <c r="E8" i="5"/>
  <c r="D37" i="5" s="1"/>
  <c r="E9" i="4"/>
  <c r="D38" i="4" s="1"/>
  <c r="E10" i="4"/>
  <c r="D39" i="4" s="1"/>
  <c r="E11" i="4"/>
  <c r="D40" i="4" s="1"/>
  <c r="E12" i="4"/>
  <c r="D41" i="4" s="1"/>
  <c r="E13" i="4"/>
  <c r="D42" i="4" s="1"/>
  <c r="E14" i="4"/>
  <c r="D43" i="4" s="1"/>
  <c r="E15" i="4"/>
  <c r="D44" i="4" s="1"/>
  <c r="E16" i="4"/>
  <c r="D45" i="4" s="1"/>
  <c r="E17" i="4"/>
  <c r="D46" i="4" s="1"/>
  <c r="E18" i="4"/>
  <c r="D47" i="4" s="1"/>
  <c r="E19" i="4"/>
  <c r="D48" i="4" s="1"/>
  <c r="E20" i="4"/>
  <c r="D49" i="4" s="1"/>
  <c r="E21" i="4"/>
  <c r="D50" i="4" s="1"/>
  <c r="E22" i="4"/>
  <c r="D52" i="4" s="1"/>
  <c r="E23" i="4"/>
  <c r="D54" i="4" s="1"/>
  <c r="E24" i="4"/>
  <c r="D56" i="4" s="1"/>
  <c r="E25" i="4"/>
  <c r="D58" i="4" s="1"/>
  <c r="E26" i="4"/>
  <c r="D60" i="4" s="1"/>
  <c r="E27" i="4"/>
  <c r="D62" i="4" s="1"/>
  <c r="E28" i="4"/>
  <c r="D64" i="4" s="1"/>
  <c r="E29" i="4"/>
  <c r="D66" i="4" s="1"/>
  <c r="E8" i="4"/>
  <c r="D37" i="4" s="1"/>
  <c r="D5" i="30"/>
  <c r="D6" i="30" s="1"/>
  <c r="C9" i="30"/>
  <c r="C11" i="30"/>
  <c r="C13" i="30"/>
  <c r="D5" i="28"/>
  <c r="D6" i="28" s="1"/>
  <c r="E33" i="28"/>
  <c r="F33" i="28" s="1"/>
  <c r="G33" i="28" s="1"/>
  <c r="H33" i="28" s="1"/>
  <c r="C9" i="28"/>
  <c r="C11" i="28"/>
  <c r="C13" i="28"/>
  <c r="D5" i="27"/>
  <c r="C9" i="27"/>
  <c r="C11" i="27"/>
  <c r="C13" i="27"/>
  <c r="E31" i="26"/>
  <c r="C51" i="26" s="1"/>
  <c r="E33" i="26"/>
  <c r="C53" i="26" s="1"/>
  <c r="E34" i="26"/>
  <c r="E35" i="26"/>
  <c r="C55" i="26" s="1"/>
  <c r="E41" i="26"/>
  <c r="E42" i="26"/>
  <c r="E43" i="26"/>
  <c r="C56" i="26" s="1"/>
  <c r="E44" i="26"/>
  <c r="C57" i="26" s="1"/>
  <c r="E45" i="26"/>
  <c r="C58" i="26" s="1"/>
  <c r="F69" i="25"/>
  <c r="F68" i="25"/>
  <c r="F66" i="25"/>
  <c r="AB25" i="25"/>
  <c r="AA25" i="25"/>
  <c r="Z25" i="25"/>
  <c r="Y25" i="25"/>
  <c r="X25" i="25"/>
  <c r="W25" i="25"/>
  <c r="V25" i="25"/>
  <c r="V6" i="25"/>
  <c r="W6" i="25"/>
  <c r="W7" i="25" s="1"/>
  <c r="X6" i="25"/>
  <c r="Y6" i="25"/>
  <c r="Y7" i="25" s="1"/>
  <c r="Y8" i="25" s="1"/>
  <c r="Y9" i="25" s="1"/>
  <c r="Z6" i="25"/>
  <c r="AA6" i="25"/>
  <c r="AA7" i="25" s="1"/>
  <c r="AA8" i="25" s="1"/>
  <c r="AA9" i="25" s="1"/>
  <c r="AA10" i="25" s="1"/>
  <c r="AA11" i="25" s="1"/>
  <c r="AA12" i="25" s="1"/>
  <c r="AA13" i="25" s="1"/>
  <c r="AB6" i="25"/>
  <c r="AB7" i="25" s="1"/>
  <c r="AB8" i="25" s="1"/>
  <c r="AB9" i="25" s="1"/>
  <c r="AB10" i="25" s="1"/>
  <c r="AB11" i="25" s="1"/>
  <c r="AB12" i="25" s="1"/>
  <c r="AB13" i="25" s="1"/>
  <c r="AB14" i="25" s="1"/>
  <c r="AB15" i="25" s="1"/>
  <c r="X7" i="25"/>
  <c r="X8" i="25" s="1"/>
  <c r="Z7" i="25"/>
  <c r="Z8" i="25" s="1"/>
  <c r="Z9" i="25" s="1"/>
  <c r="Z10" i="25" s="1"/>
  <c r="Z11" i="25" s="1"/>
  <c r="C31" i="25"/>
  <c r="E31" i="25" s="1"/>
  <c r="C51" i="25" s="1"/>
  <c r="D31" i="25"/>
  <c r="D32" i="25" s="1"/>
  <c r="C41" i="25"/>
  <c r="E41" i="25" s="1"/>
  <c r="D41" i="25"/>
  <c r="E6" i="22"/>
  <c r="E7" i="22" s="1"/>
  <c r="E37" i="22"/>
  <c r="F37" i="22" s="1"/>
  <c r="G37" i="22" s="1"/>
  <c r="H37" i="22" s="1"/>
  <c r="D10" i="22"/>
  <c r="D12" i="22"/>
  <c r="D14" i="22"/>
  <c r="D16" i="22"/>
  <c r="D18" i="22"/>
  <c r="D10" i="21"/>
  <c r="E6" i="21"/>
  <c r="E54" i="21"/>
  <c r="F54" i="21" s="1"/>
  <c r="G54" i="21" s="1"/>
  <c r="H54" i="21" s="1"/>
  <c r="E6" i="19"/>
  <c r="E7" i="19" s="1"/>
  <c r="D10" i="19"/>
  <c r="D12" i="19"/>
  <c r="D14" i="19"/>
  <c r="D16" i="19"/>
  <c r="D18" i="19"/>
  <c r="E6" i="20"/>
  <c r="E7" i="20" s="1"/>
  <c r="D10" i="20"/>
  <c r="D12" i="20"/>
  <c r="D14" i="20"/>
  <c r="D16" i="20"/>
  <c r="D18" i="20"/>
  <c r="D12" i="21"/>
  <c r="D14" i="21"/>
  <c r="D16" i="21"/>
  <c r="D18" i="21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E3" i="1"/>
  <c r="E4" i="1" s="1"/>
  <c r="E5" i="1" s="1"/>
  <c r="W36" i="6"/>
  <c r="X36" i="6" s="1"/>
  <c r="V34" i="6"/>
  <c r="U30" i="6"/>
  <c r="T28" i="6"/>
  <c r="S22" i="6"/>
  <c r="R20" i="6"/>
  <c r="AJ81" i="7"/>
  <c r="AJ80" i="7"/>
  <c r="AJ79" i="7"/>
  <c r="AJ78" i="7"/>
  <c r="AJ77" i="7"/>
  <c r="AJ76" i="7"/>
  <c r="AJ75" i="7"/>
  <c r="D60" i="7"/>
  <c r="AJ74" i="7"/>
  <c r="AJ73" i="7"/>
  <c r="AJ72" i="7"/>
  <c r="D58" i="7"/>
  <c r="AJ71" i="7"/>
  <c r="AJ70" i="7"/>
  <c r="AJ69" i="7"/>
  <c r="AJ68" i="7"/>
  <c r="AJ67" i="7"/>
  <c r="AJ66" i="7"/>
  <c r="AJ65" i="7"/>
  <c r="AJ6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J38" i="7"/>
  <c r="AJ37" i="7"/>
  <c r="AJ36" i="7"/>
  <c r="AJ35" i="7"/>
  <c r="AJ34" i="7"/>
  <c r="AJ33" i="7"/>
  <c r="AJ32" i="7"/>
  <c r="AJ31" i="7"/>
  <c r="I42" i="7"/>
  <c r="I51" i="7" s="1"/>
  <c r="J51" i="7" s="1"/>
  <c r="I52" i="7"/>
  <c r="J52" i="7" s="1"/>
  <c r="C36" i="7"/>
  <c r="AJ30" i="7"/>
  <c r="AJ29" i="7"/>
  <c r="AJ28" i="7"/>
  <c r="AJ27" i="7"/>
  <c r="D47" i="7"/>
  <c r="I47" i="7"/>
  <c r="AJ26" i="7"/>
  <c r="AJ25" i="7"/>
  <c r="I46" i="7"/>
  <c r="AJ24" i="7"/>
  <c r="AJ23" i="7"/>
  <c r="D45" i="7"/>
  <c r="I45" i="7"/>
  <c r="AJ22" i="7"/>
  <c r="I44" i="7"/>
  <c r="AJ21" i="7"/>
  <c r="AJ20" i="7"/>
  <c r="I43" i="7"/>
  <c r="AJ19" i="7"/>
  <c r="AJ18" i="7"/>
  <c r="AJ17" i="7"/>
  <c r="AJ16" i="7"/>
  <c r="I41" i="7"/>
  <c r="AJ15" i="7"/>
  <c r="AJ14" i="7"/>
  <c r="I40" i="7"/>
  <c r="AJ13" i="7"/>
  <c r="D39" i="7"/>
  <c r="J39" i="7" s="1"/>
  <c r="E39" i="7" s="1"/>
  <c r="I39" i="7"/>
  <c r="AJ12" i="7"/>
  <c r="D38" i="7"/>
  <c r="I38" i="7"/>
  <c r="AJ11" i="7"/>
  <c r="AJ10" i="7"/>
  <c r="D37" i="7"/>
  <c r="I37" i="7"/>
  <c r="AJ9" i="7"/>
  <c r="AJ8" i="7"/>
  <c r="AJ7" i="7"/>
  <c r="AK6" i="7"/>
  <c r="AJ5" i="7"/>
  <c r="I37" i="4"/>
  <c r="I43" i="4"/>
  <c r="I38" i="4"/>
  <c r="I44" i="4"/>
  <c r="C36" i="4"/>
  <c r="AJ8" i="4" s="1"/>
  <c r="I42" i="4"/>
  <c r="I52" i="4"/>
  <c r="J52" i="4" s="1"/>
  <c r="I39" i="4"/>
  <c r="I53" i="4"/>
  <c r="J53" i="4" s="1"/>
  <c r="I41" i="4"/>
  <c r="I54" i="4"/>
  <c r="J54" i="4" s="1"/>
  <c r="I55" i="4"/>
  <c r="J55" i="4" s="1"/>
  <c r="I56" i="4"/>
  <c r="J56" i="4" s="1"/>
  <c r="I45" i="4"/>
  <c r="I57" i="4"/>
  <c r="J57" i="4" s="1"/>
  <c r="I46" i="4"/>
  <c r="I47" i="4"/>
  <c r="I58" i="4"/>
  <c r="J58" i="4" s="1"/>
  <c r="I59" i="4"/>
  <c r="J59" i="4" s="1"/>
  <c r="I60" i="4"/>
  <c r="J60" i="4" s="1"/>
  <c r="I61" i="4"/>
  <c r="J61" i="4" s="1"/>
  <c r="I62" i="4"/>
  <c r="J62" i="4" s="1"/>
  <c r="I63" i="4"/>
  <c r="J63" i="4" s="1"/>
  <c r="I64" i="4"/>
  <c r="J64" i="4"/>
  <c r="I65" i="4"/>
  <c r="J65" i="4" s="1"/>
  <c r="I66" i="4"/>
  <c r="J66" i="4" s="1"/>
  <c r="I67" i="4"/>
  <c r="J67" i="4" s="1"/>
  <c r="I68" i="4"/>
  <c r="J68" i="4" s="1"/>
  <c r="I69" i="4"/>
  <c r="J69" i="4"/>
  <c r="I70" i="4"/>
  <c r="J70" i="4" s="1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K5" i="7"/>
  <c r="X10" i="6"/>
  <c r="X11" i="6"/>
  <c r="U12" i="6"/>
  <c r="R12" i="6"/>
  <c r="X12" i="6" s="1"/>
  <c r="S12" i="6"/>
  <c r="T12" i="6"/>
  <c r="V12" i="6"/>
  <c r="W12" i="6"/>
  <c r="X13" i="6"/>
  <c r="X14" i="6"/>
  <c r="X15" i="6"/>
  <c r="X16" i="6"/>
  <c r="Q17" i="6"/>
  <c r="X17" i="6" s="1"/>
  <c r="U18" i="6"/>
  <c r="R18" i="6"/>
  <c r="S18" i="6"/>
  <c r="T18" i="6"/>
  <c r="V18" i="6"/>
  <c r="W18" i="6"/>
  <c r="U19" i="6"/>
  <c r="R19" i="6"/>
  <c r="S19" i="6"/>
  <c r="T19" i="6"/>
  <c r="V19" i="6"/>
  <c r="W19" i="6"/>
  <c r="U20" i="6"/>
  <c r="S20" i="6"/>
  <c r="T20" i="6"/>
  <c r="V20" i="6"/>
  <c r="W20" i="6"/>
  <c r="U21" i="6"/>
  <c r="S21" i="6"/>
  <c r="T21" i="6"/>
  <c r="V21" i="6"/>
  <c r="W21" i="6"/>
  <c r="U22" i="6"/>
  <c r="T22" i="6"/>
  <c r="V22" i="6"/>
  <c r="W22" i="6"/>
  <c r="U23" i="6"/>
  <c r="T23" i="6"/>
  <c r="V23" i="6"/>
  <c r="W23" i="6"/>
  <c r="U24" i="6"/>
  <c r="T24" i="6"/>
  <c r="V24" i="6"/>
  <c r="W24" i="6"/>
  <c r="U25" i="6"/>
  <c r="T25" i="6"/>
  <c r="V25" i="6"/>
  <c r="W25" i="6"/>
  <c r="U26" i="6"/>
  <c r="T26" i="6"/>
  <c r="V26" i="6"/>
  <c r="W26" i="6"/>
  <c r="U27" i="6"/>
  <c r="T27" i="6"/>
  <c r="V27" i="6"/>
  <c r="W27" i="6"/>
  <c r="U28" i="6"/>
  <c r="V28" i="6"/>
  <c r="W28" i="6"/>
  <c r="U29" i="6"/>
  <c r="V29" i="6"/>
  <c r="W29" i="6"/>
  <c r="V30" i="6"/>
  <c r="W30" i="6"/>
  <c r="X30" i="6" s="1"/>
  <c r="V31" i="6"/>
  <c r="X31" i="6" s="1"/>
  <c r="W31" i="6"/>
  <c r="V32" i="6"/>
  <c r="W32" i="6"/>
  <c r="V33" i="6"/>
  <c r="X33" i="6" s="1"/>
  <c r="W33" i="6"/>
  <c r="W34" i="6"/>
  <c r="W35" i="6"/>
  <c r="X35" i="6" s="1"/>
  <c r="P9" i="6"/>
  <c r="X9" i="6" s="1"/>
  <c r="X8" i="6"/>
  <c r="X7" i="6"/>
  <c r="X6" i="6"/>
  <c r="AJ7" i="5"/>
  <c r="I70" i="7"/>
  <c r="J70" i="7" s="1"/>
  <c r="I69" i="7"/>
  <c r="J69" i="7" s="1"/>
  <c r="I68" i="7"/>
  <c r="J68" i="7" s="1"/>
  <c r="I67" i="7"/>
  <c r="J67" i="7" s="1"/>
  <c r="I66" i="7"/>
  <c r="J66" i="7" s="1"/>
  <c r="I65" i="7"/>
  <c r="J65" i="7" s="1"/>
  <c r="I64" i="7"/>
  <c r="J64" i="7" s="1"/>
  <c r="I63" i="7"/>
  <c r="J63" i="7" s="1"/>
  <c r="I62" i="7"/>
  <c r="J62" i="7" s="1"/>
  <c r="I61" i="7"/>
  <c r="J61" i="7" s="1"/>
  <c r="I60" i="7"/>
  <c r="J60" i="7" s="1"/>
  <c r="I59" i="7"/>
  <c r="J59" i="7" s="1"/>
  <c r="I58" i="7"/>
  <c r="J58" i="7" s="1"/>
  <c r="I57" i="7"/>
  <c r="J57" i="7" s="1"/>
  <c r="I56" i="7"/>
  <c r="J56" i="7" s="1"/>
  <c r="I55" i="7"/>
  <c r="J55" i="7" s="1"/>
  <c r="I54" i="7"/>
  <c r="J54" i="7" s="1"/>
  <c r="I53" i="7"/>
  <c r="J53" i="7" s="1"/>
  <c r="H7" i="7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BH66" i="5"/>
  <c r="BG66" i="5"/>
  <c r="BF66" i="5"/>
  <c r="BE66" i="5"/>
  <c r="BD66" i="5"/>
  <c r="BC66" i="5"/>
  <c r="BB66" i="5"/>
  <c r="BA66" i="5"/>
  <c r="AZ66" i="5"/>
  <c r="AY66" i="5"/>
  <c r="AX66" i="5"/>
  <c r="AW66" i="5"/>
  <c r="AV66" i="5"/>
  <c r="AU66" i="5"/>
  <c r="AT66" i="5"/>
  <c r="AS66" i="5"/>
  <c r="AR66" i="5"/>
  <c r="AQ66" i="5"/>
  <c r="AP66" i="5"/>
  <c r="AO66" i="5"/>
  <c r="AN66" i="5"/>
  <c r="AM66" i="5"/>
  <c r="I42" i="5"/>
  <c r="I51" i="5" s="1"/>
  <c r="J51" i="5" s="1"/>
  <c r="I52" i="5"/>
  <c r="J52" i="5" s="1"/>
  <c r="D47" i="5"/>
  <c r="I47" i="5"/>
  <c r="I46" i="5"/>
  <c r="I45" i="5"/>
  <c r="I44" i="5"/>
  <c r="D43" i="5"/>
  <c r="I43" i="5"/>
  <c r="I41" i="5"/>
  <c r="I40" i="5"/>
  <c r="I39" i="5"/>
  <c r="I38" i="5"/>
  <c r="I37" i="5"/>
  <c r="AK37" i="5"/>
  <c r="BH37" i="5" s="1"/>
  <c r="AK35" i="5"/>
  <c r="BG35" i="5" s="1"/>
  <c r="AK33" i="5"/>
  <c r="AK31" i="5"/>
  <c r="BG31" i="5" s="1"/>
  <c r="AK29" i="5"/>
  <c r="BE29" i="5" s="1"/>
  <c r="AK27" i="5"/>
  <c r="BG27" i="5" s="1"/>
  <c r="AK25" i="5"/>
  <c r="BB25" i="5" s="1"/>
  <c r="AK23" i="5"/>
  <c r="BA23" i="5" s="1"/>
  <c r="AK21" i="5"/>
  <c r="AZ21" i="5" s="1"/>
  <c r="AK36" i="5"/>
  <c r="BH36" i="5" s="1"/>
  <c r="BH35" i="5"/>
  <c r="AK34" i="5"/>
  <c r="BG34" i="5" s="1"/>
  <c r="BH34" i="5"/>
  <c r="AK32" i="5"/>
  <c r="BH32" i="5" s="1"/>
  <c r="AK30" i="5"/>
  <c r="BH30" i="5" s="1"/>
  <c r="AK28" i="5"/>
  <c r="BD28" i="5" s="1"/>
  <c r="BF28" i="5"/>
  <c r="AK26" i="5"/>
  <c r="BC25" i="5"/>
  <c r="AK24" i="5"/>
  <c r="BE24" i="5" s="1"/>
  <c r="BG26" i="5"/>
  <c r="BH25" i="5"/>
  <c r="BG25" i="5"/>
  <c r="BF25" i="5"/>
  <c r="BE25" i="5"/>
  <c r="BD25" i="5"/>
  <c r="BG24" i="5"/>
  <c r="BG23" i="5"/>
  <c r="BF23" i="5"/>
  <c r="BE23" i="5"/>
  <c r="BC23" i="5"/>
  <c r="BB23" i="5"/>
  <c r="AK22" i="5"/>
  <c r="BG22" i="5" s="1"/>
  <c r="BA21" i="5"/>
  <c r="AK20" i="5"/>
  <c r="BF20" i="5"/>
  <c r="AK19" i="5"/>
  <c r="BH19" i="5" s="1"/>
  <c r="BF19" i="5"/>
  <c r="AK13" i="5"/>
  <c r="BG13" i="5" s="1"/>
  <c r="AK18" i="5"/>
  <c r="AW18" i="5" s="1"/>
  <c r="AK17" i="5"/>
  <c r="AV17" i="5" s="1"/>
  <c r="AK16" i="5"/>
  <c r="AU16" i="5" s="1"/>
  <c r="AK15" i="5"/>
  <c r="AT15" i="5" s="1"/>
  <c r="AK14" i="5"/>
  <c r="AS14" i="5" s="1"/>
  <c r="AK12" i="5"/>
  <c r="AQ12" i="5" s="1"/>
  <c r="AK11" i="5"/>
  <c r="AP11" i="5" s="1"/>
  <c r="AK10" i="5"/>
  <c r="AO10" i="5" s="1"/>
  <c r="AK9" i="5"/>
  <c r="AN9" i="5" s="1"/>
  <c r="AK8" i="5"/>
  <c r="AM8" i="5"/>
  <c r="I70" i="5"/>
  <c r="J70" i="5" s="1"/>
  <c r="I69" i="5"/>
  <c r="J69" i="5"/>
  <c r="I68" i="5"/>
  <c r="J68" i="5" s="1"/>
  <c r="I67" i="5"/>
  <c r="J67" i="5"/>
  <c r="I66" i="5"/>
  <c r="J66" i="5" s="1"/>
  <c r="I65" i="5"/>
  <c r="J65" i="5" s="1"/>
  <c r="I64" i="5"/>
  <c r="J64" i="5" s="1"/>
  <c r="I63" i="5"/>
  <c r="J63" i="5" s="1"/>
  <c r="I62" i="5"/>
  <c r="J62" i="5" s="1"/>
  <c r="I61" i="5"/>
  <c r="J61" i="5"/>
  <c r="I60" i="5"/>
  <c r="J60" i="5" s="1"/>
  <c r="I59" i="5"/>
  <c r="J59" i="5" s="1"/>
  <c r="I58" i="5"/>
  <c r="J58" i="5" s="1"/>
  <c r="I57" i="5"/>
  <c r="J57" i="5" s="1"/>
  <c r="I56" i="5"/>
  <c r="J56" i="5" s="1"/>
  <c r="I55" i="5"/>
  <c r="J55" i="5"/>
  <c r="I54" i="5"/>
  <c r="J54" i="5" s="1"/>
  <c r="C36" i="5"/>
  <c r="I53" i="5"/>
  <c r="J53" i="5" s="1"/>
  <c r="H7" i="5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D66" i="3"/>
  <c r="D64" i="3"/>
  <c r="D65" i="3" s="1"/>
  <c r="D62" i="3"/>
  <c r="D61" i="3" s="1"/>
  <c r="D60" i="3"/>
  <c r="D59" i="3" s="1"/>
  <c r="D58" i="3"/>
  <c r="D56" i="3"/>
  <c r="D54" i="3"/>
  <c r="D52" i="3"/>
  <c r="D50" i="3"/>
  <c r="D51" i="3" s="1"/>
  <c r="D49" i="3"/>
  <c r="D48" i="3"/>
  <c r="D47" i="3"/>
  <c r="H47" i="3" s="1"/>
  <c r="M17" i="3" s="1"/>
  <c r="D46" i="3"/>
  <c r="D45" i="3"/>
  <c r="D44" i="3"/>
  <c r="D43" i="3"/>
  <c r="D42" i="3"/>
  <c r="D41" i="3"/>
  <c r="H41" i="3" s="1"/>
  <c r="M11" i="3" s="1"/>
  <c r="S9" i="3" s="1"/>
  <c r="D40" i="3"/>
  <c r="H40" i="3" s="1"/>
  <c r="M10" i="3" s="1"/>
  <c r="D39" i="3"/>
  <c r="D38" i="3"/>
  <c r="D37" i="3"/>
  <c r="I40" i="4"/>
  <c r="G37" i="3"/>
  <c r="G38" i="3"/>
  <c r="R7" i="3"/>
  <c r="G39" i="3"/>
  <c r="H39" i="3" s="1"/>
  <c r="M9" i="3" s="1"/>
  <c r="R8" i="3"/>
  <c r="G41" i="3"/>
  <c r="G42" i="3"/>
  <c r="R9" i="3"/>
  <c r="G43" i="3"/>
  <c r="H43" i="3" s="1"/>
  <c r="M13" i="3" s="1"/>
  <c r="R10" i="3"/>
  <c r="G44" i="3"/>
  <c r="R11" i="3"/>
  <c r="G45" i="3"/>
  <c r="R12" i="3"/>
  <c r="G46" i="3"/>
  <c r="H46" i="3"/>
  <c r="M16" i="3" s="1"/>
  <c r="G47" i="3"/>
  <c r="R13" i="3"/>
  <c r="G51" i="3"/>
  <c r="H51" i="3" s="1"/>
  <c r="G52" i="3"/>
  <c r="H52" i="3" s="1"/>
  <c r="R14" i="3"/>
  <c r="G53" i="3"/>
  <c r="H53" i="3"/>
  <c r="R15" i="3"/>
  <c r="R16" i="3"/>
  <c r="R17" i="3"/>
  <c r="R18" i="3"/>
  <c r="G54" i="3"/>
  <c r="H54" i="3" s="1"/>
  <c r="R19" i="3"/>
  <c r="R20" i="3"/>
  <c r="R21" i="3"/>
  <c r="R22" i="3"/>
  <c r="R23" i="3"/>
  <c r="G55" i="3"/>
  <c r="H55" i="3" s="1"/>
  <c r="R24" i="3"/>
  <c r="R25" i="3"/>
  <c r="R26" i="3"/>
  <c r="G56" i="3"/>
  <c r="H56" i="3"/>
  <c r="R27" i="3"/>
  <c r="R28" i="3"/>
  <c r="R29" i="3"/>
  <c r="D53" i="3"/>
  <c r="G57" i="3"/>
  <c r="H57" i="3"/>
  <c r="R30" i="3"/>
  <c r="R31" i="3"/>
  <c r="G58" i="3"/>
  <c r="H58" i="3"/>
  <c r="R32" i="3"/>
  <c r="R33" i="3"/>
  <c r="R34" i="3"/>
  <c r="G59" i="3"/>
  <c r="H59" i="3" s="1"/>
  <c r="R35" i="3"/>
  <c r="R36" i="3"/>
  <c r="G60" i="3"/>
  <c r="H60" i="3"/>
  <c r="R37" i="3"/>
  <c r="R38" i="3"/>
  <c r="R39" i="3"/>
  <c r="G61" i="3"/>
  <c r="H61" i="3" s="1"/>
  <c r="R40" i="3"/>
  <c r="R41" i="3"/>
  <c r="G62" i="3"/>
  <c r="H62" i="3" s="1"/>
  <c r="R42" i="3"/>
  <c r="R43" i="3"/>
  <c r="R44" i="3"/>
  <c r="G63" i="3"/>
  <c r="H63" i="3" s="1"/>
  <c r="R45" i="3"/>
  <c r="R46" i="3"/>
  <c r="G64" i="3"/>
  <c r="H64" i="3" s="1"/>
  <c r="R47" i="3"/>
  <c r="R48" i="3"/>
  <c r="G65" i="3"/>
  <c r="H65" i="3" s="1"/>
  <c r="G66" i="3"/>
  <c r="H66" i="3" s="1"/>
  <c r="R49" i="3"/>
  <c r="G67" i="3"/>
  <c r="H67" i="3" s="1"/>
  <c r="G68" i="3"/>
  <c r="H68" i="3"/>
  <c r="R50" i="3"/>
  <c r="G69" i="3"/>
  <c r="H69" i="3" s="1"/>
  <c r="G70" i="3"/>
  <c r="H70" i="3"/>
  <c r="R51" i="3"/>
  <c r="S6" i="3"/>
  <c r="R6" i="3"/>
  <c r="G40" i="3"/>
  <c r="H7" i="4"/>
  <c r="I7" i="4"/>
  <c r="J7" i="4" s="1"/>
  <c r="K7" i="4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X7" i="4" s="1"/>
  <c r="Y7" i="4" s="1"/>
  <c r="Z7" i="4" s="1"/>
  <c r="AA7" i="4" s="1"/>
  <c r="AB7" i="4" s="1"/>
  <c r="AC7" i="4" s="1"/>
  <c r="AD7" i="4" s="1"/>
  <c r="AE7" i="4" s="1"/>
  <c r="Z15" i="2"/>
  <c r="AA15" i="2" s="1"/>
  <c r="Z14" i="2"/>
  <c r="AA14" i="2" s="1"/>
  <c r="Z13" i="2"/>
  <c r="AA13" i="2" s="1"/>
  <c r="Z12" i="2"/>
  <c r="AA12" i="2" s="1"/>
  <c r="Z11" i="2"/>
  <c r="Z10" i="2"/>
  <c r="AA10" i="2" s="1"/>
  <c r="Z9" i="2"/>
  <c r="AA9" i="2" s="1"/>
  <c r="Z8" i="2"/>
  <c r="AA8" i="2" s="1"/>
  <c r="Z7" i="2"/>
  <c r="Z6" i="2"/>
  <c r="Y6" i="2"/>
  <c r="AA6" i="2" s="1"/>
  <c r="U6" i="2"/>
  <c r="T19" i="2"/>
  <c r="V19" i="2" s="1"/>
  <c r="T8" i="2"/>
  <c r="V8" i="2" s="1"/>
  <c r="T9" i="2"/>
  <c r="V9" i="2" s="1"/>
  <c r="T10" i="2"/>
  <c r="V10" i="2" s="1"/>
  <c r="T11" i="2"/>
  <c r="V11" i="2" s="1"/>
  <c r="T12" i="2"/>
  <c r="V12" i="2" s="1"/>
  <c r="T13" i="2"/>
  <c r="V13" i="2" s="1"/>
  <c r="T14" i="2"/>
  <c r="V14" i="2" s="1"/>
  <c r="T15" i="2"/>
  <c r="V15" i="2" s="1"/>
  <c r="T16" i="2"/>
  <c r="V16" i="2" s="1"/>
  <c r="T17" i="2"/>
  <c r="T18" i="2"/>
  <c r="V18" i="2" s="1"/>
  <c r="T7" i="2"/>
  <c r="V7" i="2" s="1"/>
  <c r="T6" i="2"/>
  <c r="P6" i="2"/>
  <c r="O14" i="2"/>
  <c r="Q14" i="2" s="1"/>
  <c r="O12" i="2"/>
  <c r="Q12" i="2" s="1"/>
  <c r="O10" i="2"/>
  <c r="Q10" i="2" s="1"/>
  <c r="O8" i="2"/>
  <c r="Q8" i="2" s="1"/>
  <c r="O6" i="2"/>
  <c r="K18" i="2"/>
  <c r="L18" i="2" s="1"/>
  <c r="K17" i="2"/>
  <c r="L17" i="2" s="1"/>
  <c r="K16" i="2"/>
  <c r="L16" i="2" s="1"/>
  <c r="K15" i="2"/>
  <c r="L15" i="2" s="1"/>
  <c r="K14" i="2"/>
  <c r="K13" i="2"/>
  <c r="L13" i="2" s="1"/>
  <c r="K12" i="2"/>
  <c r="L12" i="2" s="1"/>
  <c r="K11" i="2"/>
  <c r="L11" i="2" s="1"/>
  <c r="K10" i="2"/>
  <c r="K9" i="2"/>
  <c r="K8" i="2"/>
  <c r="L8" i="2" s="1"/>
  <c r="K7" i="2"/>
  <c r="L7" i="2" s="1"/>
  <c r="K6" i="2"/>
  <c r="J6" i="2"/>
  <c r="L6" i="2" s="1"/>
  <c r="V17" i="2"/>
  <c r="Q13" i="2"/>
  <c r="L14" i="2"/>
  <c r="Q11" i="2"/>
  <c r="AA11" i="2"/>
  <c r="Q9" i="2"/>
  <c r="L10" i="2"/>
  <c r="L9" i="2"/>
  <c r="Q7" i="2"/>
  <c r="AA7" i="2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AL81" i="7"/>
  <c r="H8" i="37" l="1"/>
  <c r="H9" i="37" s="1"/>
  <c r="H10" i="37" s="1"/>
  <c r="I4" i="37"/>
  <c r="D56" i="36"/>
  <c r="U7" i="36"/>
  <c r="U8" i="36"/>
  <c r="U9" i="36" s="1"/>
  <c r="T12" i="36"/>
  <c r="T10" i="36"/>
  <c r="T18" i="36"/>
  <c r="T14" i="36"/>
  <c r="H10" i="35"/>
  <c r="H11" i="35" s="1"/>
  <c r="H9" i="35"/>
  <c r="M15" i="34"/>
  <c r="Q13" i="34"/>
  <c r="Q10" i="34"/>
  <c r="Q9" i="34"/>
  <c r="Q8" i="34"/>
  <c r="Q7" i="34"/>
  <c r="P14" i="34"/>
  <c r="Q14" i="34" s="1"/>
  <c r="C24" i="34"/>
  <c r="I10" i="34" s="1"/>
  <c r="H8" i="34"/>
  <c r="I9" i="34"/>
  <c r="D56" i="33"/>
  <c r="E7" i="33"/>
  <c r="E32" i="33"/>
  <c r="C56" i="33" s="1"/>
  <c r="U7" i="33"/>
  <c r="H10" i="31"/>
  <c r="H9" i="31"/>
  <c r="R12" i="26"/>
  <c r="D51" i="26"/>
  <c r="C52" i="26"/>
  <c r="C42" i="25"/>
  <c r="C43" i="25" s="1"/>
  <c r="E43" i="25" s="1"/>
  <c r="C56" i="25" s="1"/>
  <c r="J43" i="4"/>
  <c r="E43" i="4" s="1"/>
  <c r="AK13" i="4" s="1"/>
  <c r="BF29" i="5"/>
  <c r="X23" i="6"/>
  <c r="BH28" i="5"/>
  <c r="BF32" i="5"/>
  <c r="J47" i="5"/>
  <c r="BG29" i="5"/>
  <c r="J42" i="5"/>
  <c r="K51" i="5" s="1"/>
  <c r="J40" i="7"/>
  <c r="E40" i="7" s="1"/>
  <c r="V6" i="2"/>
  <c r="H37" i="3"/>
  <c r="M7" i="3" s="1"/>
  <c r="H45" i="3"/>
  <c r="M15" i="3" s="1"/>
  <c r="BA13" i="5"/>
  <c r="BE22" i="5"/>
  <c r="D59" i="7"/>
  <c r="J37" i="4"/>
  <c r="E37" i="4" s="1"/>
  <c r="J41" i="5"/>
  <c r="S7" i="26"/>
  <c r="D52" i="26" s="1"/>
  <c r="BE13" i="5"/>
  <c r="BH31" i="5"/>
  <c r="D63" i="5"/>
  <c r="BD27" i="5"/>
  <c r="BC27" i="5"/>
  <c r="X28" i="6"/>
  <c r="X34" i="6"/>
  <c r="D65" i="7"/>
  <c r="J38" i="5"/>
  <c r="J44" i="7"/>
  <c r="E44" i="7" s="1"/>
  <c r="F43" i="7" s="1"/>
  <c r="AL17" i="7" s="1"/>
  <c r="D55" i="7"/>
  <c r="D59" i="4"/>
  <c r="J39" i="4"/>
  <c r="E39" i="4" s="1"/>
  <c r="D63" i="7"/>
  <c r="D57" i="7"/>
  <c r="D53" i="5"/>
  <c r="D61" i="4"/>
  <c r="S13" i="3"/>
  <c r="N15" i="3"/>
  <c r="N8" i="3"/>
  <c r="T8" i="3" s="1"/>
  <c r="BC26" i="5"/>
  <c r="BD26" i="5"/>
  <c r="BF26" i="5"/>
  <c r="BE26" i="5"/>
  <c r="BH26" i="5"/>
  <c r="AY20" i="5"/>
  <c r="BE20" i="5"/>
  <c r="BA20" i="5"/>
  <c r="BG20" i="5"/>
  <c r="BH20" i="5"/>
  <c r="BD20" i="5"/>
  <c r="AZ20" i="5"/>
  <c r="BC20" i="5"/>
  <c r="E8" i="22"/>
  <c r="D26" i="22" s="1"/>
  <c r="E36" i="22" s="1"/>
  <c r="E40" i="22" s="1"/>
  <c r="E41" i="22" s="1"/>
  <c r="D43" i="22"/>
  <c r="S7" i="3"/>
  <c r="U7" i="3" s="1"/>
  <c r="N6" i="3"/>
  <c r="T6" i="3" s="1"/>
  <c r="U6" i="3" s="1"/>
  <c r="D55" i="3"/>
  <c r="D57" i="3"/>
  <c r="E32" i="25"/>
  <c r="D33" i="25"/>
  <c r="BF33" i="5"/>
  <c r="BH33" i="5"/>
  <c r="BG33" i="5"/>
  <c r="X19" i="6"/>
  <c r="N9" i="3"/>
  <c r="H38" i="3"/>
  <c r="M8" i="3" s="1"/>
  <c r="BB20" i="5"/>
  <c r="AL16" i="5"/>
  <c r="E45" i="5"/>
  <c r="X25" i="6"/>
  <c r="X21" i="6"/>
  <c r="AK8" i="4"/>
  <c r="D63" i="4"/>
  <c r="H42" i="3"/>
  <c r="J43" i="5"/>
  <c r="AL14" i="5" s="1"/>
  <c r="X29" i="6"/>
  <c r="X24" i="6"/>
  <c r="J47" i="4"/>
  <c r="E47" i="4" s="1"/>
  <c r="AK16" i="4" s="1"/>
  <c r="J37" i="7"/>
  <c r="E37" i="7" s="1"/>
  <c r="F36" i="7" s="1"/>
  <c r="AL6" i="7" s="1"/>
  <c r="R14" i="26"/>
  <c r="BE21" i="5"/>
  <c r="BH27" i="5"/>
  <c r="BE27" i="5"/>
  <c r="X32" i="6"/>
  <c r="X26" i="6"/>
  <c r="J45" i="4"/>
  <c r="E45" i="4" s="1"/>
  <c r="D53" i="7"/>
  <c r="C44" i="25"/>
  <c r="C45" i="25" s="1"/>
  <c r="E45" i="25" s="1"/>
  <c r="C58" i="25" s="1"/>
  <c r="C54" i="26"/>
  <c r="D7" i="30"/>
  <c r="J38" i="4"/>
  <c r="E38" i="4" s="1"/>
  <c r="F37" i="4" s="1"/>
  <c r="AL9" i="4" s="1"/>
  <c r="D55" i="5"/>
  <c r="J42" i="7"/>
  <c r="K51" i="7" s="1"/>
  <c r="K52" i="7" s="1"/>
  <c r="J40" i="5"/>
  <c r="E40" i="5" s="1"/>
  <c r="D57" i="4"/>
  <c r="J47" i="7"/>
  <c r="E47" i="7" s="1"/>
  <c r="AK25" i="7" s="1"/>
  <c r="D25" i="22"/>
  <c r="D36" i="22" s="1"/>
  <c r="D40" i="22" s="1"/>
  <c r="D41" i="22" s="1"/>
  <c r="T14" i="33"/>
  <c r="Q6" i="2"/>
  <c r="H44" i="3"/>
  <c r="M14" i="3" s="1"/>
  <c r="N13" i="3" s="1"/>
  <c r="T11" i="3" s="1"/>
  <c r="D63" i="3"/>
  <c r="BB19" i="5"/>
  <c r="BA22" i="5"/>
  <c r="BC24" i="5"/>
  <c r="BG28" i="5"/>
  <c r="BE28" i="5"/>
  <c r="X27" i="6"/>
  <c r="X22" i="6"/>
  <c r="J41" i="4"/>
  <c r="E41" i="4" s="1"/>
  <c r="AK11" i="4" s="1"/>
  <c r="J37" i="5"/>
  <c r="AL8" i="5" s="1"/>
  <c r="D59" i="5"/>
  <c r="J39" i="5"/>
  <c r="AL10" i="5" s="1"/>
  <c r="J43" i="7"/>
  <c r="E43" i="7" s="1"/>
  <c r="AK18" i="7" s="1"/>
  <c r="J46" i="7"/>
  <c r="E46" i="7" s="1"/>
  <c r="AK23" i="7" s="1"/>
  <c r="D51" i="7"/>
  <c r="D61" i="7"/>
  <c r="D55" i="4"/>
  <c r="D53" i="4"/>
  <c r="J40" i="4"/>
  <c r="E40" i="4" s="1"/>
  <c r="J46" i="4"/>
  <c r="E46" i="4" s="1"/>
  <c r="J42" i="4"/>
  <c r="E42" i="4" s="1"/>
  <c r="J44" i="4"/>
  <c r="E44" i="4" s="1"/>
  <c r="D51" i="4"/>
  <c r="T16" i="33"/>
  <c r="S7" i="25"/>
  <c r="D52" i="25" s="1"/>
  <c r="R12" i="25"/>
  <c r="N10" i="3"/>
  <c r="S11" i="3"/>
  <c r="N7" i="3"/>
  <c r="T7" i="3" s="1"/>
  <c r="S8" i="3"/>
  <c r="M12" i="3"/>
  <c r="I51" i="3"/>
  <c r="I52" i="3" s="1"/>
  <c r="M18" i="3" s="1"/>
  <c r="AL12" i="5"/>
  <c r="E41" i="5"/>
  <c r="S12" i="3"/>
  <c r="N16" i="3"/>
  <c r="T13" i="3" s="1"/>
  <c r="U13" i="3" s="1"/>
  <c r="S14" i="3"/>
  <c r="AL9" i="5"/>
  <c r="E38" i="5"/>
  <c r="E42" i="5"/>
  <c r="AZ13" i="5"/>
  <c r="BD13" i="5"/>
  <c r="BH13" i="5"/>
  <c r="BA19" i="5"/>
  <c r="BE19" i="5"/>
  <c r="AY19" i="5"/>
  <c r="BD21" i="5"/>
  <c r="BH21" i="5"/>
  <c r="BD22" i="5"/>
  <c r="BH22" i="5"/>
  <c r="BD23" i="5"/>
  <c r="BH23" i="5"/>
  <c r="BF24" i="5"/>
  <c r="BF27" i="5"/>
  <c r="BB24" i="5"/>
  <c r="BF31" i="5"/>
  <c r="BG32" i="5"/>
  <c r="BG30" i="5"/>
  <c r="BF30" i="5"/>
  <c r="BE30" i="5"/>
  <c r="BE31" i="5"/>
  <c r="J44" i="5"/>
  <c r="D57" i="5"/>
  <c r="X20" i="6"/>
  <c r="X18" i="6"/>
  <c r="F46" i="4"/>
  <c r="AL15" i="4" s="1"/>
  <c r="AK11" i="7"/>
  <c r="AX13" i="5"/>
  <c r="BB13" i="5"/>
  <c r="BF13" i="5"/>
  <c r="AX19" i="5"/>
  <c r="BC19" i="5"/>
  <c r="BG19" i="5"/>
  <c r="BB21" i="5"/>
  <c r="BF21" i="5"/>
  <c r="BB22" i="5"/>
  <c r="BF22" i="5"/>
  <c r="BD24" i="5"/>
  <c r="BH24" i="5"/>
  <c r="AL13" i="5"/>
  <c r="J46" i="5"/>
  <c r="K52" i="5"/>
  <c r="D65" i="5"/>
  <c r="F36" i="4"/>
  <c r="AL8" i="4" s="1"/>
  <c r="AK9" i="4"/>
  <c r="AK12" i="7"/>
  <c r="F39" i="7"/>
  <c r="AL11" i="7" s="1"/>
  <c r="F40" i="7"/>
  <c r="AL12" i="7" s="1"/>
  <c r="AR13" i="5"/>
  <c r="AY13" i="5"/>
  <c r="BC13" i="5"/>
  <c r="AZ19" i="5"/>
  <c r="BD19" i="5"/>
  <c r="BC21" i="5"/>
  <c r="BG21" i="5"/>
  <c r="BC22" i="5"/>
  <c r="BD29" i="5"/>
  <c r="BH29" i="5"/>
  <c r="D51" i="5"/>
  <c r="D61" i="5"/>
  <c r="I51" i="4"/>
  <c r="J51" i="4" s="1"/>
  <c r="AJ6" i="7"/>
  <c r="J45" i="7"/>
  <c r="E45" i="7" s="1"/>
  <c r="F44" i="7" s="1"/>
  <c r="AL20" i="7" s="1"/>
  <c r="D65" i="4"/>
  <c r="AK22" i="7"/>
  <c r="E8" i="19"/>
  <c r="E9" i="19" s="1"/>
  <c r="J38" i="7"/>
  <c r="E38" i="7" s="1"/>
  <c r="AK9" i="7" s="1"/>
  <c r="AK14" i="7"/>
  <c r="AK13" i="7"/>
  <c r="E42" i="25"/>
  <c r="R14" i="25"/>
  <c r="E6" i="1"/>
  <c r="E8" i="20"/>
  <c r="E9" i="20" s="1"/>
  <c r="E7" i="21"/>
  <c r="E8" i="21" s="1"/>
  <c r="E44" i="25"/>
  <c r="C57" i="25" s="1"/>
  <c r="R10" i="25"/>
  <c r="C52" i="25"/>
  <c r="C21" i="28"/>
  <c r="D32" i="28" s="1"/>
  <c r="D36" i="28" s="1"/>
  <c r="D37" i="28" s="1"/>
  <c r="D39" i="28"/>
  <c r="D7" i="28"/>
  <c r="R10" i="26"/>
  <c r="T10" i="33"/>
  <c r="D6" i="27"/>
  <c r="D8" i="30"/>
  <c r="T18" i="33"/>
  <c r="T12" i="33"/>
  <c r="D58" i="36" l="1"/>
  <c r="D59" i="36"/>
  <c r="D57" i="36"/>
  <c r="U10" i="36"/>
  <c r="U11" i="36"/>
  <c r="U12" i="36"/>
  <c r="H12" i="35"/>
  <c r="H15" i="35" s="1"/>
  <c r="H13" i="35"/>
  <c r="H14" i="35"/>
  <c r="H16" i="35" s="1"/>
  <c r="U8" i="33"/>
  <c r="D58" i="33"/>
  <c r="D57" i="33"/>
  <c r="F42" i="4"/>
  <c r="AL12" i="4" s="1"/>
  <c r="F38" i="4"/>
  <c r="AL10" i="4" s="1"/>
  <c r="E8" i="33"/>
  <c r="H11" i="31"/>
  <c r="S8" i="26"/>
  <c r="AK10" i="4"/>
  <c r="AM10" i="4" s="1"/>
  <c r="AK24" i="7"/>
  <c r="F46" i="7"/>
  <c r="AL19" i="7"/>
  <c r="AK19" i="7"/>
  <c r="AK20" i="7"/>
  <c r="AM20" i="7" s="1"/>
  <c r="AM8" i="4"/>
  <c r="AL18" i="5"/>
  <c r="E47" i="5"/>
  <c r="F44" i="4"/>
  <c r="AL14" i="4" s="1"/>
  <c r="E43" i="22"/>
  <c r="E9" i="22"/>
  <c r="D27" i="22" s="1"/>
  <c r="F36" i="22" s="1"/>
  <c r="F40" i="22" s="1"/>
  <c r="F41" i="22" s="1"/>
  <c r="AK7" i="7"/>
  <c r="AL11" i="5"/>
  <c r="E37" i="5"/>
  <c r="F36" i="5" s="1"/>
  <c r="E42" i="7"/>
  <c r="F42" i="7" s="1"/>
  <c r="AK8" i="7"/>
  <c r="F39" i="4"/>
  <c r="F38" i="7"/>
  <c r="AL9" i="7" s="1"/>
  <c r="AM6" i="7"/>
  <c r="AL5" i="7"/>
  <c r="AM5" i="7" s="1"/>
  <c r="K51" i="4"/>
  <c r="K52" i="4" s="1"/>
  <c r="F43" i="4"/>
  <c r="AL13" i="4" s="1"/>
  <c r="AM13" i="4" s="1"/>
  <c r="I53" i="3"/>
  <c r="M19" i="3" s="1"/>
  <c r="E33" i="25"/>
  <c r="C53" i="25" s="1"/>
  <c r="D34" i="25"/>
  <c r="E44" i="22"/>
  <c r="E10" i="19"/>
  <c r="D44" i="22"/>
  <c r="D40" i="28"/>
  <c r="AK14" i="4"/>
  <c r="N14" i="3"/>
  <c r="T12" i="3" s="1"/>
  <c r="E39" i="5"/>
  <c r="F38" i="5" s="1"/>
  <c r="AL10" i="7"/>
  <c r="AM9" i="7"/>
  <c r="F40" i="4"/>
  <c r="U8" i="3"/>
  <c r="E43" i="5"/>
  <c r="F42" i="5" s="1"/>
  <c r="AL18" i="7"/>
  <c r="AM18" i="7" s="1"/>
  <c r="AK17" i="7"/>
  <c r="AM17" i="7" s="1"/>
  <c r="AM11" i="7"/>
  <c r="AK15" i="4"/>
  <c r="AM15" i="4" s="1"/>
  <c r="F45" i="4"/>
  <c r="AM9" i="4"/>
  <c r="S8" i="25"/>
  <c r="D53" i="25" s="1"/>
  <c r="E43" i="21"/>
  <c r="C22" i="28"/>
  <c r="E32" i="28" s="1"/>
  <c r="E36" i="28" s="1"/>
  <c r="E37" i="28" s="1"/>
  <c r="E7" i="1"/>
  <c r="E8" i="1" s="1"/>
  <c r="E48" i="7"/>
  <c r="K53" i="7"/>
  <c r="E49" i="7" s="1"/>
  <c r="F37" i="7"/>
  <c r="AK10" i="7"/>
  <c r="F37" i="5"/>
  <c r="U12" i="3"/>
  <c r="D9" i="30"/>
  <c r="D10" i="30" s="1"/>
  <c r="D7" i="27"/>
  <c r="D8" i="27" s="1"/>
  <c r="AM19" i="7"/>
  <c r="E10" i="20"/>
  <c r="AK21" i="7"/>
  <c r="AM12" i="7"/>
  <c r="F41" i="5"/>
  <c r="F40" i="5"/>
  <c r="N17" i="3"/>
  <c r="T14" i="3" s="1"/>
  <c r="U14" i="3" s="1"/>
  <c r="S15" i="3"/>
  <c r="S16" i="3"/>
  <c r="S17" i="3"/>
  <c r="S18" i="3"/>
  <c r="E39" i="28"/>
  <c r="D8" i="28"/>
  <c r="C23" i="28" s="1"/>
  <c r="F32" i="28" s="1"/>
  <c r="F36" i="28" s="1"/>
  <c r="F37" i="28" s="1"/>
  <c r="F41" i="4"/>
  <c r="AL11" i="4" s="1"/>
  <c r="AM11" i="4" s="1"/>
  <c r="AK12" i="4"/>
  <c r="AM12" i="4" s="1"/>
  <c r="E48" i="5"/>
  <c r="AL19" i="5"/>
  <c r="F45" i="7"/>
  <c r="AL21" i="7" s="1"/>
  <c r="N18" i="3"/>
  <c r="S19" i="3"/>
  <c r="S20" i="3"/>
  <c r="S21" i="3"/>
  <c r="S22" i="3"/>
  <c r="S23" i="3"/>
  <c r="I54" i="3"/>
  <c r="M20" i="3" s="1"/>
  <c r="U11" i="3"/>
  <c r="K53" i="5"/>
  <c r="E9" i="21"/>
  <c r="E10" i="21" s="1"/>
  <c r="D26" i="21"/>
  <c r="E36" i="21" s="1"/>
  <c r="D25" i="21"/>
  <c r="D36" i="21" s="1"/>
  <c r="D43" i="21"/>
  <c r="AL17" i="5"/>
  <c r="E46" i="5"/>
  <c r="AL15" i="5"/>
  <c r="E44" i="5"/>
  <c r="N11" i="3"/>
  <c r="T9" i="3" s="1"/>
  <c r="U9" i="3" s="1"/>
  <c r="S10" i="3"/>
  <c r="N12" i="3"/>
  <c r="T10" i="3" s="1"/>
  <c r="D62" i="36" l="1"/>
  <c r="D61" i="36"/>
  <c r="D60" i="36"/>
  <c r="U13" i="36"/>
  <c r="H17" i="35"/>
  <c r="U9" i="33"/>
  <c r="D59" i="33" s="1"/>
  <c r="E9" i="33"/>
  <c r="E10" i="33"/>
  <c r="H12" i="31"/>
  <c r="H16" i="31" s="1"/>
  <c r="H17" i="31" s="1"/>
  <c r="K17" i="31" s="1"/>
  <c r="H13" i="31"/>
  <c r="H14" i="31"/>
  <c r="H15" i="31"/>
  <c r="S9" i="26"/>
  <c r="D53" i="26"/>
  <c r="AL23" i="7"/>
  <c r="AM23" i="7" s="1"/>
  <c r="AL22" i="7"/>
  <c r="AM22" i="7" s="1"/>
  <c r="AK15" i="7"/>
  <c r="F47" i="5"/>
  <c r="AM14" i="4"/>
  <c r="E10" i="22"/>
  <c r="E11" i="22" s="1"/>
  <c r="H43" i="22" s="1"/>
  <c r="F43" i="22"/>
  <c r="F44" i="22" s="1"/>
  <c r="K54" i="7"/>
  <c r="E50" i="7" s="1"/>
  <c r="F49" i="7" s="1"/>
  <c r="E40" i="28"/>
  <c r="E11" i="19"/>
  <c r="E12" i="19" s="1"/>
  <c r="AK16" i="7"/>
  <c r="F41" i="7"/>
  <c r="AM10" i="7"/>
  <c r="F39" i="5"/>
  <c r="D11" i="30"/>
  <c r="D12" i="30" s="1"/>
  <c r="D9" i="27"/>
  <c r="D10" i="27" s="1"/>
  <c r="D11" i="27" s="1"/>
  <c r="E34" i="25"/>
  <c r="C54" i="25" s="1"/>
  <c r="D35" i="25"/>
  <c r="E35" i="25" s="1"/>
  <c r="C55" i="25" s="1"/>
  <c r="S9" i="25"/>
  <c r="D54" i="25" s="1"/>
  <c r="AL15" i="7"/>
  <c r="AM15" i="7" s="1"/>
  <c r="AL16" i="7"/>
  <c r="AM16" i="7" s="1"/>
  <c r="E48" i="4"/>
  <c r="U10" i="3"/>
  <c r="K53" i="4"/>
  <c r="E49" i="4" s="1"/>
  <c r="E40" i="21"/>
  <c r="E41" i="21" s="1"/>
  <c r="E53" i="21"/>
  <c r="E57" i="21" s="1"/>
  <c r="E58" i="21" s="1"/>
  <c r="E11" i="20"/>
  <c r="E12" i="22"/>
  <c r="E13" i="22" s="1"/>
  <c r="AK32" i="7"/>
  <c r="AK36" i="7"/>
  <c r="AK35" i="7"/>
  <c r="AK31" i="7"/>
  <c r="AK34" i="7"/>
  <c r="F48" i="7"/>
  <c r="AK33" i="7"/>
  <c r="D60" i="21"/>
  <c r="F43" i="21"/>
  <c r="D28" i="21"/>
  <c r="G36" i="21" s="1"/>
  <c r="AL20" i="5"/>
  <c r="E49" i="5"/>
  <c r="F48" i="5" s="1"/>
  <c r="T15" i="3"/>
  <c r="U15" i="3" s="1"/>
  <c r="T16" i="3"/>
  <c r="U16" i="3" s="1"/>
  <c r="T17" i="3"/>
  <c r="U17" i="3" s="1"/>
  <c r="T18" i="3"/>
  <c r="U18" i="3" s="1"/>
  <c r="E11" i="21"/>
  <c r="F39" i="28"/>
  <c r="F40" i="28" s="1"/>
  <c r="AK28" i="7"/>
  <c r="F47" i="7"/>
  <c r="AK30" i="7"/>
  <c r="AK26" i="7"/>
  <c r="AK29" i="7"/>
  <c r="AK27" i="7"/>
  <c r="E9" i="1"/>
  <c r="E10" i="1" s="1"/>
  <c r="E44" i="21"/>
  <c r="E60" i="21"/>
  <c r="E61" i="21" s="1"/>
  <c r="F44" i="5"/>
  <c r="F43" i="5"/>
  <c r="F46" i="5"/>
  <c r="F45" i="5"/>
  <c r="I55" i="3"/>
  <c r="I56" i="3" s="1"/>
  <c r="M22" i="3" s="1"/>
  <c r="G43" i="22"/>
  <c r="D29" i="22"/>
  <c r="H36" i="22" s="1"/>
  <c r="H40" i="22" s="1"/>
  <c r="H41" i="22" s="1"/>
  <c r="D28" i="22"/>
  <c r="G36" i="22" s="1"/>
  <c r="G40" i="22" s="1"/>
  <c r="G41" i="22" s="1"/>
  <c r="AK40" i="7"/>
  <c r="D27" i="21"/>
  <c r="F36" i="21" s="1"/>
  <c r="G43" i="21"/>
  <c r="D29" i="21"/>
  <c r="H36" i="21" s="1"/>
  <c r="D40" i="21"/>
  <c r="D41" i="21" s="1"/>
  <c r="D53" i="21"/>
  <c r="D57" i="21" s="1"/>
  <c r="D58" i="21" s="1"/>
  <c r="S25" i="3"/>
  <c r="S26" i="3"/>
  <c r="N19" i="3"/>
  <c r="S24" i="3"/>
  <c r="K54" i="5"/>
  <c r="AM21" i="7"/>
  <c r="D9" i="28"/>
  <c r="AL7" i="7"/>
  <c r="AM7" i="7" s="1"/>
  <c r="AL8" i="7"/>
  <c r="AM8" i="7" s="1"/>
  <c r="U14" i="36" l="1"/>
  <c r="D64" i="36" s="1"/>
  <c r="D63" i="36"/>
  <c r="H18" i="35"/>
  <c r="L18" i="35"/>
  <c r="P5" i="35" s="1"/>
  <c r="U10" i="33"/>
  <c r="E11" i="33"/>
  <c r="E12" i="33"/>
  <c r="H18" i="31"/>
  <c r="K18" i="31" s="1"/>
  <c r="G21" i="31" s="1"/>
  <c r="P5" i="31" s="1"/>
  <c r="S10" i="26"/>
  <c r="D54" i="26"/>
  <c r="AK37" i="7"/>
  <c r="AK39" i="7"/>
  <c r="AK38" i="7"/>
  <c r="K55" i="7"/>
  <c r="K56" i="7" s="1"/>
  <c r="AL13" i="7"/>
  <c r="AM13" i="7" s="1"/>
  <c r="AL14" i="7"/>
  <c r="AM14" i="7" s="1"/>
  <c r="D61" i="21"/>
  <c r="E13" i="19"/>
  <c r="E15" i="19" s="1"/>
  <c r="K54" i="4"/>
  <c r="E50" i="4" s="1"/>
  <c r="F49" i="4" s="1"/>
  <c r="S10" i="25"/>
  <c r="S11" i="25" s="1"/>
  <c r="D56" i="25" s="1"/>
  <c r="D13" i="30"/>
  <c r="D14" i="30" s="1"/>
  <c r="D22" i="30" s="1"/>
  <c r="G44" i="22"/>
  <c r="E14" i="19"/>
  <c r="E14" i="22"/>
  <c r="D12" i="27"/>
  <c r="S30" i="3"/>
  <c r="S31" i="3"/>
  <c r="AL21" i="5"/>
  <c r="E50" i="5"/>
  <c r="F49" i="5" s="1"/>
  <c r="T19" i="3"/>
  <c r="U19" i="3" s="1"/>
  <c r="T20" i="3"/>
  <c r="U20" i="3" s="1"/>
  <c r="T21" i="3"/>
  <c r="U21" i="3" s="1"/>
  <c r="T22" i="3"/>
  <c r="U22" i="3" s="1"/>
  <c r="T23" i="3"/>
  <c r="U23" i="3" s="1"/>
  <c r="G60" i="21"/>
  <c r="K55" i="5"/>
  <c r="K56" i="5" s="1"/>
  <c r="K57" i="5" s="1"/>
  <c r="I57" i="3"/>
  <c r="M23" i="3" s="1"/>
  <c r="D10" i="28"/>
  <c r="H39" i="28" s="1"/>
  <c r="H43" i="21"/>
  <c r="D44" i="21"/>
  <c r="F47" i="4"/>
  <c r="AL16" i="4" s="1"/>
  <c r="AM16" i="4" s="1"/>
  <c r="AK18" i="4"/>
  <c r="AK20" i="4"/>
  <c r="AK17" i="4"/>
  <c r="AK19" i="4"/>
  <c r="E12" i="21"/>
  <c r="E13" i="21" s="1"/>
  <c r="F40" i="21"/>
  <c r="F41" i="21" s="1"/>
  <c r="F53" i="21"/>
  <c r="F57" i="21" s="1"/>
  <c r="F58" i="21" s="1"/>
  <c r="M21" i="3"/>
  <c r="N21" i="3" s="1"/>
  <c r="G40" i="21"/>
  <c r="G41" i="21" s="1"/>
  <c r="G53" i="21"/>
  <c r="G57" i="21" s="1"/>
  <c r="G58" i="21" s="1"/>
  <c r="AL26" i="7"/>
  <c r="AM26" i="7" s="1"/>
  <c r="AL28" i="7"/>
  <c r="AL30" i="7"/>
  <c r="AM30" i="7" s="1"/>
  <c r="AL27" i="7"/>
  <c r="AM27" i="7" s="1"/>
  <c r="AL29" i="7"/>
  <c r="AM29" i="7" s="1"/>
  <c r="I58" i="3"/>
  <c r="M24" i="3" s="1"/>
  <c r="F48" i="4"/>
  <c r="AK21" i="4"/>
  <c r="AK23" i="4"/>
  <c r="AK25" i="4"/>
  <c r="AK22" i="4"/>
  <c r="AK24" i="4"/>
  <c r="AL33" i="7"/>
  <c r="AM33" i="7" s="1"/>
  <c r="AL32" i="7"/>
  <c r="AM32" i="7" s="1"/>
  <c r="AL36" i="7"/>
  <c r="AM36" i="7" s="1"/>
  <c r="AL31" i="7"/>
  <c r="AM31" i="7" s="1"/>
  <c r="AL35" i="7"/>
  <c r="AM35" i="7" s="1"/>
  <c r="AL34" i="7"/>
  <c r="AM34" i="7" s="1"/>
  <c r="AL24" i="7"/>
  <c r="AM24" i="7" s="1"/>
  <c r="AL25" i="7"/>
  <c r="AM25" i="7" s="1"/>
  <c r="F60" i="21"/>
  <c r="E12" i="20"/>
  <c r="E13" i="20" s="1"/>
  <c r="E11" i="1"/>
  <c r="E12" i="1" s="1"/>
  <c r="C29" i="1" s="1"/>
  <c r="I5" i="1" s="1"/>
  <c r="H44" i="22"/>
  <c r="G39" i="28"/>
  <c r="H40" i="21"/>
  <c r="H41" i="21" s="1"/>
  <c r="H53" i="21"/>
  <c r="H57" i="21" s="1"/>
  <c r="H58" i="21" s="1"/>
  <c r="D11" i="28"/>
  <c r="AM28" i="7"/>
  <c r="C24" i="28"/>
  <c r="G32" i="28" s="1"/>
  <c r="G36" i="28" s="1"/>
  <c r="G37" i="28" s="1"/>
  <c r="U15" i="36" l="1"/>
  <c r="U16" i="36"/>
  <c r="D65" i="36" s="1"/>
  <c r="U17" i="36"/>
  <c r="U18" i="36"/>
  <c r="U11" i="33"/>
  <c r="D61" i="33" s="1"/>
  <c r="U12" i="33"/>
  <c r="D60" i="33"/>
  <c r="E13" i="33"/>
  <c r="D55" i="26"/>
  <c r="S11" i="26"/>
  <c r="D56" i="26" s="1"/>
  <c r="E51" i="7"/>
  <c r="AK26" i="4"/>
  <c r="K55" i="4"/>
  <c r="E51" i="4" s="1"/>
  <c r="AK30" i="4" s="1"/>
  <c r="AK27" i="4"/>
  <c r="F61" i="21"/>
  <c r="AK28" i="4"/>
  <c r="C25" i="28"/>
  <c r="H32" i="28" s="1"/>
  <c r="H36" i="28" s="1"/>
  <c r="H37" i="28" s="1"/>
  <c r="H40" i="28" s="1"/>
  <c r="D42" i="28" s="1"/>
  <c r="D46" i="22"/>
  <c r="C51" i="22" s="1"/>
  <c r="D55" i="25"/>
  <c r="D26" i="30"/>
  <c r="D27" i="30" s="1"/>
  <c r="F44" i="21"/>
  <c r="G40" i="28"/>
  <c r="E16" i="19"/>
  <c r="F50" i="4"/>
  <c r="AL28" i="4" s="1"/>
  <c r="AM28" i="4" s="1"/>
  <c r="K56" i="4"/>
  <c r="E52" i="4" s="1"/>
  <c r="AK33" i="4" s="1"/>
  <c r="S12" i="25"/>
  <c r="S13" i="25" s="1"/>
  <c r="D57" i="25" s="1"/>
  <c r="AL24" i="5"/>
  <c r="E53" i="5"/>
  <c r="T27" i="3"/>
  <c r="T28" i="3"/>
  <c r="T29" i="3"/>
  <c r="E14" i="20"/>
  <c r="E15" i="20" s="1"/>
  <c r="I59" i="3"/>
  <c r="M25" i="3" s="1"/>
  <c r="K57" i="7"/>
  <c r="D13" i="27"/>
  <c r="D14" i="27" s="1"/>
  <c r="C34" i="27" s="1"/>
  <c r="C38" i="27" s="1"/>
  <c r="C39" i="27" s="1"/>
  <c r="C41" i="27" s="1"/>
  <c r="K58" i="5"/>
  <c r="AL18" i="4"/>
  <c r="AM18" i="4" s="1"/>
  <c r="AL20" i="4"/>
  <c r="AM20" i="4" s="1"/>
  <c r="AL17" i="4"/>
  <c r="AM17" i="4" s="1"/>
  <c r="AL19" i="4"/>
  <c r="AM19" i="4" s="1"/>
  <c r="AK43" i="7"/>
  <c r="AK42" i="7"/>
  <c r="F50" i="7"/>
  <c r="AK41" i="7"/>
  <c r="AK44" i="7"/>
  <c r="S33" i="3"/>
  <c r="S34" i="3"/>
  <c r="N22" i="3"/>
  <c r="S32" i="3"/>
  <c r="E15" i="22"/>
  <c r="E16" i="22" s="1"/>
  <c r="E17" i="22" s="1"/>
  <c r="D12" i="28"/>
  <c r="D13" i="28" s="1"/>
  <c r="N23" i="3"/>
  <c r="S35" i="3"/>
  <c r="S36" i="3"/>
  <c r="E52" i="5"/>
  <c r="AL23" i="5"/>
  <c r="N20" i="3"/>
  <c r="S27" i="3"/>
  <c r="U27" i="3" s="1"/>
  <c r="S28" i="3"/>
  <c r="U28" i="3" s="1"/>
  <c r="S29" i="3"/>
  <c r="E52" i="7"/>
  <c r="G61" i="21"/>
  <c r="AL22" i="4"/>
  <c r="AM22" i="4" s="1"/>
  <c r="AL24" i="4"/>
  <c r="AM24" i="4" s="1"/>
  <c r="AL21" i="4"/>
  <c r="AM21" i="4" s="1"/>
  <c r="AL23" i="4"/>
  <c r="AM23" i="4" s="1"/>
  <c r="AL25" i="4"/>
  <c r="AM25" i="4" s="1"/>
  <c r="I60" i="3"/>
  <c r="E14" i="21"/>
  <c r="E15" i="21" s="1"/>
  <c r="H44" i="21"/>
  <c r="H60" i="21"/>
  <c r="H61" i="21" s="1"/>
  <c r="E51" i="5"/>
  <c r="F50" i="5" s="1"/>
  <c r="AL22" i="5"/>
  <c r="G44" i="21"/>
  <c r="D46" i="21" s="1"/>
  <c r="D66" i="36" l="1"/>
  <c r="U19" i="36"/>
  <c r="Z22" i="36" s="1"/>
  <c r="U13" i="33"/>
  <c r="D63" i="33" s="1"/>
  <c r="D62" i="33"/>
  <c r="E14" i="33"/>
  <c r="S12" i="26"/>
  <c r="S13" i="26" s="1"/>
  <c r="S14" i="26" s="1"/>
  <c r="AK29" i="4"/>
  <c r="K57" i="4"/>
  <c r="K58" i="4" s="1"/>
  <c r="AL26" i="4"/>
  <c r="AM26" i="4" s="1"/>
  <c r="D63" i="21"/>
  <c r="F51" i="4"/>
  <c r="AL30" i="4" s="1"/>
  <c r="AM30" i="4" s="1"/>
  <c r="AK31" i="4"/>
  <c r="D14" i="28"/>
  <c r="E17" i="19"/>
  <c r="U29" i="3"/>
  <c r="AL27" i="4"/>
  <c r="AM27" i="4" s="1"/>
  <c r="D29" i="30"/>
  <c r="D33" i="30" s="1"/>
  <c r="D37" i="30" s="1"/>
  <c r="AK32" i="4"/>
  <c r="E16" i="20"/>
  <c r="E17" i="20" s="1"/>
  <c r="E18" i="20" s="1"/>
  <c r="E19" i="20" s="1"/>
  <c r="D24" i="20" s="1"/>
  <c r="D25" i="20" s="1"/>
  <c r="D30" i="20" s="1"/>
  <c r="E16" i="21"/>
  <c r="E17" i="21" s="1"/>
  <c r="E18" i="21" s="1"/>
  <c r="E19" i="21" s="1"/>
  <c r="M26" i="3"/>
  <c r="I61" i="3"/>
  <c r="I62" i="3" s="1"/>
  <c r="M28" i="3" s="1"/>
  <c r="AL37" i="7"/>
  <c r="AM37" i="7" s="1"/>
  <c r="AL40" i="7"/>
  <c r="AM40" i="7" s="1"/>
  <c r="AL39" i="7"/>
  <c r="AM39" i="7" s="1"/>
  <c r="AL38" i="7"/>
  <c r="AM38" i="7" s="1"/>
  <c r="F51" i="5"/>
  <c r="T32" i="3"/>
  <c r="U32" i="3" s="1"/>
  <c r="T33" i="3"/>
  <c r="U33" i="3" s="1"/>
  <c r="T34" i="3"/>
  <c r="T30" i="3"/>
  <c r="U30" i="3" s="1"/>
  <c r="T31" i="3"/>
  <c r="U31" i="3" s="1"/>
  <c r="E54" i="5"/>
  <c r="F53" i="5" s="1"/>
  <c r="AL25" i="5"/>
  <c r="E53" i="7"/>
  <c r="K58" i="7"/>
  <c r="F51" i="7"/>
  <c r="AK47" i="7"/>
  <c r="AK46" i="7"/>
  <c r="AK45" i="7"/>
  <c r="T24" i="3"/>
  <c r="U24" i="3" s="1"/>
  <c r="T25" i="3"/>
  <c r="U25" i="3" s="1"/>
  <c r="T26" i="3"/>
  <c r="U26" i="3" s="1"/>
  <c r="E18" i="22"/>
  <c r="E19" i="22" s="1"/>
  <c r="U34" i="3"/>
  <c r="S38" i="3"/>
  <c r="S39" i="3"/>
  <c r="N24" i="3"/>
  <c r="S37" i="3"/>
  <c r="K59" i="5"/>
  <c r="F52" i="5"/>
  <c r="S14" i="25"/>
  <c r="C68" i="36" l="1"/>
  <c r="AF22" i="36"/>
  <c r="AA22" i="36"/>
  <c r="AD22" i="36"/>
  <c r="AC22" i="36"/>
  <c r="X22" i="36"/>
  <c r="AB22" i="36"/>
  <c r="AE22" i="36"/>
  <c r="Y22" i="36"/>
  <c r="U14" i="33"/>
  <c r="E53" i="4"/>
  <c r="D57" i="26"/>
  <c r="S15" i="26"/>
  <c r="D58" i="26" s="1"/>
  <c r="AL31" i="4"/>
  <c r="AM31" i="4" s="1"/>
  <c r="AL29" i="4"/>
  <c r="AM29" i="4" s="1"/>
  <c r="E18" i="19"/>
  <c r="E19" i="19" s="1"/>
  <c r="D24" i="19" s="1"/>
  <c r="D25" i="19" s="1"/>
  <c r="D30" i="19" s="1"/>
  <c r="D34" i="20"/>
  <c r="D35" i="20" s="1"/>
  <c r="AL26" i="5"/>
  <c r="E55" i="5"/>
  <c r="F54" i="5" s="1"/>
  <c r="S15" i="25"/>
  <c r="T35" i="3"/>
  <c r="U35" i="3" s="1"/>
  <c r="T36" i="3"/>
  <c r="U36" i="3" s="1"/>
  <c r="E54" i="7"/>
  <c r="K59" i="7"/>
  <c r="AK34" i="4"/>
  <c r="AK36" i="4"/>
  <c r="F52" i="4"/>
  <c r="AK35" i="4"/>
  <c r="S45" i="3"/>
  <c r="S46" i="3"/>
  <c r="K60" i="5"/>
  <c r="M27" i="3"/>
  <c r="N27" i="3" s="1"/>
  <c r="I63" i="3"/>
  <c r="AL44" i="7"/>
  <c r="AM44" i="7" s="1"/>
  <c r="AL43" i="7"/>
  <c r="AM43" i="7" s="1"/>
  <c r="AL42" i="7"/>
  <c r="AM42" i="7" s="1"/>
  <c r="AL41" i="7"/>
  <c r="AM41" i="7" s="1"/>
  <c r="F52" i="7"/>
  <c r="AK51" i="7"/>
  <c r="AK48" i="7"/>
  <c r="AK50" i="7"/>
  <c r="AK49" i="7"/>
  <c r="E54" i="4"/>
  <c r="K59" i="4"/>
  <c r="K60" i="4" s="1"/>
  <c r="N25" i="3"/>
  <c r="S40" i="3"/>
  <c r="S41" i="3"/>
  <c r="C70" i="36" l="1"/>
  <c r="U15" i="33"/>
  <c r="D64" i="33"/>
  <c r="C60" i="26"/>
  <c r="C62" i="26" s="1"/>
  <c r="D34" i="19"/>
  <c r="D35" i="19" s="1"/>
  <c r="D37" i="20"/>
  <c r="D43" i="20" s="1"/>
  <c r="D45" i="20" s="1"/>
  <c r="E56" i="4"/>
  <c r="K61" i="4"/>
  <c r="E55" i="4"/>
  <c r="E56" i="5"/>
  <c r="F55" i="5" s="1"/>
  <c r="AL27" i="5"/>
  <c r="AK38" i="4"/>
  <c r="F53" i="4"/>
  <c r="AK37" i="4"/>
  <c r="E55" i="7"/>
  <c r="AA17" i="25"/>
  <c r="Y17" i="25"/>
  <c r="Z17" i="25"/>
  <c r="V17" i="25"/>
  <c r="X17" i="25"/>
  <c r="AB17" i="25"/>
  <c r="W17" i="25"/>
  <c r="AL47" i="7"/>
  <c r="AM47" i="7" s="1"/>
  <c r="AL46" i="7"/>
  <c r="AM46" i="7" s="1"/>
  <c r="AL45" i="7"/>
  <c r="AM45" i="7" s="1"/>
  <c r="S43" i="3"/>
  <c r="N26" i="3"/>
  <c r="S42" i="3"/>
  <c r="S44" i="3"/>
  <c r="AL32" i="4"/>
  <c r="AM32" i="4" s="1"/>
  <c r="AL33" i="4"/>
  <c r="AM33" i="4" s="1"/>
  <c r="AK52" i="7"/>
  <c r="AK54" i="7"/>
  <c r="F53" i="7"/>
  <c r="AK53" i="7"/>
  <c r="D58" i="25"/>
  <c r="C60" i="25" s="1"/>
  <c r="C62" i="25" s="1"/>
  <c r="K61" i="5"/>
  <c r="K60" i="7"/>
  <c r="T37" i="3"/>
  <c r="U37" i="3" s="1"/>
  <c r="T38" i="3"/>
  <c r="U38" i="3" s="1"/>
  <c r="T39" i="3"/>
  <c r="U39" i="3" s="1"/>
  <c r="M29" i="3"/>
  <c r="I64" i="3"/>
  <c r="T42" i="3"/>
  <c r="T43" i="3"/>
  <c r="T44" i="3"/>
  <c r="U16" i="33" l="1"/>
  <c r="D65" i="33"/>
  <c r="U17" i="33"/>
  <c r="D37" i="19"/>
  <c r="E57" i="5"/>
  <c r="F56" i="5" s="1"/>
  <c r="AL28" i="5"/>
  <c r="K62" i="5"/>
  <c r="T40" i="3"/>
  <c r="U40" i="3" s="1"/>
  <c r="T41" i="3"/>
  <c r="U41" i="3" s="1"/>
  <c r="E57" i="4"/>
  <c r="K62" i="4"/>
  <c r="M30" i="3"/>
  <c r="N29" i="3" s="1"/>
  <c r="I65" i="3"/>
  <c r="U43" i="3"/>
  <c r="AK55" i="7"/>
  <c r="AK58" i="7"/>
  <c r="AK57" i="7"/>
  <c r="AK56" i="7"/>
  <c r="F54" i="7"/>
  <c r="AK42" i="4"/>
  <c r="F55" i="4"/>
  <c r="AK43" i="4"/>
  <c r="S47" i="3"/>
  <c r="S48" i="3"/>
  <c r="N28" i="3"/>
  <c r="U44" i="3"/>
  <c r="AL34" i="4"/>
  <c r="AM34" i="4" s="1"/>
  <c r="AL36" i="4"/>
  <c r="AM36" i="4" s="1"/>
  <c r="AL35" i="4"/>
  <c r="AM35" i="4" s="1"/>
  <c r="E56" i="7"/>
  <c r="K61" i="7"/>
  <c r="AL50" i="7"/>
  <c r="AM50" i="7" s="1"/>
  <c r="AL49" i="7"/>
  <c r="AM49" i="7" s="1"/>
  <c r="AL51" i="7"/>
  <c r="AM51" i="7" s="1"/>
  <c r="AL48" i="7"/>
  <c r="AM48" i="7" s="1"/>
  <c r="U42" i="3"/>
  <c r="AK40" i="4"/>
  <c r="AK39" i="4"/>
  <c r="AK41" i="4"/>
  <c r="F54" i="4"/>
  <c r="U18" i="33" l="1"/>
  <c r="D66" i="33" s="1"/>
  <c r="M31" i="3"/>
  <c r="I66" i="3"/>
  <c r="T45" i="3"/>
  <c r="U45" i="3" s="1"/>
  <c r="T46" i="3"/>
  <c r="U46" i="3" s="1"/>
  <c r="AL40" i="4"/>
  <c r="AM40" i="4" s="1"/>
  <c r="AL41" i="4"/>
  <c r="AM41" i="4" s="1"/>
  <c r="AL39" i="4"/>
  <c r="AM39" i="4" s="1"/>
  <c r="E57" i="7"/>
  <c r="K62" i="7"/>
  <c r="E58" i="4"/>
  <c r="K63" i="4"/>
  <c r="E58" i="5"/>
  <c r="F57" i="5" s="1"/>
  <c r="AL29" i="5"/>
  <c r="K63" i="5"/>
  <c r="F55" i="7"/>
  <c r="AK61" i="7"/>
  <c r="AK60" i="7"/>
  <c r="AK59" i="7"/>
  <c r="AK44" i="4"/>
  <c r="AK46" i="4"/>
  <c r="F56" i="4"/>
  <c r="AK45" i="4"/>
  <c r="U47" i="3"/>
  <c r="AL38" i="4"/>
  <c r="AM38" i="4" s="1"/>
  <c r="AL37" i="4"/>
  <c r="AM37" i="4" s="1"/>
  <c r="AL52" i="7"/>
  <c r="AM52" i="7" s="1"/>
  <c r="AL54" i="7"/>
  <c r="AM54" i="7" s="1"/>
  <c r="AL53" i="7"/>
  <c r="AM53" i="7" s="1"/>
  <c r="T47" i="3"/>
  <c r="T48" i="3"/>
  <c r="U48" i="3" s="1"/>
  <c r="C68" i="33" l="1"/>
  <c r="U19" i="33"/>
  <c r="Y22" i="33" s="1"/>
  <c r="AL43" i="4"/>
  <c r="AM43" i="4" s="1"/>
  <c r="AL42" i="4"/>
  <c r="AM42" i="4" s="1"/>
  <c r="AL30" i="5"/>
  <c r="E59" i="5"/>
  <c r="F58" i="5" s="1"/>
  <c r="K64" i="5"/>
  <c r="AK48" i="4"/>
  <c r="F57" i="4"/>
  <c r="AK47" i="4"/>
  <c r="E58" i="7"/>
  <c r="K63" i="7"/>
  <c r="AL56" i="7"/>
  <c r="AM56" i="7" s="1"/>
  <c r="AL55" i="7"/>
  <c r="AM55" i="7" s="1"/>
  <c r="AL58" i="7"/>
  <c r="AM58" i="7" s="1"/>
  <c r="AL57" i="7"/>
  <c r="AM57" i="7" s="1"/>
  <c r="AK64" i="7"/>
  <c r="AK63" i="7"/>
  <c r="F56" i="7"/>
  <c r="AK62" i="7"/>
  <c r="AK65" i="7"/>
  <c r="M32" i="3"/>
  <c r="N31" i="3" s="1"/>
  <c r="T49" i="3" s="1"/>
  <c r="I67" i="3"/>
  <c r="E59" i="4"/>
  <c r="K64" i="4"/>
  <c r="S49" i="3"/>
  <c r="N30" i="3"/>
  <c r="C70" i="33" l="1"/>
  <c r="X22" i="33"/>
  <c r="AD22" i="33"/>
  <c r="AA22" i="33"/>
  <c r="AB22" i="33"/>
  <c r="AF22" i="33"/>
  <c r="Z22" i="33"/>
  <c r="AC22" i="33"/>
  <c r="AE22" i="33"/>
  <c r="U49" i="3"/>
  <c r="E59" i="7"/>
  <c r="K64" i="7"/>
  <c r="AL59" i="7"/>
  <c r="AM59" i="7" s="1"/>
  <c r="AL61" i="7"/>
  <c r="AM61" i="7" s="1"/>
  <c r="AL60" i="7"/>
  <c r="AM60" i="7" s="1"/>
  <c r="E60" i="4"/>
  <c r="F59" i="4" s="1"/>
  <c r="K65" i="4"/>
  <c r="AK50" i="4"/>
  <c r="F58" i="4"/>
  <c r="AK49" i="4"/>
  <c r="AL45" i="4"/>
  <c r="AM45" i="4" s="1"/>
  <c r="AL44" i="4"/>
  <c r="AM44" i="4" s="1"/>
  <c r="AL46" i="4"/>
  <c r="AM46" i="4" s="1"/>
  <c r="M33" i="3"/>
  <c r="I68" i="3"/>
  <c r="AK67" i="7"/>
  <c r="F57" i="7"/>
  <c r="AK66" i="7"/>
  <c r="AK68" i="7"/>
  <c r="E60" i="5"/>
  <c r="F59" i="5" s="1"/>
  <c r="AL31" i="5"/>
  <c r="K65" i="5"/>
  <c r="M34" i="3" l="1"/>
  <c r="N33" i="3" s="1"/>
  <c r="T50" i="3" s="1"/>
  <c r="I69" i="3"/>
  <c r="AL49" i="4"/>
  <c r="AM49" i="4" s="1"/>
  <c r="AL50" i="4"/>
  <c r="AM50" i="4" s="1"/>
  <c r="AL62" i="7"/>
  <c r="AM62" i="7" s="1"/>
  <c r="AL65" i="7"/>
  <c r="AM65" i="7" s="1"/>
  <c r="AL64" i="7"/>
  <c r="AM64" i="7" s="1"/>
  <c r="AL63" i="7"/>
  <c r="AM63" i="7" s="1"/>
  <c r="N32" i="3"/>
  <c r="S50" i="3"/>
  <c r="U50" i="3" s="1"/>
  <c r="AL47" i="4"/>
  <c r="AM47" i="4" s="1"/>
  <c r="AL48" i="4"/>
  <c r="AM48" i="4" s="1"/>
  <c r="E61" i="5"/>
  <c r="F60" i="5" s="1"/>
  <c r="AL32" i="5"/>
  <c r="K66" i="5"/>
  <c r="E60" i="7"/>
  <c r="K65" i="7"/>
  <c r="E61" i="4"/>
  <c r="K66" i="4"/>
  <c r="AK71" i="7"/>
  <c r="AK70" i="7"/>
  <c r="AK69" i="7"/>
  <c r="F58" i="7"/>
  <c r="E62" i="5" l="1"/>
  <c r="F61" i="5" s="1"/>
  <c r="AL33" i="5"/>
  <c r="K67" i="5"/>
  <c r="E61" i="7"/>
  <c r="K66" i="7"/>
  <c r="AK51" i="4"/>
  <c r="F60" i="4"/>
  <c r="F59" i="7"/>
  <c r="AK72" i="7"/>
  <c r="E62" i="4"/>
  <c r="F61" i="4" s="1"/>
  <c r="AL51" i="4" s="1"/>
  <c r="K67" i="4"/>
  <c r="M35" i="3"/>
  <c r="I70" i="3"/>
  <c r="M36" i="3" s="1"/>
  <c r="AL68" i="7"/>
  <c r="AM68" i="7" s="1"/>
  <c r="AL67" i="7"/>
  <c r="AM67" i="7" s="1"/>
  <c r="AL66" i="7"/>
  <c r="AM66" i="7" s="1"/>
  <c r="N35" i="3" l="1"/>
  <c r="T51" i="3" s="1"/>
  <c r="E63" i="4"/>
  <c r="K68" i="4"/>
  <c r="AK73" i="7"/>
  <c r="F60" i="7"/>
  <c r="AL72" i="7" s="1"/>
  <c r="AM72" i="7" s="1"/>
  <c r="AK74" i="7"/>
  <c r="AM51" i="4"/>
  <c r="E63" i="5"/>
  <c r="F62" i="5" s="1"/>
  <c r="AL34" i="5"/>
  <c r="K68" i="5"/>
  <c r="S51" i="3"/>
  <c r="U51" i="3" s="1"/>
  <c r="Q54" i="3" s="1"/>
  <c r="N34" i="3"/>
  <c r="AL70" i="7"/>
  <c r="AM70" i="7" s="1"/>
  <c r="AL69" i="7"/>
  <c r="AM69" i="7" s="1"/>
  <c r="AL71" i="7"/>
  <c r="AM71" i="7" s="1"/>
  <c r="E62" i="7"/>
  <c r="K67" i="7"/>
  <c r="F61" i="7" l="1"/>
  <c r="AK75" i="7"/>
  <c r="E64" i="4"/>
  <c r="F63" i="4" s="1"/>
  <c r="AL52" i="4" s="1"/>
  <c r="K69" i="4"/>
  <c r="E63" i="7"/>
  <c r="K68" i="7"/>
  <c r="AL35" i="5"/>
  <c r="E64" i="5"/>
  <c r="F63" i="5" s="1"/>
  <c r="K69" i="5"/>
  <c r="AK52" i="4"/>
  <c r="F62" i="4"/>
  <c r="AM52" i="4" l="1"/>
  <c r="E64" i="7"/>
  <c r="K69" i="7"/>
  <c r="E65" i="5"/>
  <c r="F64" i="5" s="1"/>
  <c r="AL36" i="5"/>
  <c r="K70" i="5"/>
  <c r="AK76" i="7"/>
  <c r="AK77" i="7"/>
  <c r="F62" i="7"/>
  <c r="AL75" i="7" s="1"/>
  <c r="AM75" i="7" s="1"/>
  <c r="E65" i="4"/>
  <c r="K70" i="4"/>
  <c r="E66" i="4" s="1"/>
  <c r="F65" i="4" s="1"/>
  <c r="AL53" i="4" s="1"/>
  <c r="AL74" i="7"/>
  <c r="AM74" i="7" s="1"/>
  <c r="AL73" i="7"/>
  <c r="AM73" i="7" s="1"/>
  <c r="AK53" i="4" l="1"/>
  <c r="AM53" i="4" s="1"/>
  <c r="AI57" i="4" s="1"/>
  <c r="AI59" i="4" s="1"/>
  <c r="F64" i="4"/>
  <c r="E65" i="7"/>
  <c r="K70" i="7"/>
  <c r="E66" i="7" s="1"/>
  <c r="E66" i="5"/>
  <c r="F65" i="5" s="1"/>
  <c r="AL37" i="5"/>
  <c r="F63" i="7"/>
  <c r="AK78" i="7"/>
  <c r="AY40" i="5" l="1"/>
  <c r="AN40" i="5"/>
  <c r="AS40" i="5"/>
  <c r="AU40" i="5"/>
  <c r="BH40" i="5"/>
  <c r="AM40" i="5"/>
  <c r="AP40" i="5"/>
  <c r="AT40" i="5"/>
  <c r="BE40" i="5"/>
  <c r="AV40" i="5"/>
  <c r="AZ40" i="5"/>
  <c r="BG40" i="5"/>
  <c r="BB40" i="5"/>
  <c r="BD40" i="5"/>
  <c r="AR40" i="5"/>
  <c r="BA40" i="5"/>
  <c r="BC40" i="5"/>
  <c r="AX40" i="5"/>
  <c r="AW40" i="5"/>
  <c r="AO40" i="5"/>
  <c r="AQ40" i="5"/>
  <c r="BF40" i="5"/>
  <c r="F65" i="7"/>
  <c r="AK81" i="7"/>
  <c r="AM81" i="7" s="1"/>
  <c r="AL76" i="7"/>
  <c r="AM76" i="7" s="1"/>
  <c r="AL77" i="7"/>
  <c r="AM77" i="7" s="1"/>
  <c r="F64" i="7"/>
  <c r="AL78" i="7" s="1"/>
  <c r="AM78" i="7" s="1"/>
  <c r="AK80" i="7"/>
  <c r="AK79" i="7"/>
  <c r="AL79" i="7" l="1"/>
  <c r="AM79" i="7" s="1"/>
  <c r="AI83" i="7" s="1"/>
  <c r="AI85" i="7" s="1"/>
  <c r="AL80" i="7"/>
  <c r="AM80" i="7" s="1"/>
</calcChain>
</file>

<file path=xl/sharedStrings.xml><?xml version="1.0" encoding="utf-8"?>
<sst xmlns="http://schemas.openxmlformats.org/spreadsheetml/2006/main" count="1828" uniqueCount="504">
  <si>
    <t xml:space="preserve"> 金利 (%)</t>
    <rPh sb="1" eb="3">
      <t>キンリ</t>
    </rPh>
    <phoneticPr fontId="3"/>
  </si>
  <si>
    <t>　　　　ｄｆ</t>
    <phoneticPr fontId="3"/>
  </si>
  <si>
    <t>LIBOR6ヶ月</t>
    <rPh sb="7" eb="8">
      <t>ゲツ</t>
    </rPh>
    <phoneticPr fontId="3"/>
  </si>
  <si>
    <t>df0.5</t>
    <phoneticPr fontId="3"/>
  </si>
  <si>
    <t>1.0ｙ　SWAP</t>
    <phoneticPr fontId="3"/>
  </si>
  <si>
    <t>df1.0</t>
    <phoneticPr fontId="3"/>
  </si>
  <si>
    <t>1.5ｙ　SWAP</t>
    <phoneticPr fontId="3"/>
  </si>
  <si>
    <t>ｄｆ1.5</t>
    <phoneticPr fontId="3"/>
  </si>
  <si>
    <t>2.0ｙ　SWAP</t>
    <phoneticPr fontId="3"/>
  </si>
  <si>
    <t>ｄｆ2.0</t>
    <phoneticPr fontId="3"/>
  </si>
  <si>
    <t>2.5ｙ　SWAP</t>
    <phoneticPr fontId="3"/>
  </si>
  <si>
    <t>ｄｆ2.5</t>
    <phoneticPr fontId="3"/>
  </si>
  <si>
    <t>3.0ｙ　SWAP</t>
    <phoneticPr fontId="3"/>
  </si>
  <si>
    <t>ｄｆ3.0</t>
    <phoneticPr fontId="3"/>
  </si>
  <si>
    <t>3.5ｙ　SWAP</t>
    <phoneticPr fontId="3"/>
  </si>
  <si>
    <t>ｄｆ3.5</t>
    <phoneticPr fontId="3"/>
  </si>
  <si>
    <t>4.0ｙ　SWAP</t>
    <phoneticPr fontId="3"/>
  </si>
  <si>
    <t>ｄｆ4.0</t>
    <phoneticPr fontId="3"/>
  </si>
  <si>
    <t>4.5ｙ　SWAP</t>
    <phoneticPr fontId="3"/>
  </si>
  <si>
    <t>ｄｆ4.5</t>
    <phoneticPr fontId="3"/>
  </si>
  <si>
    <t>5.0ｙ　SWAP</t>
    <phoneticPr fontId="3"/>
  </si>
  <si>
    <t>ｄｆ5.0</t>
    <phoneticPr fontId="3"/>
  </si>
  <si>
    <t>　時価評価額</t>
    <rPh sb="1" eb="3">
      <t>ジカ</t>
    </rPh>
    <rPh sb="3" eb="5">
      <t>ヒョウカ</t>
    </rPh>
    <rPh sb="5" eb="6">
      <t>ガク</t>
    </rPh>
    <phoneticPr fontId="3"/>
  </si>
  <si>
    <t>利払時点（年）</t>
    <rPh sb="0" eb="2">
      <t>リバラ</t>
    </rPh>
    <rPh sb="2" eb="4">
      <t>ジテン</t>
    </rPh>
    <rPh sb="5" eb="6">
      <t>ネン</t>
    </rPh>
    <phoneticPr fontId="3"/>
  </si>
  <si>
    <t>固定金利</t>
    <rPh sb="0" eb="2">
      <t>コテイ</t>
    </rPh>
    <rPh sb="2" eb="4">
      <t>キンリ</t>
    </rPh>
    <phoneticPr fontId="3"/>
  </si>
  <si>
    <t>LIBOR</t>
    <phoneticPr fontId="3"/>
  </si>
  <si>
    <t>＜リスク管理上のキャッシュ・フロー＞</t>
    <rPh sb="4" eb="6">
      <t>カンリ</t>
    </rPh>
    <rPh sb="6" eb="7">
      <t>ジョウ</t>
    </rPh>
    <phoneticPr fontId="3"/>
  </si>
  <si>
    <t>・期間５年のプレーン・バニラ</t>
    <rPh sb="1" eb="3">
      <t>キカン</t>
    </rPh>
    <rPh sb="4" eb="5">
      <t>ネン</t>
    </rPh>
    <phoneticPr fontId="3"/>
  </si>
  <si>
    <t>（単位　百万円）</t>
    <rPh sb="1" eb="3">
      <t>タンイ</t>
    </rPh>
    <rPh sb="4" eb="5">
      <t>ヒャク</t>
    </rPh>
    <rPh sb="5" eb="7">
      <t>マンエン</t>
    </rPh>
    <phoneticPr fontId="3"/>
  </si>
  <si>
    <t>＜テーブル機能を利用したシミュレーション＞</t>
    <rPh sb="5" eb="7">
      <t>キノウ</t>
    </rPh>
    <rPh sb="8" eb="10">
      <t>リヨウ</t>
    </rPh>
    <phoneticPr fontId="3"/>
  </si>
  <si>
    <t>項目</t>
    <rPh sb="0" eb="2">
      <t>コウモク</t>
    </rPh>
    <phoneticPr fontId="3"/>
  </si>
  <si>
    <t>SWAP1</t>
    <phoneticPr fontId="3"/>
  </si>
  <si>
    <t>SWAP2</t>
    <phoneticPr fontId="3"/>
  </si>
  <si>
    <t>SWAP3</t>
    <phoneticPr fontId="3"/>
  </si>
  <si>
    <t>SWAP4</t>
    <phoneticPr fontId="3"/>
  </si>
  <si>
    <t>期日</t>
    <rPh sb="0" eb="2">
      <t>キジツ</t>
    </rPh>
    <phoneticPr fontId="3"/>
  </si>
  <si>
    <t>受取金利</t>
    <rPh sb="0" eb="2">
      <t>ウケトリ</t>
    </rPh>
    <rPh sb="2" eb="4">
      <t>キンリ</t>
    </rPh>
    <phoneticPr fontId="3"/>
  </si>
  <si>
    <t>LIBOR６</t>
    <phoneticPr fontId="3"/>
  </si>
  <si>
    <t>LIBOR12</t>
    <phoneticPr fontId="3"/>
  </si>
  <si>
    <t>支払金利</t>
    <rPh sb="0" eb="2">
      <t>シハラ</t>
    </rPh>
    <rPh sb="2" eb="4">
      <t>キンリ</t>
    </rPh>
    <phoneticPr fontId="3"/>
  </si>
  <si>
    <t>LIBOR３</t>
    <phoneticPr fontId="3"/>
  </si>
  <si>
    <t>LIBOR６</t>
    <phoneticPr fontId="3"/>
  </si>
  <si>
    <t>受取利払日</t>
    <rPh sb="0" eb="2">
      <t>ウケトリ</t>
    </rPh>
    <rPh sb="2" eb="4">
      <t>リバラ</t>
    </rPh>
    <rPh sb="4" eb="5">
      <t>ヒ</t>
    </rPh>
    <phoneticPr fontId="3"/>
  </si>
  <si>
    <t>3末、9末</t>
    <rPh sb="1" eb="2">
      <t>マツ</t>
    </rPh>
    <rPh sb="4" eb="5">
      <t>マツ</t>
    </rPh>
    <phoneticPr fontId="3"/>
  </si>
  <si>
    <t>4末、10末</t>
    <rPh sb="1" eb="2">
      <t>マツ</t>
    </rPh>
    <rPh sb="5" eb="6">
      <t>マツ</t>
    </rPh>
    <phoneticPr fontId="3"/>
  </si>
  <si>
    <t>6末</t>
    <rPh sb="1" eb="2">
      <t>マツ</t>
    </rPh>
    <phoneticPr fontId="3"/>
  </si>
  <si>
    <t>支払利払日</t>
    <rPh sb="0" eb="2">
      <t>シハラ</t>
    </rPh>
    <rPh sb="2" eb="4">
      <t>リバラ</t>
    </rPh>
    <rPh sb="4" eb="5">
      <t>ヒ</t>
    </rPh>
    <phoneticPr fontId="3"/>
  </si>
  <si>
    <t>1,4,7,10末</t>
    <rPh sb="8" eb="9">
      <t>マツ</t>
    </rPh>
    <phoneticPr fontId="3"/>
  </si>
  <si>
    <t>次回利払日</t>
    <rPh sb="0" eb="2">
      <t>ジカイ</t>
    </rPh>
    <rPh sb="2" eb="4">
      <t>リバラ</t>
    </rPh>
    <rPh sb="4" eb="5">
      <t>ヒ</t>
    </rPh>
    <phoneticPr fontId="3"/>
  </si>
  <si>
    <t>前回利払日</t>
    <rPh sb="0" eb="2">
      <t>ゼンカイ</t>
    </rPh>
    <rPh sb="2" eb="4">
      <t>リバラ</t>
    </rPh>
    <rPh sb="4" eb="5">
      <t>ヒ</t>
    </rPh>
    <phoneticPr fontId="3"/>
  </si>
  <si>
    <t>次回適用L</t>
    <rPh sb="0" eb="2">
      <t>ジカイ</t>
    </rPh>
    <rPh sb="2" eb="4">
      <t>テキヨウ</t>
    </rPh>
    <phoneticPr fontId="3"/>
  </si>
  <si>
    <t>LIBOR決定日</t>
    <rPh sb="5" eb="7">
      <t>ケッテイ</t>
    </rPh>
    <rPh sb="7" eb="8">
      <t>ヒ</t>
    </rPh>
    <phoneticPr fontId="3"/>
  </si>
  <si>
    <t>利払日</t>
    <rPh sb="0" eb="2">
      <t>リバラ</t>
    </rPh>
    <rPh sb="2" eb="3">
      <t>ヒ</t>
    </rPh>
    <phoneticPr fontId="3"/>
  </si>
  <si>
    <t>受取金額（百万円）</t>
    <rPh sb="0" eb="2">
      <t>ウケトリ</t>
    </rPh>
    <rPh sb="2" eb="4">
      <t>キンガク</t>
    </rPh>
    <rPh sb="5" eb="6">
      <t>ヒャク</t>
    </rPh>
    <rPh sb="6" eb="8">
      <t>マンエン</t>
    </rPh>
    <phoneticPr fontId="3"/>
  </si>
  <si>
    <t xml:space="preserve"> 支払金額（百万円）</t>
    <rPh sb="1" eb="3">
      <t>シハラ</t>
    </rPh>
    <rPh sb="3" eb="5">
      <t>キンガク</t>
    </rPh>
    <rPh sb="6" eb="7">
      <t>ヒャク</t>
    </rPh>
    <rPh sb="7" eb="9">
      <t>マンエン</t>
    </rPh>
    <phoneticPr fontId="3"/>
  </si>
  <si>
    <t xml:space="preserve">     NET</t>
    <phoneticPr fontId="3"/>
  </si>
  <si>
    <t>スワップ１</t>
    <phoneticPr fontId="3"/>
  </si>
  <si>
    <t>スワップ２</t>
    <phoneticPr fontId="3"/>
  </si>
  <si>
    <t>前々回利払日</t>
    <rPh sb="0" eb="2">
      <t>ゼンゼン</t>
    </rPh>
    <rPh sb="2" eb="3">
      <t>カイ</t>
    </rPh>
    <rPh sb="3" eb="5">
      <t>リバラ</t>
    </rPh>
    <rPh sb="5" eb="6">
      <t>ヒ</t>
    </rPh>
    <phoneticPr fontId="3"/>
  </si>
  <si>
    <t>スワップ３</t>
    <phoneticPr fontId="3"/>
  </si>
  <si>
    <t>スワップ４</t>
    <phoneticPr fontId="3"/>
  </si>
  <si>
    <t>＜リスク管理上のキャッシュ・フロー(単位：百万円）＞</t>
    <rPh sb="4" eb="6">
      <t>カンリ</t>
    </rPh>
    <rPh sb="6" eb="7">
      <t>ジョウ</t>
    </rPh>
    <rPh sb="18" eb="20">
      <t>タンイ</t>
    </rPh>
    <rPh sb="21" eb="22">
      <t>ヒャク</t>
    </rPh>
    <rPh sb="22" eb="24">
      <t>マンエン</t>
    </rPh>
    <phoneticPr fontId="3"/>
  </si>
  <si>
    <t>想定元本(百万円）</t>
    <rPh sb="0" eb="2">
      <t>ソウテイ</t>
    </rPh>
    <rPh sb="2" eb="4">
      <t>ガンポン</t>
    </rPh>
    <rPh sb="5" eb="6">
      <t>ヒャク</t>
    </rPh>
    <rPh sb="6" eb="8">
      <t>マンエン</t>
    </rPh>
    <phoneticPr fontId="3"/>
  </si>
  <si>
    <t xml:space="preserve">     NET</t>
  </si>
  <si>
    <t>＜ポートフォリオ全体のキャッシュ・フロー＞</t>
    <rPh sb="8" eb="10">
      <t>ゼンタイ</t>
    </rPh>
    <phoneticPr fontId="3"/>
  </si>
  <si>
    <t>＜スワップ・ポートフォリオの内容＞</t>
    <rPh sb="14" eb="16">
      <t>ナイヨウ</t>
    </rPh>
    <phoneticPr fontId="3"/>
  </si>
  <si>
    <t>　評価日</t>
    <rPh sb="1" eb="3">
      <t>ヒョウカ</t>
    </rPh>
    <rPh sb="3" eb="4">
      <t>ヒ</t>
    </rPh>
    <phoneticPr fontId="2"/>
  </si>
  <si>
    <t>　スポット日</t>
    <rPh sb="5" eb="6">
      <t>ヒ</t>
    </rPh>
    <phoneticPr fontId="2"/>
  </si>
  <si>
    <t>ﾏｰｹｯﾄ･ﾃﾞｰﾀ</t>
  </si>
  <si>
    <t>　　期　日</t>
    <rPh sb="2" eb="3">
      <t>キ</t>
    </rPh>
    <rPh sb="4" eb="5">
      <t>ヒ</t>
    </rPh>
    <phoneticPr fontId="2"/>
  </si>
  <si>
    <t>1m\LIBOR</t>
  </si>
  <si>
    <t>2m\LIBOR</t>
  </si>
  <si>
    <t>3m\LIBOR</t>
  </si>
  <si>
    <t>4m\LIBOR</t>
  </si>
  <si>
    <t>5m\LIBOR</t>
  </si>
  <si>
    <t>6m\LIBOR</t>
  </si>
  <si>
    <t>7m\LIBOR</t>
  </si>
  <si>
    <t>8m\LIBOR</t>
  </si>
  <si>
    <t>9m\LIBOR</t>
  </si>
  <si>
    <t>10m\LIBOR</t>
  </si>
  <si>
    <t>11m\LIBOR</t>
  </si>
  <si>
    <t>1.5YR SWAP</t>
  </si>
  <si>
    <t>2.0YR SWAP</t>
  </si>
  <si>
    <t>3.0YR SWAP</t>
  </si>
  <si>
    <t>4.0YR SWAP</t>
  </si>
  <si>
    <t>5.0YR SWAP</t>
  </si>
  <si>
    <t>6.0YR SWAP</t>
  </si>
  <si>
    <t>7.0YR SWAP</t>
  </si>
  <si>
    <t>8.0YR SWAP</t>
  </si>
  <si>
    <t>9.0YR SWAP</t>
  </si>
  <si>
    <t>10YR SWAP</t>
  </si>
  <si>
    <t>金利（％）</t>
    <rPh sb="0" eb="2">
      <t>キンリ</t>
    </rPh>
    <phoneticPr fontId="3"/>
  </si>
  <si>
    <t>1.0YRSWAP</t>
    <phoneticPr fontId="3"/>
  </si>
  <si>
    <t>スワップ・レート補間</t>
    <rPh sb="8" eb="10">
      <t>ホカン</t>
    </rPh>
    <phoneticPr fontId="3"/>
  </si>
  <si>
    <t>2.5YR SWAP</t>
    <phoneticPr fontId="3"/>
  </si>
  <si>
    <t>3.5YR SWAP</t>
    <phoneticPr fontId="3"/>
  </si>
  <si>
    <t>4.5YR SWAP</t>
    <phoneticPr fontId="3"/>
  </si>
  <si>
    <t>5.5YR SWAP</t>
    <phoneticPr fontId="3"/>
  </si>
  <si>
    <t>6.5YR SWAP</t>
    <phoneticPr fontId="3"/>
  </si>
  <si>
    <t>7.5YR SWAP</t>
    <phoneticPr fontId="3"/>
  </si>
  <si>
    <t>8.5YR SWAP</t>
    <phoneticPr fontId="3"/>
  </si>
  <si>
    <t>9.5YR SWAP</t>
    <phoneticPr fontId="3"/>
  </si>
  <si>
    <t>金利変化シナリオ</t>
    <rPh sb="0" eb="2">
      <t>キンリ</t>
    </rPh>
    <rPh sb="2" eb="4">
      <t>ヘンカ</t>
    </rPh>
    <phoneticPr fontId="3"/>
  </si>
  <si>
    <t>&lt;LIBORからのディスカウント・ファクター計算＞</t>
    <rPh sb="22" eb="24">
      <t>ケイサン</t>
    </rPh>
    <phoneticPr fontId="3"/>
  </si>
  <si>
    <t>2M</t>
    <phoneticPr fontId="3"/>
  </si>
  <si>
    <t>1M</t>
    <phoneticPr fontId="3"/>
  </si>
  <si>
    <t>3M</t>
    <phoneticPr fontId="3"/>
  </si>
  <si>
    <t>4M</t>
  </si>
  <si>
    <t>5M</t>
  </si>
  <si>
    <t>6M</t>
  </si>
  <si>
    <t>7M</t>
  </si>
  <si>
    <t>8M</t>
  </si>
  <si>
    <t>9M</t>
  </si>
  <si>
    <t>10M</t>
  </si>
  <si>
    <t>11M</t>
  </si>
  <si>
    <t>0.5Y</t>
    <phoneticPr fontId="3"/>
  </si>
  <si>
    <t>1.0Y</t>
    <phoneticPr fontId="3"/>
  </si>
  <si>
    <t>1.5Y</t>
    <phoneticPr fontId="3"/>
  </si>
  <si>
    <t>2.0Y</t>
    <phoneticPr fontId="3"/>
  </si>
  <si>
    <t>2.5Y</t>
    <phoneticPr fontId="3"/>
  </si>
  <si>
    <t>3.0Y</t>
    <phoneticPr fontId="3"/>
  </si>
  <si>
    <t>3.5Y</t>
    <phoneticPr fontId="3"/>
  </si>
  <si>
    <t>4.0Y</t>
    <phoneticPr fontId="3"/>
  </si>
  <si>
    <t>4.5Y</t>
    <phoneticPr fontId="3"/>
  </si>
  <si>
    <t>5.0Y</t>
    <phoneticPr fontId="3"/>
  </si>
  <si>
    <t>5.5Y</t>
    <phoneticPr fontId="3"/>
  </si>
  <si>
    <t>6.0Y</t>
    <phoneticPr fontId="3"/>
  </si>
  <si>
    <t>6.5Y</t>
    <phoneticPr fontId="3"/>
  </si>
  <si>
    <t>7.0Y</t>
    <phoneticPr fontId="3"/>
  </si>
  <si>
    <t>7.5Y</t>
    <phoneticPr fontId="3"/>
  </si>
  <si>
    <t>8.0Y</t>
    <phoneticPr fontId="3"/>
  </si>
  <si>
    <t>8.5Y</t>
    <phoneticPr fontId="3"/>
  </si>
  <si>
    <t>9.0Y</t>
    <phoneticPr fontId="3"/>
  </si>
  <si>
    <t>9.5Y</t>
    <phoneticPr fontId="3"/>
  </si>
  <si>
    <t>10.0Y</t>
    <phoneticPr fontId="3"/>
  </si>
  <si>
    <t>期間</t>
    <rPh sb="0" eb="2">
      <t>キカン</t>
    </rPh>
    <phoneticPr fontId="3"/>
  </si>
  <si>
    <t>＜Boot Strapping ＞</t>
    <phoneticPr fontId="3"/>
  </si>
  <si>
    <t>利払日数</t>
    <rPh sb="0" eb="2">
      <t>リバラ</t>
    </rPh>
    <rPh sb="2" eb="3">
      <t>ヒ</t>
    </rPh>
    <rPh sb="3" eb="4">
      <t>カズ</t>
    </rPh>
    <phoneticPr fontId="3"/>
  </si>
  <si>
    <t>利払日数</t>
    <rPh sb="0" eb="2">
      <t>リバラ</t>
    </rPh>
    <rPh sb="2" eb="4">
      <t>ニッスウ</t>
    </rPh>
    <phoneticPr fontId="3"/>
  </si>
  <si>
    <t xml:space="preserve"> 利払日数/365</t>
    <rPh sb="1" eb="3">
      <t>リバラ</t>
    </rPh>
    <rPh sb="3" eb="5">
      <t>ニッスウ</t>
    </rPh>
    <phoneticPr fontId="3"/>
  </si>
  <si>
    <t>対応グリッド</t>
    <rPh sb="0" eb="2">
      <t>タイオウ</t>
    </rPh>
    <phoneticPr fontId="3"/>
  </si>
  <si>
    <t>調整後金利</t>
    <rPh sb="0" eb="2">
      <t>チョウセイ</t>
    </rPh>
    <rPh sb="2" eb="3">
      <t>アト</t>
    </rPh>
    <rPh sb="3" eb="5">
      <t>キンリ</t>
    </rPh>
    <phoneticPr fontId="3"/>
  </si>
  <si>
    <t>変化ｼﾅﾘｵ</t>
    <rPh sb="0" eb="2">
      <t>ヘンカ</t>
    </rPh>
    <phoneticPr fontId="3"/>
  </si>
  <si>
    <t>SPOT</t>
    <phoneticPr fontId="3"/>
  </si>
  <si>
    <t>対応ｄｆ</t>
    <rPh sb="0" eb="2">
      <t>タイオウ</t>
    </rPh>
    <phoneticPr fontId="3"/>
  </si>
  <si>
    <t>1Ｍ</t>
    <phoneticPr fontId="3"/>
  </si>
  <si>
    <t>2Ｍ</t>
    <phoneticPr fontId="3"/>
  </si>
  <si>
    <t>3Ｍ</t>
    <phoneticPr fontId="3"/>
  </si>
  <si>
    <t>4Ｍ</t>
  </si>
  <si>
    <t>5Ｍ</t>
  </si>
  <si>
    <t>6Ｍ</t>
  </si>
  <si>
    <t>7Ｍ</t>
  </si>
  <si>
    <t>8Ｍ</t>
  </si>
  <si>
    <t>9Ｍ</t>
  </si>
  <si>
    <t>10Ｍ</t>
  </si>
  <si>
    <t>11Ｍ</t>
  </si>
  <si>
    <t>0M</t>
    <phoneticPr fontId="3"/>
  </si>
  <si>
    <t>時価評価額</t>
    <rPh sb="0" eb="2">
      <t>ジカ</t>
    </rPh>
    <rPh sb="2" eb="4">
      <t>ヒョウカ</t>
    </rPh>
    <rPh sb="4" eb="5">
      <t>ガク</t>
    </rPh>
    <phoneticPr fontId="3"/>
  </si>
  <si>
    <t>＜ポートフォリオの時価評価＞</t>
    <rPh sb="9" eb="11">
      <t>ジカ</t>
    </rPh>
    <rPh sb="11" eb="13">
      <t>ヒョウカ</t>
    </rPh>
    <phoneticPr fontId="3"/>
  </si>
  <si>
    <t>＜ディスカウント・ファクターまとめ＞</t>
    <phoneticPr fontId="3"/>
  </si>
  <si>
    <t>時価変化額</t>
    <rPh sb="0" eb="2">
      <t>ジカ</t>
    </rPh>
    <rPh sb="2" eb="4">
      <t>ヘンカ</t>
    </rPh>
    <rPh sb="4" eb="5">
      <t>ガク</t>
    </rPh>
    <phoneticPr fontId="3"/>
  </si>
  <si>
    <t>変化前時価</t>
    <rPh sb="0" eb="2">
      <t>ヘンカ</t>
    </rPh>
    <rPh sb="2" eb="3">
      <t>マエ</t>
    </rPh>
    <rPh sb="3" eb="5">
      <t>ジカ</t>
    </rPh>
    <phoneticPr fontId="3"/>
  </si>
  <si>
    <t>百万円</t>
    <rPh sb="0" eb="1">
      <t>ヒャク</t>
    </rPh>
    <rPh sb="1" eb="3">
      <t>マンエン</t>
    </rPh>
    <phoneticPr fontId="3"/>
  </si>
  <si>
    <t>＜ポートフォリオの感応度計算＞</t>
    <rPh sb="9" eb="11">
      <t>カンノウ</t>
    </rPh>
    <rPh sb="11" eb="12">
      <t>ド</t>
    </rPh>
    <rPh sb="12" eb="14">
      <t>ケイサン</t>
    </rPh>
    <phoneticPr fontId="3"/>
  </si>
  <si>
    <t>1.0YRSWAP</t>
  </si>
  <si>
    <t>シナリオ</t>
    <phoneticPr fontId="3"/>
  </si>
  <si>
    <t>対象金利</t>
    <rPh sb="0" eb="2">
      <t>タイショウ</t>
    </rPh>
    <rPh sb="2" eb="4">
      <t>キンリ</t>
    </rPh>
    <phoneticPr fontId="3"/>
  </si>
  <si>
    <t>全金利上昇</t>
    <rPh sb="0" eb="1">
      <t>ゼン</t>
    </rPh>
    <rPh sb="1" eb="3">
      <t>キンリ</t>
    </rPh>
    <rPh sb="3" eb="5">
      <t>ジョウショウ</t>
    </rPh>
    <phoneticPr fontId="3"/>
  </si>
  <si>
    <t>全金利下落</t>
    <rPh sb="0" eb="1">
      <t>ゼン</t>
    </rPh>
    <rPh sb="1" eb="3">
      <t>キンリ</t>
    </rPh>
    <rPh sb="3" eb="5">
      <t>ゲラク</t>
    </rPh>
    <phoneticPr fontId="3"/>
  </si>
  <si>
    <t>ポート</t>
    <phoneticPr fontId="3"/>
  </si>
  <si>
    <t>感応度比率</t>
    <rPh sb="0" eb="2">
      <t>カンノウ</t>
    </rPh>
    <rPh sb="2" eb="3">
      <t>ド</t>
    </rPh>
    <rPh sb="3" eb="5">
      <t>ヒリツ</t>
    </rPh>
    <phoneticPr fontId="3"/>
  </si>
  <si>
    <t>　　★</t>
    <phoneticPr fontId="3"/>
  </si>
  <si>
    <t>ヘッジ･ポジション</t>
    <phoneticPr fontId="3"/>
  </si>
  <si>
    <t>３Ｍ　LIBOR運用</t>
    <rPh sb="8" eb="10">
      <t>ウンヨウ</t>
    </rPh>
    <phoneticPr fontId="3"/>
  </si>
  <si>
    <t>11M LIBOR借入れ</t>
    <rPh sb="9" eb="11">
      <t>カリイ</t>
    </rPh>
    <phoneticPr fontId="3"/>
  </si>
  <si>
    <t>元本（Ｍ）</t>
    <rPh sb="0" eb="2">
      <t>ガンポン</t>
    </rPh>
    <phoneticPr fontId="3"/>
  </si>
  <si>
    <t>ｐａｙ</t>
    <phoneticPr fontId="3"/>
  </si>
  <si>
    <t>RECIEVE</t>
    <phoneticPr fontId="3"/>
  </si>
  <si>
    <t>SPOT</t>
  </si>
  <si>
    <t>2.5YR SWAP</t>
  </si>
  <si>
    <t>3.5YR SWAP</t>
  </si>
  <si>
    <t>4.5YR SWAP</t>
  </si>
  <si>
    <t>5.5YR SWAP</t>
  </si>
  <si>
    <t>6.5YR SWAP</t>
  </si>
  <si>
    <t>7.5YR SWAP</t>
  </si>
  <si>
    <t>8.5YR SWAP</t>
  </si>
  <si>
    <t>9.5YR SWAP</t>
  </si>
  <si>
    <t>＜ヘッジ･ポジションのキャッシュ・フロー＞</t>
    <phoneticPr fontId="3"/>
  </si>
  <si>
    <t>運用</t>
    <rPh sb="0" eb="2">
      <t>ウンヨウ</t>
    </rPh>
    <phoneticPr fontId="3"/>
  </si>
  <si>
    <t>借入れ</t>
    <rPh sb="0" eb="2">
      <t>カリイ</t>
    </rPh>
    <phoneticPr fontId="3"/>
  </si>
  <si>
    <t>pay</t>
    <phoneticPr fontId="3"/>
  </si>
  <si>
    <t>receive</t>
    <phoneticPr fontId="3"/>
  </si>
  <si>
    <t>TOTAL CF</t>
    <phoneticPr fontId="3"/>
  </si>
  <si>
    <t>＜ポート＋ヘッジキャッシュ・フロー＞</t>
  </si>
  <si>
    <t>＜ポート＋ヘッジキャッシュ・フロー＞</t>
    <phoneticPr fontId="3"/>
  </si>
  <si>
    <t>日数＼金利</t>
    <rPh sb="0" eb="2">
      <t>ニッスウ</t>
    </rPh>
    <rPh sb="3" eb="5">
      <t>キンリ</t>
    </rPh>
    <phoneticPr fontId="3"/>
  </si>
  <si>
    <t>　　期日</t>
    <rPh sb="2" eb="4">
      <t>キジツ</t>
    </rPh>
    <phoneticPr fontId="3"/>
  </si>
  <si>
    <t>　　金額</t>
    <rPh sb="2" eb="4">
      <t>キンガク</t>
    </rPh>
    <phoneticPr fontId="3"/>
  </si>
  <si>
    <t>要ヘッジ</t>
    <rPh sb="0" eb="1">
      <t>ヨウ</t>
    </rPh>
    <phoneticPr fontId="3"/>
  </si>
  <si>
    <t>対象取引</t>
    <rPh sb="0" eb="2">
      <t>タイショウ</t>
    </rPh>
    <rPh sb="2" eb="4">
      <t>トリヒキ</t>
    </rPh>
    <phoneticPr fontId="3"/>
  </si>
  <si>
    <t>&lt;ヘッジ取引のまとめ＞</t>
    <rPh sb="4" eb="6">
      <t>トリヒキ</t>
    </rPh>
    <phoneticPr fontId="3"/>
  </si>
  <si>
    <t>取引の内容</t>
    <rPh sb="0" eb="2">
      <t>トリヒキ</t>
    </rPh>
    <rPh sb="3" eb="5">
      <t>ナイヨウ</t>
    </rPh>
    <phoneticPr fontId="3"/>
  </si>
  <si>
    <t>３ヶ月の運用</t>
    <rPh sb="2" eb="3">
      <t>ゲツ</t>
    </rPh>
    <rPh sb="4" eb="6">
      <t>ウンヨウ</t>
    </rPh>
    <phoneticPr fontId="3"/>
  </si>
  <si>
    <t>元本（億円）</t>
    <rPh sb="0" eb="2">
      <t>ガンポン</t>
    </rPh>
    <rPh sb="3" eb="5">
      <t>オクエン</t>
    </rPh>
    <phoneticPr fontId="3"/>
  </si>
  <si>
    <t>11ヶ月の借入れ</t>
    <rPh sb="3" eb="4">
      <t>ゲツ</t>
    </rPh>
    <rPh sb="5" eb="7">
      <t>カリイ</t>
    </rPh>
    <phoneticPr fontId="3"/>
  </si>
  <si>
    <t>２年のﾍﾟｲｻｲﾄﾞｽﾜｯﾌﾟ</t>
    <rPh sb="1" eb="2">
      <t>ネン</t>
    </rPh>
    <phoneticPr fontId="3"/>
  </si>
  <si>
    <t>３年のﾍﾟｲｻｲﾄﾞｽﾜｯﾌﾟ</t>
    <rPh sb="1" eb="2">
      <t>ネン</t>
    </rPh>
    <phoneticPr fontId="3"/>
  </si>
  <si>
    <t>６年のﾚｼｰﾌﾞｻｲﾄﾞｽﾜｯﾌﾟ</t>
    <rPh sb="1" eb="2">
      <t>ネン</t>
    </rPh>
    <phoneticPr fontId="3"/>
  </si>
  <si>
    <t>７年のﾍﾟｲｻｲﾄﾞｽﾜｯﾌﾟ</t>
    <rPh sb="1" eb="2">
      <t>ネン</t>
    </rPh>
    <phoneticPr fontId="3"/>
  </si>
  <si>
    <t>９年のﾚｼｰﾌﾞｻｲﾄﾞｽﾜｯﾌﾟ</t>
    <rPh sb="1" eb="2">
      <t>ネン</t>
    </rPh>
    <phoneticPr fontId="3"/>
  </si>
  <si>
    <t>10年のﾚｼｰﾌﾞｻｲﾄﾞｽﾜｯﾌﾟ</t>
    <rPh sb="2" eb="3">
      <t>ネン</t>
    </rPh>
    <phoneticPr fontId="3"/>
  </si>
  <si>
    <t>(投下キャピタル600）</t>
    <rPh sb="1" eb="3">
      <t>トウカ</t>
    </rPh>
    <phoneticPr fontId="3"/>
  </si>
  <si>
    <t xml:space="preserve"> 金利 (%)</t>
    <rPh sb="1" eb="3">
      <t>キンリ</t>
    </rPh>
    <phoneticPr fontId="2"/>
  </si>
  <si>
    <t>　　ｄｆ</t>
  </si>
  <si>
    <t>LIBOR6ヶ月</t>
    <rPh sb="7" eb="8">
      <t>ゲツ</t>
    </rPh>
    <phoneticPr fontId="2"/>
  </si>
  <si>
    <t>1.0ｙ　SWAP</t>
  </si>
  <si>
    <t>1.5ｙ　SWAP</t>
  </si>
  <si>
    <t>2.0ｙ　SWAP</t>
  </si>
  <si>
    <t>2.5ｙ　SWAP</t>
  </si>
  <si>
    <t>3.0ｙ　SWAP</t>
  </si>
  <si>
    <t>3.5ｙ　SWAP</t>
  </si>
  <si>
    <t>4.0ｙ　SWAP</t>
  </si>
  <si>
    <t>4.5ｙ　SWAP</t>
  </si>
  <si>
    <t>5.0ｙ　SWAP</t>
  </si>
  <si>
    <t>5.5ｙ　SWAP</t>
  </si>
  <si>
    <t>6.0ｙ　SWAP</t>
  </si>
  <si>
    <t>6.5ｙ　SWAP</t>
  </si>
  <si>
    <t>7.0ｙ　SWAP</t>
  </si>
  <si>
    <t>①　円の金利及びディスカウント・ファクター</t>
    <rPh sb="2" eb="3">
      <t>エン</t>
    </rPh>
    <rPh sb="4" eb="6">
      <t>キンリ</t>
    </rPh>
    <rPh sb="6" eb="7">
      <t>オヨ</t>
    </rPh>
    <phoneticPr fontId="3"/>
  </si>
  <si>
    <t>変動金利ＰＶ</t>
    <rPh sb="0" eb="2">
      <t>ヘンドウ</t>
    </rPh>
    <rPh sb="2" eb="4">
      <t>キンリ</t>
    </rPh>
    <phoneticPr fontId="3"/>
  </si>
  <si>
    <t>Ｆ</t>
    <phoneticPr fontId="3"/>
  </si>
  <si>
    <t>③スワップション・プレミアム計算（ペイヤーズ･オプション）</t>
    <rPh sb="14" eb="16">
      <t>ケイサン</t>
    </rPh>
    <phoneticPr fontId="3"/>
  </si>
  <si>
    <t>K</t>
    <phoneticPr fontId="3"/>
  </si>
  <si>
    <t>σ（ﾎﾞﾗﾃｨﾘﾃｨ）</t>
    <phoneticPr fontId="3"/>
  </si>
  <si>
    <r>
      <t>ｄ</t>
    </r>
    <r>
      <rPr>
        <vertAlign val="subscript"/>
        <sz val="11"/>
        <rFont val="ＭＳ Ｐゴシック"/>
        <family val="3"/>
        <charset val="128"/>
      </rPr>
      <t>1</t>
    </r>
    <phoneticPr fontId="3"/>
  </si>
  <si>
    <r>
      <t>ｄ</t>
    </r>
    <r>
      <rPr>
        <vertAlign val="subscript"/>
        <sz val="11"/>
        <rFont val="ＭＳ Ｐゴシック"/>
        <family val="3"/>
        <charset val="128"/>
      </rPr>
      <t>2</t>
    </r>
    <phoneticPr fontId="3"/>
  </si>
  <si>
    <t>premium</t>
    <phoneticPr fontId="3"/>
  </si>
  <si>
    <t>A</t>
    <phoneticPr fontId="3"/>
  </si>
  <si>
    <t>②　3年後スタート、期間４年のフォワード･スワップ</t>
    <rPh sb="3" eb="4">
      <t>ネン</t>
    </rPh>
    <rPh sb="4" eb="5">
      <t>アト</t>
    </rPh>
    <rPh sb="10" eb="12">
      <t>キカン</t>
    </rPh>
    <rPh sb="13" eb="14">
      <t>ネン</t>
    </rPh>
    <phoneticPr fontId="3"/>
  </si>
  <si>
    <t>②　２年後スタート、期間５年のフォワード･スワップ</t>
    <rPh sb="3" eb="4">
      <t>ネン</t>
    </rPh>
    <rPh sb="4" eb="5">
      <t>アト</t>
    </rPh>
    <rPh sb="10" eb="12">
      <t>キカン</t>
    </rPh>
    <rPh sb="13" eb="14">
      <t>ネン</t>
    </rPh>
    <phoneticPr fontId="3"/>
  </si>
  <si>
    <t>④プレミアムを前半２年の金利に上乗せ</t>
    <rPh sb="7" eb="9">
      <t>ゼンハン</t>
    </rPh>
    <rPh sb="10" eb="11">
      <t>ネン</t>
    </rPh>
    <rPh sb="12" eb="14">
      <t>キンリ</t>
    </rPh>
    <rPh sb="15" eb="17">
      <t>ウワノ</t>
    </rPh>
    <phoneticPr fontId="3"/>
  </si>
  <si>
    <t>上乗せ幅</t>
    <rPh sb="0" eb="2">
      <t>ウワノ</t>
    </rPh>
    <rPh sb="3" eb="4">
      <t>ハバ</t>
    </rPh>
    <phoneticPr fontId="3"/>
  </si>
  <si>
    <t>前半金利</t>
    <rPh sb="0" eb="2">
      <t>ゼンハン</t>
    </rPh>
    <rPh sb="2" eb="4">
      <t>キンリ</t>
    </rPh>
    <phoneticPr fontId="3"/>
  </si>
  <si>
    <t>２年スワップ</t>
    <rPh sb="1" eb="2">
      <t>ネン</t>
    </rPh>
    <phoneticPr fontId="3"/>
  </si>
  <si>
    <t>T</t>
    <phoneticPr fontId="3"/>
  </si>
  <si>
    <t>(%)</t>
    <phoneticPr fontId="3"/>
  </si>
  <si>
    <t>②　各期間のインプライド・フォワード・レート</t>
    <rPh sb="2" eb="3">
      <t>カク</t>
    </rPh>
    <rPh sb="3" eb="5">
      <t>キカン</t>
    </rPh>
    <phoneticPr fontId="3"/>
  </si>
  <si>
    <t>　期　　　間</t>
    <rPh sb="1" eb="2">
      <t>キ</t>
    </rPh>
    <rPh sb="5" eb="6">
      <t>アイダ</t>
    </rPh>
    <phoneticPr fontId="3"/>
  </si>
  <si>
    <t>　  IFR(%)</t>
    <phoneticPr fontId="3"/>
  </si>
  <si>
    <t>0.5-1.0</t>
    <phoneticPr fontId="3"/>
  </si>
  <si>
    <t>1.0-1.5</t>
    <phoneticPr fontId="3"/>
  </si>
  <si>
    <t>1.5-2.0</t>
    <phoneticPr fontId="3"/>
  </si>
  <si>
    <t>2.0-2.5</t>
    <phoneticPr fontId="3"/>
  </si>
  <si>
    <t>2.5-3.0</t>
    <phoneticPr fontId="3"/>
  </si>
  <si>
    <t>③　キャップレット・プレミアム計算</t>
    <rPh sb="15" eb="17">
      <t>ケイサン</t>
    </rPh>
    <phoneticPr fontId="3"/>
  </si>
  <si>
    <t>＊0.5-1.0</t>
    <phoneticPr fontId="3"/>
  </si>
  <si>
    <t>discount factor</t>
    <phoneticPr fontId="3"/>
  </si>
  <si>
    <t>＊1.0-1.5</t>
    <phoneticPr fontId="3"/>
  </si>
  <si>
    <t>＊1.5-2.0</t>
    <phoneticPr fontId="3"/>
  </si>
  <si>
    <t>＊2.0-2.5</t>
    <phoneticPr fontId="3"/>
  </si>
  <si>
    <t>＊2.5-3.0</t>
    <phoneticPr fontId="3"/>
  </si>
  <si>
    <t>cap premium</t>
    <phoneticPr fontId="3"/>
  </si>
  <si>
    <t>④　フロアレット・プレミアム計算</t>
    <rPh sb="14" eb="16">
      <t>ケイサン</t>
    </rPh>
    <phoneticPr fontId="3"/>
  </si>
  <si>
    <t>＊0.5-1.0</t>
    <phoneticPr fontId="3"/>
  </si>
  <si>
    <t>＊1.0-1.5</t>
    <phoneticPr fontId="3"/>
  </si>
  <si>
    <t>＊1.5-2.0</t>
    <phoneticPr fontId="3"/>
  </si>
  <si>
    <t>＊2.0-2.5</t>
    <phoneticPr fontId="3"/>
  </si>
  <si>
    <t>＊2.5-3.0</t>
    <phoneticPr fontId="3"/>
  </si>
  <si>
    <t>A</t>
    <phoneticPr fontId="3"/>
  </si>
  <si>
    <t>Ｆ</t>
    <phoneticPr fontId="3"/>
  </si>
  <si>
    <t>K</t>
    <phoneticPr fontId="3"/>
  </si>
  <si>
    <t>σ（ﾎﾞﾗﾃｨﾘﾃｨ）</t>
    <phoneticPr fontId="3"/>
  </si>
  <si>
    <t>T</t>
    <phoneticPr fontId="3"/>
  </si>
  <si>
    <r>
      <t>ｄ</t>
    </r>
    <r>
      <rPr>
        <vertAlign val="subscript"/>
        <sz val="11"/>
        <rFont val="ＭＳ Ｐゴシック"/>
        <family val="3"/>
        <charset val="128"/>
      </rPr>
      <t>1</t>
    </r>
    <phoneticPr fontId="3"/>
  </si>
  <si>
    <r>
      <t>ｄ</t>
    </r>
    <r>
      <rPr>
        <vertAlign val="subscript"/>
        <sz val="11"/>
        <rFont val="ＭＳ Ｐゴシック"/>
        <family val="3"/>
        <charset val="128"/>
      </rPr>
      <t>2</t>
    </r>
    <phoneticPr fontId="3"/>
  </si>
  <si>
    <t>premium</t>
    <phoneticPr fontId="3"/>
  </si>
  <si>
    <t>floor premium</t>
    <phoneticPr fontId="3"/>
  </si>
  <si>
    <t>④　金利上乗せ分の計算</t>
    <rPh sb="2" eb="4">
      <t>キンリ</t>
    </rPh>
    <rPh sb="4" eb="6">
      <t>ウワノ</t>
    </rPh>
    <rPh sb="7" eb="8">
      <t>ブン</t>
    </rPh>
    <rPh sb="9" eb="11">
      <t>ケイサン</t>
    </rPh>
    <phoneticPr fontId="3"/>
  </si>
  <si>
    <t>(%)</t>
    <phoneticPr fontId="3"/>
  </si>
  <si>
    <t>残存期間</t>
    <rPh sb="0" eb="2">
      <t>ザンゾン</t>
    </rPh>
    <rPh sb="2" eb="4">
      <t>キカン</t>
    </rPh>
    <phoneticPr fontId="3"/>
  </si>
  <si>
    <t>２年３ヶ月</t>
    <rPh sb="1" eb="2">
      <t>ネン</t>
    </rPh>
    <rPh sb="4" eb="5">
      <t>ゲツ</t>
    </rPh>
    <phoneticPr fontId="3"/>
  </si>
  <si>
    <t>４年９ヶ月</t>
    <rPh sb="1" eb="2">
      <t>ネン</t>
    </rPh>
    <rPh sb="4" eb="5">
      <t>ゲツ</t>
    </rPh>
    <phoneticPr fontId="3"/>
  </si>
  <si>
    <t>利払期間</t>
    <rPh sb="0" eb="2">
      <t>リバラ</t>
    </rPh>
    <rPh sb="2" eb="4">
      <t>キカン</t>
    </rPh>
    <phoneticPr fontId="3"/>
  </si>
  <si>
    <t>半年</t>
    <rPh sb="0" eb="2">
      <t>ハントシ</t>
    </rPh>
    <phoneticPr fontId="3"/>
  </si>
  <si>
    <t>１年</t>
    <rPh sb="1" eb="2">
      <t>ネン</t>
    </rPh>
    <phoneticPr fontId="3"/>
  </si>
  <si>
    <t>0.25年後</t>
    <rPh sb="4" eb="5">
      <t>ネン</t>
    </rPh>
    <rPh sb="5" eb="6">
      <t>アト</t>
    </rPh>
    <phoneticPr fontId="3"/>
  </si>
  <si>
    <t>0.75年後</t>
    <rPh sb="4" eb="5">
      <t>ネン</t>
    </rPh>
    <rPh sb="5" eb="6">
      <t>アト</t>
    </rPh>
    <phoneticPr fontId="3"/>
  </si>
  <si>
    <t>1.25年後</t>
    <rPh sb="4" eb="5">
      <t>ネン</t>
    </rPh>
    <rPh sb="5" eb="6">
      <t>アト</t>
    </rPh>
    <phoneticPr fontId="3"/>
  </si>
  <si>
    <t>1.75年後</t>
    <rPh sb="4" eb="5">
      <t>ネン</t>
    </rPh>
    <rPh sb="5" eb="6">
      <t>アト</t>
    </rPh>
    <phoneticPr fontId="3"/>
  </si>
  <si>
    <t>2.25年後</t>
    <rPh sb="4" eb="5">
      <t>ネン</t>
    </rPh>
    <rPh sb="5" eb="6">
      <t>アト</t>
    </rPh>
    <phoneticPr fontId="3"/>
  </si>
  <si>
    <t>2.75年後</t>
    <rPh sb="4" eb="5">
      <t>ネン</t>
    </rPh>
    <rPh sb="5" eb="6">
      <t>アト</t>
    </rPh>
    <phoneticPr fontId="3"/>
  </si>
  <si>
    <t>3.75年後</t>
    <rPh sb="4" eb="5">
      <t>ネン</t>
    </rPh>
    <rPh sb="5" eb="6">
      <t>アト</t>
    </rPh>
    <phoneticPr fontId="3"/>
  </si>
  <si>
    <t>4.75年後</t>
    <rPh sb="4" eb="5">
      <t>ネン</t>
    </rPh>
    <rPh sb="5" eb="6">
      <t>アト</t>
    </rPh>
    <phoneticPr fontId="3"/>
  </si>
  <si>
    <t>＜スワップ１のリスク管理上のキャッシュ・フロー＞</t>
    <rPh sb="10" eb="12">
      <t>カンリ</t>
    </rPh>
    <rPh sb="12" eb="13">
      <t>ジョウ</t>
    </rPh>
    <phoneticPr fontId="3"/>
  </si>
  <si>
    <t>＜スワップ２のリスク管理上のキャッシュ・フロー＞</t>
    <rPh sb="10" eb="12">
      <t>カンリ</t>
    </rPh>
    <rPh sb="12" eb="13">
      <t>ジョウ</t>
    </rPh>
    <phoneticPr fontId="3"/>
  </si>
  <si>
    <t>時価変額額</t>
    <rPh sb="0" eb="2">
      <t>ジカ</t>
    </rPh>
    <rPh sb="2" eb="4">
      <t>ヘンガク</t>
    </rPh>
    <rPh sb="4" eb="5">
      <t>ガク</t>
    </rPh>
    <phoneticPr fontId="3"/>
  </si>
  <si>
    <t>(百万円）</t>
    <rPh sb="1" eb="2">
      <t>ヒャク</t>
    </rPh>
    <rPh sb="2" eb="4">
      <t>マンエン</t>
    </rPh>
    <phoneticPr fontId="3"/>
  </si>
  <si>
    <t>半年後</t>
    <rPh sb="0" eb="2">
      <t>ハントシ</t>
    </rPh>
    <rPh sb="2" eb="3">
      <t>アト</t>
    </rPh>
    <phoneticPr fontId="3"/>
  </si>
  <si>
    <t>1.0年後</t>
    <rPh sb="3" eb="4">
      <t>ネン</t>
    </rPh>
    <rPh sb="4" eb="5">
      <t>アト</t>
    </rPh>
    <phoneticPr fontId="3"/>
  </si>
  <si>
    <t>1.5年後</t>
    <rPh sb="3" eb="4">
      <t>ネン</t>
    </rPh>
    <rPh sb="4" eb="5">
      <t>アト</t>
    </rPh>
    <phoneticPr fontId="3"/>
  </si>
  <si>
    <t>2.0年後</t>
    <rPh sb="3" eb="4">
      <t>ネン</t>
    </rPh>
    <rPh sb="4" eb="5">
      <t>アト</t>
    </rPh>
    <phoneticPr fontId="3"/>
  </si>
  <si>
    <t>2.5年後</t>
    <rPh sb="3" eb="4">
      <t>ネン</t>
    </rPh>
    <rPh sb="4" eb="5">
      <t>アト</t>
    </rPh>
    <phoneticPr fontId="3"/>
  </si>
  <si>
    <t>3.0年後</t>
    <rPh sb="3" eb="4">
      <t>ネン</t>
    </rPh>
    <rPh sb="4" eb="5">
      <t>アト</t>
    </rPh>
    <phoneticPr fontId="3"/>
  </si>
  <si>
    <t>3.5年後</t>
    <rPh sb="3" eb="4">
      <t>ネン</t>
    </rPh>
    <rPh sb="4" eb="5">
      <t>アト</t>
    </rPh>
    <phoneticPr fontId="3"/>
  </si>
  <si>
    <t>4.0年後</t>
    <rPh sb="3" eb="4">
      <t>ネン</t>
    </rPh>
    <rPh sb="4" eb="5">
      <t>アト</t>
    </rPh>
    <phoneticPr fontId="3"/>
  </si>
  <si>
    <t>4.5年後</t>
    <rPh sb="3" eb="4">
      <t>ネン</t>
    </rPh>
    <rPh sb="4" eb="5">
      <t>アト</t>
    </rPh>
    <phoneticPr fontId="3"/>
  </si>
  <si>
    <t>5.0年後</t>
    <rPh sb="3" eb="4">
      <t>ネン</t>
    </rPh>
    <rPh sb="4" eb="5">
      <t>アト</t>
    </rPh>
    <phoneticPr fontId="3"/>
  </si>
  <si>
    <t>６ヶ月Ｌ</t>
    <rPh sb="2" eb="3">
      <t>ゲツ</t>
    </rPh>
    <phoneticPr fontId="3"/>
  </si>
  <si>
    <t>元本１億円</t>
    <rPh sb="0" eb="2">
      <t>ガンポン</t>
    </rPh>
    <rPh sb="3" eb="5">
      <t>オクエン</t>
    </rPh>
    <phoneticPr fontId="3"/>
  </si>
  <si>
    <t xml:space="preserve">    DF</t>
    <phoneticPr fontId="3"/>
  </si>
  <si>
    <t>1.0ｙＳ</t>
    <phoneticPr fontId="3"/>
  </si>
  <si>
    <t>1.5ｙＳ</t>
    <phoneticPr fontId="3"/>
  </si>
  <si>
    <t>2.0ｙＳ</t>
    <phoneticPr fontId="3"/>
  </si>
  <si>
    <t>3.0ｙＳ</t>
    <phoneticPr fontId="3"/>
  </si>
  <si>
    <t>4.0ｙＳ</t>
    <phoneticPr fontId="3"/>
  </si>
  <si>
    <t>5.0ｙＳ</t>
    <phoneticPr fontId="3"/>
  </si>
  <si>
    <t>SWAP1</t>
    <phoneticPr fontId="3"/>
  </si>
  <si>
    <t>SWAP2</t>
    <phoneticPr fontId="3"/>
  </si>
  <si>
    <t>LIBOR12</t>
    <phoneticPr fontId="3"/>
  </si>
  <si>
    <t>＜ポートフォリオのキャッシュ・フロー＞</t>
    <phoneticPr fontId="3"/>
  </si>
  <si>
    <t>　    NET</t>
    <phoneticPr fontId="3"/>
  </si>
  <si>
    <t>＜市場金利＞</t>
    <rPh sb="1" eb="3">
      <t>シジョウ</t>
    </rPh>
    <rPh sb="3" eb="5">
      <t>キンリ</t>
    </rPh>
    <phoneticPr fontId="3"/>
  </si>
  <si>
    <t>2.5ｙ　SWAP</t>
    <phoneticPr fontId="3"/>
  </si>
  <si>
    <t>3.5ｙ　SWAP</t>
    <phoneticPr fontId="3"/>
  </si>
  <si>
    <t>4.5ｙ　SWAP</t>
    <phoneticPr fontId="3"/>
  </si>
  <si>
    <t>＜調整後金利によるＤＦ＞</t>
    <rPh sb="1" eb="3">
      <t>チョウセイ</t>
    </rPh>
    <rPh sb="3" eb="4">
      <t>ゴ</t>
    </rPh>
    <rPh sb="4" eb="6">
      <t>キンリ</t>
    </rPh>
    <phoneticPr fontId="3"/>
  </si>
  <si>
    <t>　要ヘッジ</t>
    <rPh sb="1" eb="2">
      <t>ヨウ</t>
    </rPh>
    <phoneticPr fontId="3"/>
  </si>
  <si>
    <t>★</t>
    <phoneticPr fontId="3"/>
  </si>
  <si>
    <t>ヘッジ比率</t>
    <rPh sb="3" eb="5">
      <t>ヒリツ</t>
    </rPh>
    <phoneticPr fontId="3"/>
  </si>
  <si>
    <t>2.5ｙ　SWAP</t>
    <phoneticPr fontId="3"/>
  </si>
  <si>
    <t>3.5ｙ　SWAP</t>
    <phoneticPr fontId="3"/>
  </si>
  <si>
    <t>4.5ｙ　SWAP</t>
    <phoneticPr fontId="3"/>
  </si>
  <si>
    <t>SWAP1</t>
    <phoneticPr fontId="3"/>
  </si>
  <si>
    <t>SWAP2</t>
    <phoneticPr fontId="3"/>
  </si>
  <si>
    <t>円金利体系</t>
    <rPh sb="0" eb="1">
      <t>エン</t>
    </rPh>
    <rPh sb="1" eb="3">
      <t>キンリ</t>
    </rPh>
    <rPh sb="3" eb="5">
      <t>タイケイ</t>
    </rPh>
    <phoneticPr fontId="3"/>
  </si>
  <si>
    <t>↓確認問題１の答え</t>
    <rPh sb="1" eb="3">
      <t>カクニン</t>
    </rPh>
    <rPh sb="3" eb="5">
      <t>モンダイ</t>
    </rPh>
    <rPh sb="7" eb="8">
      <t>コタ</t>
    </rPh>
    <phoneticPr fontId="3"/>
  </si>
  <si>
    <t>ボラティリティ</t>
    <phoneticPr fontId="3"/>
  </si>
  <si>
    <t>％</t>
    <phoneticPr fontId="3"/>
  </si>
  <si>
    <t>①　円金利及びディスカウント・ファクター</t>
    <rPh sb="2" eb="3">
      <t>エン</t>
    </rPh>
    <rPh sb="3" eb="5">
      <t>キンリ</t>
    </rPh>
    <rPh sb="5" eb="6">
      <t>オヨ</t>
    </rPh>
    <phoneticPr fontId="3"/>
  </si>
  <si>
    <t>(レシーバーズ･オプション）</t>
    <phoneticPr fontId="3"/>
  </si>
  <si>
    <t>③金利上乗せ幅（％）</t>
    <rPh sb="1" eb="3">
      <t>キンリ</t>
    </rPh>
    <rPh sb="3" eb="5">
      <t>ウワノ</t>
    </rPh>
    <rPh sb="6" eb="7">
      <t>ハバ</t>
    </rPh>
    <phoneticPr fontId="3"/>
  </si>
  <si>
    <t>④前半２年金利理論値</t>
    <rPh sb="1" eb="3">
      <t>ゼンハン</t>
    </rPh>
    <rPh sb="4" eb="5">
      <t>ネン</t>
    </rPh>
    <rPh sb="5" eb="7">
      <t>キンリ</t>
    </rPh>
    <rPh sb="7" eb="9">
      <t>リロン</t>
    </rPh>
    <rPh sb="9" eb="10">
      <t>アタイ</t>
    </rPh>
    <phoneticPr fontId="3"/>
  </si>
  <si>
    <t>（％）</t>
    <phoneticPr fontId="3"/>
  </si>
  <si>
    <t>（百万円）</t>
    <rPh sb="1" eb="2">
      <t>ヒャク</t>
    </rPh>
    <rPh sb="2" eb="4">
      <t>マンエン</t>
    </rPh>
    <phoneticPr fontId="3"/>
  </si>
  <si>
    <t>評価日</t>
    <rPh sb="0" eb="2">
      <t>ヒョウカ</t>
    </rPh>
    <rPh sb="2" eb="3">
      <t>ヒ</t>
    </rPh>
    <phoneticPr fontId="3"/>
  </si>
  <si>
    <t>1.0YR SWAP</t>
    <phoneticPr fontId="3"/>
  </si>
  <si>
    <t>df</t>
    <phoneticPr fontId="3"/>
  </si>
  <si>
    <t xml:space="preserve">    Δdf</t>
    <phoneticPr fontId="3"/>
  </si>
  <si>
    <t xml:space="preserve">      Δdf</t>
    <phoneticPr fontId="3"/>
  </si>
  <si>
    <t xml:space="preserve">  Δｄｆ</t>
    <phoneticPr fontId="3"/>
  </si>
  <si>
    <t>2/25、8/25</t>
    <phoneticPr fontId="3"/>
  </si>
  <si>
    <t>問１</t>
    <rPh sb="0" eb="1">
      <t>トイ</t>
    </rPh>
    <phoneticPr fontId="3"/>
  </si>
  <si>
    <t>6.0ｙ　SWAP</t>
    <phoneticPr fontId="3"/>
  </si>
  <si>
    <t>7.0y  SWAP</t>
    <phoneticPr fontId="3"/>
  </si>
  <si>
    <t>(スワップ・レートは SA 365日ベース）</t>
    <rPh sb="17" eb="18">
      <t>ニチ</t>
    </rPh>
    <phoneticPr fontId="3"/>
  </si>
  <si>
    <t>(SA 365 日ベース）</t>
    <rPh sb="8" eb="9">
      <t>ニチ</t>
    </rPh>
    <phoneticPr fontId="3"/>
  </si>
  <si>
    <t>３年９ヶ月</t>
    <rPh sb="1" eb="2">
      <t>ネン</t>
    </rPh>
    <rPh sb="4" eb="5">
      <t>ゲツ</t>
    </rPh>
    <phoneticPr fontId="3"/>
  </si>
  <si>
    <t>６年３ヶ月</t>
    <rPh sb="1" eb="2">
      <t>ネン</t>
    </rPh>
    <rPh sb="4" eb="5">
      <t>ゲツ</t>
    </rPh>
    <phoneticPr fontId="3"/>
  </si>
  <si>
    <t>3.25年後</t>
    <rPh sb="4" eb="5">
      <t>ネン</t>
    </rPh>
    <rPh sb="5" eb="6">
      <t>アト</t>
    </rPh>
    <phoneticPr fontId="3"/>
  </si>
  <si>
    <t>4.25年後</t>
    <rPh sb="4" eb="5">
      <t>ネン</t>
    </rPh>
    <rPh sb="5" eb="6">
      <t>アト</t>
    </rPh>
    <phoneticPr fontId="3"/>
  </si>
  <si>
    <t>5.25年後</t>
    <rPh sb="4" eb="5">
      <t>ネン</t>
    </rPh>
    <rPh sb="5" eb="6">
      <t>アト</t>
    </rPh>
    <phoneticPr fontId="3"/>
  </si>
  <si>
    <t>6.25年後</t>
    <rPh sb="4" eb="5">
      <t>ネン</t>
    </rPh>
    <rPh sb="5" eb="6">
      <t>アト</t>
    </rPh>
    <phoneticPr fontId="3"/>
  </si>
  <si>
    <t>7.0y  SWAP</t>
    <phoneticPr fontId="3"/>
  </si>
  <si>
    <t>df</t>
    <phoneticPr fontId="3"/>
  </si>
  <si>
    <t>5.5年後</t>
    <rPh sb="3" eb="4">
      <t>ネン</t>
    </rPh>
    <rPh sb="4" eb="5">
      <t>アト</t>
    </rPh>
    <phoneticPr fontId="3"/>
  </si>
  <si>
    <t>6.0年後</t>
    <rPh sb="3" eb="4">
      <t>ネン</t>
    </rPh>
    <rPh sb="4" eb="5">
      <t>アト</t>
    </rPh>
    <phoneticPr fontId="3"/>
  </si>
  <si>
    <t>6.5年後</t>
    <rPh sb="3" eb="4">
      <t>ネン</t>
    </rPh>
    <rPh sb="4" eb="5">
      <t>アト</t>
    </rPh>
    <phoneticPr fontId="3"/>
  </si>
  <si>
    <t>7.0年後</t>
    <rPh sb="3" eb="4">
      <t>ネン</t>
    </rPh>
    <rPh sb="4" eb="5">
      <t>アト</t>
    </rPh>
    <phoneticPr fontId="3"/>
  </si>
  <si>
    <t>1.0ｙＳ</t>
    <phoneticPr fontId="3"/>
  </si>
  <si>
    <t>1.5ｙＳ</t>
    <phoneticPr fontId="3"/>
  </si>
  <si>
    <t>2.0ｙＳ</t>
    <phoneticPr fontId="3"/>
  </si>
  <si>
    <t>3.0ｙＳ</t>
    <phoneticPr fontId="3"/>
  </si>
  <si>
    <t>4.0ｙＳ</t>
    <phoneticPr fontId="3"/>
  </si>
  <si>
    <t>5.0ｙＳ</t>
    <phoneticPr fontId="3"/>
  </si>
  <si>
    <t>6.0ｙＳ</t>
    <phoneticPr fontId="3"/>
  </si>
  <si>
    <t>7.0ｙＳ</t>
    <phoneticPr fontId="3"/>
  </si>
  <si>
    <t>6.0ｙ　SWAP</t>
    <phoneticPr fontId="3"/>
  </si>
  <si>
    <t>7.0ｙ　SWAP</t>
    <phoneticPr fontId="3"/>
  </si>
  <si>
    <t>5.5y  SWAP</t>
    <phoneticPr fontId="3"/>
  </si>
  <si>
    <t>6.0y  SWAP</t>
    <phoneticPr fontId="3"/>
  </si>
  <si>
    <t>6.5y  SWAP</t>
    <phoneticPr fontId="3"/>
  </si>
  <si>
    <t>SWAP1</t>
    <phoneticPr fontId="3"/>
  </si>
  <si>
    <t>SWAP2</t>
    <phoneticPr fontId="3"/>
  </si>
  <si>
    <t>6.0ｙ　SWAP</t>
    <phoneticPr fontId="3"/>
  </si>
  <si>
    <t>7.0ｙ　SWAP</t>
    <phoneticPr fontId="3"/>
  </si>
  <si>
    <t>　　　　ｄｆ</t>
    <phoneticPr fontId="3"/>
  </si>
  <si>
    <t>1.0ｙ　SWAP</t>
    <phoneticPr fontId="3"/>
  </si>
  <si>
    <t>1.5ｙ　SWAP</t>
    <phoneticPr fontId="3"/>
  </si>
  <si>
    <t>2.0ｙ　SWAP</t>
    <phoneticPr fontId="3"/>
  </si>
  <si>
    <t>2.5ｙ　SWAP</t>
    <phoneticPr fontId="3"/>
  </si>
  <si>
    <t>3.0ｙ　SWAP</t>
    <phoneticPr fontId="3"/>
  </si>
  <si>
    <t>3.5ｙ　SWAP</t>
    <phoneticPr fontId="3"/>
  </si>
  <si>
    <t>4.0ｙ　SWAP</t>
    <phoneticPr fontId="3"/>
  </si>
  <si>
    <t>4.5ｙ　SWAP</t>
    <phoneticPr fontId="3"/>
  </si>
  <si>
    <t>5.0ｙ　SWAP</t>
    <phoneticPr fontId="3"/>
  </si>
  <si>
    <t xml:space="preserve"> </t>
    <phoneticPr fontId="3"/>
  </si>
  <si>
    <t>試験問題　データ</t>
    <rPh sb="0" eb="2">
      <t>シケン</t>
    </rPh>
    <rPh sb="2" eb="4">
      <t>モンダイ</t>
    </rPh>
    <phoneticPr fontId="3"/>
  </si>
  <si>
    <t>試験問題データ</t>
    <rPh sb="0" eb="2">
      <t>シケン</t>
    </rPh>
    <rPh sb="2" eb="4">
      <t>モンダイ</t>
    </rPh>
    <phoneticPr fontId="3"/>
  </si>
  <si>
    <t>問４</t>
    <rPh sb="0" eb="1">
      <t>トイ</t>
    </rPh>
    <phoneticPr fontId="3"/>
  </si>
  <si>
    <t>問２</t>
    <rPh sb="0" eb="1">
      <t>トイ</t>
    </rPh>
    <phoneticPr fontId="3"/>
  </si>
  <si>
    <t>＜ヘッジ取引の金利感応度＞</t>
    <rPh sb="7" eb="9">
      <t>キンリ</t>
    </rPh>
    <rPh sb="9" eb="11">
      <t>カンノウ</t>
    </rPh>
    <rPh sb="11" eb="12">
      <t>ド</t>
    </rPh>
    <phoneticPr fontId="3"/>
  </si>
  <si>
    <t>&lt;ヘッジ取引の金利感応度まとめ＞</t>
    <rPh sb="7" eb="9">
      <t>キンリ</t>
    </rPh>
    <rPh sb="9" eb="11">
      <t>カンノウ</t>
    </rPh>
    <rPh sb="11" eb="12">
      <t>ド</t>
    </rPh>
    <phoneticPr fontId="3"/>
  </si>
  <si>
    <t>＜ポートフォリオとヘッジ取引の金利感応度整理＞</t>
    <rPh sb="15" eb="17">
      <t>キンリ</t>
    </rPh>
    <rPh sb="17" eb="19">
      <t>カンノウ</t>
    </rPh>
    <rPh sb="19" eb="20">
      <t>ド</t>
    </rPh>
    <rPh sb="20" eb="22">
      <t>セイリ</t>
    </rPh>
    <phoneticPr fontId="3"/>
  </si>
  <si>
    <t>ヘッジ取引</t>
    <phoneticPr fontId="3"/>
  </si>
  <si>
    <t>＜ヘッジ取引の感応度（単位：百万円）＞</t>
    <rPh sb="7" eb="9">
      <t>カンノウ</t>
    </rPh>
    <rPh sb="9" eb="10">
      <t>ド</t>
    </rPh>
    <rPh sb="11" eb="13">
      <t>タンイ</t>
    </rPh>
    <rPh sb="14" eb="15">
      <t>ヒャク</t>
    </rPh>
    <rPh sb="15" eb="17">
      <t>マンエン</t>
    </rPh>
    <phoneticPr fontId="3"/>
  </si>
  <si>
    <t>maru</t>
    <phoneticPr fontId="3"/>
  </si>
  <si>
    <t>long</t>
    <phoneticPr fontId="3"/>
  </si>
  <si>
    <t>short</t>
    <phoneticPr fontId="3"/>
  </si>
  <si>
    <t>LIBOR6ヶ月</t>
    <phoneticPr fontId="3"/>
  </si>
  <si>
    <t>1.0y</t>
    <phoneticPr fontId="3"/>
  </si>
  <si>
    <t>1.5y</t>
    <phoneticPr fontId="3"/>
  </si>
  <si>
    <t>2.0y</t>
    <phoneticPr fontId="3"/>
  </si>
  <si>
    <t>2.5y</t>
    <phoneticPr fontId="3"/>
  </si>
  <si>
    <t>3.0y</t>
    <phoneticPr fontId="3"/>
  </si>
  <si>
    <t>3.5y</t>
    <phoneticPr fontId="3"/>
  </si>
  <si>
    <t>4.0y</t>
    <phoneticPr fontId="3"/>
  </si>
  <si>
    <t>4.5y</t>
    <phoneticPr fontId="3"/>
  </si>
  <si>
    <t>5.0y</t>
    <phoneticPr fontId="3"/>
  </si>
  <si>
    <t>5.5y</t>
    <phoneticPr fontId="3"/>
  </si>
  <si>
    <t>6.0y</t>
    <phoneticPr fontId="3"/>
  </si>
  <si>
    <t>6.5y</t>
    <phoneticPr fontId="3"/>
  </si>
  <si>
    <t>7.0y</t>
    <phoneticPr fontId="3"/>
  </si>
  <si>
    <t>金利(%)</t>
    <rPh sb="0" eb="2">
      <t>キn</t>
    </rPh>
    <phoneticPr fontId="3"/>
  </si>
  <si>
    <t>調整後の7.0y金利</t>
    <rPh sb="0" eb="3">
      <t>チョウセイ</t>
    </rPh>
    <rPh sb="8" eb="10">
      <t>キンリ</t>
    </rPh>
    <phoneticPr fontId="3"/>
  </si>
  <si>
    <t>支払い額</t>
    <rPh sb="0" eb="2">
      <t>シハライ</t>
    </rPh>
    <rPh sb="3" eb="4">
      <t xml:space="preserve">ガク </t>
    </rPh>
    <phoneticPr fontId="3"/>
  </si>
  <si>
    <t>受取額</t>
    <rPh sb="0" eb="3">
      <t>ウケトリ</t>
    </rPh>
    <phoneticPr fontId="3"/>
  </si>
  <si>
    <t>スワップの元本(千円)</t>
    <rPh sb="5" eb="7">
      <t>ガンポn</t>
    </rPh>
    <rPh sb="8" eb="10">
      <t>センエn</t>
    </rPh>
    <phoneticPr fontId="3"/>
  </si>
  <si>
    <t>CFのPV</t>
    <phoneticPr fontId="3"/>
  </si>
  <si>
    <t>スワップのPV</t>
    <phoneticPr fontId="3"/>
  </si>
  <si>
    <t>調整後のスワップのPV(千円)</t>
    <rPh sb="0" eb="3">
      <t>チョウセイ</t>
    </rPh>
    <rPh sb="12" eb="14">
      <t>センエn</t>
    </rPh>
    <phoneticPr fontId="3"/>
  </si>
  <si>
    <t>利払い日</t>
    <rPh sb="0" eb="2">
      <t>リバライ</t>
    </rPh>
    <rPh sb="3" eb="4">
      <t xml:space="preserve">ヒ </t>
    </rPh>
    <phoneticPr fontId="3"/>
  </si>
  <si>
    <t>受取金額（百万円）</t>
    <rPh sb="0" eb="4">
      <t>ウケトリ</t>
    </rPh>
    <rPh sb="5" eb="8">
      <t>ヒャクマ</t>
    </rPh>
    <phoneticPr fontId="3"/>
  </si>
  <si>
    <t>支払い金額（百万円）</t>
    <rPh sb="0" eb="2">
      <t>シハライキn</t>
    </rPh>
    <rPh sb="6" eb="9">
      <t>ヒャクマn</t>
    </rPh>
    <phoneticPr fontId="3"/>
  </si>
  <si>
    <t>0.25年後</t>
    <rPh sb="4" eb="6">
      <t>ネンゴ</t>
    </rPh>
    <phoneticPr fontId="3"/>
  </si>
  <si>
    <t>0.75年後</t>
    <rPh sb="4" eb="6">
      <t>ネn</t>
    </rPh>
    <phoneticPr fontId="3"/>
  </si>
  <si>
    <t>1.25年後</t>
    <rPh sb="4" eb="6">
      <t>ネn</t>
    </rPh>
    <phoneticPr fontId="3"/>
  </si>
  <si>
    <t>1.75年後</t>
    <rPh sb="4" eb="6">
      <t>ネn</t>
    </rPh>
    <phoneticPr fontId="3"/>
  </si>
  <si>
    <t>2.25年後</t>
    <rPh sb="4" eb="6">
      <t>ネn</t>
    </rPh>
    <phoneticPr fontId="3"/>
  </si>
  <si>
    <t>2.75年後</t>
    <rPh sb="4" eb="6">
      <t>ネn</t>
    </rPh>
    <phoneticPr fontId="3"/>
  </si>
  <si>
    <t>CF</t>
    <phoneticPr fontId="3"/>
  </si>
  <si>
    <t>スワップPV（百万円）</t>
    <phoneticPr fontId="3"/>
  </si>
  <si>
    <t>PV</t>
    <phoneticPr fontId="3"/>
  </si>
  <si>
    <t>ヘッジ対象金利</t>
    <phoneticPr fontId="3"/>
  </si>
  <si>
    <t>7.0y, 6.0y, 5.0y</t>
    <phoneticPr fontId="3"/>
  </si>
  <si>
    <t>(1)</t>
    <phoneticPr fontId="3"/>
  </si>
  <si>
    <t>①</t>
    <phoneticPr fontId="3"/>
  </si>
  <si>
    <t>②</t>
    <phoneticPr fontId="3"/>
  </si>
  <si>
    <t>F</t>
    <phoneticPr fontId="3"/>
  </si>
  <si>
    <t>σ</t>
    <phoneticPr fontId="3"/>
  </si>
  <si>
    <t>d1</t>
    <phoneticPr fontId="3"/>
  </si>
  <si>
    <t>d2</t>
    <phoneticPr fontId="3"/>
  </si>
  <si>
    <t>③</t>
    <phoneticPr fontId="3"/>
  </si>
  <si>
    <t>ぺイヤーズ</t>
    <phoneticPr fontId="3"/>
  </si>
  <si>
    <t>レシーバーズ</t>
    <phoneticPr fontId="3"/>
  </si>
  <si>
    <t>(2)</t>
    <phoneticPr fontId="3"/>
  </si>
  <si>
    <t>(3)</t>
    <phoneticPr fontId="3"/>
  </si>
  <si>
    <t>0.5~1.0</t>
    <phoneticPr fontId="3"/>
  </si>
  <si>
    <t>1.0~1.5</t>
    <phoneticPr fontId="3"/>
  </si>
  <si>
    <t>1.5~2.0</t>
    <phoneticPr fontId="3"/>
  </si>
  <si>
    <t>2.0~2.5</t>
    <phoneticPr fontId="3"/>
  </si>
  <si>
    <t>2.5~3.0</t>
    <phoneticPr fontId="3"/>
  </si>
  <si>
    <t>3.0~3.5</t>
    <phoneticPr fontId="3"/>
  </si>
  <si>
    <t>3.5~4.0</t>
    <phoneticPr fontId="3"/>
  </si>
  <si>
    <t>4.0~4.5</t>
    <phoneticPr fontId="3"/>
  </si>
  <si>
    <t>4.5~5.0</t>
    <phoneticPr fontId="3"/>
  </si>
  <si>
    <t>R</t>
    <phoneticPr fontId="3"/>
  </si>
  <si>
    <t>sigma</t>
    <phoneticPr fontId="3"/>
  </si>
  <si>
    <t>2.5y  SWAP</t>
    <phoneticPr fontId="3"/>
  </si>
  <si>
    <t>3.5y  SWAP</t>
    <phoneticPr fontId="3"/>
  </si>
  <si>
    <t>4.5y  SWAP</t>
    <phoneticPr fontId="3"/>
  </si>
  <si>
    <t>6,5y  SWAP</t>
    <phoneticPr fontId="3"/>
  </si>
  <si>
    <t>変化後 7y金利(%)</t>
    <rPh sb="0" eb="3">
      <t>ヘンカゴ</t>
    </rPh>
    <rPh sb="6" eb="8">
      <t>キンリ</t>
    </rPh>
    <phoneticPr fontId="3"/>
  </si>
  <si>
    <t>変化前PV</t>
    <rPh sb="0" eb="3">
      <t>ヘンカ</t>
    </rPh>
    <phoneticPr fontId="3"/>
  </si>
  <si>
    <t>元本(千円)</t>
    <rPh sb="0" eb="2">
      <t xml:space="preserve">ガンポン </t>
    </rPh>
    <rPh sb="3" eb="5">
      <t>センエn</t>
    </rPh>
    <phoneticPr fontId="3"/>
  </si>
  <si>
    <t>受取金額(千円)</t>
    <rPh sb="0" eb="2">
      <t>ウケ</t>
    </rPh>
    <rPh sb="2" eb="4">
      <t>キンガク</t>
    </rPh>
    <rPh sb="5" eb="7">
      <t>センエn</t>
    </rPh>
    <phoneticPr fontId="3"/>
  </si>
  <si>
    <t>支払金額(千円)</t>
    <rPh sb="0" eb="2">
      <t>シハライ</t>
    </rPh>
    <rPh sb="2" eb="4">
      <t>キンガク</t>
    </rPh>
    <rPh sb="5" eb="7">
      <t>センエn</t>
    </rPh>
    <phoneticPr fontId="3"/>
  </si>
  <si>
    <t>NET</t>
    <phoneticPr fontId="3"/>
  </si>
  <si>
    <t>PV(千円)</t>
    <rPh sb="3" eb="5">
      <t>センエn</t>
    </rPh>
    <phoneticPr fontId="3"/>
  </si>
  <si>
    <t>利払日</t>
    <rPh sb="0" eb="3">
      <t>リバライブ</t>
    </rPh>
    <phoneticPr fontId="3"/>
  </si>
  <si>
    <t>受取金額(百万円)</t>
    <rPh sb="0" eb="2">
      <t>ウケ</t>
    </rPh>
    <rPh sb="2" eb="4">
      <t>キンガク</t>
    </rPh>
    <rPh sb="5" eb="8">
      <t>ヒャクマn</t>
    </rPh>
    <phoneticPr fontId="3"/>
  </si>
  <si>
    <t>支払金額(百万円)</t>
    <rPh sb="0" eb="4">
      <t>シハライ</t>
    </rPh>
    <rPh sb="5" eb="8">
      <t>ヒャクマn</t>
    </rPh>
    <phoneticPr fontId="3"/>
  </si>
  <si>
    <t>0.25年後</t>
    <rPh sb="4" eb="6">
      <t>ネn</t>
    </rPh>
    <phoneticPr fontId="3"/>
  </si>
  <si>
    <t>元本(百万円)</t>
    <rPh sb="0" eb="2">
      <t>ガンポn</t>
    </rPh>
    <rPh sb="3" eb="5">
      <t>ヒャクマn</t>
    </rPh>
    <phoneticPr fontId="3"/>
  </si>
  <si>
    <t>PV(百万円)</t>
    <rPh sb="3" eb="6">
      <t>ヒャク</t>
    </rPh>
    <phoneticPr fontId="3"/>
  </si>
  <si>
    <t>金利感応度(元本100)</t>
    <rPh sb="0" eb="2">
      <t>キn</t>
    </rPh>
    <rPh sb="2" eb="4">
      <t>カンオウ</t>
    </rPh>
    <rPh sb="4" eb="5">
      <t xml:space="preserve">ド </t>
    </rPh>
    <rPh sb="6" eb="8">
      <t>ガンポn</t>
    </rPh>
    <phoneticPr fontId="3"/>
  </si>
  <si>
    <t>P</t>
    <phoneticPr fontId="3"/>
  </si>
  <si>
    <t>ヘッジ用元本(億円)</t>
    <rPh sb="7" eb="9">
      <t>オクエn</t>
    </rPh>
    <phoneticPr fontId="3"/>
  </si>
  <si>
    <t>n</t>
    <phoneticPr fontId="3"/>
  </si>
  <si>
    <t>K (%)</t>
    <phoneticPr fontId="3"/>
  </si>
  <si>
    <t>σ (%)</t>
    <phoneticPr fontId="3"/>
  </si>
  <si>
    <t>F (%)</t>
    <phoneticPr fontId="3"/>
  </si>
  <si>
    <t>Payers</t>
    <phoneticPr fontId="3"/>
  </si>
  <si>
    <t>Receivers</t>
    <phoneticPr fontId="3"/>
  </si>
  <si>
    <t>① (%)</t>
    <phoneticPr fontId="3"/>
  </si>
  <si>
    <t>② (%)</t>
    <phoneticPr fontId="3"/>
  </si>
  <si>
    <t>③ (%)</t>
    <phoneticPr fontId="3"/>
  </si>
  <si>
    <t>3.0-3.5</t>
    <phoneticPr fontId="3"/>
  </si>
  <si>
    <t>3.5-4.0</t>
    <phoneticPr fontId="3"/>
  </si>
  <si>
    <t>4.0-4.5</t>
    <phoneticPr fontId="3"/>
  </si>
  <si>
    <t>4.5-5.0</t>
    <phoneticPr fontId="3"/>
  </si>
  <si>
    <t>K(%)</t>
    <phoneticPr fontId="3"/>
  </si>
  <si>
    <t>σ(%)</t>
    <phoneticPr fontId="3"/>
  </si>
  <si>
    <t>キャップレット(%)</t>
    <phoneticPr fontId="3"/>
  </si>
  <si>
    <t>R(%)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</si>
</sst>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76" formatCode="#,##0.000;[Red]\-#,##0.000"/>
    <numFmt numFmtId="177" formatCode="#,##0.0000;[Red]\-#,##0.0000"/>
    <numFmt numFmtId="178" formatCode="#,##0.00000;[Red]\-#,##0.00000"/>
    <numFmt numFmtId="179" formatCode="#,##0.000000;[Red]\-#,##0.000000"/>
    <numFmt numFmtId="180" formatCode="0.000_ "/>
    <numFmt numFmtId="181" formatCode="0.0000_ "/>
    <numFmt numFmtId="182" formatCode="yyyy/m/d;@"/>
    <numFmt numFmtId="183" formatCode="0.00000%"/>
    <numFmt numFmtId="184" formatCode="0.00_ "/>
    <numFmt numFmtId="185" formatCode="#,##0.0000000;[Red]\-#,##0.0000000"/>
    <numFmt numFmtId="186" formatCode="0.0_ "/>
    <numFmt numFmtId="187" formatCode="#,##0.00000000;[Red]\-#,##0.00000000"/>
    <numFmt numFmtId="188" formatCode="#,##0.00_ ;[Red]\-#,##0.00\ "/>
    <numFmt numFmtId="189" formatCode="0.00000000_ ;[Red]\-0.00000000\ "/>
    <numFmt numFmtId="190" formatCode="#,##0.00000_ ;[Red]\-#,##0.00000\ "/>
    <numFmt numFmtId="191" formatCode="0.00000000_ "/>
    <numFmt numFmtId="195" formatCode="0.00000_ "/>
    <numFmt numFmtId="199" formatCode="0.0000_ ;[Red]\-0.0000\ "/>
    <numFmt numFmtId="200" formatCode="#,##0.0000_ ;[Red]\-#,##0.0000\ "/>
    <numFmt numFmtId="201" formatCode="0.00000_ ;[Red]\-0.00000\ "/>
    <numFmt numFmtId="202" formatCode="0.00_ ;[Red]\-0.00\ 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vertAlign val="subscript"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97">
    <xf numFmtId="0" fontId="0" fillId="0" borderId="0" xfId="0">
      <alignment vertical="center"/>
    </xf>
    <xf numFmtId="0" fontId="0" fillId="0" borderId="1" xfId="0" applyBorder="1">
      <alignment vertical="center"/>
    </xf>
    <xf numFmtId="184" fontId="0" fillId="0" borderId="1" xfId="0" applyNumberFormat="1" applyBorder="1">
      <alignment vertical="center"/>
    </xf>
    <xf numFmtId="185" fontId="1" fillId="0" borderId="1" xfId="2" applyNumberFormat="1" applyBorder="1">
      <alignment vertical="center"/>
    </xf>
    <xf numFmtId="0" fontId="0" fillId="2" borderId="1" xfId="0" applyFill="1" applyBorder="1">
      <alignment vertical="center"/>
    </xf>
    <xf numFmtId="184" fontId="0" fillId="2" borderId="1" xfId="0" applyNumberFormat="1" applyFill="1" applyBorder="1">
      <alignment vertical="center"/>
    </xf>
    <xf numFmtId="0" fontId="0" fillId="2" borderId="2" xfId="0" applyFill="1" applyBorder="1">
      <alignment vertical="center"/>
    </xf>
    <xf numFmtId="184" fontId="0" fillId="0" borderId="0" xfId="0" applyNumberFormat="1">
      <alignment vertical="center"/>
    </xf>
    <xf numFmtId="38" fontId="1" fillId="0" borderId="0" xfId="2">
      <alignment vertical="center"/>
    </xf>
    <xf numFmtId="0" fontId="0" fillId="2" borderId="0" xfId="0" applyFill="1">
      <alignment vertical="center"/>
    </xf>
    <xf numFmtId="186" fontId="0" fillId="0" borderId="1" xfId="0" applyNumberFormat="1" applyBorder="1">
      <alignment vertical="center"/>
    </xf>
    <xf numFmtId="38" fontId="0" fillId="0" borderId="1" xfId="2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56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83" fontId="0" fillId="0" borderId="8" xfId="0" applyNumberFormat="1" applyBorder="1" applyAlignment="1">
      <alignment horizontal="center" vertical="center"/>
    </xf>
    <xf numFmtId="183" fontId="0" fillId="0" borderId="8" xfId="1" applyNumberFormat="1" applyFont="1" applyBorder="1" applyAlignment="1">
      <alignment horizontal="center" vertical="center"/>
    </xf>
    <xf numFmtId="183" fontId="0" fillId="0" borderId="9" xfId="1" applyNumberFormat="1" applyFont="1" applyBorder="1" applyAlignment="1">
      <alignment horizontal="center" vertical="center"/>
    </xf>
    <xf numFmtId="0" fontId="0" fillId="0" borderId="11" xfId="0" applyBorder="1">
      <alignment vertic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4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176" fontId="0" fillId="0" borderId="1" xfId="2" applyNumberFormat="1" applyFont="1" applyBorder="1">
      <alignment vertical="center"/>
    </xf>
    <xf numFmtId="176" fontId="0" fillId="0" borderId="0" xfId="2" applyNumberFormat="1" applyFont="1" applyBorder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38" fontId="0" fillId="0" borderId="14" xfId="2" applyFont="1" applyBorder="1" applyAlignment="1">
      <alignment horizontal="center" vertical="center"/>
    </xf>
    <xf numFmtId="38" fontId="0" fillId="0" borderId="15" xfId="2" applyFont="1" applyBorder="1" applyAlignment="1">
      <alignment horizontal="center" vertical="center"/>
    </xf>
    <xf numFmtId="182" fontId="0" fillId="0" borderId="1" xfId="0" applyNumberFormat="1" applyBorder="1">
      <alignment vertical="center"/>
    </xf>
    <xf numFmtId="38" fontId="0" fillId="0" borderId="0" xfId="2" applyFont="1" applyBorder="1">
      <alignment vertical="center"/>
    </xf>
    <xf numFmtId="14" fontId="0" fillId="0" borderId="16" xfId="0" applyNumberFormat="1" applyBorder="1">
      <alignment vertical="center"/>
    </xf>
    <xf numFmtId="178" fontId="0" fillId="0" borderId="1" xfId="2" applyNumberFormat="1" applyFont="1" applyBorder="1">
      <alignment vertical="center"/>
    </xf>
    <xf numFmtId="38" fontId="0" fillId="0" borderId="0" xfId="2" applyFont="1">
      <alignment vertical="center"/>
    </xf>
    <xf numFmtId="178" fontId="0" fillId="0" borderId="0" xfId="2" applyNumberFormat="1" applyFont="1">
      <alignment vertical="center"/>
    </xf>
    <xf numFmtId="177" fontId="0" fillId="0" borderId="1" xfId="2" applyNumberFormat="1" applyFont="1" applyBorder="1">
      <alignment vertical="center"/>
    </xf>
    <xf numFmtId="178" fontId="0" fillId="0" borderId="0" xfId="2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>
      <alignment vertical="center"/>
    </xf>
    <xf numFmtId="38" fontId="0" fillId="0" borderId="1" xfId="2" applyFont="1" applyFill="1" applyBorder="1">
      <alignment vertical="center"/>
    </xf>
    <xf numFmtId="38" fontId="0" fillId="0" borderId="1" xfId="0" applyNumberForma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9" fontId="0" fillId="0" borderId="1" xfId="2" applyNumberFormat="1" applyFont="1" applyBorder="1">
      <alignment vertical="center"/>
    </xf>
    <xf numFmtId="182" fontId="0" fillId="0" borderId="0" xfId="0" applyNumberFormat="1">
      <alignment vertical="center"/>
    </xf>
    <xf numFmtId="187" fontId="0" fillId="0" borderId="1" xfId="2" applyNumberFormat="1" applyFont="1" applyBorder="1">
      <alignment vertical="center"/>
    </xf>
    <xf numFmtId="0" fontId="5" fillId="0" borderId="0" xfId="0" applyFont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179" fontId="0" fillId="0" borderId="0" xfId="2" applyNumberFormat="1" applyFont="1" applyBorder="1">
      <alignment vertical="center"/>
    </xf>
    <xf numFmtId="177" fontId="0" fillId="0" borderId="0" xfId="2" applyNumberFormat="1" applyFont="1" applyBorder="1">
      <alignment vertical="center"/>
    </xf>
    <xf numFmtId="40" fontId="0" fillId="0" borderId="1" xfId="2" applyNumberFormat="1" applyFont="1" applyBorder="1">
      <alignment vertical="center"/>
    </xf>
    <xf numFmtId="0" fontId="0" fillId="0" borderId="22" xfId="0" applyBorder="1">
      <alignment vertical="center"/>
    </xf>
    <xf numFmtId="14" fontId="0" fillId="0" borderId="23" xfId="0" applyNumberFormat="1" applyBorder="1">
      <alignment vertical="center"/>
    </xf>
    <xf numFmtId="0" fontId="0" fillId="0" borderId="24" xfId="0" applyBorder="1">
      <alignment vertical="center"/>
    </xf>
    <xf numFmtId="14" fontId="0" fillId="0" borderId="25" xfId="0" applyNumberFormat="1" applyBorder="1">
      <alignment vertical="center"/>
    </xf>
    <xf numFmtId="38" fontId="0" fillId="0" borderId="26" xfId="2" applyFont="1" applyBorder="1">
      <alignment vertical="center"/>
    </xf>
    <xf numFmtId="0" fontId="0" fillId="0" borderId="27" xfId="0" applyBorder="1">
      <alignment vertical="center"/>
    </xf>
    <xf numFmtId="0" fontId="0" fillId="0" borderId="1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40" fontId="0" fillId="0" borderId="0" xfId="2" applyNumberFormat="1" applyFont="1" applyBorder="1">
      <alignment vertical="center"/>
    </xf>
    <xf numFmtId="178" fontId="0" fillId="0" borderId="0" xfId="0" applyNumberFormat="1">
      <alignment vertical="center"/>
    </xf>
    <xf numFmtId="182" fontId="0" fillId="0" borderId="1" xfId="0" applyNumberFormat="1" applyBorder="1" applyAlignment="1">
      <alignment horizontal="center" vertical="center"/>
    </xf>
    <xf numFmtId="182" fontId="0" fillId="0" borderId="0" xfId="2" applyNumberFormat="1" applyFont="1" applyBorder="1">
      <alignment vertical="center"/>
    </xf>
    <xf numFmtId="40" fontId="0" fillId="0" borderId="0" xfId="2" applyNumberFormat="1" applyFont="1" applyFill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187" fontId="0" fillId="0" borderId="0" xfId="2" applyNumberFormat="1" applyFont="1" applyBorder="1">
      <alignment vertical="center"/>
    </xf>
    <xf numFmtId="177" fontId="0" fillId="0" borderId="0" xfId="0" applyNumberFormat="1">
      <alignment vertical="center"/>
    </xf>
    <xf numFmtId="182" fontId="0" fillId="0" borderId="23" xfId="0" applyNumberFormat="1" applyBorder="1">
      <alignment vertical="center"/>
    </xf>
    <xf numFmtId="176" fontId="0" fillId="0" borderId="24" xfId="2" applyNumberFormat="1" applyFont="1" applyBorder="1">
      <alignment vertical="center"/>
    </xf>
    <xf numFmtId="0" fontId="4" fillId="0" borderId="0" xfId="0" applyFont="1">
      <alignment vertical="center"/>
    </xf>
    <xf numFmtId="0" fontId="0" fillId="0" borderId="32" xfId="0" applyBorder="1">
      <alignment vertical="center"/>
    </xf>
    <xf numFmtId="182" fontId="0" fillId="0" borderId="25" xfId="0" applyNumberFormat="1" applyBorder="1">
      <alignment vertical="center"/>
    </xf>
    <xf numFmtId="184" fontId="0" fillId="0" borderId="0" xfId="0" applyNumberFormat="1" applyAlignment="1">
      <alignment horizontal="center" vertical="center"/>
    </xf>
    <xf numFmtId="10" fontId="0" fillId="0" borderId="0" xfId="0" applyNumberFormat="1">
      <alignment vertical="center"/>
    </xf>
    <xf numFmtId="38" fontId="0" fillId="0" borderId="0" xfId="0" applyNumberFormat="1">
      <alignment vertical="center"/>
    </xf>
    <xf numFmtId="0" fontId="0" fillId="0" borderId="33" xfId="0" applyBorder="1">
      <alignment vertical="center"/>
    </xf>
    <xf numFmtId="177" fontId="0" fillId="0" borderId="34" xfId="2" applyNumberFormat="1" applyFont="1" applyBorder="1">
      <alignment vertical="center"/>
    </xf>
    <xf numFmtId="177" fontId="0" fillId="0" borderId="35" xfId="2" applyNumberFormat="1" applyFont="1" applyBorder="1">
      <alignment vertical="center"/>
    </xf>
    <xf numFmtId="177" fontId="0" fillId="0" borderId="36" xfId="2" applyNumberFormat="1" applyFont="1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40" fontId="0" fillId="0" borderId="24" xfId="2" applyNumberFormat="1" applyFont="1" applyBorder="1">
      <alignment vertical="center"/>
    </xf>
    <xf numFmtId="176" fontId="0" fillId="0" borderId="35" xfId="2" applyNumberFormat="1" applyFont="1" applyBorder="1">
      <alignment vertical="center"/>
    </xf>
    <xf numFmtId="176" fontId="0" fillId="0" borderId="36" xfId="2" applyNumberFormat="1" applyFont="1" applyBorder="1">
      <alignment vertical="center"/>
    </xf>
    <xf numFmtId="40" fontId="0" fillId="0" borderId="32" xfId="2" applyNumberFormat="1" applyFont="1" applyBorder="1">
      <alignment vertical="center"/>
    </xf>
    <xf numFmtId="188" fontId="0" fillId="0" borderId="24" xfId="0" applyNumberFormat="1" applyBorder="1">
      <alignment vertical="center"/>
    </xf>
    <xf numFmtId="176" fontId="0" fillId="0" borderId="27" xfId="2" applyNumberFormat="1" applyFont="1" applyBorder="1">
      <alignment vertical="center"/>
    </xf>
    <xf numFmtId="185" fontId="0" fillId="0" borderId="1" xfId="2" applyNumberFormat="1" applyFont="1" applyBorder="1">
      <alignment vertical="center"/>
    </xf>
    <xf numFmtId="176" fontId="0" fillId="0" borderId="26" xfId="2" applyNumberFormat="1" applyFont="1" applyBorder="1">
      <alignment vertical="center"/>
    </xf>
    <xf numFmtId="176" fontId="0" fillId="0" borderId="8" xfId="2" applyNumberFormat="1" applyFont="1" applyBorder="1">
      <alignment vertical="center"/>
    </xf>
    <xf numFmtId="176" fontId="0" fillId="0" borderId="12" xfId="2" applyNumberFormat="1" applyFont="1" applyBorder="1">
      <alignment vertical="center"/>
    </xf>
    <xf numFmtId="189" fontId="0" fillId="0" borderId="1" xfId="2" applyNumberFormat="1" applyFont="1" applyBorder="1">
      <alignment vertical="center"/>
    </xf>
    <xf numFmtId="189" fontId="0" fillId="0" borderId="1" xfId="0" applyNumberFormat="1" applyBorder="1">
      <alignment vertical="center"/>
    </xf>
    <xf numFmtId="185" fontId="0" fillId="0" borderId="0" xfId="2" applyNumberFormat="1" applyFont="1">
      <alignment vertical="center"/>
    </xf>
    <xf numFmtId="176" fontId="0" fillId="0" borderId="32" xfId="2" applyNumberFormat="1" applyFont="1" applyBorder="1">
      <alignment vertical="center"/>
    </xf>
    <xf numFmtId="0" fontId="4" fillId="0" borderId="37" xfId="0" applyFont="1" applyBorder="1">
      <alignment vertical="center"/>
    </xf>
    <xf numFmtId="0" fontId="4" fillId="0" borderId="26" xfId="0" applyFont="1" applyBorder="1">
      <alignment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183" fontId="0" fillId="0" borderId="12" xfId="0" applyNumberFormat="1" applyBorder="1" applyAlignment="1">
      <alignment horizontal="center" vertical="center"/>
    </xf>
    <xf numFmtId="181" fontId="0" fillId="0" borderId="0" xfId="0" applyNumberFormat="1">
      <alignment vertical="center"/>
    </xf>
    <xf numFmtId="0" fontId="0" fillId="0" borderId="16" xfId="0" applyBorder="1">
      <alignment vertical="center"/>
    </xf>
    <xf numFmtId="188" fontId="0" fillId="0" borderId="1" xfId="0" applyNumberFormat="1" applyBorder="1">
      <alignment vertical="center"/>
    </xf>
    <xf numFmtId="179" fontId="1" fillId="0" borderId="0" xfId="2" applyNumberFormat="1" applyBorder="1">
      <alignment vertical="center"/>
    </xf>
    <xf numFmtId="38" fontId="1" fillId="0" borderId="14" xfId="2" applyBorder="1" applyAlignment="1">
      <alignment horizontal="center" vertical="center"/>
    </xf>
    <xf numFmtId="188" fontId="0" fillId="0" borderId="0" xfId="0" applyNumberFormat="1">
      <alignment vertical="center"/>
    </xf>
    <xf numFmtId="0" fontId="0" fillId="0" borderId="38" xfId="0" applyBorder="1">
      <alignment vertical="center"/>
    </xf>
    <xf numFmtId="178" fontId="0" fillId="0" borderId="39" xfId="2" applyNumberFormat="1" applyFont="1" applyBorder="1">
      <alignment vertical="center"/>
    </xf>
    <xf numFmtId="176" fontId="1" fillId="0" borderId="24" xfId="2" applyNumberFormat="1" applyBorder="1">
      <alignment vertical="center"/>
    </xf>
    <xf numFmtId="176" fontId="1" fillId="0" borderId="27" xfId="2" applyNumberFormat="1" applyBorder="1">
      <alignment vertical="center"/>
    </xf>
    <xf numFmtId="40" fontId="1" fillId="0" borderId="1" xfId="2" applyNumberFormat="1" applyBorder="1">
      <alignment vertical="center"/>
    </xf>
    <xf numFmtId="178" fontId="1" fillId="0" borderId="39" xfId="2" applyNumberFormat="1" applyBorder="1">
      <alignment vertical="center"/>
    </xf>
    <xf numFmtId="177" fontId="1" fillId="0" borderId="1" xfId="2" applyNumberFormat="1" applyBorder="1">
      <alignment vertical="center"/>
    </xf>
    <xf numFmtId="0" fontId="4" fillId="0" borderId="17" xfId="0" applyFont="1" applyBorder="1">
      <alignment vertical="center"/>
    </xf>
    <xf numFmtId="176" fontId="1" fillId="0" borderId="16" xfId="2" applyNumberFormat="1" applyBorder="1">
      <alignment vertical="center"/>
    </xf>
    <xf numFmtId="179" fontId="1" fillId="0" borderId="14" xfId="2" applyNumberFormat="1" applyBorder="1">
      <alignment vertical="center"/>
    </xf>
    <xf numFmtId="179" fontId="1" fillId="0" borderId="8" xfId="2" applyNumberFormat="1" applyBorder="1">
      <alignment vertical="center"/>
    </xf>
    <xf numFmtId="179" fontId="1" fillId="0" borderId="12" xfId="2" applyNumberFormat="1" applyBorder="1">
      <alignment vertical="center"/>
    </xf>
    <xf numFmtId="0" fontId="7" fillId="0" borderId="6" xfId="0" applyFont="1" applyBorder="1">
      <alignment vertical="center"/>
    </xf>
    <xf numFmtId="176" fontId="0" fillId="0" borderId="1" xfId="0" applyNumberFormat="1" applyBorder="1">
      <alignment vertical="center"/>
    </xf>
    <xf numFmtId="176" fontId="1" fillId="0" borderId="32" xfId="2" applyNumberFormat="1" applyBorder="1">
      <alignment vertical="center"/>
    </xf>
    <xf numFmtId="176" fontId="1" fillId="0" borderId="0" xfId="2" applyNumberFormat="1">
      <alignment vertical="center"/>
    </xf>
    <xf numFmtId="38" fontId="1" fillId="0" borderId="0" xfId="2" applyFont="1">
      <alignment vertical="center"/>
    </xf>
    <xf numFmtId="180" fontId="0" fillId="0" borderId="0" xfId="0" applyNumberFormat="1">
      <alignment vertical="center"/>
    </xf>
    <xf numFmtId="0" fontId="4" fillId="0" borderId="16" xfId="0" applyFont="1" applyBorder="1">
      <alignment vertical="center"/>
    </xf>
    <xf numFmtId="176" fontId="0" fillId="0" borderId="39" xfId="2" applyNumberFormat="1" applyFont="1" applyBorder="1">
      <alignment vertical="center"/>
    </xf>
    <xf numFmtId="176" fontId="0" fillId="0" borderId="17" xfId="2" applyNumberFormat="1" applyFont="1" applyBorder="1">
      <alignment vertical="center"/>
    </xf>
    <xf numFmtId="176" fontId="0" fillId="0" borderId="2" xfId="2" applyNumberFormat="1" applyFont="1" applyBorder="1">
      <alignment vertical="center"/>
    </xf>
    <xf numFmtId="176" fontId="0" fillId="0" borderId="4" xfId="2" applyNumberFormat="1" applyFont="1" applyBorder="1">
      <alignment vertical="center"/>
    </xf>
    <xf numFmtId="180" fontId="0" fillId="0" borderId="4" xfId="0" applyNumberFormat="1" applyBorder="1">
      <alignment vertical="center"/>
    </xf>
    <xf numFmtId="176" fontId="0" fillId="0" borderId="22" xfId="2" applyNumberFormat="1" applyFont="1" applyBorder="1">
      <alignment vertical="center"/>
    </xf>
    <xf numFmtId="176" fontId="0" fillId="0" borderId="23" xfId="2" applyNumberFormat="1" applyFont="1" applyBorder="1">
      <alignment vertical="center"/>
    </xf>
    <xf numFmtId="176" fontId="0" fillId="0" borderId="25" xfId="2" applyNumberFormat="1" applyFont="1" applyBorder="1">
      <alignment vertical="center"/>
    </xf>
    <xf numFmtId="176" fontId="8" fillId="0" borderId="27" xfId="2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38" fontId="0" fillId="0" borderId="23" xfId="0" applyNumberFormat="1" applyBorder="1">
      <alignment vertical="center"/>
    </xf>
    <xf numFmtId="0" fontId="0" fillId="0" borderId="4" xfId="0" applyBorder="1">
      <alignment vertical="center"/>
    </xf>
    <xf numFmtId="38" fontId="1" fillId="0" borderId="0" xfId="2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90" fontId="0" fillId="0" borderId="1" xfId="0" applyNumberFormat="1" applyBorder="1">
      <alignment vertical="center"/>
    </xf>
    <xf numFmtId="10" fontId="0" fillId="0" borderId="0" xfId="0" applyNumberFormat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176" fontId="1" fillId="0" borderId="1" xfId="2" applyNumberFormat="1" applyBorder="1">
      <alignment vertical="center"/>
    </xf>
    <xf numFmtId="176" fontId="0" fillId="0" borderId="0" xfId="2" applyNumberFormat="1" applyFont="1">
      <alignment vertical="center"/>
    </xf>
    <xf numFmtId="176" fontId="1" fillId="0" borderId="14" xfId="2" applyNumberFormat="1" applyBorder="1">
      <alignment vertical="center"/>
    </xf>
    <xf numFmtId="176" fontId="1" fillId="0" borderId="8" xfId="2" applyNumberFormat="1" applyBorder="1">
      <alignment vertical="center"/>
    </xf>
    <xf numFmtId="176" fontId="1" fillId="0" borderId="12" xfId="2" applyNumberFormat="1" applyBorder="1">
      <alignment vertical="center"/>
    </xf>
    <xf numFmtId="0" fontId="0" fillId="0" borderId="41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42" xfId="0" applyBorder="1">
      <alignment vertical="center"/>
    </xf>
    <xf numFmtId="0" fontId="0" fillId="0" borderId="36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0" xfId="0" quotePrefix="1">
      <alignment vertical="center"/>
    </xf>
    <xf numFmtId="184" fontId="0" fillId="2" borderId="0" xfId="0" applyNumberFormat="1" applyFill="1">
      <alignment vertical="center"/>
    </xf>
    <xf numFmtId="191" fontId="0" fillId="0" borderId="0" xfId="0" applyNumberFormat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9" fillId="3" borderId="16" xfId="0" applyFont="1" applyFill="1" applyBorder="1">
      <alignment vertical="center"/>
    </xf>
    <xf numFmtId="0" fontId="0" fillId="3" borderId="16" xfId="0" applyFill="1" applyBorder="1">
      <alignment vertical="center"/>
    </xf>
    <xf numFmtId="0" fontId="0" fillId="3" borderId="40" xfId="0" applyFill="1" applyBorder="1">
      <alignment vertical="center"/>
    </xf>
    <xf numFmtId="0" fontId="0" fillId="0" borderId="0" xfId="0" applyBorder="1">
      <alignment vertical="center"/>
    </xf>
    <xf numFmtId="195" fontId="0" fillId="0" borderId="1" xfId="0" applyNumberFormat="1" applyBorder="1">
      <alignment vertical="center"/>
    </xf>
    <xf numFmtId="186" fontId="0" fillId="0" borderId="0" xfId="0" applyNumberFormat="1">
      <alignment vertical="center"/>
    </xf>
    <xf numFmtId="181" fontId="0" fillId="0" borderId="1" xfId="0" applyNumberFormat="1" applyBorder="1">
      <alignment vertical="center"/>
    </xf>
    <xf numFmtId="199" fontId="0" fillId="0" borderId="1" xfId="0" applyNumberFormat="1" applyBorder="1">
      <alignment vertical="center"/>
    </xf>
    <xf numFmtId="199" fontId="0" fillId="0" borderId="39" xfId="0" applyNumberFormat="1" applyBorder="1">
      <alignment vertical="center"/>
    </xf>
    <xf numFmtId="200" fontId="1" fillId="0" borderId="14" xfId="2" applyNumberFormat="1" applyBorder="1">
      <alignment vertical="center"/>
    </xf>
    <xf numFmtId="200" fontId="1" fillId="0" borderId="8" xfId="2" applyNumberFormat="1" applyBorder="1">
      <alignment vertical="center"/>
    </xf>
    <xf numFmtId="200" fontId="1" fillId="0" borderId="12" xfId="2" applyNumberFormat="1" applyBorder="1">
      <alignment vertical="center"/>
    </xf>
    <xf numFmtId="201" fontId="1" fillId="0" borderId="14" xfId="2" applyNumberFormat="1" applyBorder="1">
      <alignment vertical="center"/>
    </xf>
    <xf numFmtId="201" fontId="1" fillId="0" borderId="8" xfId="2" applyNumberFormat="1" applyBorder="1">
      <alignment vertical="center"/>
    </xf>
    <xf numFmtId="199" fontId="1" fillId="0" borderId="24" xfId="2" applyNumberFormat="1" applyBorder="1">
      <alignment vertical="center"/>
    </xf>
    <xf numFmtId="199" fontId="1" fillId="0" borderId="27" xfId="2" applyNumberFormat="1" applyBorder="1">
      <alignment vertical="center"/>
    </xf>
    <xf numFmtId="202" fontId="0" fillId="0" borderId="1" xfId="0" applyNumberFormat="1" applyBorder="1">
      <alignment vertical="center"/>
    </xf>
    <xf numFmtId="199" fontId="0" fillId="0" borderId="0" xfId="0" applyNumberFormat="1">
      <alignment vertical="center"/>
    </xf>
    <xf numFmtId="201" fontId="0" fillId="0" borderId="0" xfId="0" applyNumberFormat="1">
      <alignment vertical="center"/>
    </xf>
    <xf numFmtId="199" fontId="0" fillId="0" borderId="4" xfId="0" applyNumberFormat="1" applyBorder="1">
      <alignment vertic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6"/>
  <sheetViews>
    <sheetView workbookViewId="0">
      <selection activeCell="C23" sqref="C23"/>
    </sheetView>
  </sheetViews>
  <sheetFormatPr baseColWidth="10" defaultColWidth="8.83203125" defaultRowHeight="14"/>
  <cols>
    <col min="2" max="2" width="12.83203125" customWidth="1"/>
    <col min="3" max="3" width="11.6640625" customWidth="1"/>
    <col min="4" max="4" width="10.83203125" customWidth="1"/>
    <col min="5" max="5" width="10.1640625" bestFit="1" customWidth="1"/>
    <col min="9" max="10" width="11.33203125" customWidth="1"/>
    <col min="11" max="11" width="16.5" customWidth="1"/>
    <col min="12" max="12" width="15.33203125" customWidth="1"/>
  </cols>
  <sheetData>
    <row r="2" spans="2:13">
      <c r="B2" s="1"/>
      <c r="C2" s="1" t="s">
        <v>0</v>
      </c>
      <c r="D2" s="1"/>
      <c r="E2" s="1" t="s">
        <v>1</v>
      </c>
    </row>
    <row r="3" spans="2:13">
      <c r="B3" s="1" t="s">
        <v>2</v>
      </c>
      <c r="C3" s="2">
        <v>0.6</v>
      </c>
      <c r="D3" s="1" t="s">
        <v>3</v>
      </c>
      <c r="E3" s="3">
        <f>100/(100*(1+C$3/100*182.5/360))</f>
        <v>0.99696755701408224</v>
      </c>
      <c r="H3" t="s">
        <v>29</v>
      </c>
    </row>
    <row r="4" spans="2:13">
      <c r="B4" s="1" t="s">
        <v>4</v>
      </c>
      <c r="C4" s="2">
        <v>0.9</v>
      </c>
      <c r="D4" s="1" t="s">
        <v>5</v>
      </c>
      <c r="E4" s="3">
        <f>(100-C4/2*SUM(E$3:E3))/(100+C4/2)</f>
        <v>0.99105390342801047</v>
      </c>
    </row>
    <row r="5" spans="2:13">
      <c r="B5" s="1" t="s">
        <v>6</v>
      </c>
      <c r="C5" s="2">
        <v>1.1000000000000001</v>
      </c>
      <c r="D5" s="1" t="s">
        <v>7</v>
      </c>
      <c r="E5" s="3">
        <f>(100-C5/2*SUM(E$3:E4))/(100+C5/2)</f>
        <v>0.98365577520394676</v>
      </c>
      <c r="I5" s="139">
        <f>C29</f>
        <v>0</v>
      </c>
    </row>
    <row r="6" spans="2:13">
      <c r="B6" s="1" t="s">
        <v>8</v>
      </c>
      <c r="C6" s="2">
        <v>1.3</v>
      </c>
      <c r="D6" s="1" t="s">
        <v>9</v>
      </c>
      <c r="E6" s="3">
        <f>(100-C6/2*SUM(E$3:E5))/(100+C6/2)</f>
        <v>0.97435081765355258</v>
      </c>
      <c r="H6" s="87">
        <v>1.8</v>
      </c>
      <c r="I6" s="137">
        <f t="dataTable" ref="I6:I66" dt2D="0" dtr="0" r1="C12"/>
        <v>14.33712076291522</v>
      </c>
      <c r="J6" s="138" t="s">
        <v>343</v>
      </c>
      <c r="M6" s="7"/>
    </row>
    <row r="7" spans="2:13">
      <c r="B7" s="4" t="s">
        <v>10</v>
      </c>
      <c r="C7" s="5">
        <v>1.45</v>
      </c>
      <c r="D7" s="1" t="s">
        <v>11</v>
      </c>
      <c r="E7" s="3">
        <f>(100-C7/2*SUM(E$3:E6))/(100+C7/2)</f>
        <v>0.96439940095664234</v>
      </c>
      <c r="H7" s="87">
        <f t="shared" ref="H7:H38" si="0">+H6+0.01</f>
        <v>1.81</v>
      </c>
      <c r="I7" s="137">
        <v>13.85852999169731</v>
      </c>
      <c r="J7" s="8"/>
    </row>
    <row r="8" spans="2:13">
      <c r="B8" s="4" t="s">
        <v>12</v>
      </c>
      <c r="C8" s="5">
        <v>1.6</v>
      </c>
      <c r="D8" s="1" t="s">
        <v>13</v>
      </c>
      <c r="E8" s="3">
        <f>(100-C8/2*SUM(E$3:E7))/(100+C8/2)</f>
        <v>0.95309184560114102</v>
      </c>
      <c r="H8" s="87">
        <f t="shared" si="0"/>
        <v>1.82</v>
      </c>
      <c r="I8" s="137">
        <v>13.379986647966234</v>
      </c>
      <c r="J8" s="8"/>
    </row>
    <row r="9" spans="2:13">
      <c r="B9" s="4" t="s">
        <v>14</v>
      </c>
      <c r="C9" s="5">
        <v>1.75</v>
      </c>
      <c r="D9" s="1" t="s">
        <v>15</v>
      </c>
      <c r="E9" s="3">
        <f>(100-C9/2*SUM(E$3:E8))/(100+C9/2)</f>
        <v>0.94046513618463246</v>
      </c>
      <c r="H9" s="87">
        <f t="shared" si="0"/>
        <v>1.83</v>
      </c>
      <c r="I9" s="137">
        <v>12.901490724672726</v>
      </c>
      <c r="J9" s="8"/>
    </row>
    <row r="10" spans="2:13">
      <c r="B10" s="4" t="s">
        <v>16</v>
      </c>
      <c r="C10" s="5">
        <v>1.9</v>
      </c>
      <c r="D10" s="1" t="s">
        <v>17</v>
      </c>
      <c r="E10" s="3">
        <f>(100-C10/2*SUM(E$3:E9))/(100+C10/2)</f>
        <v>0.9265598294775641</v>
      </c>
      <c r="H10" s="87">
        <f t="shared" si="0"/>
        <v>1.84</v>
      </c>
      <c r="I10" s="137">
        <v>12.423042214768088</v>
      </c>
      <c r="J10" s="8"/>
    </row>
    <row r="11" spans="2:13">
      <c r="B11" s="6" t="s">
        <v>18</v>
      </c>
      <c r="C11" s="5">
        <v>2</v>
      </c>
      <c r="D11" s="1" t="s">
        <v>19</v>
      </c>
      <c r="E11" s="3">
        <f>(100-C11/2*SUM(E$3:E10))/(100+C11/2)</f>
        <v>0.91355896766812306</v>
      </c>
      <c r="H11" s="87">
        <f t="shared" si="0"/>
        <v>1.85</v>
      </c>
      <c r="I11" s="137">
        <v>11.944641111206124</v>
      </c>
      <c r="J11" s="8"/>
    </row>
    <row r="12" spans="2:13">
      <c r="B12" s="1" t="s">
        <v>20</v>
      </c>
      <c r="C12" s="2">
        <v>2.1</v>
      </c>
      <c r="D12" s="1" t="s">
        <v>21</v>
      </c>
      <c r="E12" s="3">
        <f>(100-C12/2*SUM(E$3:E11))/(100+C12/2)</f>
        <v>0.89978913018459106</v>
      </c>
      <c r="H12" s="87">
        <f t="shared" si="0"/>
        <v>1.86</v>
      </c>
      <c r="I12" s="137">
        <v>11.466287406940637</v>
      </c>
      <c r="J12" s="8"/>
    </row>
    <row r="13" spans="2:13">
      <c r="H13" s="87">
        <f t="shared" si="0"/>
        <v>1.87</v>
      </c>
      <c r="I13" s="137">
        <v>10.987981094928159</v>
      </c>
      <c r="J13" s="8"/>
    </row>
    <row r="14" spans="2:13">
      <c r="B14" s="9" t="s">
        <v>26</v>
      </c>
      <c r="H14" s="87">
        <f t="shared" si="0"/>
        <v>1.8800000000000001</v>
      </c>
      <c r="I14" s="137">
        <v>10.509722168126132</v>
      </c>
      <c r="J14" s="8"/>
    </row>
    <row r="15" spans="2:13">
      <c r="B15" s="9" t="s">
        <v>27</v>
      </c>
      <c r="H15" s="87">
        <f t="shared" si="0"/>
        <v>1.8900000000000001</v>
      </c>
      <c r="I15" s="137">
        <v>10.031510619493019</v>
      </c>
      <c r="J15" s="8"/>
    </row>
    <row r="16" spans="2:13">
      <c r="B16" s="1" t="s">
        <v>23</v>
      </c>
      <c r="C16" s="1" t="s">
        <v>24</v>
      </c>
      <c r="D16" s="1" t="s">
        <v>25</v>
      </c>
      <c r="H16" s="87">
        <f t="shared" si="0"/>
        <v>1.9000000000000001</v>
      </c>
      <c r="I16" s="137">
        <v>9.553346441988765</v>
      </c>
      <c r="J16" s="8"/>
    </row>
    <row r="17" spans="2:10">
      <c r="B17" s="10">
        <v>0</v>
      </c>
      <c r="C17" s="1">
        <v>0</v>
      </c>
      <c r="D17" s="1">
        <v>-1000</v>
      </c>
      <c r="H17" s="87">
        <f t="shared" si="0"/>
        <v>1.9100000000000001</v>
      </c>
      <c r="I17" s="137">
        <v>9.0752296285753573</v>
      </c>
      <c r="J17" s="8"/>
    </row>
    <row r="18" spans="2:10">
      <c r="B18" s="10">
        <v>0.5</v>
      </c>
      <c r="C18" s="1">
        <v>10.5</v>
      </c>
      <c r="D18" s="1">
        <v>0</v>
      </c>
      <c r="H18" s="87">
        <f t="shared" si="0"/>
        <v>1.9200000000000002</v>
      </c>
      <c r="I18" s="137">
        <v>8.5971601722156947</v>
      </c>
      <c r="J18" s="8"/>
    </row>
    <row r="19" spans="2:10">
      <c r="B19" s="10">
        <v>1</v>
      </c>
      <c r="C19" s="1">
        <v>10.5</v>
      </c>
      <c r="D19" s="1">
        <v>0</v>
      </c>
      <c r="H19" s="87">
        <f t="shared" si="0"/>
        <v>1.9300000000000002</v>
      </c>
      <c r="I19" s="137">
        <v>8.1191380658738126</v>
      </c>
      <c r="J19" s="8"/>
    </row>
    <row r="20" spans="2:10">
      <c r="B20" s="10">
        <v>1.5</v>
      </c>
      <c r="C20" s="1">
        <v>10.5</v>
      </c>
      <c r="D20" s="1">
        <v>0</v>
      </c>
      <c r="H20" s="87">
        <f t="shared" si="0"/>
        <v>1.9400000000000002</v>
      </c>
      <c r="I20" s="137">
        <v>7.6411633025157926</v>
      </c>
      <c r="J20" s="8"/>
    </row>
    <row r="21" spans="2:10">
      <c r="B21" s="10">
        <v>2</v>
      </c>
      <c r="C21" s="1">
        <v>10.5</v>
      </c>
      <c r="D21" s="1">
        <v>0</v>
      </c>
      <c r="H21" s="87">
        <f t="shared" si="0"/>
        <v>1.9500000000000002</v>
      </c>
      <c r="I21" s="137">
        <v>7.1632358751083984</v>
      </c>
      <c r="J21" s="8"/>
    </row>
    <row r="22" spans="2:10">
      <c r="B22" s="10">
        <v>2.5</v>
      </c>
      <c r="C22" s="1">
        <v>10.5</v>
      </c>
      <c r="D22" s="1">
        <v>0</v>
      </c>
      <c r="H22" s="87">
        <f t="shared" si="0"/>
        <v>1.9600000000000002</v>
      </c>
      <c r="I22" s="137">
        <v>6.6853557766204403</v>
      </c>
      <c r="J22" s="8"/>
    </row>
    <row r="23" spans="2:10">
      <c r="B23" s="10">
        <v>3</v>
      </c>
      <c r="C23" s="1">
        <v>10.5</v>
      </c>
      <c r="D23" s="1">
        <v>0</v>
      </c>
      <c r="H23" s="87">
        <f t="shared" si="0"/>
        <v>1.9700000000000002</v>
      </c>
      <c r="I23" s="137">
        <v>6.2075230000217516</v>
      </c>
      <c r="J23" s="8"/>
    </row>
    <row r="24" spans="2:10">
      <c r="B24" s="10">
        <v>3.5</v>
      </c>
      <c r="C24" s="1">
        <v>10.5</v>
      </c>
      <c r="D24" s="1">
        <v>0</v>
      </c>
      <c r="H24" s="87">
        <f t="shared" si="0"/>
        <v>1.9800000000000002</v>
      </c>
      <c r="I24" s="137">
        <v>5.7297375382836435</v>
      </c>
      <c r="J24" s="8"/>
    </row>
    <row r="25" spans="2:10">
      <c r="B25" s="10">
        <v>4</v>
      </c>
      <c r="C25" s="1">
        <v>10.5</v>
      </c>
      <c r="D25" s="1">
        <v>0</v>
      </c>
      <c r="H25" s="87">
        <f t="shared" si="0"/>
        <v>1.9900000000000002</v>
      </c>
      <c r="I25" s="137">
        <v>5.2519993843786779</v>
      </c>
      <c r="J25" s="8"/>
    </row>
    <row r="26" spans="2:10">
      <c r="B26" s="10">
        <v>4.5</v>
      </c>
      <c r="C26" s="1">
        <v>10.5</v>
      </c>
      <c r="D26" s="1">
        <v>0</v>
      </c>
      <c r="H26" s="87">
        <f t="shared" si="0"/>
        <v>2</v>
      </c>
      <c r="I26" s="137">
        <v>4.7743085312811218</v>
      </c>
      <c r="J26" s="8"/>
    </row>
    <row r="27" spans="2:10">
      <c r="B27" s="10">
        <v>5</v>
      </c>
      <c r="C27" s="1">
        <v>1010.5</v>
      </c>
      <c r="D27" s="1">
        <v>0</v>
      </c>
      <c r="H27" s="87">
        <f t="shared" si="0"/>
        <v>2.0099999999999998</v>
      </c>
      <c r="I27" s="137">
        <v>4.2966649719661518</v>
      </c>
      <c r="J27" s="8"/>
    </row>
    <row r="28" spans="2:10">
      <c r="D28" t="s">
        <v>28</v>
      </c>
      <c r="H28" s="87">
        <f t="shared" si="0"/>
        <v>2.0199999999999996</v>
      </c>
      <c r="I28" s="137">
        <v>3.8190686994111047</v>
      </c>
      <c r="J28" s="8"/>
    </row>
    <row r="29" spans="2:10">
      <c r="B29" t="s">
        <v>22</v>
      </c>
      <c r="C29" s="33">
        <f>SUMPRODUCT(C18:C27,E3:E12)+D17</f>
        <v>0</v>
      </c>
      <c r="H29" s="87">
        <f t="shared" si="0"/>
        <v>2.0299999999999994</v>
      </c>
      <c r="I29" s="137">
        <v>3.3415197065937718</v>
      </c>
      <c r="J29" s="8"/>
    </row>
    <row r="30" spans="2:10">
      <c r="H30" s="87">
        <f t="shared" si="0"/>
        <v>2.0399999999999991</v>
      </c>
      <c r="I30" s="137">
        <v>2.8640179864942183</v>
      </c>
      <c r="J30" s="8"/>
    </row>
    <row r="31" spans="2:10">
      <c r="H31" s="87">
        <f t="shared" si="0"/>
        <v>2.0499999999999989</v>
      </c>
      <c r="I31" s="137">
        <v>2.3865635320929641</v>
      </c>
      <c r="J31" s="8"/>
    </row>
    <row r="32" spans="2:10">
      <c r="H32" s="87">
        <f t="shared" si="0"/>
        <v>2.0599999999999987</v>
      </c>
      <c r="I32" s="137">
        <v>1.9091563363729165</v>
      </c>
      <c r="J32" s="8"/>
    </row>
    <row r="33" spans="8:12">
      <c r="H33" s="87">
        <f t="shared" si="0"/>
        <v>2.0699999999999985</v>
      </c>
      <c r="I33" s="137">
        <v>1.4317963923177786</v>
      </c>
      <c r="J33" s="8"/>
    </row>
    <row r="34" spans="8:12">
      <c r="H34" s="87">
        <f t="shared" si="0"/>
        <v>2.0799999999999983</v>
      </c>
      <c r="I34" s="137">
        <v>0.95448369291250401</v>
      </c>
      <c r="J34" s="8"/>
    </row>
    <row r="35" spans="8:12">
      <c r="H35" s="87">
        <f t="shared" si="0"/>
        <v>2.0899999999999981</v>
      </c>
      <c r="I35" s="137">
        <v>0.4772182311440929</v>
      </c>
      <c r="J35" s="8"/>
      <c r="K35" s="88"/>
      <c r="L35" s="89"/>
    </row>
    <row r="36" spans="8:12">
      <c r="H36" s="87">
        <f t="shared" si="0"/>
        <v>2.0999999999999979</v>
      </c>
      <c r="I36" s="137">
        <v>0</v>
      </c>
      <c r="J36" s="8"/>
      <c r="K36" s="88"/>
      <c r="L36" s="89"/>
    </row>
    <row r="37" spans="8:12">
      <c r="H37" s="87">
        <f t="shared" si="0"/>
        <v>2.1099999999999977</v>
      </c>
      <c r="I37" s="137">
        <v>-0.47717100752970509</v>
      </c>
      <c r="J37" s="8"/>
    </row>
    <row r="38" spans="8:12">
      <c r="H38" s="87">
        <f t="shared" si="0"/>
        <v>2.1199999999999974</v>
      </c>
      <c r="I38" s="137">
        <v>-0.9542947984549528</v>
      </c>
      <c r="J38" s="8"/>
    </row>
    <row r="39" spans="8:12">
      <c r="H39" s="87">
        <f t="shared" ref="H39:H66" si="1">+H38+0.01</f>
        <v>2.1299999999999972</v>
      </c>
      <c r="I39" s="137">
        <v>-1.4313713797832861</v>
      </c>
      <c r="J39" s="8"/>
    </row>
    <row r="40" spans="8:12">
      <c r="H40" s="87">
        <f t="shared" si="1"/>
        <v>2.139999999999997</v>
      </c>
      <c r="I40" s="137">
        <v>-1.9084007585209974</v>
      </c>
      <c r="J40" s="8"/>
    </row>
    <row r="41" spans="8:12">
      <c r="H41" s="87">
        <f t="shared" si="1"/>
        <v>2.1499999999999968</v>
      </c>
      <c r="I41" s="137">
        <v>-2.3853829416738108</v>
      </c>
      <c r="J41" s="8"/>
    </row>
    <row r="42" spans="8:12">
      <c r="H42" s="87">
        <f t="shared" si="1"/>
        <v>2.1599999999999966</v>
      </c>
      <c r="I42" s="137">
        <v>-2.8623179362447217</v>
      </c>
      <c r="J42" s="8"/>
    </row>
    <row r="43" spans="8:12">
      <c r="H43" s="87">
        <f t="shared" si="1"/>
        <v>2.1699999999999964</v>
      </c>
      <c r="I43" s="137">
        <v>-3.339205749236271</v>
      </c>
      <c r="J43" s="8"/>
    </row>
    <row r="44" spans="8:12">
      <c r="H44" s="87">
        <f t="shared" si="1"/>
        <v>2.1799999999999962</v>
      </c>
      <c r="I44" s="137">
        <v>-3.8160463876495214</v>
      </c>
      <c r="J44" s="8"/>
    </row>
    <row r="45" spans="8:12">
      <c r="H45" s="87">
        <f t="shared" si="1"/>
        <v>2.1899999999999959</v>
      </c>
      <c r="I45" s="137">
        <v>-4.2928398584839442</v>
      </c>
      <c r="J45" s="8"/>
    </row>
    <row r="46" spans="8:12">
      <c r="H46" s="87">
        <f t="shared" si="1"/>
        <v>2.1999999999999957</v>
      </c>
      <c r="I46" s="137">
        <v>-4.769586168737419</v>
      </c>
      <c r="J46" s="8"/>
    </row>
    <row r="47" spans="8:12">
      <c r="H47" s="87">
        <f t="shared" si="1"/>
        <v>2.2099999999999955</v>
      </c>
      <c r="I47" s="137">
        <v>-5.246285325407257</v>
      </c>
      <c r="J47" s="8"/>
    </row>
    <row r="48" spans="8:12">
      <c r="H48" s="87">
        <f t="shared" si="1"/>
        <v>2.2199999999999953</v>
      </c>
      <c r="I48" s="137">
        <v>-5.7229373354883819</v>
      </c>
      <c r="J48" s="8"/>
    </row>
    <row r="49" spans="8:10">
      <c r="H49" s="87">
        <f t="shared" si="1"/>
        <v>2.2299999999999951</v>
      </c>
      <c r="I49" s="137">
        <v>-6.1995422059750354</v>
      </c>
      <c r="J49" s="8"/>
    </row>
    <row r="50" spans="8:10">
      <c r="H50" s="87">
        <f t="shared" si="1"/>
        <v>2.2399999999999949</v>
      </c>
      <c r="I50" s="137">
        <v>-6.6760999438599811</v>
      </c>
      <c r="J50" s="8"/>
    </row>
    <row r="51" spans="8:10">
      <c r="H51" s="87">
        <f t="shared" si="1"/>
        <v>2.2499999999999947</v>
      </c>
      <c r="I51" s="137">
        <v>-7.1526105561339364</v>
      </c>
      <c r="J51" s="8"/>
    </row>
    <row r="52" spans="8:10">
      <c r="H52" s="87">
        <f t="shared" si="1"/>
        <v>2.2599999999999945</v>
      </c>
      <c r="I52" s="137">
        <v>-7.6290740497872775</v>
      </c>
      <c r="J52" s="8"/>
    </row>
    <row r="53" spans="8:10">
      <c r="H53" s="87">
        <f t="shared" si="1"/>
        <v>2.2699999999999942</v>
      </c>
      <c r="I53" s="137">
        <v>-8.1054904318081071</v>
      </c>
      <c r="J53" s="8"/>
    </row>
    <row r="54" spans="8:10">
      <c r="H54" s="87">
        <f t="shared" si="1"/>
        <v>2.279999999999994</v>
      </c>
      <c r="I54" s="137">
        <v>-8.5818597091840729</v>
      </c>
      <c r="J54" s="8"/>
    </row>
    <row r="55" spans="8:10">
      <c r="H55" s="87">
        <f t="shared" si="1"/>
        <v>2.2899999999999938</v>
      </c>
      <c r="I55" s="137">
        <v>-9.0581818889000942</v>
      </c>
      <c r="J55" s="8"/>
    </row>
    <row r="56" spans="8:10">
      <c r="H56" s="87">
        <f t="shared" si="1"/>
        <v>2.2999999999999936</v>
      </c>
      <c r="I56" s="137">
        <v>-9.5344569779410904</v>
      </c>
      <c r="J56" s="8"/>
    </row>
    <row r="57" spans="8:10">
      <c r="H57" s="87">
        <f t="shared" si="1"/>
        <v>2.3099999999999934</v>
      </c>
      <c r="I57" s="137">
        <v>-10.010684983289821</v>
      </c>
      <c r="J57" s="8"/>
    </row>
    <row r="58" spans="8:10">
      <c r="H58" s="87">
        <f t="shared" si="1"/>
        <v>2.3199999999999932</v>
      </c>
      <c r="I58" s="137">
        <v>-10.486865911927794</v>
      </c>
      <c r="J58" s="8"/>
    </row>
    <row r="59" spans="8:10">
      <c r="H59" s="87">
        <f t="shared" si="1"/>
        <v>2.329999999999993</v>
      </c>
      <c r="I59" s="137">
        <v>-10.962999770835154</v>
      </c>
      <c r="J59" s="8"/>
    </row>
    <row r="60" spans="8:10">
      <c r="H60" s="87">
        <f t="shared" si="1"/>
        <v>2.3399999999999928</v>
      </c>
      <c r="I60" s="137">
        <v>-11.439086566991023</v>
      </c>
      <c r="J60" s="8"/>
    </row>
    <row r="61" spans="8:10">
      <c r="H61" s="87">
        <f t="shared" si="1"/>
        <v>2.3499999999999925</v>
      </c>
      <c r="I61" s="137">
        <v>-11.915126307372702</v>
      </c>
      <c r="J61" s="8"/>
    </row>
    <row r="62" spans="8:10">
      <c r="H62" s="87">
        <f t="shared" si="1"/>
        <v>2.3599999999999923</v>
      </c>
      <c r="I62" s="137">
        <v>-12.39111899895579</v>
      </c>
      <c r="J62" s="8"/>
    </row>
    <row r="63" spans="8:10">
      <c r="H63" s="87">
        <f t="shared" si="1"/>
        <v>2.3699999999999921</v>
      </c>
      <c r="I63" s="137">
        <v>-12.867064648715768</v>
      </c>
      <c r="J63" s="8"/>
    </row>
    <row r="64" spans="8:10">
      <c r="H64" s="87">
        <f t="shared" si="1"/>
        <v>2.3799999999999919</v>
      </c>
      <c r="I64" s="137">
        <v>-13.342963263625165</v>
      </c>
      <c r="J64" s="8"/>
    </row>
    <row r="65" spans="8:10">
      <c r="H65" s="87">
        <f t="shared" si="1"/>
        <v>2.3899999999999917</v>
      </c>
      <c r="I65" s="137">
        <v>-13.818814850656395</v>
      </c>
      <c r="J65" s="8"/>
    </row>
    <row r="66" spans="8:10">
      <c r="H66" s="87">
        <f t="shared" si="1"/>
        <v>2.3999999999999915</v>
      </c>
      <c r="I66" s="137">
        <v>-14.29461941677971</v>
      </c>
      <c r="J66" s="8"/>
    </row>
  </sheetData>
  <phoneticPr fontId="3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H82"/>
  <sheetViews>
    <sheetView topLeftCell="A2" workbookViewId="0"/>
  </sheetViews>
  <sheetFormatPr baseColWidth="10" defaultColWidth="8.83203125" defaultRowHeight="14"/>
  <cols>
    <col min="1" max="1" width="9.1640625" customWidth="1"/>
    <col min="2" max="6" width="14.83203125" customWidth="1"/>
    <col min="7" max="8" width="9.1640625" customWidth="1"/>
    <col min="9" max="9" width="13.6640625" customWidth="1"/>
    <col min="10" max="12" width="13.1640625" customWidth="1"/>
    <col min="14" max="14" width="12.1640625" customWidth="1"/>
    <col min="15" max="17" width="12.83203125" customWidth="1"/>
    <col min="19" max="19" width="12.83203125" customWidth="1"/>
    <col min="20" max="22" width="12.33203125" customWidth="1"/>
    <col min="24" max="24" width="13.33203125" customWidth="1"/>
    <col min="25" max="27" width="12" customWidth="1"/>
    <col min="29" max="29" width="13.6640625" customWidth="1"/>
    <col min="30" max="30" width="11.33203125" customWidth="1"/>
    <col min="34" max="34" width="11.6640625" bestFit="1" customWidth="1"/>
  </cols>
  <sheetData>
    <row r="2" spans="2:34">
      <c r="B2" t="s">
        <v>344</v>
      </c>
      <c r="C2" s="36">
        <v>38931</v>
      </c>
      <c r="H2" t="s">
        <v>61</v>
      </c>
    </row>
    <row r="3" spans="2:34">
      <c r="I3" s="35" t="s">
        <v>56</v>
      </c>
      <c r="J3" s="35" t="s">
        <v>49</v>
      </c>
      <c r="K3" s="36">
        <v>38807</v>
      </c>
      <c r="N3" t="s">
        <v>57</v>
      </c>
      <c r="O3" t="s">
        <v>49</v>
      </c>
      <c r="P3" s="36">
        <v>38929</v>
      </c>
      <c r="S3" t="s">
        <v>59</v>
      </c>
      <c r="T3" t="s">
        <v>49</v>
      </c>
      <c r="U3" s="36">
        <v>38775</v>
      </c>
      <c r="X3" t="s">
        <v>60</v>
      </c>
      <c r="Y3" t="s">
        <v>49</v>
      </c>
      <c r="Z3" s="36">
        <v>38898</v>
      </c>
      <c r="AC3" t="s">
        <v>64</v>
      </c>
    </row>
    <row r="4" spans="2:34" ht="15" thickBot="1">
      <c r="B4" t="s">
        <v>65</v>
      </c>
      <c r="O4" t="s">
        <v>58</v>
      </c>
      <c r="P4" s="36">
        <v>38835</v>
      </c>
    </row>
    <row r="5" spans="2:34" ht="15" thickBot="1">
      <c r="B5" s="12" t="s">
        <v>30</v>
      </c>
      <c r="C5" s="13" t="s">
        <v>31</v>
      </c>
      <c r="D5" s="13" t="s">
        <v>32</v>
      </c>
      <c r="E5" s="13" t="s">
        <v>33</v>
      </c>
      <c r="F5" s="14" t="s">
        <v>34</v>
      </c>
      <c r="I5" s="47" t="s">
        <v>52</v>
      </c>
      <c r="J5" s="31" t="s">
        <v>53</v>
      </c>
      <c r="K5" s="31" t="s">
        <v>54</v>
      </c>
      <c r="L5" s="1" t="s">
        <v>55</v>
      </c>
      <c r="N5" s="47" t="s">
        <v>52</v>
      </c>
      <c r="O5" s="31" t="s">
        <v>53</v>
      </c>
      <c r="P5" s="31" t="s">
        <v>54</v>
      </c>
      <c r="Q5" s="1" t="s">
        <v>55</v>
      </c>
      <c r="S5" s="47" t="s">
        <v>52</v>
      </c>
      <c r="T5" s="31" t="s">
        <v>53</v>
      </c>
      <c r="U5" s="31" t="s">
        <v>54</v>
      </c>
      <c r="V5" s="1" t="s">
        <v>55</v>
      </c>
      <c r="X5" s="47" t="s">
        <v>52</v>
      </c>
      <c r="Y5" s="31" t="s">
        <v>53</v>
      </c>
      <c r="Z5" s="31" t="s">
        <v>54</v>
      </c>
      <c r="AA5" s="1" t="s">
        <v>55</v>
      </c>
      <c r="AC5" s="47" t="s">
        <v>52</v>
      </c>
      <c r="AD5" s="1" t="s">
        <v>63</v>
      </c>
    </row>
    <row r="6" spans="2:34">
      <c r="B6" s="15" t="s">
        <v>62</v>
      </c>
      <c r="C6" s="37">
        <v>2000</v>
      </c>
      <c r="D6" s="37">
        <v>5000</v>
      </c>
      <c r="E6" s="37">
        <v>3000</v>
      </c>
      <c r="F6" s="38">
        <v>4000</v>
      </c>
      <c r="H6" s="43"/>
      <c r="I6" s="32">
        <v>38989</v>
      </c>
      <c r="J6" s="33">
        <f>C6*(1+C14*(I6-K3)/360)</f>
        <v>2001.6367866666665</v>
      </c>
      <c r="K6" s="33">
        <f>-C6*C9*(I6-K3)/365</f>
        <v>-14.95890410958904</v>
      </c>
      <c r="L6" s="33">
        <f>J6+K6</f>
        <v>1986.6778825570775</v>
      </c>
      <c r="M6" s="34"/>
      <c r="N6" s="32">
        <v>39021</v>
      </c>
      <c r="O6" s="33">
        <f>D$6*D$8*(N6-P4)/365</f>
        <v>50.958904109589042</v>
      </c>
      <c r="P6" s="33">
        <f>-D6*(1+D14*(N6-P3)/360)</f>
        <v>-5006.157355555556</v>
      </c>
      <c r="Q6" s="33">
        <f t="shared" ref="Q6:Q14" si="0">O6+P6</f>
        <v>-4955.1984514459673</v>
      </c>
      <c r="S6" s="32">
        <v>38954</v>
      </c>
      <c r="T6" s="33">
        <f>E6*E8*(S6-U3)/365</f>
        <v>20.597260273972601</v>
      </c>
      <c r="U6" s="33">
        <f>-E6*(1+E14*(S6-U3)/360)</f>
        <v>-3001.5476041666666</v>
      </c>
      <c r="V6" s="33">
        <f>T6+U6</f>
        <v>-2980.950343892694</v>
      </c>
      <c r="X6" s="32">
        <v>39262</v>
      </c>
      <c r="Y6" s="33">
        <f>F$6*(1+F14*(X6-Z3)/360)</f>
        <v>4024.2161111111113</v>
      </c>
      <c r="Z6" s="33">
        <f>-F$6*F$9*(X6-Z3)/365</f>
        <v>-63.824657534246576</v>
      </c>
      <c r="AA6" s="33">
        <f>Y6+Z6</f>
        <v>3960.3914535768649</v>
      </c>
      <c r="AC6" s="39">
        <v>38954</v>
      </c>
      <c r="AD6" s="33">
        <v>-2980.950343892694</v>
      </c>
      <c r="AH6" s="54"/>
    </row>
    <row r="7" spans="2:34">
      <c r="B7" s="16" t="s">
        <v>35</v>
      </c>
      <c r="C7" s="17">
        <v>41180</v>
      </c>
      <c r="D7" s="17">
        <v>39752</v>
      </c>
      <c r="E7" s="17">
        <v>41330</v>
      </c>
      <c r="F7" s="18">
        <v>42551</v>
      </c>
      <c r="I7" s="32">
        <v>39171</v>
      </c>
      <c r="J7" s="11">
        <v>0</v>
      </c>
      <c r="K7" s="33">
        <f t="shared" ref="K7:K17" si="1">-C$6*C$9*(I7-I6)/365</f>
        <v>-14.95890410958904</v>
      </c>
      <c r="L7" s="33">
        <f t="shared" ref="L7:L18" si="2">J7+K7</f>
        <v>-14.95890410958904</v>
      </c>
      <c r="M7" s="34"/>
      <c r="N7" s="32">
        <v>39113</v>
      </c>
      <c r="O7" s="33">
        <v>0</v>
      </c>
      <c r="P7" s="33">
        <v>0</v>
      </c>
      <c r="Q7" s="33">
        <f t="shared" si="0"/>
        <v>0</v>
      </c>
      <c r="S7" s="32">
        <v>39139</v>
      </c>
      <c r="T7" s="33">
        <f t="shared" ref="T7:T18" si="3">E$6*E$8*(S7-S6)/365</f>
        <v>21.287671232876711</v>
      </c>
      <c r="U7" s="33">
        <v>0</v>
      </c>
      <c r="V7" s="33">
        <f t="shared" ref="V7:V19" si="4">T7+U7</f>
        <v>21.287671232876711</v>
      </c>
      <c r="X7" s="32">
        <v>39629</v>
      </c>
      <c r="Y7" s="33">
        <v>0</v>
      </c>
      <c r="Z7" s="33">
        <f t="shared" ref="Z7:Z14" si="5">-F$6*F$9*(X7-X6)/365</f>
        <v>-64.350684931506848</v>
      </c>
      <c r="AA7" s="33">
        <f t="shared" ref="AA7:AA15" si="6">Y7+Z7</f>
        <v>-64.350684931506848</v>
      </c>
      <c r="AC7" s="39">
        <v>38989</v>
      </c>
      <c r="AD7" s="33">
        <v>1986.6778825570775</v>
      </c>
      <c r="AH7" s="54"/>
    </row>
    <row r="8" spans="2:34">
      <c r="B8" s="16" t="s">
        <v>36</v>
      </c>
      <c r="C8" s="17" t="s">
        <v>37</v>
      </c>
      <c r="D8" s="19">
        <v>0.02</v>
      </c>
      <c r="E8" s="19">
        <v>1.4E-2</v>
      </c>
      <c r="F8" s="18" t="s">
        <v>38</v>
      </c>
      <c r="I8" s="32">
        <v>39353</v>
      </c>
      <c r="J8" s="1">
        <v>0</v>
      </c>
      <c r="K8" s="33">
        <f t="shared" si="1"/>
        <v>-14.95890410958904</v>
      </c>
      <c r="L8" s="33">
        <f t="shared" si="2"/>
        <v>-14.95890410958904</v>
      </c>
      <c r="M8" s="34"/>
      <c r="N8" s="32">
        <v>39202</v>
      </c>
      <c r="O8" s="33">
        <f>D$6*D$8*(N8-N6)/365</f>
        <v>49.589041095890408</v>
      </c>
      <c r="P8" s="33">
        <v>0</v>
      </c>
      <c r="Q8" s="33">
        <f t="shared" si="0"/>
        <v>49.589041095890408</v>
      </c>
      <c r="S8" s="32">
        <v>39321</v>
      </c>
      <c r="T8" s="33">
        <f t="shared" si="3"/>
        <v>20.942465753424656</v>
      </c>
      <c r="U8" s="33">
        <v>0</v>
      </c>
      <c r="V8" s="33">
        <f t="shared" si="4"/>
        <v>20.942465753424656</v>
      </c>
      <c r="X8" s="32">
        <v>39994</v>
      </c>
      <c r="Y8" s="33">
        <v>0</v>
      </c>
      <c r="Z8" s="33">
        <f t="shared" si="5"/>
        <v>-64</v>
      </c>
      <c r="AA8" s="33">
        <f t="shared" si="6"/>
        <v>-64</v>
      </c>
      <c r="AC8" s="39">
        <v>39021</v>
      </c>
      <c r="AD8" s="33">
        <v>-4955.1984514459673</v>
      </c>
      <c r="AH8" s="54"/>
    </row>
    <row r="9" spans="2:34">
      <c r="B9" s="16" t="s">
        <v>39</v>
      </c>
      <c r="C9" s="19">
        <v>1.4999999999999999E-2</v>
      </c>
      <c r="D9" s="19" t="s">
        <v>40</v>
      </c>
      <c r="E9" s="20" t="s">
        <v>41</v>
      </c>
      <c r="F9" s="21">
        <v>1.6E-2</v>
      </c>
      <c r="I9" s="32">
        <v>39538</v>
      </c>
      <c r="J9" s="1">
        <v>0</v>
      </c>
      <c r="K9" s="33">
        <f t="shared" si="1"/>
        <v>-15.205479452054794</v>
      </c>
      <c r="L9" s="33">
        <f t="shared" si="2"/>
        <v>-15.205479452054794</v>
      </c>
      <c r="M9" s="34"/>
      <c r="N9" s="32">
        <v>39294</v>
      </c>
      <c r="O9" s="33">
        <v>0</v>
      </c>
      <c r="P9" s="33">
        <v>0</v>
      </c>
      <c r="Q9" s="33">
        <f t="shared" si="0"/>
        <v>0</v>
      </c>
      <c r="S9" s="32">
        <v>39503</v>
      </c>
      <c r="T9" s="33">
        <f t="shared" si="3"/>
        <v>20.942465753424656</v>
      </c>
      <c r="U9" s="33">
        <v>0</v>
      </c>
      <c r="V9" s="33">
        <f t="shared" si="4"/>
        <v>20.942465753424656</v>
      </c>
      <c r="X9" s="32">
        <v>40359</v>
      </c>
      <c r="Y9" s="33">
        <v>0</v>
      </c>
      <c r="Z9" s="33">
        <f t="shared" si="5"/>
        <v>-64</v>
      </c>
      <c r="AA9" s="33">
        <f t="shared" si="6"/>
        <v>-64</v>
      </c>
      <c r="AC9" s="39">
        <v>39113</v>
      </c>
      <c r="AD9" s="33">
        <v>0</v>
      </c>
      <c r="AH9" s="54"/>
    </row>
    <row r="10" spans="2:34">
      <c r="B10" s="16" t="s">
        <v>42</v>
      </c>
      <c r="C10" s="20" t="s">
        <v>43</v>
      </c>
      <c r="D10" s="20" t="s">
        <v>44</v>
      </c>
      <c r="E10" s="22" t="s">
        <v>350</v>
      </c>
      <c r="F10" s="23" t="s">
        <v>45</v>
      </c>
      <c r="I10" s="32">
        <v>39721</v>
      </c>
      <c r="J10" s="1">
        <v>0</v>
      </c>
      <c r="K10" s="33">
        <f t="shared" si="1"/>
        <v>-15.04109589041096</v>
      </c>
      <c r="L10" s="33">
        <f t="shared" si="2"/>
        <v>-15.04109589041096</v>
      </c>
      <c r="M10" s="34"/>
      <c r="N10" s="32">
        <v>39386</v>
      </c>
      <c r="O10" s="33">
        <f>D$6*D$8*(N10-N8)/365</f>
        <v>50.410958904109592</v>
      </c>
      <c r="P10" s="33">
        <v>0</v>
      </c>
      <c r="Q10" s="33">
        <f t="shared" si="0"/>
        <v>50.410958904109592</v>
      </c>
      <c r="S10" s="32">
        <v>39685</v>
      </c>
      <c r="T10" s="33">
        <f t="shared" si="3"/>
        <v>20.942465753424656</v>
      </c>
      <c r="U10" s="33">
        <v>0</v>
      </c>
      <c r="V10" s="33">
        <f t="shared" si="4"/>
        <v>20.942465753424656</v>
      </c>
      <c r="X10" s="32">
        <v>40724</v>
      </c>
      <c r="Y10" s="33">
        <v>0</v>
      </c>
      <c r="Z10" s="33">
        <f t="shared" si="5"/>
        <v>-64</v>
      </c>
      <c r="AA10" s="33">
        <f t="shared" si="6"/>
        <v>-64</v>
      </c>
      <c r="AC10" s="39">
        <v>39139</v>
      </c>
      <c r="AD10" s="33">
        <v>21.287671232876711</v>
      </c>
      <c r="AH10" s="54"/>
    </row>
    <row r="11" spans="2:34">
      <c r="B11" s="16" t="s">
        <v>46</v>
      </c>
      <c r="C11" s="20" t="s">
        <v>43</v>
      </c>
      <c r="D11" s="20" t="s">
        <v>47</v>
      </c>
      <c r="E11" s="22" t="s">
        <v>350</v>
      </c>
      <c r="F11" s="23" t="s">
        <v>45</v>
      </c>
      <c r="I11" s="32">
        <v>39903</v>
      </c>
      <c r="J11" s="1">
        <v>0</v>
      </c>
      <c r="K11" s="33">
        <f t="shared" si="1"/>
        <v>-14.95890410958904</v>
      </c>
      <c r="L11" s="33">
        <f t="shared" si="2"/>
        <v>-14.95890410958904</v>
      </c>
      <c r="M11" s="34"/>
      <c r="N11" s="32">
        <v>39478</v>
      </c>
      <c r="O11" s="33">
        <v>0</v>
      </c>
      <c r="P11" s="33">
        <v>0</v>
      </c>
      <c r="Q11" s="33">
        <f t="shared" si="0"/>
        <v>0</v>
      </c>
      <c r="S11" s="32">
        <v>39869</v>
      </c>
      <c r="T11" s="33">
        <f t="shared" si="3"/>
        <v>21.172602739726027</v>
      </c>
      <c r="U11" s="33">
        <v>0</v>
      </c>
      <c r="V11" s="33">
        <f t="shared" si="4"/>
        <v>21.172602739726027</v>
      </c>
      <c r="X11" s="32">
        <v>41089</v>
      </c>
      <c r="Y11" s="33">
        <v>0</v>
      </c>
      <c r="Z11" s="33">
        <f t="shared" si="5"/>
        <v>-64</v>
      </c>
      <c r="AA11" s="33">
        <f t="shared" si="6"/>
        <v>-64</v>
      </c>
      <c r="AC11" s="39">
        <v>39171</v>
      </c>
      <c r="AD11" s="33">
        <v>-14.95890410958904</v>
      </c>
      <c r="AH11" s="54"/>
    </row>
    <row r="12" spans="2:34">
      <c r="B12" s="16" t="s">
        <v>48</v>
      </c>
      <c r="C12" s="17">
        <v>38989</v>
      </c>
      <c r="D12" s="17">
        <v>39021</v>
      </c>
      <c r="E12" s="17">
        <v>38954</v>
      </c>
      <c r="F12" s="18">
        <v>39262</v>
      </c>
      <c r="I12" s="32">
        <v>40086</v>
      </c>
      <c r="J12" s="1">
        <v>0</v>
      </c>
      <c r="K12" s="33">
        <f t="shared" si="1"/>
        <v>-15.04109589041096</v>
      </c>
      <c r="L12" s="33">
        <f t="shared" si="2"/>
        <v>-15.04109589041096</v>
      </c>
      <c r="M12" s="34"/>
      <c r="N12" s="32">
        <v>39568</v>
      </c>
      <c r="O12" s="33">
        <f>D$6*D$8*(N12-N10)/365</f>
        <v>49.863013698630134</v>
      </c>
      <c r="P12" s="33">
        <v>0</v>
      </c>
      <c r="Q12" s="33">
        <f t="shared" si="0"/>
        <v>49.863013698630134</v>
      </c>
      <c r="S12" s="32">
        <v>40050</v>
      </c>
      <c r="T12" s="33">
        <f t="shared" si="3"/>
        <v>20.827397260273973</v>
      </c>
      <c r="U12" s="33">
        <v>0</v>
      </c>
      <c r="V12" s="33">
        <f t="shared" si="4"/>
        <v>20.827397260273973</v>
      </c>
      <c r="X12" s="32">
        <v>41453</v>
      </c>
      <c r="Y12" s="33">
        <v>0</v>
      </c>
      <c r="Z12" s="33">
        <f t="shared" si="5"/>
        <v>-63.824657534246576</v>
      </c>
      <c r="AA12" s="33">
        <f t="shared" si="6"/>
        <v>-63.824657534246576</v>
      </c>
      <c r="AC12" s="39">
        <v>39202</v>
      </c>
      <c r="AD12" s="33">
        <v>49.589041095890408</v>
      </c>
      <c r="AH12" s="54"/>
    </row>
    <row r="13" spans="2:34">
      <c r="B13" s="16" t="s">
        <v>49</v>
      </c>
      <c r="C13" s="17">
        <v>38807</v>
      </c>
      <c r="D13" s="24">
        <v>38929</v>
      </c>
      <c r="E13" s="24">
        <v>38775</v>
      </c>
      <c r="F13" s="18">
        <v>38898</v>
      </c>
      <c r="I13" s="32">
        <v>40268</v>
      </c>
      <c r="J13" s="1">
        <v>0</v>
      </c>
      <c r="K13" s="33">
        <f t="shared" si="1"/>
        <v>-14.95890410958904</v>
      </c>
      <c r="L13" s="33">
        <f t="shared" si="2"/>
        <v>-14.95890410958904</v>
      </c>
      <c r="M13" s="34"/>
      <c r="N13" s="32">
        <v>39660</v>
      </c>
      <c r="O13" s="33">
        <v>0</v>
      </c>
      <c r="P13" s="33">
        <v>0</v>
      </c>
      <c r="Q13" s="33">
        <f t="shared" si="0"/>
        <v>0</v>
      </c>
      <c r="S13" s="32">
        <v>40234</v>
      </c>
      <c r="T13" s="33">
        <f t="shared" si="3"/>
        <v>21.172602739726027</v>
      </c>
      <c r="U13" s="33">
        <v>0</v>
      </c>
      <c r="V13" s="33">
        <f t="shared" si="4"/>
        <v>21.172602739726027</v>
      </c>
      <c r="X13" s="32">
        <v>41820</v>
      </c>
      <c r="Y13" s="33">
        <v>0</v>
      </c>
      <c r="Z13" s="33">
        <f t="shared" si="5"/>
        <v>-64.350684931506848</v>
      </c>
      <c r="AA13" s="33">
        <f t="shared" si="6"/>
        <v>-64.350684931506848</v>
      </c>
      <c r="AC13" s="39">
        <v>39262</v>
      </c>
      <c r="AD13" s="33">
        <v>3960.3914535768649</v>
      </c>
      <c r="AH13" s="54"/>
    </row>
    <row r="14" spans="2:34">
      <c r="B14" s="16" t="s">
        <v>50</v>
      </c>
      <c r="C14" s="25">
        <v>1.6188000000000001E-3</v>
      </c>
      <c r="D14" s="25">
        <v>4.8187999999999998E-3</v>
      </c>
      <c r="E14" s="26">
        <v>1.0375E-3</v>
      </c>
      <c r="F14" s="27">
        <v>5.9874999999999998E-3</v>
      </c>
      <c r="I14" s="32">
        <v>40451</v>
      </c>
      <c r="J14" s="1">
        <v>0</v>
      </c>
      <c r="K14" s="33">
        <f t="shared" si="1"/>
        <v>-15.04109589041096</v>
      </c>
      <c r="L14" s="33">
        <f t="shared" si="2"/>
        <v>-15.04109589041096</v>
      </c>
      <c r="M14" s="34"/>
      <c r="N14" s="32">
        <v>39752</v>
      </c>
      <c r="O14" s="33">
        <f>D$6*(1+D$8*(N14-N12)/365)</f>
        <v>5050.4109589041091</v>
      </c>
      <c r="P14" s="33">
        <v>0</v>
      </c>
      <c r="Q14" s="33">
        <f t="shared" si="0"/>
        <v>5050.4109589041091</v>
      </c>
      <c r="S14" s="32">
        <v>40415</v>
      </c>
      <c r="T14" s="33">
        <f t="shared" si="3"/>
        <v>20.827397260273973</v>
      </c>
      <c r="U14" s="33">
        <v>0</v>
      </c>
      <c r="V14" s="33">
        <f t="shared" si="4"/>
        <v>20.827397260273973</v>
      </c>
      <c r="X14" s="32">
        <v>42185</v>
      </c>
      <c r="Y14" s="33">
        <v>0</v>
      </c>
      <c r="Z14" s="33">
        <f t="shared" si="5"/>
        <v>-64</v>
      </c>
      <c r="AA14" s="33">
        <f t="shared" si="6"/>
        <v>-64</v>
      </c>
      <c r="AC14" s="39">
        <v>39294</v>
      </c>
      <c r="AD14" s="33">
        <v>0</v>
      </c>
      <c r="AH14" s="54"/>
    </row>
    <row r="15" spans="2:34" ht="15" thickBot="1">
      <c r="B15" s="28" t="s">
        <v>51</v>
      </c>
      <c r="C15" s="29">
        <v>38805</v>
      </c>
      <c r="D15" s="29">
        <v>38925</v>
      </c>
      <c r="E15" s="29">
        <v>38771</v>
      </c>
      <c r="F15" s="30">
        <v>38896</v>
      </c>
      <c r="I15" s="32">
        <v>40633</v>
      </c>
      <c r="J15" s="1">
        <v>0</v>
      </c>
      <c r="K15" s="33">
        <f t="shared" si="1"/>
        <v>-14.95890410958904</v>
      </c>
      <c r="L15" s="33">
        <f t="shared" si="2"/>
        <v>-14.95890410958904</v>
      </c>
      <c r="M15" s="34"/>
      <c r="N15" s="36"/>
      <c r="P15" s="34"/>
      <c r="Q15" s="34"/>
      <c r="S15" s="32">
        <v>40599</v>
      </c>
      <c r="T15" s="33">
        <f t="shared" si="3"/>
        <v>21.172602739726027</v>
      </c>
      <c r="U15" s="33">
        <v>0</v>
      </c>
      <c r="V15" s="33">
        <f t="shared" si="4"/>
        <v>21.172602739726027</v>
      </c>
      <c r="X15" s="32">
        <v>42551</v>
      </c>
      <c r="Y15" s="33">
        <v>0</v>
      </c>
      <c r="Z15" s="33">
        <f>-F$6*(1+F$9*(X15-X14)/365)</f>
        <v>-4064.1753424657531</v>
      </c>
      <c r="AA15" s="33">
        <f t="shared" si="6"/>
        <v>-4064.1753424657531</v>
      </c>
      <c r="AC15" s="39">
        <v>39321</v>
      </c>
      <c r="AD15" s="33">
        <v>20.942465753424656</v>
      </c>
      <c r="AH15" s="54"/>
    </row>
    <row r="16" spans="2:34">
      <c r="I16" s="32">
        <v>40816</v>
      </c>
      <c r="J16" s="1">
        <v>0</v>
      </c>
      <c r="K16" s="33">
        <f t="shared" si="1"/>
        <v>-15.04109589041096</v>
      </c>
      <c r="L16" s="33">
        <f t="shared" si="2"/>
        <v>-15.04109589041096</v>
      </c>
      <c r="M16" s="34"/>
      <c r="N16" s="40"/>
      <c r="P16" s="34"/>
      <c r="Q16" s="34"/>
      <c r="S16" s="32">
        <v>40780</v>
      </c>
      <c r="T16" s="33">
        <f t="shared" si="3"/>
        <v>20.827397260273973</v>
      </c>
      <c r="U16" s="33">
        <v>0</v>
      </c>
      <c r="V16" s="33">
        <f t="shared" si="4"/>
        <v>20.827397260273973</v>
      </c>
      <c r="X16" s="36"/>
      <c r="Z16" s="34"/>
      <c r="AC16" s="39">
        <v>39353</v>
      </c>
      <c r="AD16" s="33">
        <v>-14.95890410958904</v>
      </c>
      <c r="AH16" s="54"/>
    </row>
    <row r="17" spans="3:34">
      <c r="C17" s="36"/>
      <c r="D17" s="36"/>
      <c r="E17" s="36"/>
      <c r="F17" s="36"/>
      <c r="I17" s="32">
        <v>40998</v>
      </c>
      <c r="J17" s="1">
        <v>0</v>
      </c>
      <c r="K17" s="33">
        <f t="shared" si="1"/>
        <v>-14.95890410958904</v>
      </c>
      <c r="L17" s="33">
        <f t="shared" si="2"/>
        <v>-14.95890410958904</v>
      </c>
      <c r="M17" s="34"/>
      <c r="N17" s="40"/>
      <c r="P17" s="34"/>
      <c r="Q17" s="34"/>
      <c r="S17" s="32">
        <v>40966</v>
      </c>
      <c r="T17" s="33">
        <f t="shared" si="3"/>
        <v>21.402739726027399</v>
      </c>
      <c r="U17" s="33">
        <v>0</v>
      </c>
      <c r="V17" s="33">
        <f t="shared" si="4"/>
        <v>21.402739726027399</v>
      </c>
      <c r="X17" s="36"/>
      <c r="Z17" s="34"/>
      <c r="AC17" s="39">
        <v>39386</v>
      </c>
      <c r="AD17" s="33">
        <v>50.410958904109592</v>
      </c>
      <c r="AH17" s="54"/>
    </row>
    <row r="18" spans="3:34">
      <c r="C18" s="36"/>
      <c r="D18" s="36"/>
      <c r="E18" s="36"/>
      <c r="F18" s="36"/>
      <c r="I18" s="32">
        <v>41180</v>
      </c>
      <c r="J18" s="1">
        <v>0</v>
      </c>
      <c r="K18" s="33">
        <f>-C$6*(1+C$9*(I18-I17)/365)</f>
        <v>-2014.958904109589</v>
      </c>
      <c r="L18" s="33">
        <f t="shared" si="2"/>
        <v>-2014.958904109589</v>
      </c>
      <c r="M18" s="34"/>
      <c r="N18" s="40"/>
      <c r="P18" s="34"/>
      <c r="Q18" s="34"/>
      <c r="S18" s="32">
        <v>41148</v>
      </c>
      <c r="T18" s="33">
        <f t="shared" si="3"/>
        <v>20.942465753424656</v>
      </c>
      <c r="U18" s="33">
        <v>0</v>
      </c>
      <c r="V18" s="33">
        <f t="shared" si="4"/>
        <v>20.942465753424656</v>
      </c>
      <c r="X18" s="36"/>
      <c r="Z18" s="34"/>
      <c r="AC18" s="39">
        <v>39478</v>
      </c>
      <c r="AD18" s="33">
        <v>0</v>
      </c>
      <c r="AH18" s="54"/>
    </row>
    <row r="19" spans="3:34">
      <c r="N19" s="40"/>
      <c r="O19" s="40"/>
      <c r="P19" s="34"/>
      <c r="Q19" s="34"/>
      <c r="S19" s="32">
        <v>41330</v>
      </c>
      <c r="T19" s="33">
        <f>E$6*(1+E$8*(S19-S18)/365)</f>
        <v>3020.9424657534246</v>
      </c>
      <c r="U19" s="33">
        <v>0</v>
      </c>
      <c r="V19" s="33">
        <f t="shared" si="4"/>
        <v>3020.9424657534246</v>
      </c>
      <c r="X19" s="36"/>
      <c r="Z19" s="34"/>
      <c r="AC19" s="39">
        <v>39503</v>
      </c>
      <c r="AD19" s="33">
        <v>20.942465753424656</v>
      </c>
      <c r="AH19" s="54"/>
    </row>
    <row r="20" spans="3:34">
      <c r="P20" s="34"/>
      <c r="Q20" s="34"/>
      <c r="U20" s="34"/>
      <c r="V20" s="34"/>
      <c r="Z20" s="34"/>
      <c r="AC20" s="39">
        <v>39538</v>
      </c>
      <c r="AD20" s="33">
        <v>-15.205479452054794</v>
      </c>
      <c r="AH20" s="54"/>
    </row>
    <row r="21" spans="3:34">
      <c r="J21" s="43"/>
      <c r="P21" s="34"/>
      <c r="Q21" s="34"/>
      <c r="U21" s="34"/>
      <c r="V21" s="34"/>
      <c r="Z21" s="34"/>
      <c r="AC21" s="39">
        <v>39568</v>
      </c>
      <c r="AD21" s="33">
        <v>49.863013698630134</v>
      </c>
      <c r="AH21" s="54"/>
    </row>
    <row r="22" spans="3:34">
      <c r="U22" s="34"/>
      <c r="V22" s="34"/>
      <c r="Z22" s="34"/>
      <c r="AC22" s="39">
        <v>39629</v>
      </c>
      <c r="AD22" s="33">
        <v>-64.350684931506848</v>
      </c>
      <c r="AH22" s="54"/>
    </row>
    <row r="23" spans="3:34">
      <c r="AC23" s="39">
        <v>39660</v>
      </c>
      <c r="AD23" s="33">
        <v>0</v>
      </c>
      <c r="AH23" s="54"/>
    </row>
    <row r="24" spans="3:34">
      <c r="AC24" s="39">
        <v>39685</v>
      </c>
      <c r="AD24" s="33">
        <v>20.942465753424656</v>
      </c>
      <c r="AH24" s="54"/>
    </row>
    <row r="25" spans="3:34">
      <c r="D25" s="46"/>
      <c r="E25" s="44"/>
      <c r="AC25" s="39">
        <v>39721</v>
      </c>
      <c r="AD25" s="33">
        <v>-15.04109589041096</v>
      </c>
      <c r="AH25" s="54"/>
    </row>
    <row r="26" spans="3:34">
      <c r="C26" s="36"/>
      <c r="D26" s="46"/>
      <c r="E26" s="44"/>
      <c r="AC26" s="39">
        <v>39752</v>
      </c>
      <c r="AD26" s="33">
        <v>5050.4109589041091</v>
      </c>
      <c r="AH26" s="54"/>
    </row>
    <row r="27" spans="3:34">
      <c r="C27" s="36"/>
      <c r="D27" s="46"/>
      <c r="E27" s="44"/>
      <c r="AC27" s="39">
        <v>39869</v>
      </c>
      <c r="AD27" s="33">
        <v>21.172602739726027</v>
      </c>
      <c r="AH27" s="54"/>
    </row>
    <row r="28" spans="3:34">
      <c r="C28" s="36"/>
      <c r="D28" s="34"/>
      <c r="E28" s="44"/>
      <c r="AC28" s="39">
        <v>39903</v>
      </c>
      <c r="AD28" s="33">
        <v>-14.95890410958904</v>
      </c>
      <c r="AH28" s="54"/>
    </row>
    <row r="29" spans="3:34">
      <c r="C29" s="36"/>
      <c r="D29" s="34"/>
      <c r="E29" s="44"/>
      <c r="AC29" s="39">
        <v>39994</v>
      </c>
      <c r="AD29" s="33">
        <v>-64</v>
      </c>
      <c r="AH29" s="54"/>
    </row>
    <row r="30" spans="3:34">
      <c r="C30" s="36"/>
      <c r="D30" s="34"/>
      <c r="E30" s="44"/>
      <c r="AC30" s="39">
        <v>40050</v>
      </c>
      <c r="AD30" s="33">
        <v>20.827397260273973</v>
      </c>
      <c r="AH30" s="54"/>
    </row>
    <row r="31" spans="3:34">
      <c r="C31" s="36"/>
      <c r="D31" s="34"/>
      <c r="E31" s="44"/>
      <c r="AC31" s="39">
        <v>40086</v>
      </c>
      <c r="AD31" s="33">
        <v>-15.04109589041096</v>
      </c>
      <c r="AH31" s="54"/>
    </row>
    <row r="32" spans="3:34">
      <c r="C32" s="36"/>
      <c r="D32" s="34"/>
      <c r="E32" s="44"/>
      <c r="AC32" s="39">
        <v>40234</v>
      </c>
      <c r="AD32" s="33">
        <v>21.172602739726027</v>
      </c>
      <c r="AH32" s="54"/>
    </row>
    <row r="33" spans="3:34">
      <c r="C33" s="36"/>
      <c r="D33" s="34"/>
      <c r="E33" s="44"/>
      <c r="AC33" s="39">
        <v>40268</v>
      </c>
      <c r="AD33" s="33">
        <v>-14.95890410958904</v>
      </c>
      <c r="AH33" s="54"/>
    </row>
    <row r="34" spans="3:34">
      <c r="C34" s="36"/>
      <c r="D34" s="34"/>
      <c r="E34" s="44"/>
      <c r="AC34" s="39">
        <v>40359</v>
      </c>
      <c r="AD34" s="33">
        <v>-64</v>
      </c>
      <c r="AH34" s="54"/>
    </row>
    <row r="35" spans="3:34">
      <c r="C35" s="36"/>
      <c r="D35" s="34"/>
      <c r="E35" s="44"/>
      <c r="AC35" s="39">
        <v>40415</v>
      </c>
      <c r="AD35" s="33">
        <v>20.827397260273973</v>
      </c>
      <c r="AH35" s="54"/>
    </row>
    <row r="36" spans="3:34">
      <c r="C36" s="36"/>
      <c r="D36" s="34"/>
      <c r="E36" s="44"/>
      <c r="AC36" s="39">
        <v>40451</v>
      </c>
      <c r="AD36" s="33">
        <v>-15.04109589041096</v>
      </c>
      <c r="AH36" s="54"/>
    </row>
    <row r="37" spans="3:34">
      <c r="C37" s="36"/>
      <c r="D37" s="34"/>
      <c r="E37" s="44"/>
      <c r="AC37" s="39">
        <v>40599</v>
      </c>
      <c r="AD37" s="33">
        <v>21.172602739726027</v>
      </c>
      <c r="AH37" s="54"/>
    </row>
    <row r="38" spans="3:34">
      <c r="C38" s="36"/>
      <c r="D38" s="34"/>
      <c r="AC38" s="39">
        <v>40633</v>
      </c>
      <c r="AD38" s="33">
        <v>-14.95890410958904</v>
      </c>
      <c r="AH38" s="54"/>
    </row>
    <row r="39" spans="3:34">
      <c r="AC39" s="39">
        <v>40724</v>
      </c>
      <c r="AD39" s="33">
        <v>-64</v>
      </c>
      <c r="AH39" s="54"/>
    </row>
    <row r="40" spans="3:34">
      <c r="AC40" s="39">
        <v>40780</v>
      </c>
      <c r="AD40" s="33">
        <v>20.827397260273973</v>
      </c>
      <c r="AH40" s="54"/>
    </row>
    <row r="41" spans="3:34">
      <c r="AC41" s="39">
        <v>40816</v>
      </c>
      <c r="AD41" s="33">
        <v>-15.04109589041096</v>
      </c>
      <c r="AH41" s="54"/>
    </row>
    <row r="42" spans="3:34">
      <c r="AC42" s="39">
        <v>40966</v>
      </c>
      <c r="AD42" s="33">
        <v>21.402739726027399</v>
      </c>
      <c r="AH42" s="54"/>
    </row>
    <row r="43" spans="3:34">
      <c r="AC43" s="39">
        <v>40998</v>
      </c>
      <c r="AD43" s="33">
        <v>-14.95890410958904</v>
      </c>
      <c r="AH43" s="54"/>
    </row>
    <row r="44" spans="3:34">
      <c r="AC44" s="39">
        <v>41089</v>
      </c>
      <c r="AD44" s="33">
        <v>-64</v>
      </c>
      <c r="AH44" s="54"/>
    </row>
    <row r="45" spans="3:34">
      <c r="AC45" s="39">
        <v>41148</v>
      </c>
      <c r="AD45" s="33">
        <v>20.942465753424656</v>
      </c>
      <c r="AH45" s="54"/>
    </row>
    <row r="46" spans="3:34">
      <c r="AC46" s="39">
        <v>41180</v>
      </c>
      <c r="AD46" s="33">
        <v>-2014.958904109589</v>
      </c>
      <c r="AH46" s="54"/>
    </row>
    <row r="47" spans="3:34">
      <c r="AC47" s="39">
        <v>41330</v>
      </c>
      <c r="AD47" s="33">
        <v>3020.9424657534246</v>
      </c>
      <c r="AH47" s="54"/>
    </row>
    <row r="48" spans="3:34">
      <c r="AC48" s="39">
        <v>41453</v>
      </c>
      <c r="AD48" s="33">
        <v>-63.824657534246576</v>
      </c>
      <c r="AH48" s="54"/>
    </row>
    <row r="49" spans="29:34">
      <c r="AC49" s="39">
        <v>41820</v>
      </c>
      <c r="AD49" s="33">
        <v>-64.350684931506848</v>
      </c>
      <c r="AH49" s="54"/>
    </row>
    <row r="50" spans="29:34">
      <c r="AC50" s="39">
        <v>42185</v>
      </c>
      <c r="AD50" s="33">
        <v>-64</v>
      </c>
      <c r="AH50" s="54"/>
    </row>
    <row r="51" spans="29:34">
      <c r="AC51" s="39">
        <v>42551</v>
      </c>
      <c r="AD51" s="33">
        <v>-4064.1753424657531</v>
      </c>
      <c r="AH51" s="54"/>
    </row>
    <row r="52" spans="29:34">
      <c r="AH52" s="54"/>
    </row>
    <row r="53" spans="29:34">
      <c r="AH53" s="54"/>
    </row>
    <row r="54" spans="29:34">
      <c r="AH54" s="54"/>
    </row>
    <row r="55" spans="29:34">
      <c r="AH55" s="54"/>
    </row>
    <row r="56" spans="29:34">
      <c r="AH56" s="54"/>
    </row>
    <row r="57" spans="29:34">
      <c r="AH57" s="54"/>
    </row>
    <row r="58" spans="29:34">
      <c r="AH58" s="54"/>
    </row>
    <row r="59" spans="29:34">
      <c r="AH59" s="54"/>
    </row>
    <row r="60" spans="29:34">
      <c r="AH60" s="54"/>
    </row>
    <row r="61" spans="29:34">
      <c r="AH61" s="54"/>
    </row>
    <row r="62" spans="29:34">
      <c r="AH62" s="54"/>
    </row>
    <row r="63" spans="29:34">
      <c r="AH63" s="54"/>
    </row>
    <row r="64" spans="29:34">
      <c r="AH64" s="54"/>
    </row>
    <row r="65" spans="34:34">
      <c r="AH65" s="54"/>
    </row>
    <row r="66" spans="34:34">
      <c r="AH66" s="54"/>
    </row>
    <row r="67" spans="34:34">
      <c r="AH67" s="54"/>
    </row>
    <row r="68" spans="34:34">
      <c r="AH68" s="54"/>
    </row>
    <row r="69" spans="34:34">
      <c r="AH69" s="54"/>
    </row>
    <row r="70" spans="34:34">
      <c r="AH70" s="54"/>
    </row>
    <row r="71" spans="34:34">
      <c r="AH71" s="54"/>
    </row>
    <row r="72" spans="34:34">
      <c r="AH72" s="54"/>
    </row>
    <row r="73" spans="34:34">
      <c r="AH73" s="54"/>
    </row>
    <row r="74" spans="34:34">
      <c r="AH74" s="54"/>
    </row>
    <row r="75" spans="34:34">
      <c r="AH75" s="54"/>
    </row>
    <row r="76" spans="34:34">
      <c r="AH76" s="54"/>
    </row>
    <row r="77" spans="34:34">
      <c r="AH77" s="54"/>
    </row>
    <row r="78" spans="34:34">
      <c r="AH78" s="54"/>
    </row>
    <row r="79" spans="34:34">
      <c r="AH79" s="54"/>
    </row>
    <row r="80" spans="34:34">
      <c r="AH80" s="54"/>
    </row>
    <row r="81" spans="34:34">
      <c r="AH81" s="54"/>
    </row>
    <row r="82" spans="34:34">
      <c r="AH82" s="54"/>
    </row>
  </sheetData>
  <phoneticPr fontId="3"/>
  <pageMargins left="0.75" right="0.75" top="1" bottom="1" header="0.51200000000000001" footer="0.51200000000000001"/>
  <pageSetup paperSize="9"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Z70"/>
  <sheetViews>
    <sheetView workbookViewId="0">
      <selection activeCell="F34" sqref="F34"/>
    </sheetView>
  </sheetViews>
  <sheetFormatPr baseColWidth="10" defaultColWidth="8.83203125" defaultRowHeight="14"/>
  <cols>
    <col min="1" max="1" width="8.1640625" customWidth="1"/>
    <col min="2" max="2" width="11.1640625" customWidth="1"/>
    <col min="3" max="4" width="11.5" customWidth="1"/>
    <col min="5" max="5" width="10.5" bestFit="1" customWidth="1"/>
    <col min="6" max="6" width="10.83203125" customWidth="1"/>
    <col min="7" max="7" width="12.1640625" customWidth="1"/>
    <col min="8" max="8" width="13" customWidth="1"/>
    <col min="9" max="10" width="11.6640625" customWidth="1"/>
    <col min="11" max="11" width="6.6640625" customWidth="1"/>
    <col min="12" max="13" width="12.1640625" customWidth="1"/>
    <col min="14" max="14" width="13.33203125" customWidth="1"/>
    <col min="15" max="18" width="12.1640625" customWidth="1"/>
    <col min="19" max="20" width="11.83203125" customWidth="1"/>
    <col min="21" max="21" width="12.6640625" customWidth="1"/>
    <col min="22" max="22" width="7.5" customWidth="1"/>
    <col min="23" max="23" width="11.83203125" customWidth="1"/>
    <col min="24" max="24" width="11.6640625" customWidth="1"/>
    <col min="25" max="25" width="7.5" customWidth="1"/>
    <col min="26" max="26" width="11.6640625" customWidth="1"/>
    <col min="27" max="32" width="7.5" customWidth="1"/>
    <col min="33" max="34" width="9"/>
  </cols>
  <sheetData>
    <row r="3" spans="1:26">
      <c r="B3" t="s">
        <v>66</v>
      </c>
      <c r="C3" s="32">
        <v>38931</v>
      </c>
      <c r="D3" s="36"/>
      <c r="K3" t="s">
        <v>159</v>
      </c>
      <c r="P3" t="s">
        <v>158</v>
      </c>
    </row>
    <row r="4" spans="1:26">
      <c r="B4" t="s">
        <v>67</v>
      </c>
      <c r="C4" s="32">
        <v>38933</v>
      </c>
      <c r="D4" s="36"/>
    </row>
    <row r="5" spans="1:26">
      <c r="C5" s="36"/>
      <c r="D5" s="36"/>
      <c r="K5" s="1"/>
      <c r="L5" s="48" t="s">
        <v>69</v>
      </c>
      <c r="M5" s="52" t="s">
        <v>346</v>
      </c>
      <c r="N5" s="1" t="s">
        <v>347</v>
      </c>
      <c r="P5" s="1" t="s">
        <v>52</v>
      </c>
      <c r="Q5" s="1" t="s">
        <v>63</v>
      </c>
      <c r="R5" s="1" t="s">
        <v>140</v>
      </c>
      <c r="S5" s="47" t="s">
        <v>144</v>
      </c>
      <c r="T5" s="1" t="s">
        <v>348</v>
      </c>
      <c r="U5" s="52" t="s">
        <v>346</v>
      </c>
      <c r="Z5" s="54"/>
    </row>
    <row r="6" spans="1:26">
      <c r="B6" s="56" t="s">
        <v>68</v>
      </c>
      <c r="K6" s="1" t="s">
        <v>156</v>
      </c>
      <c r="L6" s="32">
        <v>38933</v>
      </c>
      <c r="M6" s="102">
        <v>1</v>
      </c>
      <c r="N6" s="55">
        <f>(M7-M6)/(L7-L6)</f>
        <v>-1.0031601627817409E-5</v>
      </c>
      <c r="O6" s="40"/>
      <c r="P6" s="39">
        <v>38954</v>
      </c>
      <c r="Q6" s="33">
        <v>-2980.950343892694</v>
      </c>
      <c r="R6" s="39">
        <f>VLOOKUP(P6,$L$6:$N$36,1)</f>
        <v>38933</v>
      </c>
      <c r="S6" s="102">
        <f>VLOOKUP($P6,$L$6:$N$36,2)</f>
        <v>1</v>
      </c>
      <c r="T6" s="106">
        <f>VLOOKUP($P6,$L$6:$N$36,3)</f>
        <v>-1.0031601627817409E-5</v>
      </c>
      <c r="U6" s="102">
        <f>S6+T6*(P6-R6)</f>
        <v>0.9997893363658158</v>
      </c>
      <c r="W6" s="80"/>
      <c r="Z6" s="54"/>
    </row>
    <row r="7" spans="1:26">
      <c r="C7" s="1" t="s">
        <v>69</v>
      </c>
      <c r="D7" s="1" t="s">
        <v>91</v>
      </c>
      <c r="K7" s="1" t="s">
        <v>145</v>
      </c>
      <c r="L7" s="32">
        <v>38964</v>
      </c>
      <c r="M7" s="102">
        <f t="shared" ref="M7:M17" si="0">H37</f>
        <v>0.99968902034953766</v>
      </c>
      <c r="N7" s="55">
        <f t="shared" ref="N7:N35" si="1">(M8-M7)/(L8-L7)</f>
        <v>-1.1647242352412028E-5</v>
      </c>
      <c r="P7" s="39">
        <v>38989</v>
      </c>
      <c r="Q7" s="33">
        <v>1986.6778825570775</v>
      </c>
      <c r="R7" s="39">
        <f t="shared" ref="R7:R51" si="2">VLOOKUP(P7,$L$6:$N$36,1)</f>
        <v>38964</v>
      </c>
      <c r="S7" s="102">
        <f t="shared" ref="S7:S51" si="3">VLOOKUP($P7,$L$6:$N$36,2)</f>
        <v>0.99968902034953766</v>
      </c>
      <c r="T7" s="107">
        <f t="shared" ref="T7:T51" si="4">VLOOKUP($P7,$L$6:$N$36,3)</f>
        <v>-1.1647242352412028E-5</v>
      </c>
      <c r="U7" s="102">
        <f t="shared" ref="U7:U51" si="5">S7+T7*(P7-R7)</f>
        <v>0.99939783929072734</v>
      </c>
      <c r="Z7" s="54"/>
    </row>
    <row r="8" spans="1:26">
      <c r="A8" s="35"/>
      <c r="B8" t="s">
        <v>70</v>
      </c>
      <c r="C8" s="41">
        <v>38964</v>
      </c>
      <c r="D8" s="42">
        <v>0.36125000000000002</v>
      </c>
      <c r="K8" s="1" t="s">
        <v>146</v>
      </c>
      <c r="L8" s="32">
        <v>38994</v>
      </c>
      <c r="M8" s="102">
        <f t="shared" si="0"/>
        <v>0.9993396030789653</v>
      </c>
      <c r="N8" s="55">
        <f t="shared" si="1"/>
        <v>-1.2937560349499869E-5</v>
      </c>
      <c r="P8" s="39">
        <v>39021</v>
      </c>
      <c r="Q8" s="33">
        <v>-4955.1984514459673</v>
      </c>
      <c r="R8" s="39">
        <f t="shared" si="2"/>
        <v>38994</v>
      </c>
      <c r="S8" s="102">
        <f t="shared" si="3"/>
        <v>0.9993396030789653</v>
      </c>
      <c r="T8" s="107">
        <f t="shared" si="4"/>
        <v>-1.2937560349499869E-5</v>
      </c>
      <c r="U8" s="102">
        <f t="shared" si="5"/>
        <v>0.99899028894952879</v>
      </c>
      <c r="Z8" s="54"/>
    </row>
    <row r="9" spans="1:26">
      <c r="A9" s="35"/>
      <c r="B9" t="s">
        <v>71</v>
      </c>
      <c r="C9" s="41">
        <v>38994</v>
      </c>
      <c r="D9" s="42">
        <v>0.39</v>
      </c>
      <c r="K9" s="1" t="s">
        <v>147</v>
      </c>
      <c r="L9" s="32">
        <v>39027</v>
      </c>
      <c r="M9" s="102">
        <f t="shared" si="0"/>
        <v>0.9989126635874318</v>
      </c>
      <c r="N9" s="55">
        <f t="shared" si="1"/>
        <v>-1.3964736200982359E-5</v>
      </c>
      <c r="P9" s="39">
        <v>39113</v>
      </c>
      <c r="Q9" s="33">
        <v>0</v>
      </c>
      <c r="R9" s="39">
        <f t="shared" si="2"/>
        <v>39086</v>
      </c>
      <c r="S9" s="102">
        <f t="shared" si="3"/>
        <v>0.99805410638445857</v>
      </c>
      <c r="T9" s="107">
        <f t="shared" si="4"/>
        <v>-1.7842198194100573E-5</v>
      </c>
      <c r="U9" s="102">
        <f t="shared" si="5"/>
        <v>0.99757236703321783</v>
      </c>
      <c r="Z9" s="54"/>
    </row>
    <row r="10" spans="1:26">
      <c r="A10" s="35"/>
      <c r="B10" t="s">
        <v>72</v>
      </c>
      <c r="C10" s="41">
        <v>39027</v>
      </c>
      <c r="D10" s="42">
        <v>0.41687999999999997</v>
      </c>
      <c r="K10" s="1" t="s">
        <v>148</v>
      </c>
      <c r="L10" s="32">
        <v>39055</v>
      </c>
      <c r="M10" s="102">
        <f t="shared" si="0"/>
        <v>0.9985216509738043</v>
      </c>
      <c r="N10" s="55">
        <f t="shared" si="1"/>
        <v>-1.5082083527281461E-5</v>
      </c>
      <c r="P10" s="39">
        <v>39139</v>
      </c>
      <c r="Q10" s="33">
        <v>21.287671232876711</v>
      </c>
      <c r="R10" s="39">
        <f t="shared" si="2"/>
        <v>39118</v>
      </c>
      <c r="S10" s="102">
        <f t="shared" si="3"/>
        <v>0.99748315604224735</v>
      </c>
      <c r="T10" s="107">
        <f t="shared" si="4"/>
        <v>-1.8476313253733873E-5</v>
      </c>
      <c r="U10" s="102">
        <f t="shared" si="5"/>
        <v>0.99709515346391897</v>
      </c>
      <c r="Z10" s="54"/>
    </row>
    <row r="11" spans="1:26">
      <c r="A11" s="35"/>
      <c r="B11" t="s">
        <v>73</v>
      </c>
      <c r="C11" s="41">
        <v>39055</v>
      </c>
      <c r="D11" s="42">
        <v>0.43687999999999999</v>
      </c>
      <c r="K11" s="1" t="s">
        <v>149</v>
      </c>
      <c r="L11" s="32">
        <v>39086</v>
      </c>
      <c r="M11" s="102">
        <f t="shared" si="0"/>
        <v>0.99805410638445857</v>
      </c>
      <c r="N11" s="55">
        <f t="shared" si="1"/>
        <v>-1.7842198194100573E-5</v>
      </c>
      <c r="P11" s="39">
        <v>39171</v>
      </c>
      <c r="Q11" s="33">
        <v>-14.95890410958904</v>
      </c>
      <c r="R11" s="39">
        <f t="shared" si="2"/>
        <v>39146</v>
      </c>
      <c r="S11" s="102">
        <f t="shared" si="3"/>
        <v>0.99696581927114281</v>
      </c>
      <c r="T11" s="107">
        <f t="shared" si="4"/>
        <v>-2.1176901284062724E-5</v>
      </c>
      <c r="U11" s="102">
        <f t="shared" si="5"/>
        <v>0.99643639673904127</v>
      </c>
      <c r="Z11" s="54"/>
    </row>
    <row r="12" spans="1:26">
      <c r="A12" s="35"/>
      <c r="B12" t="s">
        <v>74</v>
      </c>
      <c r="C12" s="41">
        <v>39086</v>
      </c>
      <c r="D12" s="42">
        <v>0.45874999999999999</v>
      </c>
      <c r="K12" s="1" t="s">
        <v>150</v>
      </c>
      <c r="L12" s="32">
        <v>39118</v>
      </c>
      <c r="M12" s="102">
        <f t="shared" si="0"/>
        <v>0.99748315604224735</v>
      </c>
      <c r="N12" s="55">
        <f t="shared" si="1"/>
        <v>-1.8476313253733873E-5</v>
      </c>
      <c r="P12" s="39">
        <v>39202</v>
      </c>
      <c r="Q12" s="33">
        <v>49.589041095890408</v>
      </c>
      <c r="R12" s="39">
        <f t="shared" si="2"/>
        <v>39176</v>
      </c>
      <c r="S12" s="102">
        <f t="shared" si="3"/>
        <v>0.99633051223262092</v>
      </c>
      <c r="T12" s="107">
        <f t="shared" si="4"/>
        <v>-2.2399940382245022E-5</v>
      </c>
      <c r="U12" s="102">
        <f t="shared" si="5"/>
        <v>0.99574811378268258</v>
      </c>
      <c r="Z12" s="54"/>
    </row>
    <row r="13" spans="1:26">
      <c r="A13" s="35"/>
      <c r="B13" t="s">
        <v>75</v>
      </c>
      <c r="C13" s="41">
        <v>39118</v>
      </c>
      <c r="D13" s="42">
        <v>0.49099999999999999</v>
      </c>
      <c r="E13" s="40"/>
      <c r="K13" s="1" t="s">
        <v>151</v>
      </c>
      <c r="L13" s="32">
        <v>39146</v>
      </c>
      <c r="M13" s="102">
        <f t="shared" si="0"/>
        <v>0.99696581927114281</v>
      </c>
      <c r="N13" s="55">
        <f t="shared" si="1"/>
        <v>-2.1176901284062724E-5</v>
      </c>
      <c r="P13" s="39">
        <v>39262</v>
      </c>
      <c r="Q13" s="33">
        <v>3960.3914535768649</v>
      </c>
      <c r="R13" s="39">
        <f t="shared" si="2"/>
        <v>39237</v>
      </c>
      <c r="S13" s="102">
        <f t="shared" si="3"/>
        <v>0.99492752782066085</v>
      </c>
      <c r="T13" s="107">
        <f t="shared" si="4"/>
        <v>-2.5382915186222821E-5</v>
      </c>
      <c r="U13" s="102">
        <f t="shared" si="5"/>
        <v>0.99429295494100534</v>
      </c>
      <c r="Z13" s="54"/>
    </row>
    <row r="14" spans="1:26">
      <c r="A14" s="35"/>
      <c r="B14" t="s">
        <v>76</v>
      </c>
      <c r="C14" s="41">
        <v>39146</v>
      </c>
      <c r="D14" s="42">
        <v>0.51437999999999995</v>
      </c>
      <c r="K14" s="1" t="s">
        <v>152</v>
      </c>
      <c r="L14" s="32">
        <v>39176</v>
      </c>
      <c r="M14" s="102">
        <f t="shared" si="0"/>
        <v>0.99633051223262092</v>
      </c>
      <c r="N14" s="55">
        <f t="shared" si="1"/>
        <v>-2.2399940382245022E-5</v>
      </c>
      <c r="P14" s="39">
        <v>39294</v>
      </c>
      <c r="Q14" s="33">
        <v>0</v>
      </c>
      <c r="R14" s="39">
        <f t="shared" si="2"/>
        <v>39267</v>
      </c>
      <c r="S14" s="102">
        <f t="shared" si="3"/>
        <v>0.99416604036507417</v>
      </c>
      <c r="T14" s="107">
        <f t="shared" si="4"/>
        <v>-2.7325102685757805E-5</v>
      </c>
      <c r="U14" s="102">
        <f t="shared" si="5"/>
        <v>0.99342826259255868</v>
      </c>
      <c r="Z14" s="54"/>
    </row>
    <row r="15" spans="1:26">
      <c r="A15" s="35"/>
      <c r="B15" t="s">
        <v>77</v>
      </c>
      <c r="C15" s="41">
        <v>39176</v>
      </c>
      <c r="D15" s="42">
        <v>0.54562999999999995</v>
      </c>
      <c r="K15" s="1" t="s">
        <v>153</v>
      </c>
      <c r="L15" s="32">
        <v>39206</v>
      </c>
      <c r="M15" s="102">
        <f t="shared" si="0"/>
        <v>0.99565851402115357</v>
      </c>
      <c r="N15" s="55">
        <f t="shared" si="1"/>
        <v>-2.3580200015894277E-5</v>
      </c>
      <c r="P15" s="39">
        <v>39321</v>
      </c>
      <c r="Q15" s="33">
        <v>20.942465753424656</v>
      </c>
      <c r="R15" s="39">
        <f t="shared" si="2"/>
        <v>39300</v>
      </c>
      <c r="S15" s="102">
        <f t="shared" si="3"/>
        <v>0.99326431197644416</v>
      </c>
      <c r="T15" s="107">
        <f t="shared" si="4"/>
        <v>-3.0356114370535024E-5</v>
      </c>
      <c r="U15" s="102">
        <f t="shared" si="5"/>
        <v>0.99262683357466297</v>
      </c>
      <c r="Z15" s="54"/>
    </row>
    <row r="16" spans="1:26">
      <c r="A16" s="35"/>
      <c r="B16" t="s">
        <v>78</v>
      </c>
      <c r="C16" s="41">
        <v>39206</v>
      </c>
      <c r="D16" s="42">
        <v>0.57499999999999996</v>
      </c>
      <c r="K16" s="1" t="s">
        <v>154</v>
      </c>
      <c r="L16" s="32">
        <v>39237</v>
      </c>
      <c r="M16" s="102">
        <f t="shared" si="0"/>
        <v>0.99492752782066085</v>
      </c>
      <c r="N16" s="55">
        <f t="shared" si="1"/>
        <v>-2.5382915186222821E-5</v>
      </c>
      <c r="P16" s="39">
        <v>39353</v>
      </c>
      <c r="Q16" s="33">
        <v>-14.95890410958904</v>
      </c>
      <c r="R16" s="39">
        <f t="shared" si="2"/>
        <v>39300</v>
      </c>
      <c r="S16" s="102">
        <f t="shared" si="3"/>
        <v>0.99326431197644416</v>
      </c>
      <c r="T16" s="107">
        <f t="shared" si="4"/>
        <v>-3.0356114370535024E-5</v>
      </c>
      <c r="U16" s="102">
        <f t="shared" si="5"/>
        <v>0.99165543791480582</v>
      </c>
      <c r="Z16" s="54"/>
    </row>
    <row r="17" spans="1:26">
      <c r="A17" s="35"/>
      <c r="B17" t="s">
        <v>79</v>
      </c>
      <c r="C17" s="41">
        <v>39237</v>
      </c>
      <c r="D17" s="42">
        <v>0.60375000000000001</v>
      </c>
      <c r="K17" s="1" t="s">
        <v>155</v>
      </c>
      <c r="L17" s="32">
        <v>39267</v>
      </c>
      <c r="M17" s="102">
        <f t="shared" si="0"/>
        <v>0.99416604036507417</v>
      </c>
      <c r="N17" s="55">
        <f t="shared" si="1"/>
        <v>-2.7325102685757805E-5</v>
      </c>
      <c r="P17" s="39">
        <v>39386</v>
      </c>
      <c r="Q17" s="33">
        <v>50.410958904109592</v>
      </c>
      <c r="R17" s="39">
        <f t="shared" si="2"/>
        <v>39300</v>
      </c>
      <c r="S17" s="102">
        <f t="shared" si="3"/>
        <v>0.99326431197644416</v>
      </c>
      <c r="T17" s="107">
        <f t="shared" si="4"/>
        <v>-3.0356114370535024E-5</v>
      </c>
      <c r="U17" s="102">
        <f t="shared" si="5"/>
        <v>0.99065368614057814</v>
      </c>
      <c r="Z17" s="54"/>
    </row>
    <row r="18" spans="1:26">
      <c r="A18" s="35"/>
      <c r="B18" t="s">
        <v>80</v>
      </c>
      <c r="C18" s="41">
        <v>39267</v>
      </c>
      <c r="D18" s="42">
        <v>0.63249999999999995</v>
      </c>
      <c r="K18" s="11" t="s">
        <v>116</v>
      </c>
      <c r="L18" s="32">
        <v>39300</v>
      </c>
      <c r="M18" s="102">
        <f t="shared" ref="M18:M36" si="6">I52</f>
        <v>0.99326431197644416</v>
      </c>
      <c r="N18" s="55">
        <f t="shared" si="1"/>
        <v>-3.0356114370535024E-5</v>
      </c>
      <c r="P18" s="39">
        <v>39478</v>
      </c>
      <c r="Q18" s="33">
        <v>0</v>
      </c>
      <c r="R18" s="39">
        <f t="shared" si="2"/>
        <v>39300</v>
      </c>
      <c r="S18" s="102">
        <f t="shared" si="3"/>
        <v>0.99326431197644416</v>
      </c>
      <c r="T18" s="107">
        <f t="shared" si="4"/>
        <v>-3.0356114370535024E-5</v>
      </c>
      <c r="U18" s="102">
        <f t="shared" si="5"/>
        <v>0.98786092361848887</v>
      </c>
      <c r="Z18" s="54"/>
    </row>
    <row r="19" spans="1:26">
      <c r="A19" s="35"/>
      <c r="B19" t="s">
        <v>345</v>
      </c>
      <c r="C19" s="41">
        <v>39300</v>
      </c>
      <c r="D19" s="33">
        <v>0.67300000000000004</v>
      </c>
      <c r="E19" s="40"/>
      <c r="K19" s="11" t="s">
        <v>117</v>
      </c>
      <c r="L19" s="32">
        <v>39482</v>
      </c>
      <c r="M19" s="102">
        <f t="shared" si="6"/>
        <v>0.98773949916100678</v>
      </c>
      <c r="N19" s="55">
        <f t="shared" si="1"/>
        <v>-3.6230416449353975E-5</v>
      </c>
      <c r="P19" s="39">
        <v>39503</v>
      </c>
      <c r="Q19" s="33">
        <v>20.942465753424656</v>
      </c>
      <c r="R19" s="39">
        <f t="shared" si="2"/>
        <v>39482</v>
      </c>
      <c r="S19" s="102">
        <f t="shared" si="3"/>
        <v>0.98773949916100678</v>
      </c>
      <c r="T19" s="107">
        <f t="shared" si="4"/>
        <v>-3.6230416449353975E-5</v>
      </c>
      <c r="U19" s="102">
        <f t="shared" si="5"/>
        <v>0.98697866041557036</v>
      </c>
      <c r="Z19" s="54"/>
    </row>
    <row r="20" spans="1:26">
      <c r="A20" s="35"/>
      <c r="B20" t="s">
        <v>81</v>
      </c>
      <c r="C20" s="41">
        <v>39482</v>
      </c>
      <c r="D20" s="33">
        <v>0.82099999999999995</v>
      </c>
      <c r="K20" s="11" t="s">
        <v>118</v>
      </c>
      <c r="L20" s="32">
        <v>39664</v>
      </c>
      <c r="M20" s="102">
        <f t="shared" si="6"/>
        <v>0.98114556336722436</v>
      </c>
      <c r="N20" s="55">
        <f t="shared" si="1"/>
        <v>-4.1559604481190532E-5</v>
      </c>
      <c r="P20" s="39">
        <v>39538</v>
      </c>
      <c r="Q20" s="33">
        <v>-15.205479452054794</v>
      </c>
      <c r="R20" s="39">
        <f t="shared" si="2"/>
        <v>39482</v>
      </c>
      <c r="S20" s="102">
        <f t="shared" si="3"/>
        <v>0.98773949916100678</v>
      </c>
      <c r="T20" s="107">
        <f t="shared" si="4"/>
        <v>-3.6230416449353975E-5</v>
      </c>
      <c r="U20" s="102">
        <f t="shared" si="5"/>
        <v>0.985710595839843</v>
      </c>
      <c r="Z20" s="54"/>
    </row>
    <row r="21" spans="1:26">
      <c r="A21" s="35"/>
      <c r="B21" t="s">
        <v>82</v>
      </c>
      <c r="C21" s="41">
        <v>39664</v>
      </c>
      <c r="D21" s="33">
        <v>0.95099999999999996</v>
      </c>
      <c r="K21" s="11" t="s">
        <v>119</v>
      </c>
      <c r="L21" s="32">
        <v>39848</v>
      </c>
      <c r="M21" s="102">
        <f t="shared" si="6"/>
        <v>0.9734985961426853</v>
      </c>
      <c r="N21" s="55">
        <f t="shared" si="1"/>
        <v>-4.7652816109034793E-5</v>
      </c>
      <c r="P21" s="39">
        <v>39568</v>
      </c>
      <c r="Q21" s="33">
        <v>49.863013698630134</v>
      </c>
      <c r="R21" s="39">
        <f t="shared" si="2"/>
        <v>39482</v>
      </c>
      <c r="S21" s="102">
        <f t="shared" si="3"/>
        <v>0.98773949916100678</v>
      </c>
      <c r="T21" s="107">
        <f t="shared" si="4"/>
        <v>-3.6230416449353975E-5</v>
      </c>
      <c r="U21" s="102">
        <f t="shared" si="5"/>
        <v>0.9846236833463623</v>
      </c>
      <c r="Z21" s="54"/>
    </row>
    <row r="22" spans="1:26">
      <c r="A22" s="35"/>
      <c r="B22" t="s">
        <v>83</v>
      </c>
      <c r="C22" s="41">
        <v>40029</v>
      </c>
      <c r="D22" s="33">
        <v>1.19</v>
      </c>
      <c r="K22" s="11" t="s">
        <v>120</v>
      </c>
      <c r="L22" s="32">
        <v>40029</v>
      </c>
      <c r="M22" s="102">
        <f t="shared" si="6"/>
        <v>0.96487343642695</v>
      </c>
      <c r="N22" s="55">
        <f t="shared" si="1"/>
        <v>-5.0065333798263291E-5</v>
      </c>
      <c r="P22" s="39">
        <v>39629</v>
      </c>
      <c r="Q22" s="33">
        <v>-64.350684931506848</v>
      </c>
      <c r="R22" s="39">
        <f t="shared" si="2"/>
        <v>39482</v>
      </c>
      <c r="S22" s="102">
        <f t="shared" si="3"/>
        <v>0.98773949916100678</v>
      </c>
      <c r="T22" s="107">
        <f t="shared" si="4"/>
        <v>-3.6230416449353975E-5</v>
      </c>
      <c r="U22" s="102">
        <f t="shared" si="5"/>
        <v>0.98241362794295173</v>
      </c>
      <c r="Z22" s="54"/>
    </row>
    <row r="23" spans="1:26">
      <c r="A23" s="35"/>
      <c r="B23" t="s">
        <v>84</v>
      </c>
      <c r="C23" s="41">
        <v>40394</v>
      </c>
      <c r="D23" s="33">
        <v>1.391</v>
      </c>
      <c r="K23" s="11" t="s">
        <v>121</v>
      </c>
      <c r="L23" s="32">
        <v>40213</v>
      </c>
      <c r="M23" s="102">
        <f t="shared" si="6"/>
        <v>0.95566141500806956</v>
      </c>
      <c r="N23" s="55">
        <f t="shared" si="1"/>
        <v>-5.4948988119599676E-5</v>
      </c>
      <c r="P23" s="39">
        <v>39660</v>
      </c>
      <c r="Q23" s="33">
        <v>0</v>
      </c>
      <c r="R23" s="39">
        <f t="shared" si="2"/>
        <v>39482</v>
      </c>
      <c r="S23" s="102">
        <f t="shared" si="3"/>
        <v>0.98773949916100678</v>
      </c>
      <c r="T23" s="107">
        <f t="shared" si="4"/>
        <v>-3.6230416449353975E-5</v>
      </c>
      <c r="U23" s="102">
        <f t="shared" si="5"/>
        <v>0.98129048503302174</v>
      </c>
      <c r="Z23" s="54"/>
    </row>
    <row r="24" spans="1:26">
      <c r="A24" s="35"/>
      <c r="B24" t="s">
        <v>85</v>
      </c>
      <c r="C24" s="41">
        <v>40759</v>
      </c>
      <c r="D24" s="33">
        <v>1.5629999999999999</v>
      </c>
      <c r="K24" s="11" t="s">
        <v>122</v>
      </c>
      <c r="L24" s="32">
        <v>40394</v>
      </c>
      <c r="M24" s="102">
        <f t="shared" si="6"/>
        <v>0.94571564815842202</v>
      </c>
      <c r="N24" s="55">
        <f t="shared" si="1"/>
        <v>-5.6258385687937963E-5</v>
      </c>
      <c r="P24" s="39">
        <v>39685</v>
      </c>
      <c r="Q24" s="33">
        <v>20.942465753424656</v>
      </c>
      <c r="R24" s="39">
        <f t="shared" si="2"/>
        <v>39664</v>
      </c>
      <c r="S24" s="102">
        <f t="shared" si="3"/>
        <v>0.98114556336722436</v>
      </c>
      <c r="T24" s="107">
        <f t="shared" si="4"/>
        <v>-4.1559604481190532E-5</v>
      </c>
      <c r="U24" s="102">
        <f t="shared" si="5"/>
        <v>0.9802728116731193</v>
      </c>
      <c r="Z24" s="54"/>
    </row>
    <row r="25" spans="1:26">
      <c r="A25" s="35"/>
      <c r="B25" t="s">
        <v>86</v>
      </c>
      <c r="C25" s="41">
        <v>41127</v>
      </c>
      <c r="D25" s="33">
        <v>1.708</v>
      </c>
      <c r="K25" s="11" t="s">
        <v>123</v>
      </c>
      <c r="L25" s="32">
        <v>40578</v>
      </c>
      <c r="M25" s="102">
        <f t="shared" si="6"/>
        <v>0.93536410519184143</v>
      </c>
      <c r="N25" s="55">
        <f t="shared" si="1"/>
        <v>-6.0199536281917776E-5</v>
      </c>
      <c r="P25" s="39">
        <v>39721</v>
      </c>
      <c r="Q25" s="33">
        <v>-15.04109589041096</v>
      </c>
      <c r="R25" s="39">
        <f t="shared" si="2"/>
        <v>39664</v>
      </c>
      <c r="S25" s="102">
        <f t="shared" si="3"/>
        <v>0.98114556336722436</v>
      </c>
      <c r="T25" s="107">
        <f t="shared" si="4"/>
        <v>-4.1559604481190532E-5</v>
      </c>
      <c r="U25" s="102">
        <f t="shared" si="5"/>
        <v>0.97877666591179646</v>
      </c>
      <c r="Z25" s="54"/>
    </row>
    <row r="26" spans="1:26">
      <c r="A26" s="35"/>
      <c r="B26" t="s">
        <v>87</v>
      </c>
      <c r="C26" s="41">
        <v>41491</v>
      </c>
      <c r="D26" s="33">
        <v>1.833</v>
      </c>
      <c r="K26" s="11" t="s">
        <v>124</v>
      </c>
      <c r="L26" s="32">
        <v>40759</v>
      </c>
      <c r="M26" s="102">
        <f t="shared" si="6"/>
        <v>0.92446798912481432</v>
      </c>
      <c r="N26" s="55">
        <f t="shared" si="1"/>
        <v>-5.9984660578181545E-5</v>
      </c>
      <c r="P26" s="39">
        <v>39752</v>
      </c>
      <c r="Q26" s="33">
        <v>5050.4109589041091</v>
      </c>
      <c r="R26" s="39">
        <f t="shared" si="2"/>
        <v>39664</v>
      </c>
      <c r="S26" s="102">
        <f t="shared" si="3"/>
        <v>0.98114556336722436</v>
      </c>
      <c r="T26" s="107">
        <f t="shared" si="4"/>
        <v>-4.1559604481190532E-5</v>
      </c>
      <c r="U26" s="102">
        <f t="shared" si="5"/>
        <v>0.97748831817287962</v>
      </c>
      <c r="Z26" s="54"/>
    </row>
    <row r="27" spans="1:26">
      <c r="A27" s="35"/>
      <c r="B27" t="s">
        <v>88</v>
      </c>
      <c r="C27" s="41">
        <v>41855</v>
      </c>
      <c r="D27" s="33">
        <v>1.9379999999999999</v>
      </c>
      <c r="K27" s="11" t="s">
        <v>125</v>
      </c>
      <c r="L27" s="32">
        <v>40945</v>
      </c>
      <c r="M27" s="102">
        <f t="shared" si="6"/>
        <v>0.91331084225727255</v>
      </c>
      <c r="N27" s="55">
        <f t="shared" si="1"/>
        <v>-6.3075691128480185E-5</v>
      </c>
      <c r="P27" s="39">
        <v>39869</v>
      </c>
      <c r="Q27" s="33">
        <v>21.172602739726027</v>
      </c>
      <c r="R27" s="39">
        <f t="shared" si="2"/>
        <v>39848</v>
      </c>
      <c r="S27" s="102">
        <f t="shared" si="3"/>
        <v>0.9734985961426853</v>
      </c>
      <c r="T27" s="107">
        <f t="shared" si="4"/>
        <v>-4.7652816109034793E-5</v>
      </c>
      <c r="U27" s="102">
        <f t="shared" si="5"/>
        <v>0.97249788700439554</v>
      </c>
      <c r="Z27" s="54"/>
    </row>
    <row r="28" spans="1:26">
      <c r="A28" s="35"/>
      <c r="B28" t="s">
        <v>89</v>
      </c>
      <c r="C28" s="41">
        <v>42220</v>
      </c>
      <c r="D28" s="33">
        <v>2.0249999999999999</v>
      </c>
      <c r="K28" s="11" t="s">
        <v>126</v>
      </c>
      <c r="L28" s="32">
        <v>41127</v>
      </c>
      <c r="M28" s="102">
        <f t="shared" si="6"/>
        <v>0.90183106647188915</v>
      </c>
      <c r="N28" s="55">
        <f t="shared" si="1"/>
        <v>-6.2927070345216389E-5</v>
      </c>
      <c r="P28" s="39">
        <v>39903</v>
      </c>
      <c r="Q28" s="33">
        <v>-14.95890410958904</v>
      </c>
      <c r="R28" s="39">
        <f t="shared" si="2"/>
        <v>39848</v>
      </c>
      <c r="S28" s="102">
        <f t="shared" si="3"/>
        <v>0.9734985961426853</v>
      </c>
      <c r="T28" s="107">
        <f t="shared" si="4"/>
        <v>-4.7652816109034793E-5</v>
      </c>
      <c r="U28" s="102">
        <f t="shared" si="5"/>
        <v>0.97087769125668844</v>
      </c>
      <c r="Z28" s="54"/>
    </row>
    <row r="29" spans="1:26">
      <c r="A29" s="35"/>
      <c r="B29" t="s">
        <v>90</v>
      </c>
      <c r="C29" s="41">
        <v>42586</v>
      </c>
      <c r="D29" s="33">
        <v>2.1030000000000002</v>
      </c>
      <c r="K29" s="11" t="s">
        <v>127</v>
      </c>
      <c r="L29" s="32">
        <v>41309</v>
      </c>
      <c r="M29" s="102">
        <f t="shared" si="6"/>
        <v>0.89037833966905977</v>
      </c>
      <c r="N29" s="55">
        <f t="shared" si="1"/>
        <v>-6.5378756564292236E-5</v>
      </c>
      <c r="P29" s="39">
        <v>39994</v>
      </c>
      <c r="Q29" s="33">
        <v>-64</v>
      </c>
      <c r="R29" s="39">
        <f t="shared" si="2"/>
        <v>39848</v>
      </c>
      <c r="S29" s="102">
        <f t="shared" si="3"/>
        <v>0.9734985961426853</v>
      </c>
      <c r="T29" s="107">
        <f t="shared" si="4"/>
        <v>-4.7652816109034793E-5</v>
      </c>
      <c r="U29" s="102">
        <f t="shared" si="5"/>
        <v>0.96654128499076619</v>
      </c>
      <c r="Z29" s="54"/>
    </row>
    <row r="30" spans="1:26">
      <c r="K30" s="11" t="s">
        <v>128</v>
      </c>
      <c r="L30" s="32">
        <v>41491</v>
      </c>
      <c r="M30" s="102">
        <f t="shared" si="6"/>
        <v>0.87847940597435858</v>
      </c>
      <c r="N30" s="55">
        <f t="shared" si="1"/>
        <v>-6.3906649922666718E-5</v>
      </c>
      <c r="P30" s="39">
        <v>40050</v>
      </c>
      <c r="Q30" s="33">
        <v>20.827397260273973</v>
      </c>
      <c r="R30" s="39">
        <f t="shared" si="2"/>
        <v>40029</v>
      </c>
      <c r="S30" s="102">
        <f t="shared" si="3"/>
        <v>0.96487343642695</v>
      </c>
      <c r="T30" s="107">
        <f t="shared" si="4"/>
        <v>-5.0065333798263291E-5</v>
      </c>
      <c r="U30" s="102">
        <f t="shared" si="5"/>
        <v>0.96382206441718643</v>
      </c>
      <c r="Z30" s="54"/>
    </row>
    <row r="31" spans="1:26">
      <c r="K31" s="11" t="s">
        <v>129</v>
      </c>
      <c r="L31" s="32">
        <v>41674</v>
      </c>
      <c r="M31" s="102">
        <f t="shared" si="6"/>
        <v>0.86678448903851057</v>
      </c>
      <c r="N31" s="55">
        <f t="shared" si="1"/>
        <v>-6.5768084829210074E-5</v>
      </c>
      <c r="P31" s="39">
        <v>40086</v>
      </c>
      <c r="Q31" s="33">
        <v>-15.04109589041096</v>
      </c>
      <c r="R31" s="39">
        <f t="shared" si="2"/>
        <v>40029</v>
      </c>
      <c r="S31" s="102">
        <f t="shared" si="3"/>
        <v>0.96487343642695</v>
      </c>
      <c r="T31" s="107">
        <f t="shared" si="4"/>
        <v>-5.0065333798263291E-5</v>
      </c>
      <c r="U31" s="102">
        <f t="shared" si="5"/>
        <v>0.96201971240044903</v>
      </c>
      <c r="Z31" s="54"/>
    </row>
    <row r="32" spans="1:26">
      <c r="K32" s="11" t="s">
        <v>130</v>
      </c>
      <c r="L32" s="32">
        <v>41855</v>
      </c>
      <c r="M32" s="102">
        <f t="shared" si="6"/>
        <v>0.85488046568442355</v>
      </c>
      <c r="N32" s="55">
        <f t="shared" si="1"/>
        <v>-6.363049543546369E-5</v>
      </c>
      <c r="P32" s="39">
        <v>40234</v>
      </c>
      <c r="Q32" s="33">
        <v>21.172602739726027</v>
      </c>
      <c r="R32" s="39">
        <f t="shared" si="2"/>
        <v>40213</v>
      </c>
      <c r="S32" s="102">
        <f t="shared" si="3"/>
        <v>0.95566141500806956</v>
      </c>
      <c r="T32" s="107">
        <f t="shared" si="4"/>
        <v>-5.4948988119599676E-5</v>
      </c>
      <c r="U32" s="102">
        <f t="shared" si="5"/>
        <v>0.95450748625755799</v>
      </c>
      <c r="Z32" s="54"/>
    </row>
    <row r="33" spans="2:26">
      <c r="K33" s="11" t="s">
        <v>131</v>
      </c>
      <c r="L33" s="32">
        <v>42039</v>
      </c>
      <c r="M33" s="102">
        <f t="shared" si="6"/>
        <v>0.84317245452429823</v>
      </c>
      <c r="N33" s="55">
        <f t="shared" si="1"/>
        <v>-6.4987657147996941E-5</v>
      </c>
      <c r="P33" s="39">
        <v>40268</v>
      </c>
      <c r="Q33" s="33">
        <v>-14.95890410958904</v>
      </c>
      <c r="R33" s="39">
        <f t="shared" si="2"/>
        <v>40213</v>
      </c>
      <c r="S33" s="102">
        <f t="shared" si="3"/>
        <v>0.95566141500806956</v>
      </c>
      <c r="T33" s="107">
        <f t="shared" si="4"/>
        <v>-5.4948988119599676E-5</v>
      </c>
      <c r="U33" s="102">
        <f t="shared" si="5"/>
        <v>0.95263922066149154</v>
      </c>
      <c r="Z33" s="54"/>
    </row>
    <row r="34" spans="2:26">
      <c r="F34" t="s">
        <v>103</v>
      </c>
      <c r="K34" s="11" t="s">
        <v>132</v>
      </c>
      <c r="L34" s="32">
        <v>42220</v>
      </c>
      <c r="M34" s="102">
        <f t="shared" si="6"/>
        <v>0.83140968858051079</v>
      </c>
      <c r="N34" s="55">
        <f t="shared" si="1"/>
        <v>-6.4095153318838421E-5</v>
      </c>
      <c r="P34" s="39">
        <v>40359</v>
      </c>
      <c r="Q34" s="33">
        <v>-64</v>
      </c>
      <c r="R34" s="39">
        <f t="shared" si="2"/>
        <v>40213</v>
      </c>
      <c r="S34" s="102">
        <f t="shared" si="3"/>
        <v>0.95566141500806956</v>
      </c>
      <c r="T34" s="107">
        <f t="shared" si="4"/>
        <v>-5.4948988119599676E-5</v>
      </c>
      <c r="U34" s="102">
        <f t="shared" si="5"/>
        <v>0.947638862742608</v>
      </c>
      <c r="Z34" s="54"/>
    </row>
    <row r="35" spans="2:26">
      <c r="B35" t="s">
        <v>93</v>
      </c>
      <c r="K35" s="49" t="s">
        <v>133</v>
      </c>
      <c r="L35" s="32">
        <v>42404</v>
      </c>
      <c r="M35" s="102">
        <f t="shared" si="6"/>
        <v>0.81961618036984452</v>
      </c>
      <c r="N35" s="55">
        <f t="shared" si="1"/>
        <v>-6.5163346519981152E-5</v>
      </c>
      <c r="P35" s="39">
        <v>40415</v>
      </c>
      <c r="Q35" s="33">
        <v>20.827397260273973</v>
      </c>
      <c r="R35" s="39">
        <f t="shared" si="2"/>
        <v>40394</v>
      </c>
      <c r="S35" s="102">
        <f t="shared" si="3"/>
        <v>0.94571564815842202</v>
      </c>
      <c r="T35" s="107">
        <f t="shared" si="4"/>
        <v>-5.6258385687937963E-5</v>
      </c>
      <c r="U35" s="102">
        <f t="shared" si="5"/>
        <v>0.9445342220589753</v>
      </c>
      <c r="Z35" s="54"/>
    </row>
    <row r="36" spans="2:26">
      <c r="C36" s="1" t="s">
        <v>69</v>
      </c>
      <c r="D36" s="1" t="s">
        <v>91</v>
      </c>
      <c r="F36" s="1" t="s">
        <v>135</v>
      </c>
      <c r="G36" s="47" t="s">
        <v>137</v>
      </c>
      <c r="H36" s="52" t="s">
        <v>346</v>
      </c>
      <c r="K36" s="49" t="s">
        <v>134</v>
      </c>
      <c r="L36" s="32">
        <v>42586</v>
      </c>
      <c r="M36" s="102">
        <f t="shared" si="6"/>
        <v>0.80775645130320795</v>
      </c>
      <c r="N36" s="55"/>
      <c r="P36" s="39">
        <v>40451</v>
      </c>
      <c r="Q36" s="33">
        <v>-15.04109589041096</v>
      </c>
      <c r="R36" s="39">
        <f t="shared" si="2"/>
        <v>40394</v>
      </c>
      <c r="S36" s="102">
        <f t="shared" si="3"/>
        <v>0.94571564815842202</v>
      </c>
      <c r="T36" s="107">
        <f t="shared" si="4"/>
        <v>-5.6258385687937963E-5</v>
      </c>
      <c r="U36" s="102">
        <f t="shared" si="5"/>
        <v>0.94250892017420951</v>
      </c>
      <c r="Z36" s="54"/>
    </row>
    <row r="37" spans="2:26">
      <c r="B37" t="s">
        <v>70</v>
      </c>
      <c r="C37" s="32">
        <v>38964</v>
      </c>
      <c r="D37" s="42">
        <f>D8</f>
        <v>0.36125000000000002</v>
      </c>
      <c r="F37" s="1" t="s">
        <v>105</v>
      </c>
      <c r="G37" s="11">
        <f t="shared" ref="G37:G47" si="7">C37-C$4</f>
        <v>31</v>
      </c>
      <c r="H37" s="102">
        <f t="shared" ref="H37:H47" si="8">100/(100*(1+D37/100*G37/360))</f>
        <v>0.99968902034953766</v>
      </c>
      <c r="P37" s="39">
        <v>40599</v>
      </c>
      <c r="Q37" s="33">
        <v>21.172602739726027</v>
      </c>
      <c r="R37" s="39">
        <f t="shared" si="2"/>
        <v>40578</v>
      </c>
      <c r="S37" s="102">
        <f t="shared" si="3"/>
        <v>0.93536410519184143</v>
      </c>
      <c r="T37" s="107">
        <f t="shared" si="4"/>
        <v>-6.0199536281917776E-5</v>
      </c>
      <c r="U37" s="102">
        <f t="shared" si="5"/>
        <v>0.93409991492992117</v>
      </c>
      <c r="Z37" s="54"/>
    </row>
    <row r="38" spans="2:26">
      <c r="B38" t="s">
        <v>71</v>
      </c>
      <c r="C38" s="32">
        <v>38994</v>
      </c>
      <c r="D38" s="42">
        <f t="shared" ref="D38:D47" si="9">D9</f>
        <v>0.39</v>
      </c>
      <c r="F38" s="1" t="s">
        <v>104</v>
      </c>
      <c r="G38" s="11">
        <f t="shared" si="7"/>
        <v>61</v>
      </c>
      <c r="H38" s="102">
        <f t="shared" si="8"/>
        <v>0.9993396030789653</v>
      </c>
      <c r="P38" s="39">
        <v>40633</v>
      </c>
      <c r="Q38" s="33">
        <v>-14.95890410958904</v>
      </c>
      <c r="R38" s="39">
        <f t="shared" si="2"/>
        <v>40578</v>
      </c>
      <c r="S38" s="102">
        <f t="shared" si="3"/>
        <v>0.93536410519184143</v>
      </c>
      <c r="T38" s="107">
        <f t="shared" si="4"/>
        <v>-6.0199536281917776E-5</v>
      </c>
      <c r="U38" s="102">
        <f t="shared" si="5"/>
        <v>0.932053130696336</v>
      </c>
      <c r="Z38" s="54"/>
    </row>
    <row r="39" spans="2:26">
      <c r="B39" t="s">
        <v>72</v>
      </c>
      <c r="C39" s="32">
        <v>39027</v>
      </c>
      <c r="D39" s="42">
        <f t="shared" si="9"/>
        <v>0.41687999999999997</v>
      </c>
      <c r="F39" s="1" t="s">
        <v>106</v>
      </c>
      <c r="G39" s="11">
        <f t="shared" si="7"/>
        <v>94</v>
      </c>
      <c r="H39" s="102">
        <f t="shared" si="8"/>
        <v>0.9989126635874318</v>
      </c>
      <c r="P39" s="39">
        <v>40724</v>
      </c>
      <c r="Q39" s="33">
        <v>-64</v>
      </c>
      <c r="R39" s="39">
        <f t="shared" si="2"/>
        <v>40578</v>
      </c>
      <c r="S39" s="102">
        <f t="shared" si="3"/>
        <v>0.93536410519184143</v>
      </c>
      <c r="T39" s="107">
        <f t="shared" si="4"/>
        <v>-6.0199536281917776E-5</v>
      </c>
      <c r="U39" s="102">
        <f t="shared" si="5"/>
        <v>0.92657497289468149</v>
      </c>
      <c r="Z39" s="54"/>
    </row>
    <row r="40" spans="2:26">
      <c r="B40" t="s">
        <v>73</v>
      </c>
      <c r="C40" s="32">
        <v>39055</v>
      </c>
      <c r="D40" s="42">
        <f t="shared" si="9"/>
        <v>0.43687999999999999</v>
      </c>
      <c r="F40" s="1" t="s">
        <v>107</v>
      </c>
      <c r="G40" s="11">
        <f t="shared" si="7"/>
        <v>122</v>
      </c>
      <c r="H40" s="102">
        <f t="shared" si="8"/>
        <v>0.9985216509738043</v>
      </c>
      <c r="P40" s="39">
        <v>40780</v>
      </c>
      <c r="Q40" s="33">
        <v>20.827397260273973</v>
      </c>
      <c r="R40" s="39">
        <f t="shared" si="2"/>
        <v>40759</v>
      </c>
      <c r="S40" s="102">
        <f t="shared" si="3"/>
        <v>0.92446798912481432</v>
      </c>
      <c r="T40" s="107">
        <f t="shared" si="4"/>
        <v>-5.9984660578181545E-5</v>
      </c>
      <c r="U40" s="102">
        <f t="shared" si="5"/>
        <v>0.92320831125267255</v>
      </c>
      <c r="Z40" s="54"/>
    </row>
    <row r="41" spans="2:26">
      <c r="B41" t="s">
        <v>74</v>
      </c>
      <c r="C41" s="32">
        <v>39086</v>
      </c>
      <c r="D41" s="42">
        <f t="shared" si="9"/>
        <v>0.45874999999999999</v>
      </c>
      <c r="F41" s="1" t="s">
        <v>108</v>
      </c>
      <c r="G41" s="11">
        <f t="shared" si="7"/>
        <v>153</v>
      </c>
      <c r="H41" s="102">
        <f t="shared" si="8"/>
        <v>0.99805410638445857</v>
      </c>
      <c r="P41" s="39">
        <v>40816</v>
      </c>
      <c r="Q41" s="33">
        <v>-15.04109589041096</v>
      </c>
      <c r="R41" s="39">
        <f t="shared" si="2"/>
        <v>40759</v>
      </c>
      <c r="S41" s="102">
        <f t="shared" si="3"/>
        <v>0.92446798912481432</v>
      </c>
      <c r="T41" s="107">
        <f t="shared" si="4"/>
        <v>-5.9984660578181545E-5</v>
      </c>
      <c r="U41" s="102">
        <f t="shared" si="5"/>
        <v>0.92104886347185799</v>
      </c>
      <c r="Z41" s="54"/>
    </row>
    <row r="42" spans="2:26">
      <c r="B42" t="s">
        <v>75</v>
      </c>
      <c r="C42" s="32">
        <v>39118</v>
      </c>
      <c r="D42" s="42">
        <f t="shared" si="9"/>
        <v>0.49099999999999999</v>
      </c>
      <c r="F42" s="1" t="s">
        <v>109</v>
      </c>
      <c r="G42" s="11">
        <f t="shared" si="7"/>
        <v>185</v>
      </c>
      <c r="H42" s="102">
        <f t="shared" si="8"/>
        <v>0.99748315604224735</v>
      </c>
      <c r="P42" s="39">
        <v>40966</v>
      </c>
      <c r="Q42" s="33">
        <v>21.402739726027399</v>
      </c>
      <c r="R42" s="39">
        <f t="shared" si="2"/>
        <v>40945</v>
      </c>
      <c r="S42" s="102">
        <f t="shared" si="3"/>
        <v>0.91331084225727255</v>
      </c>
      <c r="T42" s="107">
        <f t="shared" si="4"/>
        <v>-6.3075691128480185E-5</v>
      </c>
      <c r="U42" s="102">
        <f t="shared" si="5"/>
        <v>0.91198625274357448</v>
      </c>
      <c r="Z42" s="54"/>
    </row>
    <row r="43" spans="2:26">
      <c r="B43" t="s">
        <v>76</v>
      </c>
      <c r="C43" s="32">
        <v>39146</v>
      </c>
      <c r="D43" s="42">
        <f t="shared" si="9"/>
        <v>0.51437999999999995</v>
      </c>
      <c r="F43" s="1" t="s">
        <v>110</v>
      </c>
      <c r="G43" s="11">
        <f t="shared" si="7"/>
        <v>213</v>
      </c>
      <c r="H43" s="102">
        <f t="shared" si="8"/>
        <v>0.99696581927114281</v>
      </c>
      <c r="P43" s="39">
        <v>40998</v>
      </c>
      <c r="Q43" s="33">
        <v>-14.95890410958904</v>
      </c>
      <c r="R43" s="39">
        <f t="shared" si="2"/>
        <v>40945</v>
      </c>
      <c r="S43" s="102">
        <f t="shared" si="3"/>
        <v>0.91331084225727255</v>
      </c>
      <c r="T43" s="107">
        <f t="shared" si="4"/>
        <v>-6.3075691128480185E-5</v>
      </c>
      <c r="U43" s="102">
        <f t="shared" si="5"/>
        <v>0.90996783062746311</v>
      </c>
      <c r="Z43" s="54"/>
    </row>
    <row r="44" spans="2:26">
      <c r="B44" t="s">
        <v>77</v>
      </c>
      <c r="C44" s="32">
        <v>39176</v>
      </c>
      <c r="D44" s="42">
        <f t="shared" si="9"/>
        <v>0.54562999999999995</v>
      </c>
      <c r="F44" s="1" t="s">
        <v>111</v>
      </c>
      <c r="G44" s="11">
        <f t="shared" si="7"/>
        <v>243</v>
      </c>
      <c r="H44" s="102">
        <f t="shared" si="8"/>
        <v>0.99633051223262092</v>
      </c>
      <c r="P44" s="39">
        <v>41089</v>
      </c>
      <c r="Q44" s="33">
        <v>-64</v>
      </c>
      <c r="R44" s="39">
        <f t="shared" si="2"/>
        <v>40945</v>
      </c>
      <c r="S44" s="102">
        <f t="shared" si="3"/>
        <v>0.91331084225727255</v>
      </c>
      <c r="T44" s="107">
        <f t="shared" si="4"/>
        <v>-6.3075691128480185E-5</v>
      </c>
      <c r="U44" s="102">
        <f t="shared" si="5"/>
        <v>0.90422794273477136</v>
      </c>
      <c r="Z44" s="54"/>
    </row>
    <row r="45" spans="2:26">
      <c r="B45" t="s">
        <v>78</v>
      </c>
      <c r="C45" s="32">
        <v>39206</v>
      </c>
      <c r="D45" s="42">
        <f t="shared" si="9"/>
        <v>0.57499999999999996</v>
      </c>
      <c r="F45" s="1" t="s">
        <v>112</v>
      </c>
      <c r="G45" s="11">
        <f t="shared" si="7"/>
        <v>273</v>
      </c>
      <c r="H45" s="102">
        <f t="shared" si="8"/>
        <v>0.99565851402115357</v>
      </c>
      <c r="P45" s="39">
        <v>41148</v>
      </c>
      <c r="Q45" s="33">
        <v>20.942465753424656</v>
      </c>
      <c r="R45" s="39">
        <f t="shared" si="2"/>
        <v>41127</v>
      </c>
      <c r="S45" s="102">
        <f t="shared" si="3"/>
        <v>0.90183106647188915</v>
      </c>
      <c r="T45" s="107">
        <f t="shared" si="4"/>
        <v>-6.2927070345216389E-5</v>
      </c>
      <c r="U45" s="102">
        <f t="shared" si="5"/>
        <v>0.90050959799463959</v>
      </c>
      <c r="Z45" s="54"/>
    </row>
    <row r="46" spans="2:26">
      <c r="B46" t="s">
        <v>79</v>
      </c>
      <c r="C46" s="32">
        <v>39237</v>
      </c>
      <c r="D46" s="42">
        <f t="shared" si="9"/>
        <v>0.60375000000000001</v>
      </c>
      <c r="F46" s="1" t="s">
        <v>113</v>
      </c>
      <c r="G46" s="11">
        <f t="shared" si="7"/>
        <v>304</v>
      </c>
      <c r="H46" s="102">
        <f t="shared" si="8"/>
        <v>0.99492752782066085</v>
      </c>
      <c r="P46" s="39">
        <v>41180</v>
      </c>
      <c r="Q46" s="33">
        <v>-2014.958904109589</v>
      </c>
      <c r="R46" s="39">
        <f t="shared" si="2"/>
        <v>41127</v>
      </c>
      <c r="S46" s="102">
        <f t="shared" si="3"/>
        <v>0.90183106647188915</v>
      </c>
      <c r="T46" s="107">
        <f t="shared" si="4"/>
        <v>-6.2927070345216389E-5</v>
      </c>
      <c r="U46" s="102">
        <f t="shared" si="5"/>
        <v>0.89849593174359266</v>
      </c>
      <c r="Z46" s="54"/>
    </row>
    <row r="47" spans="2:26">
      <c r="B47" t="s">
        <v>80</v>
      </c>
      <c r="C47" s="32">
        <v>39267</v>
      </c>
      <c r="D47" s="42">
        <f t="shared" si="9"/>
        <v>0.63249999999999995</v>
      </c>
      <c r="F47" s="1" t="s">
        <v>114</v>
      </c>
      <c r="G47" s="11">
        <f t="shared" si="7"/>
        <v>334</v>
      </c>
      <c r="H47" s="102">
        <f t="shared" si="8"/>
        <v>0.99416604036507417</v>
      </c>
      <c r="P47" s="39">
        <v>41330</v>
      </c>
      <c r="Q47" s="33">
        <v>3020.9424657534246</v>
      </c>
      <c r="R47" s="39">
        <f t="shared" si="2"/>
        <v>41309</v>
      </c>
      <c r="S47" s="102">
        <f t="shared" si="3"/>
        <v>0.89037833966905977</v>
      </c>
      <c r="T47" s="107">
        <f t="shared" si="4"/>
        <v>-6.5378756564292236E-5</v>
      </c>
      <c r="U47" s="102">
        <f t="shared" si="5"/>
        <v>0.88900538578120958</v>
      </c>
      <c r="Z47" s="54"/>
    </row>
    <row r="48" spans="2:26">
      <c r="B48" t="s">
        <v>92</v>
      </c>
      <c r="C48" s="32">
        <v>39300</v>
      </c>
      <c r="D48" s="45">
        <f>D19</f>
        <v>0.67300000000000004</v>
      </c>
      <c r="F48" s="40"/>
      <c r="P48" s="39">
        <v>41453</v>
      </c>
      <c r="Q48" s="33">
        <v>-63.824657534246576</v>
      </c>
      <c r="R48" s="39">
        <f t="shared" si="2"/>
        <v>41309</v>
      </c>
      <c r="S48" s="102">
        <f t="shared" si="3"/>
        <v>0.89037833966905977</v>
      </c>
      <c r="T48" s="107">
        <f t="shared" si="4"/>
        <v>-6.5378756564292236E-5</v>
      </c>
      <c r="U48" s="102">
        <f t="shared" si="5"/>
        <v>0.88096379872380171</v>
      </c>
      <c r="Z48" s="54"/>
    </row>
    <row r="49" spans="2:26">
      <c r="B49" t="s">
        <v>81</v>
      </c>
      <c r="C49" s="32">
        <v>39482</v>
      </c>
      <c r="D49" s="45">
        <f>D20</f>
        <v>0.82099999999999995</v>
      </c>
      <c r="F49" s="40" t="s">
        <v>136</v>
      </c>
      <c r="P49" s="39">
        <v>41820</v>
      </c>
      <c r="Q49" s="33">
        <v>-64.350684931506848</v>
      </c>
      <c r="R49" s="39">
        <f t="shared" si="2"/>
        <v>41674</v>
      </c>
      <c r="S49" s="102">
        <f t="shared" si="3"/>
        <v>0.86678448903851057</v>
      </c>
      <c r="T49" s="107">
        <f t="shared" si="4"/>
        <v>-6.5768084829210074E-5</v>
      </c>
      <c r="U49" s="102">
        <f t="shared" si="5"/>
        <v>0.85718234865344589</v>
      </c>
      <c r="Z49" s="54"/>
    </row>
    <row r="50" spans="2:26">
      <c r="B50" t="s">
        <v>82</v>
      </c>
      <c r="C50" s="32">
        <v>39664</v>
      </c>
      <c r="D50" s="45">
        <f>D21</f>
        <v>0.95099999999999996</v>
      </c>
      <c r="F50" s="11" t="s">
        <v>135</v>
      </c>
      <c r="G50" s="1" t="s">
        <v>138</v>
      </c>
      <c r="H50" s="51" t="s">
        <v>139</v>
      </c>
      <c r="I50" s="52" t="s">
        <v>346</v>
      </c>
      <c r="K50" s="40"/>
      <c r="P50" s="39">
        <v>42185</v>
      </c>
      <c r="Q50" s="33">
        <v>-64</v>
      </c>
      <c r="R50" s="39">
        <f t="shared" si="2"/>
        <v>42039</v>
      </c>
      <c r="S50" s="102">
        <f t="shared" si="3"/>
        <v>0.84317245452429823</v>
      </c>
      <c r="T50" s="107">
        <f t="shared" si="4"/>
        <v>-6.4987657147996941E-5</v>
      </c>
      <c r="U50" s="102">
        <f t="shared" si="5"/>
        <v>0.83368425658069067</v>
      </c>
      <c r="Z50" s="54"/>
    </row>
    <row r="51" spans="2:26">
      <c r="B51" t="s">
        <v>94</v>
      </c>
      <c r="C51" s="32">
        <v>39848</v>
      </c>
      <c r="D51" s="45">
        <f>D50+(D52-D50)/(C52-C50)*(C51-C50)</f>
        <v>1.0714821917808219</v>
      </c>
      <c r="F51" s="11" t="s">
        <v>115</v>
      </c>
      <c r="G51" s="50">
        <f>G42</f>
        <v>185</v>
      </c>
      <c r="H51" s="45">
        <f>G51/365</f>
        <v>0.50684931506849318</v>
      </c>
      <c r="I51" s="102">
        <f>H42</f>
        <v>0.99748315604224735</v>
      </c>
      <c r="J51" s="46"/>
      <c r="P51" s="39">
        <v>42551</v>
      </c>
      <c r="Q51" s="33">
        <v>-4064.1753424657531</v>
      </c>
      <c r="R51" s="39">
        <f t="shared" si="2"/>
        <v>42404</v>
      </c>
      <c r="S51" s="102">
        <f t="shared" si="3"/>
        <v>0.81961618036984452</v>
      </c>
      <c r="T51" s="107">
        <f t="shared" si="4"/>
        <v>-6.5163346519981152E-5</v>
      </c>
      <c r="U51" s="102">
        <f t="shared" si="5"/>
        <v>0.81003716843140727</v>
      </c>
    </row>
    <row r="52" spans="2:26">
      <c r="B52" t="s">
        <v>83</v>
      </c>
      <c r="C52" s="32">
        <v>40029</v>
      </c>
      <c r="D52" s="45">
        <f>D22</f>
        <v>1.19</v>
      </c>
      <c r="F52" s="11" t="s">
        <v>116</v>
      </c>
      <c r="G52" s="11">
        <f>(C48-C42)</f>
        <v>182</v>
      </c>
      <c r="H52" s="45">
        <f t="shared" ref="H52:H70" si="10">G52/365</f>
        <v>0.49863013698630138</v>
      </c>
      <c r="I52" s="102">
        <f>(100-D48*SUMPRODUCT(H$51:H51,I$51:I51))/(100+D48*H52)</f>
        <v>0.99326431197644416</v>
      </c>
    </row>
    <row r="53" spans="2:26">
      <c r="B53" t="s">
        <v>95</v>
      </c>
      <c r="C53" s="32">
        <v>40213</v>
      </c>
      <c r="D53" s="45">
        <f>D52+(D54-D52)/(C54-C52)*(C53-C52)</f>
        <v>1.2913260273972602</v>
      </c>
      <c r="F53" s="11" t="s">
        <v>117</v>
      </c>
      <c r="G53" s="11">
        <f>C49-C48</f>
        <v>182</v>
      </c>
      <c r="H53" s="45">
        <f t="shared" si="10"/>
        <v>0.49863013698630138</v>
      </c>
      <c r="I53" s="102">
        <f>(100-D49*SUMPRODUCT(H$51:H52,I$51:I52))/(100+D49*H53)</f>
        <v>0.98773949916100678</v>
      </c>
    </row>
    <row r="54" spans="2:26">
      <c r="B54" t="s">
        <v>84</v>
      </c>
      <c r="C54" s="32">
        <v>40394</v>
      </c>
      <c r="D54" s="45">
        <f>D23</f>
        <v>1.391</v>
      </c>
      <c r="F54" s="11" t="s">
        <v>118</v>
      </c>
      <c r="G54" s="11">
        <f t="shared" ref="G54:G70" si="11">C50-C49</f>
        <v>182</v>
      </c>
      <c r="H54" s="45">
        <f t="shared" si="10"/>
        <v>0.49863013698630138</v>
      </c>
      <c r="I54" s="102">
        <f>(100-D50*SUMPRODUCT(H$51:H53,I$51:I53))/(100+D50*H54)</f>
        <v>0.98114556336722436</v>
      </c>
      <c r="P54" t="s">
        <v>157</v>
      </c>
      <c r="Q54" s="33">
        <f>SUMPRODUCT(Q6:Q51,U6:U51)</f>
        <v>276.17708885307457</v>
      </c>
    </row>
    <row r="55" spans="2:26">
      <c r="B55" t="s">
        <v>96</v>
      </c>
      <c r="C55" s="32">
        <v>40578</v>
      </c>
      <c r="D55" s="45">
        <f>D54+(D56-D54)/(C56-C54)*(C55-C54)</f>
        <v>1.4777068493150685</v>
      </c>
      <c r="F55" s="11" t="s">
        <v>119</v>
      </c>
      <c r="G55" s="11">
        <f t="shared" si="11"/>
        <v>184</v>
      </c>
      <c r="H55" s="45">
        <f t="shared" si="10"/>
        <v>0.50410958904109593</v>
      </c>
      <c r="I55" s="102">
        <f>(100-D51*SUMPRODUCT(H$51:H54,I$51:I54))/(100+D51*H55)</f>
        <v>0.9734985961426853</v>
      </c>
    </row>
    <row r="56" spans="2:26">
      <c r="B56" t="s">
        <v>85</v>
      </c>
      <c r="C56" s="32">
        <v>40759</v>
      </c>
      <c r="D56" s="45">
        <f>D24</f>
        <v>1.5629999999999999</v>
      </c>
      <c r="F56" s="11" t="s">
        <v>120</v>
      </c>
      <c r="G56" s="11">
        <f t="shared" si="11"/>
        <v>181</v>
      </c>
      <c r="H56" s="45">
        <f t="shared" si="10"/>
        <v>0.49589041095890413</v>
      </c>
      <c r="I56" s="102">
        <f>(100-D52*SUMPRODUCT(H$51:H55,I$51:I55))/(100+D52*H56)</f>
        <v>0.96487343642695</v>
      </c>
    </row>
    <row r="57" spans="2:26">
      <c r="B57" t="s">
        <v>97</v>
      </c>
      <c r="C57" s="32">
        <v>40945</v>
      </c>
      <c r="D57" s="45">
        <f>D56+(D58-D56)/(C58-C56)*(C57-C56)</f>
        <v>1.6362880434782607</v>
      </c>
      <c r="F57" s="11" t="s">
        <v>121</v>
      </c>
      <c r="G57" s="11">
        <f t="shared" si="11"/>
        <v>184</v>
      </c>
      <c r="H57" s="45">
        <f t="shared" si="10"/>
        <v>0.50410958904109593</v>
      </c>
      <c r="I57" s="102">
        <f>(100-D53*SUMPRODUCT(H$51:H56,I$51:I56))/(100+D53*H57)</f>
        <v>0.95566141500806956</v>
      </c>
    </row>
    <row r="58" spans="2:26">
      <c r="B58" t="s">
        <v>86</v>
      </c>
      <c r="C58" s="32">
        <v>41127</v>
      </c>
      <c r="D58" s="45">
        <f>D25</f>
        <v>1.708</v>
      </c>
      <c r="F58" s="11" t="s">
        <v>122</v>
      </c>
      <c r="G58" s="11">
        <f t="shared" si="11"/>
        <v>181</v>
      </c>
      <c r="H58" s="45">
        <f t="shared" si="10"/>
        <v>0.49589041095890413</v>
      </c>
      <c r="I58" s="102">
        <f>(100-D54*SUMPRODUCT(H$51:H57,I$51:I57))/(100+D54*H58)</f>
        <v>0.94571564815842202</v>
      </c>
    </row>
    <row r="59" spans="2:26">
      <c r="B59" t="s">
        <v>98</v>
      </c>
      <c r="C59" s="32">
        <v>41309</v>
      </c>
      <c r="D59" s="45">
        <f>D58+(D60-D58)/(C60-C58)*(C59-C58)</f>
        <v>1.7705</v>
      </c>
      <c r="F59" s="11" t="s">
        <v>123</v>
      </c>
      <c r="G59" s="11">
        <f t="shared" si="11"/>
        <v>184</v>
      </c>
      <c r="H59" s="45">
        <f t="shared" si="10"/>
        <v>0.50410958904109593</v>
      </c>
      <c r="I59" s="102">
        <f>(100-D55*SUMPRODUCT(H$51:H58,I$51:I58))/(100+D55*H59)</f>
        <v>0.93536410519184143</v>
      </c>
    </row>
    <row r="60" spans="2:26">
      <c r="B60" t="s">
        <v>87</v>
      </c>
      <c r="C60" s="32">
        <v>41491</v>
      </c>
      <c r="D60" s="45">
        <f>D26</f>
        <v>1.833</v>
      </c>
      <c r="F60" s="11" t="s">
        <v>124</v>
      </c>
      <c r="G60" s="11">
        <f t="shared" si="11"/>
        <v>181</v>
      </c>
      <c r="H60" s="45">
        <f t="shared" si="10"/>
        <v>0.49589041095890413</v>
      </c>
      <c r="I60" s="102">
        <f>(100-D56*SUMPRODUCT(H$51:H59,I$51:I59))/(100+D56*H60)</f>
        <v>0.92446798912481432</v>
      </c>
    </row>
    <row r="61" spans="2:26">
      <c r="B61" t="s">
        <v>99</v>
      </c>
      <c r="C61" s="32">
        <v>41674</v>
      </c>
      <c r="D61" s="45">
        <f>D60+(D62-D60)/(C62-C60)*(C61-C60)</f>
        <v>1.8857884615384615</v>
      </c>
      <c r="F61" s="11" t="s">
        <v>125</v>
      </c>
      <c r="G61" s="11">
        <f t="shared" si="11"/>
        <v>186</v>
      </c>
      <c r="H61" s="45">
        <f t="shared" si="10"/>
        <v>0.50958904109589043</v>
      </c>
      <c r="I61" s="102">
        <f>(100-D57*SUMPRODUCT(H$51:H60,I$51:I60))/(100+D57*H61)</f>
        <v>0.91331084225727255</v>
      </c>
    </row>
    <row r="62" spans="2:26">
      <c r="B62" t="s">
        <v>88</v>
      </c>
      <c r="C62" s="32">
        <v>41855</v>
      </c>
      <c r="D62" s="45">
        <f>D27</f>
        <v>1.9379999999999999</v>
      </c>
      <c r="F62" s="11" t="s">
        <v>126</v>
      </c>
      <c r="G62" s="11">
        <f t="shared" si="11"/>
        <v>182</v>
      </c>
      <c r="H62" s="45">
        <f t="shared" si="10"/>
        <v>0.49863013698630138</v>
      </c>
      <c r="I62" s="102">
        <f>(100-D58*SUMPRODUCT(H$51:H61,I$51:I61))/(100+D58*H62)</f>
        <v>0.90183106647188915</v>
      </c>
    </row>
    <row r="63" spans="2:26">
      <c r="B63" t="s">
        <v>100</v>
      </c>
      <c r="C63" s="32">
        <v>42039</v>
      </c>
      <c r="D63" s="45">
        <f>D62+(D64-D62)/(C64-C62)*(C63-C62)</f>
        <v>1.9818575342465752</v>
      </c>
      <c r="F63" s="11" t="s">
        <v>127</v>
      </c>
      <c r="G63" s="11">
        <f t="shared" si="11"/>
        <v>182</v>
      </c>
      <c r="H63" s="45">
        <f t="shared" si="10"/>
        <v>0.49863013698630138</v>
      </c>
      <c r="I63" s="102">
        <f>(100-D59*SUMPRODUCT(H$51:H62,I$51:I62))/(100+D59*H63)</f>
        <v>0.89037833966905977</v>
      </c>
    </row>
    <row r="64" spans="2:26">
      <c r="B64" t="s">
        <v>89</v>
      </c>
      <c r="C64" s="32">
        <v>42220</v>
      </c>
      <c r="D64" s="45">
        <f>D28</f>
        <v>2.0249999999999999</v>
      </c>
      <c r="F64" s="11" t="s">
        <v>128</v>
      </c>
      <c r="G64" s="11">
        <f t="shared" si="11"/>
        <v>182</v>
      </c>
      <c r="H64" s="45">
        <f t="shared" si="10"/>
        <v>0.49863013698630138</v>
      </c>
      <c r="I64" s="102">
        <f>(100-D60*SUMPRODUCT(H$51:H63,I$51:I63))/(100+D60*H64)</f>
        <v>0.87847940597435858</v>
      </c>
    </row>
    <row r="65" spans="2:9">
      <c r="B65" t="s">
        <v>101</v>
      </c>
      <c r="C65" s="32">
        <v>42404</v>
      </c>
      <c r="D65" s="45">
        <f>D64+(D66-D64)/(C66-C64)*(C65-C64)</f>
        <v>2.0642131147540983</v>
      </c>
      <c r="F65" s="11" t="s">
        <v>129</v>
      </c>
      <c r="G65" s="11">
        <f t="shared" si="11"/>
        <v>183</v>
      </c>
      <c r="H65" s="45">
        <f t="shared" si="10"/>
        <v>0.50136986301369868</v>
      </c>
      <c r="I65" s="102">
        <f>(100-D61*SUMPRODUCT(H$51:H64,I$51:I64))/(100+D61*H65)</f>
        <v>0.86678448903851057</v>
      </c>
    </row>
    <row r="66" spans="2:9">
      <c r="B66" t="s">
        <v>90</v>
      </c>
      <c r="C66" s="32">
        <v>42586</v>
      </c>
      <c r="D66" s="45">
        <f>D29</f>
        <v>2.1030000000000002</v>
      </c>
      <c r="F66" s="11" t="s">
        <v>130</v>
      </c>
      <c r="G66" s="11">
        <f t="shared" si="11"/>
        <v>181</v>
      </c>
      <c r="H66" s="45">
        <f t="shared" si="10"/>
        <v>0.49589041095890413</v>
      </c>
      <c r="I66" s="102">
        <f>(100-D62*SUMPRODUCT(H$51:H65,I$51:I65))/(100+D62*H66)</f>
        <v>0.85488046568442355</v>
      </c>
    </row>
    <row r="67" spans="2:9">
      <c r="F67" s="11" t="s">
        <v>131</v>
      </c>
      <c r="G67" s="11">
        <f t="shared" si="11"/>
        <v>184</v>
      </c>
      <c r="H67" s="45">
        <f t="shared" si="10"/>
        <v>0.50410958904109593</v>
      </c>
      <c r="I67" s="102">
        <f>(100-D63*SUMPRODUCT(H$51:H66,I$51:I66))/(100+D63*H67)</f>
        <v>0.84317245452429823</v>
      </c>
    </row>
    <row r="68" spans="2:9">
      <c r="F68" s="11" t="s">
        <v>132</v>
      </c>
      <c r="G68" s="11">
        <f t="shared" si="11"/>
        <v>181</v>
      </c>
      <c r="H68" s="45">
        <f t="shared" si="10"/>
        <v>0.49589041095890413</v>
      </c>
      <c r="I68" s="102">
        <f>(100-D64*SUMPRODUCT(H$51:H67,I$51:I67))/(100+D64*H68)</f>
        <v>0.83140968858051079</v>
      </c>
    </row>
    <row r="69" spans="2:9">
      <c r="F69" s="49" t="s">
        <v>133</v>
      </c>
      <c r="G69" s="11">
        <f t="shared" si="11"/>
        <v>184</v>
      </c>
      <c r="H69" s="45">
        <f t="shared" si="10"/>
        <v>0.50410958904109593</v>
      </c>
      <c r="I69" s="102">
        <f>(100-D65*SUMPRODUCT(H$51:H68,I$51:I68))/(100+D65*H69)</f>
        <v>0.81961618036984452</v>
      </c>
    </row>
    <row r="70" spans="2:9">
      <c r="F70" s="49" t="s">
        <v>134</v>
      </c>
      <c r="G70" s="11">
        <f t="shared" si="11"/>
        <v>182</v>
      </c>
      <c r="H70" s="45">
        <f t="shared" si="10"/>
        <v>0.49863013698630138</v>
      </c>
      <c r="I70" s="102">
        <f>(100-D66*SUMPRODUCT(H$51:H69,I$51:I69))/(100+D66*H70)</f>
        <v>0.80775645130320795</v>
      </c>
    </row>
  </sheetData>
  <phoneticPr fontId="3"/>
  <pageMargins left="0.75" right="0.75" top="1" bottom="1" header="0.51200000000000001" footer="0.51200000000000001"/>
  <pageSetup paperSize="9" orientation="portrait" r:id="rId1"/>
  <headerFooter alignWithMargins="0"/>
  <ignoredErrors>
    <ignoredError sqref="D52:D6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M83"/>
  <sheetViews>
    <sheetView topLeftCell="L12" workbookViewId="0">
      <selection activeCell="E6" sqref="E6"/>
    </sheetView>
  </sheetViews>
  <sheetFormatPr baseColWidth="10" defaultColWidth="8.83203125" defaultRowHeight="14"/>
  <cols>
    <col min="1" max="1" width="3.6640625" customWidth="1"/>
    <col min="2" max="2" width="11.1640625" customWidth="1"/>
    <col min="3" max="4" width="11.5" customWidth="1"/>
    <col min="5" max="5" width="10.5" bestFit="1" customWidth="1"/>
    <col min="6" max="6" width="11.83203125" customWidth="1"/>
    <col min="7" max="32" width="7.5" customWidth="1"/>
    <col min="33" max="33" width="12" customWidth="1"/>
    <col min="34" max="35" width="12.5" customWidth="1"/>
    <col min="36" max="39" width="11.6640625" customWidth="1"/>
  </cols>
  <sheetData>
    <row r="3" spans="1:39">
      <c r="B3" t="s">
        <v>66</v>
      </c>
      <c r="C3" s="32">
        <v>38931</v>
      </c>
      <c r="D3" s="36"/>
    </row>
    <row r="4" spans="1:39">
      <c r="B4" t="s">
        <v>67</v>
      </c>
      <c r="C4" s="32">
        <v>38933</v>
      </c>
      <c r="D4" s="36"/>
      <c r="E4" t="s">
        <v>142</v>
      </c>
      <c r="G4" t="s">
        <v>102</v>
      </c>
    </row>
    <row r="5" spans="1:39">
      <c r="C5" s="36"/>
      <c r="D5" s="36"/>
      <c r="E5" s="1">
        <v>0</v>
      </c>
      <c r="AH5" t="s">
        <v>158</v>
      </c>
    </row>
    <row r="6" spans="1:39" ht="15" thickBot="1">
      <c r="B6" t="s">
        <v>68</v>
      </c>
    </row>
    <row r="7" spans="1:39" ht="15" thickBot="1">
      <c r="C7" s="1" t="s">
        <v>69</v>
      </c>
      <c r="D7" s="1" t="s">
        <v>91</v>
      </c>
      <c r="E7" s="1" t="s">
        <v>141</v>
      </c>
      <c r="G7" s="58">
        <v>0</v>
      </c>
      <c r="H7" s="59">
        <f>+G7+1</f>
        <v>1</v>
      </c>
      <c r="I7" s="59">
        <f>+H7+1</f>
        <v>2</v>
      </c>
      <c r="J7" s="59">
        <f t="shared" ref="J7:AE7" si="0">+I7+1</f>
        <v>3</v>
      </c>
      <c r="K7" s="59">
        <f t="shared" si="0"/>
        <v>4</v>
      </c>
      <c r="L7" s="59">
        <f t="shared" si="0"/>
        <v>5</v>
      </c>
      <c r="M7" s="59">
        <f t="shared" si="0"/>
        <v>6</v>
      </c>
      <c r="N7" s="59">
        <f t="shared" si="0"/>
        <v>7</v>
      </c>
      <c r="O7" s="59">
        <f t="shared" si="0"/>
        <v>8</v>
      </c>
      <c r="P7" s="59">
        <f t="shared" si="0"/>
        <v>9</v>
      </c>
      <c r="Q7" s="59">
        <f t="shared" si="0"/>
        <v>10</v>
      </c>
      <c r="R7" s="59">
        <f t="shared" si="0"/>
        <v>11</v>
      </c>
      <c r="S7" s="59">
        <f t="shared" si="0"/>
        <v>12</v>
      </c>
      <c r="T7" s="59">
        <f t="shared" si="0"/>
        <v>13</v>
      </c>
      <c r="U7" s="59">
        <f t="shared" si="0"/>
        <v>14</v>
      </c>
      <c r="V7" s="59">
        <f t="shared" si="0"/>
        <v>15</v>
      </c>
      <c r="W7" s="59">
        <f t="shared" si="0"/>
        <v>16</v>
      </c>
      <c r="X7" s="59">
        <f t="shared" si="0"/>
        <v>17</v>
      </c>
      <c r="Y7" s="59">
        <f t="shared" si="0"/>
        <v>18</v>
      </c>
      <c r="Z7" s="59">
        <f t="shared" si="0"/>
        <v>19</v>
      </c>
      <c r="AA7" s="59">
        <f t="shared" si="0"/>
        <v>20</v>
      </c>
      <c r="AB7" s="59">
        <f t="shared" si="0"/>
        <v>21</v>
      </c>
      <c r="AC7" s="59">
        <f t="shared" si="0"/>
        <v>22</v>
      </c>
      <c r="AD7" s="59">
        <f t="shared" si="0"/>
        <v>23</v>
      </c>
      <c r="AE7" s="60">
        <f t="shared" si="0"/>
        <v>24</v>
      </c>
      <c r="AH7" s="1" t="s">
        <v>52</v>
      </c>
      <c r="AI7" s="1" t="s">
        <v>63</v>
      </c>
      <c r="AJ7" s="1" t="s">
        <v>140</v>
      </c>
      <c r="AK7" s="47" t="s">
        <v>144</v>
      </c>
      <c r="AL7" s="1" t="s">
        <v>348</v>
      </c>
      <c r="AM7" s="52" t="s">
        <v>346</v>
      </c>
    </row>
    <row r="8" spans="1:39">
      <c r="A8" s="35">
        <v>1</v>
      </c>
      <c r="B8" t="s">
        <v>70</v>
      </c>
      <c r="C8" s="41">
        <v>38964</v>
      </c>
      <c r="D8" s="42">
        <v>0.36125000000000002</v>
      </c>
      <c r="E8" s="42">
        <f>INDEX($G$8:$AE$29,A8,E$5+1)/100+D8</f>
        <v>0.36125000000000002</v>
      </c>
      <c r="G8" s="57">
        <v>0</v>
      </c>
      <c r="H8" s="57">
        <v>1</v>
      </c>
      <c r="I8" s="57">
        <v>0</v>
      </c>
      <c r="J8" s="57">
        <v>0</v>
      </c>
      <c r="K8" s="57">
        <v>0</v>
      </c>
      <c r="L8" s="57">
        <v>0</v>
      </c>
      <c r="M8" s="57">
        <v>0</v>
      </c>
      <c r="N8" s="57">
        <v>0</v>
      </c>
      <c r="O8" s="57">
        <v>0</v>
      </c>
      <c r="P8" s="57">
        <v>0</v>
      </c>
      <c r="Q8" s="57">
        <v>0</v>
      </c>
      <c r="R8" s="57">
        <v>0</v>
      </c>
      <c r="S8" s="57">
        <v>0</v>
      </c>
      <c r="T8" s="57">
        <v>0</v>
      </c>
      <c r="U8" s="57">
        <v>0</v>
      </c>
      <c r="V8" s="57">
        <v>0</v>
      </c>
      <c r="W8" s="57">
        <v>0</v>
      </c>
      <c r="X8" s="57">
        <v>0</v>
      </c>
      <c r="Y8" s="57">
        <v>0</v>
      </c>
      <c r="Z8" s="57">
        <v>0</v>
      </c>
      <c r="AA8" s="57">
        <v>0</v>
      </c>
      <c r="AB8" s="57">
        <v>0</v>
      </c>
      <c r="AC8" s="57">
        <v>0</v>
      </c>
      <c r="AD8" s="57">
        <v>1</v>
      </c>
      <c r="AE8" s="57">
        <v>-1</v>
      </c>
      <c r="AH8" s="39">
        <v>38954</v>
      </c>
      <c r="AI8" s="33">
        <v>-2980.950343892694</v>
      </c>
      <c r="AJ8" s="39">
        <f>VLOOKUP($AH8,$C$36:$F$66,1)</f>
        <v>38933</v>
      </c>
      <c r="AK8" s="42">
        <f>VLOOKUP($AH8,$C$36:$F$66,3)</f>
        <v>1</v>
      </c>
      <c r="AL8" s="42">
        <f>VLOOKUP($AH8,$C$6:$F$66,4)</f>
        <v>-1.0031601627817409E-5</v>
      </c>
      <c r="AM8" s="53">
        <f>AK8+AL8*(AH8-AJ8)</f>
        <v>0.9997893363658158</v>
      </c>
    </row>
    <row r="9" spans="1:39">
      <c r="A9" s="35">
        <v>2</v>
      </c>
      <c r="B9" t="s">
        <v>71</v>
      </c>
      <c r="C9" s="41">
        <v>38994</v>
      </c>
      <c r="D9" s="42">
        <v>0.39</v>
      </c>
      <c r="E9" s="42">
        <f t="shared" ref="E9:E29" si="1">INDEX($G$8:$AE$29,A9,E$5+1)/100+D9</f>
        <v>0.39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-1</v>
      </c>
      <c r="AH9" s="39">
        <v>38989</v>
      </c>
      <c r="AI9" s="33">
        <v>1986.6778825570775</v>
      </c>
      <c r="AJ9" s="39">
        <f t="shared" ref="AJ9:AJ53" si="2">VLOOKUP($AH9,$C$36:$F$66,1)</f>
        <v>38964</v>
      </c>
      <c r="AK9" s="42">
        <f t="shared" ref="AK9:AK53" si="3">VLOOKUP($AH9,$C$36:$F$66,3)</f>
        <v>0.99968902034953766</v>
      </c>
      <c r="AL9" s="42">
        <f t="shared" ref="AL9:AL53" si="4">VLOOKUP($AH9,$C$6:$F$66,4)</f>
        <v>-1.1647242352412028E-5</v>
      </c>
      <c r="AM9" s="53">
        <f t="shared" ref="AM9:AM53" si="5">AK9+AL9*(AH9-AJ9)</f>
        <v>0.99939783929072734</v>
      </c>
    </row>
    <row r="10" spans="1:39">
      <c r="A10" s="35">
        <v>3</v>
      </c>
      <c r="B10" t="s">
        <v>72</v>
      </c>
      <c r="C10" s="41">
        <v>39027</v>
      </c>
      <c r="D10" s="42">
        <v>0.41687999999999997</v>
      </c>
      <c r="E10" s="42">
        <f t="shared" si="1"/>
        <v>0.41687999999999997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-1</v>
      </c>
      <c r="AH10" s="39">
        <v>39021</v>
      </c>
      <c r="AI10" s="33">
        <v>-4955.1984514459673</v>
      </c>
      <c r="AJ10" s="39">
        <f t="shared" si="2"/>
        <v>38994</v>
      </c>
      <c r="AK10" s="42">
        <f t="shared" si="3"/>
        <v>0.9993396030789653</v>
      </c>
      <c r="AL10" s="42">
        <f t="shared" si="4"/>
        <v>-1.2937560349499869E-5</v>
      </c>
      <c r="AM10" s="53">
        <f t="shared" si="5"/>
        <v>0.99899028894952879</v>
      </c>
    </row>
    <row r="11" spans="1:39">
      <c r="A11" s="35">
        <v>4</v>
      </c>
      <c r="B11" t="s">
        <v>73</v>
      </c>
      <c r="C11" s="41">
        <v>39055</v>
      </c>
      <c r="D11" s="42">
        <v>0.43687999999999999</v>
      </c>
      <c r="E11" s="42">
        <f t="shared" si="1"/>
        <v>0.43687999999999999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-1</v>
      </c>
      <c r="AH11" s="39">
        <v>39113</v>
      </c>
      <c r="AI11" s="33">
        <v>0</v>
      </c>
      <c r="AJ11" s="39">
        <f t="shared" si="2"/>
        <v>39086</v>
      </c>
      <c r="AK11" s="42">
        <f t="shared" si="3"/>
        <v>0.99805410638445857</v>
      </c>
      <c r="AL11" s="42">
        <f t="shared" si="4"/>
        <v>-1.7842198194100573E-5</v>
      </c>
      <c r="AM11" s="53">
        <f t="shared" si="5"/>
        <v>0.99757236703321783</v>
      </c>
    </row>
    <row r="12" spans="1:39">
      <c r="A12" s="35">
        <v>5</v>
      </c>
      <c r="B12" t="s">
        <v>74</v>
      </c>
      <c r="C12" s="41">
        <v>39086</v>
      </c>
      <c r="D12" s="42">
        <v>0.45874999999999999</v>
      </c>
      <c r="E12" s="42">
        <f t="shared" si="1"/>
        <v>0.45874999999999999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-1</v>
      </c>
      <c r="AH12" s="39">
        <v>39139</v>
      </c>
      <c r="AI12" s="33">
        <v>21.287671232876711</v>
      </c>
      <c r="AJ12" s="39">
        <f t="shared" si="2"/>
        <v>39118</v>
      </c>
      <c r="AK12" s="42">
        <f t="shared" si="3"/>
        <v>0.99748315604224735</v>
      </c>
      <c r="AL12" s="42">
        <f t="shared" si="4"/>
        <v>-1.8476313253733873E-5</v>
      </c>
      <c r="AM12" s="53">
        <f t="shared" si="5"/>
        <v>0.99709515346391897</v>
      </c>
    </row>
    <row r="13" spans="1:39">
      <c r="A13" s="35">
        <v>6</v>
      </c>
      <c r="B13" t="s">
        <v>75</v>
      </c>
      <c r="C13" s="41">
        <v>39118</v>
      </c>
      <c r="D13" s="42">
        <v>0.49099999999999999</v>
      </c>
      <c r="E13" s="42">
        <f t="shared" si="1"/>
        <v>0.49099999999999999</v>
      </c>
      <c r="F13" s="40"/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-1</v>
      </c>
      <c r="AH13" s="39">
        <v>39171</v>
      </c>
      <c r="AI13" s="33">
        <v>-14.95890410958904</v>
      </c>
      <c r="AJ13" s="39">
        <f t="shared" si="2"/>
        <v>39146</v>
      </c>
      <c r="AK13" s="42">
        <f t="shared" si="3"/>
        <v>0.99696581927114281</v>
      </c>
      <c r="AL13" s="42">
        <f t="shared" si="4"/>
        <v>-2.1176901284062724E-5</v>
      </c>
      <c r="AM13" s="53">
        <f t="shared" si="5"/>
        <v>0.99643639673904127</v>
      </c>
    </row>
    <row r="14" spans="1:39">
      <c r="A14" s="35">
        <v>7</v>
      </c>
      <c r="B14" t="s">
        <v>76</v>
      </c>
      <c r="C14" s="41">
        <v>39146</v>
      </c>
      <c r="D14" s="42">
        <v>0.51437999999999995</v>
      </c>
      <c r="E14" s="42">
        <f t="shared" si="1"/>
        <v>0.51437999999999995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-1</v>
      </c>
      <c r="AH14" s="39">
        <v>39202</v>
      </c>
      <c r="AI14" s="33">
        <v>49.589041095890408</v>
      </c>
      <c r="AJ14" s="39">
        <f t="shared" si="2"/>
        <v>39176</v>
      </c>
      <c r="AK14" s="42">
        <f t="shared" si="3"/>
        <v>0.99633051223262092</v>
      </c>
      <c r="AL14" s="42">
        <f t="shared" si="4"/>
        <v>-2.2399940382245022E-5</v>
      </c>
      <c r="AM14" s="53">
        <f t="shared" si="5"/>
        <v>0.99574811378268258</v>
      </c>
    </row>
    <row r="15" spans="1:39">
      <c r="A15" s="35">
        <v>8</v>
      </c>
      <c r="B15" t="s">
        <v>77</v>
      </c>
      <c r="C15" s="41">
        <v>39176</v>
      </c>
      <c r="D15" s="42">
        <v>0.54562999999999995</v>
      </c>
      <c r="E15" s="42">
        <f t="shared" si="1"/>
        <v>0.54562999999999995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-1</v>
      </c>
      <c r="AH15" s="39">
        <v>39262</v>
      </c>
      <c r="AI15" s="33">
        <v>3960.3914535768649</v>
      </c>
      <c r="AJ15" s="39">
        <f t="shared" si="2"/>
        <v>39237</v>
      </c>
      <c r="AK15" s="42">
        <f t="shared" si="3"/>
        <v>0.99492752782066085</v>
      </c>
      <c r="AL15" s="42">
        <f t="shared" si="4"/>
        <v>-2.5382915186222821E-5</v>
      </c>
      <c r="AM15" s="53">
        <f t="shared" si="5"/>
        <v>0.99429295494100534</v>
      </c>
    </row>
    <row r="16" spans="1:39">
      <c r="A16" s="35">
        <v>9</v>
      </c>
      <c r="B16" t="s">
        <v>78</v>
      </c>
      <c r="C16" s="41">
        <v>39206</v>
      </c>
      <c r="D16" s="42">
        <v>0.57499999999999996</v>
      </c>
      <c r="E16" s="42">
        <f t="shared" si="1"/>
        <v>0.57499999999999996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-1</v>
      </c>
      <c r="AH16" s="39">
        <v>39294</v>
      </c>
      <c r="AI16" s="33">
        <v>0</v>
      </c>
      <c r="AJ16" s="39">
        <f t="shared" si="2"/>
        <v>39267</v>
      </c>
      <c r="AK16" s="42">
        <f t="shared" si="3"/>
        <v>0.99416604036507417</v>
      </c>
      <c r="AL16" s="42">
        <f t="shared" si="4"/>
        <v>-2.7325102685757805E-5</v>
      </c>
      <c r="AM16" s="53">
        <f t="shared" si="5"/>
        <v>0.99342826259255868</v>
      </c>
    </row>
    <row r="17" spans="1:39">
      <c r="A17" s="35">
        <v>10</v>
      </c>
      <c r="B17" t="s">
        <v>79</v>
      </c>
      <c r="C17" s="41">
        <v>39237</v>
      </c>
      <c r="D17" s="42">
        <v>0.60375000000000001</v>
      </c>
      <c r="E17" s="42">
        <f t="shared" si="1"/>
        <v>0.60375000000000001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-1</v>
      </c>
      <c r="AH17" s="39">
        <v>39321</v>
      </c>
      <c r="AI17" s="33">
        <v>20.942465753424656</v>
      </c>
      <c r="AJ17" s="39">
        <f t="shared" si="2"/>
        <v>39300</v>
      </c>
      <c r="AK17" s="42">
        <f t="shared" si="3"/>
        <v>0.99326431197644416</v>
      </c>
      <c r="AL17" s="42">
        <f t="shared" si="4"/>
        <v>-3.0356114370535024E-5</v>
      </c>
      <c r="AM17" s="53">
        <f t="shared" si="5"/>
        <v>0.99262683357466297</v>
      </c>
    </row>
    <row r="18" spans="1:39">
      <c r="A18" s="35">
        <v>11</v>
      </c>
      <c r="B18" t="s">
        <v>80</v>
      </c>
      <c r="C18" s="41">
        <v>39267</v>
      </c>
      <c r="D18" s="42">
        <v>0.63249999999999995</v>
      </c>
      <c r="E18" s="42">
        <f t="shared" si="1"/>
        <v>0.63249999999999995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-1</v>
      </c>
      <c r="AH18" s="39">
        <v>39353</v>
      </c>
      <c r="AI18" s="33">
        <v>-14.95890410958904</v>
      </c>
      <c r="AJ18" s="39">
        <f t="shared" si="2"/>
        <v>39300</v>
      </c>
      <c r="AK18" s="42">
        <f t="shared" si="3"/>
        <v>0.99326431197644416</v>
      </c>
      <c r="AL18" s="42">
        <f t="shared" si="4"/>
        <v>-3.0356114370535024E-5</v>
      </c>
      <c r="AM18" s="53">
        <f t="shared" si="5"/>
        <v>0.99165543791480582</v>
      </c>
    </row>
    <row r="19" spans="1:39">
      <c r="A19" s="35">
        <v>12</v>
      </c>
      <c r="B19" t="s">
        <v>92</v>
      </c>
      <c r="C19" s="41">
        <v>39300</v>
      </c>
      <c r="D19" s="33">
        <v>0.67300000000000004</v>
      </c>
      <c r="E19" s="33">
        <f t="shared" si="1"/>
        <v>0.67300000000000004</v>
      </c>
      <c r="F19" s="40"/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-1</v>
      </c>
      <c r="AH19" s="39">
        <v>39386</v>
      </c>
      <c r="AI19" s="33">
        <v>50.410958904109592</v>
      </c>
      <c r="AJ19" s="39">
        <f t="shared" si="2"/>
        <v>39300</v>
      </c>
      <c r="AK19" s="42">
        <f t="shared" si="3"/>
        <v>0.99326431197644416</v>
      </c>
      <c r="AL19" s="42">
        <f t="shared" si="4"/>
        <v>-3.0356114370535024E-5</v>
      </c>
      <c r="AM19" s="53">
        <f t="shared" si="5"/>
        <v>0.99065368614057814</v>
      </c>
    </row>
    <row r="20" spans="1:39">
      <c r="A20" s="35">
        <v>13</v>
      </c>
      <c r="B20" t="s">
        <v>81</v>
      </c>
      <c r="C20" s="41">
        <v>39482</v>
      </c>
      <c r="D20" s="33">
        <v>0.82099999999999995</v>
      </c>
      <c r="E20" s="33">
        <f t="shared" si="1"/>
        <v>0.82099999999999995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-1</v>
      </c>
      <c r="AH20" s="39">
        <v>39478</v>
      </c>
      <c r="AI20" s="33">
        <v>0</v>
      </c>
      <c r="AJ20" s="39">
        <f t="shared" si="2"/>
        <v>39300</v>
      </c>
      <c r="AK20" s="42">
        <f t="shared" si="3"/>
        <v>0.99326431197644416</v>
      </c>
      <c r="AL20" s="42">
        <f t="shared" si="4"/>
        <v>-3.0356114370535024E-5</v>
      </c>
      <c r="AM20" s="53">
        <f t="shared" si="5"/>
        <v>0.98786092361848887</v>
      </c>
    </row>
    <row r="21" spans="1:39">
      <c r="A21" s="35">
        <v>14</v>
      </c>
      <c r="B21" t="s">
        <v>82</v>
      </c>
      <c r="C21" s="41">
        <v>39664</v>
      </c>
      <c r="D21" s="33">
        <v>0.95099999999999996</v>
      </c>
      <c r="E21" s="33">
        <f t="shared" si="1"/>
        <v>0.95099999999999996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-1</v>
      </c>
      <c r="AH21" s="39">
        <v>39503</v>
      </c>
      <c r="AI21" s="33">
        <v>20.942465753424656</v>
      </c>
      <c r="AJ21" s="39">
        <f t="shared" si="2"/>
        <v>39482</v>
      </c>
      <c r="AK21" s="42">
        <f t="shared" si="3"/>
        <v>0.98773949916100678</v>
      </c>
      <c r="AL21" s="42">
        <f t="shared" si="4"/>
        <v>-3.6230416449353975E-5</v>
      </c>
      <c r="AM21" s="53">
        <f t="shared" si="5"/>
        <v>0.98697866041557036</v>
      </c>
    </row>
    <row r="22" spans="1:39">
      <c r="A22" s="35">
        <v>15</v>
      </c>
      <c r="B22" t="s">
        <v>83</v>
      </c>
      <c r="C22" s="41">
        <v>40029</v>
      </c>
      <c r="D22" s="33">
        <v>1.19</v>
      </c>
      <c r="E22" s="33">
        <f t="shared" si="1"/>
        <v>1.19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-1</v>
      </c>
      <c r="AH22" s="39">
        <v>39538</v>
      </c>
      <c r="AI22" s="33">
        <v>-15.205479452054794</v>
      </c>
      <c r="AJ22" s="39">
        <f t="shared" si="2"/>
        <v>39482</v>
      </c>
      <c r="AK22" s="42">
        <f t="shared" si="3"/>
        <v>0.98773949916100678</v>
      </c>
      <c r="AL22" s="42">
        <f t="shared" si="4"/>
        <v>-3.6230416449353975E-5</v>
      </c>
      <c r="AM22" s="53">
        <f t="shared" si="5"/>
        <v>0.985710595839843</v>
      </c>
    </row>
    <row r="23" spans="1:39">
      <c r="A23" s="35">
        <v>16</v>
      </c>
      <c r="B23" t="s">
        <v>84</v>
      </c>
      <c r="C23" s="41">
        <v>40394</v>
      </c>
      <c r="D23" s="33">
        <v>1.391</v>
      </c>
      <c r="E23" s="33">
        <f t="shared" si="1"/>
        <v>1.391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-1</v>
      </c>
      <c r="AH23" s="39">
        <v>39568</v>
      </c>
      <c r="AI23" s="33">
        <v>49.863013698630134</v>
      </c>
      <c r="AJ23" s="39">
        <f t="shared" si="2"/>
        <v>39482</v>
      </c>
      <c r="AK23" s="42">
        <f t="shared" si="3"/>
        <v>0.98773949916100678</v>
      </c>
      <c r="AL23" s="42">
        <f t="shared" si="4"/>
        <v>-3.6230416449353975E-5</v>
      </c>
      <c r="AM23" s="53">
        <f t="shared" si="5"/>
        <v>0.9846236833463623</v>
      </c>
    </row>
    <row r="24" spans="1:39">
      <c r="A24" s="35">
        <v>17</v>
      </c>
      <c r="B24" t="s">
        <v>85</v>
      </c>
      <c r="C24" s="41">
        <v>40759</v>
      </c>
      <c r="D24" s="33">
        <v>1.5629999999999999</v>
      </c>
      <c r="E24" s="33">
        <f t="shared" si="1"/>
        <v>1.5629999999999999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-1</v>
      </c>
      <c r="AH24" s="39">
        <v>39629</v>
      </c>
      <c r="AI24" s="33">
        <v>-64.350684931506848</v>
      </c>
      <c r="AJ24" s="39">
        <f t="shared" si="2"/>
        <v>39482</v>
      </c>
      <c r="AK24" s="42">
        <f t="shared" si="3"/>
        <v>0.98773949916100678</v>
      </c>
      <c r="AL24" s="42">
        <f t="shared" si="4"/>
        <v>-3.6230416449353975E-5</v>
      </c>
      <c r="AM24" s="53">
        <f t="shared" si="5"/>
        <v>0.98241362794295173</v>
      </c>
    </row>
    <row r="25" spans="1:39">
      <c r="A25" s="35">
        <v>18</v>
      </c>
      <c r="B25" t="s">
        <v>86</v>
      </c>
      <c r="C25" s="41">
        <v>41127</v>
      </c>
      <c r="D25" s="33">
        <v>1.708</v>
      </c>
      <c r="E25" s="33">
        <f t="shared" si="1"/>
        <v>1.708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-1</v>
      </c>
      <c r="AH25" s="39">
        <v>39660</v>
      </c>
      <c r="AI25" s="33">
        <v>0</v>
      </c>
      <c r="AJ25" s="39">
        <f t="shared" si="2"/>
        <v>39482</v>
      </c>
      <c r="AK25" s="42">
        <f t="shared" si="3"/>
        <v>0.98773949916100678</v>
      </c>
      <c r="AL25" s="42">
        <f t="shared" si="4"/>
        <v>-3.6230416449353975E-5</v>
      </c>
      <c r="AM25" s="53">
        <f t="shared" si="5"/>
        <v>0.98129048503302174</v>
      </c>
    </row>
    <row r="26" spans="1:39">
      <c r="A26" s="35">
        <v>19</v>
      </c>
      <c r="B26" t="s">
        <v>87</v>
      </c>
      <c r="C26" s="41">
        <v>41491</v>
      </c>
      <c r="D26" s="33">
        <v>1.833</v>
      </c>
      <c r="E26" s="33">
        <f t="shared" si="1"/>
        <v>1.833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1</v>
      </c>
      <c r="AE26" s="1">
        <v>-1</v>
      </c>
      <c r="AH26" s="39">
        <v>39685</v>
      </c>
      <c r="AI26" s="33">
        <v>20.942465753424656</v>
      </c>
      <c r="AJ26" s="39">
        <f t="shared" si="2"/>
        <v>39664</v>
      </c>
      <c r="AK26" s="42">
        <f t="shared" si="3"/>
        <v>0.98114556336722436</v>
      </c>
      <c r="AL26" s="42">
        <f t="shared" si="4"/>
        <v>-4.1559604481190532E-5</v>
      </c>
      <c r="AM26" s="53">
        <f t="shared" si="5"/>
        <v>0.9802728116731193</v>
      </c>
    </row>
    <row r="27" spans="1:39">
      <c r="A27" s="35">
        <v>20</v>
      </c>
      <c r="B27" t="s">
        <v>88</v>
      </c>
      <c r="C27" s="41">
        <v>41855</v>
      </c>
      <c r="D27" s="33">
        <v>1.9379999999999999</v>
      </c>
      <c r="E27" s="33">
        <f t="shared" si="1"/>
        <v>1.9379999999999999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1</v>
      </c>
      <c r="AE27" s="1">
        <v>-1</v>
      </c>
      <c r="AH27" s="39">
        <v>39721</v>
      </c>
      <c r="AI27" s="33">
        <v>-15.04109589041096</v>
      </c>
      <c r="AJ27" s="39">
        <f t="shared" si="2"/>
        <v>39664</v>
      </c>
      <c r="AK27" s="42">
        <f t="shared" si="3"/>
        <v>0.98114556336722436</v>
      </c>
      <c r="AL27" s="42">
        <f t="shared" si="4"/>
        <v>-4.1559604481190532E-5</v>
      </c>
      <c r="AM27" s="53">
        <f t="shared" si="5"/>
        <v>0.97877666591179646</v>
      </c>
    </row>
    <row r="28" spans="1:39">
      <c r="A28" s="35">
        <v>21</v>
      </c>
      <c r="B28" t="s">
        <v>89</v>
      </c>
      <c r="C28" s="41">
        <v>42220</v>
      </c>
      <c r="D28" s="33">
        <v>2.0249999999999999</v>
      </c>
      <c r="E28" s="33">
        <f t="shared" si="1"/>
        <v>2.0249999999999999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1</v>
      </c>
      <c r="AE28" s="1">
        <v>-1</v>
      </c>
      <c r="AH28" s="39">
        <v>39752</v>
      </c>
      <c r="AI28" s="33">
        <v>5050.4109589041091</v>
      </c>
      <c r="AJ28" s="39">
        <f t="shared" si="2"/>
        <v>39664</v>
      </c>
      <c r="AK28" s="42">
        <f t="shared" si="3"/>
        <v>0.98114556336722436</v>
      </c>
      <c r="AL28" s="42">
        <f t="shared" si="4"/>
        <v>-4.1559604481190532E-5</v>
      </c>
      <c r="AM28" s="53">
        <f t="shared" si="5"/>
        <v>0.97748831817287962</v>
      </c>
    </row>
    <row r="29" spans="1:39">
      <c r="A29" s="35">
        <v>22</v>
      </c>
      <c r="B29" t="s">
        <v>90</v>
      </c>
      <c r="C29" s="41">
        <v>42586</v>
      </c>
      <c r="D29" s="33">
        <v>2.1030000000000002</v>
      </c>
      <c r="E29" s="33">
        <f t="shared" si="1"/>
        <v>2.1030000000000002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1</v>
      </c>
      <c r="AE29" s="1">
        <v>-1</v>
      </c>
      <c r="AH29" s="39">
        <v>39869</v>
      </c>
      <c r="AI29" s="33">
        <v>21.172602739726027</v>
      </c>
      <c r="AJ29" s="39">
        <f t="shared" si="2"/>
        <v>39848</v>
      </c>
      <c r="AK29" s="42">
        <f t="shared" si="3"/>
        <v>0.9734985961426853</v>
      </c>
      <c r="AL29" s="42">
        <f t="shared" si="4"/>
        <v>-4.7652816109034793E-5</v>
      </c>
      <c r="AM29" s="53">
        <f t="shared" si="5"/>
        <v>0.97249788700439554</v>
      </c>
    </row>
    <row r="30" spans="1:39">
      <c r="AH30" s="39">
        <v>39903</v>
      </c>
      <c r="AI30" s="33">
        <v>-14.95890410958904</v>
      </c>
      <c r="AJ30" s="39">
        <f t="shared" si="2"/>
        <v>39848</v>
      </c>
      <c r="AK30" s="42">
        <f t="shared" si="3"/>
        <v>0.9734985961426853</v>
      </c>
      <c r="AL30" s="42">
        <f t="shared" si="4"/>
        <v>-4.7652816109034793E-5</v>
      </c>
      <c r="AM30" s="53">
        <f t="shared" si="5"/>
        <v>0.97087769125668844</v>
      </c>
    </row>
    <row r="31" spans="1:39">
      <c r="AH31" s="39">
        <v>39994</v>
      </c>
      <c r="AI31" s="33">
        <v>-64</v>
      </c>
      <c r="AJ31" s="39">
        <f t="shared" si="2"/>
        <v>39848</v>
      </c>
      <c r="AK31" s="42">
        <f t="shared" si="3"/>
        <v>0.9734985961426853</v>
      </c>
      <c r="AL31" s="42">
        <f t="shared" si="4"/>
        <v>-4.7652816109034793E-5</v>
      </c>
      <c r="AM31" s="53">
        <f t="shared" si="5"/>
        <v>0.96654128499076619</v>
      </c>
    </row>
    <row r="32" spans="1:39">
      <c r="AH32" s="39">
        <v>40050</v>
      </c>
      <c r="AI32" s="33">
        <v>20.827397260273973</v>
      </c>
      <c r="AJ32" s="39">
        <f t="shared" si="2"/>
        <v>40029</v>
      </c>
      <c r="AK32" s="42">
        <f t="shared" si="3"/>
        <v>0.96487343642695</v>
      </c>
      <c r="AL32" s="42">
        <f t="shared" si="4"/>
        <v>-5.0065333798263291E-5</v>
      </c>
      <c r="AM32" s="53">
        <f t="shared" si="5"/>
        <v>0.96382206441718643</v>
      </c>
    </row>
    <row r="33" spans="2:39">
      <c r="AH33" s="39">
        <v>40086</v>
      </c>
      <c r="AI33" s="33">
        <v>-15.04109589041096</v>
      </c>
      <c r="AJ33" s="39">
        <f t="shared" si="2"/>
        <v>40029</v>
      </c>
      <c r="AK33" s="42">
        <f t="shared" si="3"/>
        <v>0.96487343642695</v>
      </c>
      <c r="AL33" s="42">
        <f t="shared" si="4"/>
        <v>-5.0065333798263291E-5</v>
      </c>
      <c r="AM33" s="53">
        <f t="shared" si="5"/>
        <v>0.96201971240044903</v>
      </c>
    </row>
    <row r="34" spans="2:39">
      <c r="B34" t="s">
        <v>93</v>
      </c>
      <c r="H34" t="s">
        <v>103</v>
      </c>
      <c r="AH34" s="39">
        <v>40234</v>
      </c>
      <c r="AI34" s="33">
        <v>21.172602739726027</v>
      </c>
      <c r="AJ34" s="39">
        <f t="shared" si="2"/>
        <v>40213</v>
      </c>
      <c r="AK34" s="42">
        <f t="shared" si="3"/>
        <v>0.95566141500806956</v>
      </c>
      <c r="AL34" s="42">
        <f t="shared" si="4"/>
        <v>-5.4948988119599676E-5</v>
      </c>
      <c r="AM34" s="53">
        <f t="shared" si="5"/>
        <v>0.95450748625755799</v>
      </c>
    </row>
    <row r="35" spans="2:39">
      <c r="C35" s="1" t="s">
        <v>69</v>
      </c>
      <c r="D35" s="1" t="s">
        <v>91</v>
      </c>
      <c r="E35" s="52" t="s">
        <v>346</v>
      </c>
      <c r="F35" s="1" t="s">
        <v>348</v>
      </c>
      <c r="AH35" s="39">
        <v>40268</v>
      </c>
      <c r="AI35" s="33">
        <v>-14.95890410958904</v>
      </c>
      <c r="AJ35" s="39">
        <f t="shared" si="2"/>
        <v>40213</v>
      </c>
      <c r="AK35" s="42">
        <f t="shared" si="3"/>
        <v>0.95566141500806956</v>
      </c>
      <c r="AL35" s="42">
        <f t="shared" si="4"/>
        <v>-5.4948988119599676E-5</v>
      </c>
      <c r="AM35" s="53">
        <f t="shared" si="5"/>
        <v>0.95263922066149154</v>
      </c>
    </row>
    <row r="36" spans="2:39">
      <c r="B36" t="s">
        <v>143</v>
      </c>
      <c r="C36" s="32">
        <f>C4</f>
        <v>38933</v>
      </c>
      <c r="D36" s="1"/>
      <c r="E36" s="102">
        <v>1</v>
      </c>
      <c r="F36" s="55">
        <f>(E37-E36)/(C37-C36)</f>
        <v>-1.0031601627817409E-5</v>
      </c>
      <c r="H36" s="1" t="s">
        <v>135</v>
      </c>
      <c r="I36" s="47" t="s">
        <v>137</v>
      </c>
      <c r="J36" s="52" t="s">
        <v>346</v>
      </c>
      <c r="AH36" s="39">
        <v>40359</v>
      </c>
      <c r="AI36" s="33">
        <v>-64</v>
      </c>
      <c r="AJ36" s="39">
        <f t="shared" si="2"/>
        <v>40213</v>
      </c>
      <c r="AK36" s="42">
        <f t="shared" si="3"/>
        <v>0.95566141500806956</v>
      </c>
      <c r="AL36" s="42">
        <f t="shared" si="4"/>
        <v>-5.4948988119599676E-5</v>
      </c>
      <c r="AM36" s="53">
        <f t="shared" si="5"/>
        <v>0.947638862742608</v>
      </c>
    </row>
    <row r="37" spans="2:39">
      <c r="B37" t="s">
        <v>70</v>
      </c>
      <c r="C37" s="32">
        <v>38964</v>
      </c>
      <c r="D37" s="42">
        <f t="shared" ref="D37:D48" si="6">E8</f>
        <v>0.36125000000000002</v>
      </c>
      <c r="E37" s="102">
        <f t="shared" ref="E37:E47" si="7">J37</f>
        <v>0.99968902034953766</v>
      </c>
      <c r="F37" s="55">
        <f t="shared" ref="F37:F65" si="8">(E38-E37)/(C38-C37)</f>
        <v>-1.1647242352412028E-5</v>
      </c>
      <c r="H37" s="1" t="s">
        <v>105</v>
      </c>
      <c r="I37" s="11">
        <f t="shared" ref="I37:I47" si="9">C37-C$4</f>
        <v>31</v>
      </c>
      <c r="J37" s="1">
        <f t="shared" ref="J37:J47" si="10">100/(100*(1+D37/100*I37/360))</f>
        <v>0.99968902034953766</v>
      </c>
      <c r="M37" s="36"/>
      <c r="AH37" s="39">
        <v>40415</v>
      </c>
      <c r="AI37" s="33">
        <v>20.827397260273973</v>
      </c>
      <c r="AJ37" s="39">
        <f t="shared" si="2"/>
        <v>40394</v>
      </c>
      <c r="AK37" s="42">
        <f t="shared" si="3"/>
        <v>0.94571564815842202</v>
      </c>
      <c r="AL37" s="42">
        <f t="shared" si="4"/>
        <v>-5.6258385687937963E-5</v>
      </c>
      <c r="AM37" s="53">
        <f t="shared" si="5"/>
        <v>0.9445342220589753</v>
      </c>
    </row>
    <row r="38" spans="2:39">
      <c r="B38" t="s">
        <v>71</v>
      </c>
      <c r="C38" s="32">
        <v>38994</v>
      </c>
      <c r="D38" s="42">
        <f t="shared" si="6"/>
        <v>0.39</v>
      </c>
      <c r="E38" s="102">
        <f t="shared" si="7"/>
        <v>0.9993396030789653</v>
      </c>
      <c r="F38" s="55">
        <f t="shared" si="8"/>
        <v>-1.2937560349499869E-5</v>
      </c>
      <c r="H38" s="1" t="s">
        <v>104</v>
      </c>
      <c r="I38" s="11">
        <f t="shared" si="9"/>
        <v>61</v>
      </c>
      <c r="J38" s="1">
        <f t="shared" si="10"/>
        <v>0.9993396030789653</v>
      </c>
      <c r="AH38" s="39">
        <v>40451</v>
      </c>
      <c r="AI38" s="33">
        <v>-15.04109589041096</v>
      </c>
      <c r="AJ38" s="39">
        <f t="shared" si="2"/>
        <v>40394</v>
      </c>
      <c r="AK38" s="42">
        <f t="shared" si="3"/>
        <v>0.94571564815842202</v>
      </c>
      <c r="AL38" s="42">
        <f t="shared" si="4"/>
        <v>-5.6258385687937963E-5</v>
      </c>
      <c r="AM38" s="53">
        <f t="shared" si="5"/>
        <v>0.94250892017420951</v>
      </c>
    </row>
    <row r="39" spans="2:39">
      <c r="B39" t="s">
        <v>72</v>
      </c>
      <c r="C39" s="32">
        <v>39027</v>
      </c>
      <c r="D39" s="42">
        <f t="shared" si="6"/>
        <v>0.41687999999999997</v>
      </c>
      <c r="E39" s="102">
        <f t="shared" si="7"/>
        <v>0.9989126635874318</v>
      </c>
      <c r="F39" s="55">
        <f t="shared" si="8"/>
        <v>-1.3964736200982359E-5</v>
      </c>
      <c r="H39" s="1" t="s">
        <v>106</v>
      </c>
      <c r="I39" s="11">
        <f t="shared" si="9"/>
        <v>94</v>
      </c>
      <c r="J39" s="1">
        <f t="shared" si="10"/>
        <v>0.9989126635874318</v>
      </c>
      <c r="AH39" s="39">
        <v>40599</v>
      </c>
      <c r="AI39" s="33">
        <v>21.172602739726027</v>
      </c>
      <c r="AJ39" s="39">
        <f t="shared" si="2"/>
        <v>40578</v>
      </c>
      <c r="AK39" s="42">
        <f t="shared" si="3"/>
        <v>0.93536410519184143</v>
      </c>
      <c r="AL39" s="42">
        <f t="shared" si="4"/>
        <v>-6.0199536281917776E-5</v>
      </c>
      <c r="AM39" s="53">
        <f t="shared" si="5"/>
        <v>0.93409991492992117</v>
      </c>
    </row>
    <row r="40" spans="2:39">
      <c r="B40" t="s">
        <v>73</v>
      </c>
      <c r="C40" s="32">
        <v>39055</v>
      </c>
      <c r="D40" s="42">
        <f t="shared" si="6"/>
        <v>0.43687999999999999</v>
      </c>
      <c r="E40" s="102">
        <f t="shared" si="7"/>
        <v>0.9985216509738043</v>
      </c>
      <c r="F40" s="55">
        <f t="shared" si="8"/>
        <v>-1.5082083527281461E-5</v>
      </c>
      <c r="H40" s="1" t="s">
        <v>107</v>
      </c>
      <c r="I40" s="11">
        <f t="shared" si="9"/>
        <v>122</v>
      </c>
      <c r="J40" s="1">
        <f t="shared" si="10"/>
        <v>0.9985216509738043</v>
      </c>
      <c r="AH40" s="39">
        <v>40633</v>
      </c>
      <c r="AI40" s="33">
        <v>-14.95890410958904</v>
      </c>
      <c r="AJ40" s="39">
        <f t="shared" si="2"/>
        <v>40578</v>
      </c>
      <c r="AK40" s="42">
        <f t="shared" si="3"/>
        <v>0.93536410519184143</v>
      </c>
      <c r="AL40" s="42">
        <f t="shared" si="4"/>
        <v>-6.0199536281917776E-5</v>
      </c>
      <c r="AM40" s="53">
        <f t="shared" si="5"/>
        <v>0.932053130696336</v>
      </c>
    </row>
    <row r="41" spans="2:39">
      <c r="B41" t="s">
        <v>74</v>
      </c>
      <c r="C41" s="32">
        <v>39086</v>
      </c>
      <c r="D41" s="42">
        <f t="shared" si="6"/>
        <v>0.45874999999999999</v>
      </c>
      <c r="E41" s="102">
        <f t="shared" si="7"/>
        <v>0.99805410638445857</v>
      </c>
      <c r="F41" s="55">
        <f t="shared" si="8"/>
        <v>-1.7842198194100573E-5</v>
      </c>
      <c r="H41" s="1" t="s">
        <v>108</v>
      </c>
      <c r="I41" s="11">
        <f t="shared" si="9"/>
        <v>153</v>
      </c>
      <c r="J41" s="1">
        <f t="shared" si="10"/>
        <v>0.99805410638445857</v>
      </c>
      <c r="AH41" s="39">
        <v>40724</v>
      </c>
      <c r="AI41" s="33">
        <v>-64</v>
      </c>
      <c r="AJ41" s="39">
        <f t="shared" si="2"/>
        <v>40578</v>
      </c>
      <c r="AK41" s="42">
        <f t="shared" si="3"/>
        <v>0.93536410519184143</v>
      </c>
      <c r="AL41" s="42">
        <f t="shared" si="4"/>
        <v>-6.0199536281917776E-5</v>
      </c>
      <c r="AM41" s="53">
        <f t="shared" si="5"/>
        <v>0.92657497289468149</v>
      </c>
    </row>
    <row r="42" spans="2:39">
      <c r="B42" t="s">
        <v>75</v>
      </c>
      <c r="C42" s="32">
        <v>39118</v>
      </c>
      <c r="D42" s="42">
        <f t="shared" si="6"/>
        <v>0.49099999999999999</v>
      </c>
      <c r="E42" s="102">
        <f t="shared" si="7"/>
        <v>0.99748315604224735</v>
      </c>
      <c r="F42" s="55">
        <f t="shared" si="8"/>
        <v>-1.8476313253733873E-5</v>
      </c>
      <c r="H42" s="1" t="s">
        <v>109</v>
      </c>
      <c r="I42" s="11">
        <f t="shared" si="9"/>
        <v>185</v>
      </c>
      <c r="J42" s="1">
        <f t="shared" si="10"/>
        <v>0.99748315604224735</v>
      </c>
      <c r="AH42" s="39">
        <v>40780</v>
      </c>
      <c r="AI42" s="33">
        <v>20.827397260273973</v>
      </c>
      <c r="AJ42" s="39">
        <f t="shared" si="2"/>
        <v>40759</v>
      </c>
      <c r="AK42" s="42">
        <f t="shared" si="3"/>
        <v>0.92446798912481432</v>
      </c>
      <c r="AL42" s="42">
        <f t="shared" si="4"/>
        <v>-5.9984660578181545E-5</v>
      </c>
      <c r="AM42" s="53">
        <f t="shared" si="5"/>
        <v>0.92320831125267255</v>
      </c>
    </row>
    <row r="43" spans="2:39">
      <c r="B43" t="s">
        <v>76</v>
      </c>
      <c r="C43" s="32">
        <v>39146</v>
      </c>
      <c r="D43" s="42">
        <f t="shared" si="6"/>
        <v>0.51437999999999995</v>
      </c>
      <c r="E43" s="102">
        <f t="shared" si="7"/>
        <v>0.99696581927114281</v>
      </c>
      <c r="F43" s="55">
        <f t="shared" si="8"/>
        <v>-2.1176901284062724E-5</v>
      </c>
      <c r="H43" s="1" t="s">
        <v>110</v>
      </c>
      <c r="I43" s="11">
        <f t="shared" si="9"/>
        <v>213</v>
      </c>
      <c r="J43" s="1">
        <f t="shared" si="10"/>
        <v>0.99696581927114281</v>
      </c>
      <c r="AH43" s="39">
        <v>40816</v>
      </c>
      <c r="AI43" s="33">
        <v>-15.04109589041096</v>
      </c>
      <c r="AJ43" s="39">
        <f t="shared" si="2"/>
        <v>40759</v>
      </c>
      <c r="AK43" s="42">
        <f t="shared" si="3"/>
        <v>0.92446798912481432</v>
      </c>
      <c r="AL43" s="42">
        <f t="shared" si="4"/>
        <v>-5.9984660578181545E-5</v>
      </c>
      <c r="AM43" s="53">
        <f t="shared" si="5"/>
        <v>0.92104886347185799</v>
      </c>
    </row>
    <row r="44" spans="2:39">
      <c r="B44" t="s">
        <v>77</v>
      </c>
      <c r="C44" s="32">
        <v>39176</v>
      </c>
      <c r="D44" s="42">
        <f t="shared" si="6"/>
        <v>0.54562999999999995</v>
      </c>
      <c r="E44" s="102">
        <f t="shared" si="7"/>
        <v>0.99633051223262092</v>
      </c>
      <c r="F44" s="55">
        <f t="shared" si="8"/>
        <v>-2.2399940382245022E-5</v>
      </c>
      <c r="H44" s="1" t="s">
        <v>111</v>
      </c>
      <c r="I44" s="11">
        <f t="shared" si="9"/>
        <v>243</v>
      </c>
      <c r="J44" s="1">
        <f t="shared" si="10"/>
        <v>0.99633051223262092</v>
      </c>
      <c r="AH44" s="39">
        <v>40966</v>
      </c>
      <c r="AI44" s="33">
        <v>21.402739726027399</v>
      </c>
      <c r="AJ44" s="39">
        <f t="shared" si="2"/>
        <v>40945</v>
      </c>
      <c r="AK44" s="42">
        <f t="shared" si="3"/>
        <v>0.91331084225727255</v>
      </c>
      <c r="AL44" s="42">
        <f t="shared" si="4"/>
        <v>-6.3075691128480185E-5</v>
      </c>
      <c r="AM44" s="53">
        <f t="shared" si="5"/>
        <v>0.91198625274357448</v>
      </c>
    </row>
    <row r="45" spans="2:39">
      <c r="B45" t="s">
        <v>78</v>
      </c>
      <c r="C45" s="32">
        <v>39206</v>
      </c>
      <c r="D45" s="42">
        <f t="shared" si="6"/>
        <v>0.57499999999999996</v>
      </c>
      <c r="E45" s="102">
        <f t="shared" si="7"/>
        <v>0.99565851402115357</v>
      </c>
      <c r="F45" s="55">
        <f t="shared" si="8"/>
        <v>-2.3580200015894277E-5</v>
      </c>
      <c r="H45" s="1" t="s">
        <v>112</v>
      </c>
      <c r="I45" s="11">
        <f t="shared" si="9"/>
        <v>273</v>
      </c>
      <c r="J45" s="1">
        <f t="shared" si="10"/>
        <v>0.99565851402115357</v>
      </c>
      <c r="AH45" s="39">
        <v>40998</v>
      </c>
      <c r="AI45" s="33">
        <v>-14.95890410958904</v>
      </c>
      <c r="AJ45" s="39">
        <f t="shared" si="2"/>
        <v>40945</v>
      </c>
      <c r="AK45" s="42">
        <f t="shared" si="3"/>
        <v>0.91331084225727255</v>
      </c>
      <c r="AL45" s="42">
        <f t="shared" si="4"/>
        <v>-6.3075691128480185E-5</v>
      </c>
      <c r="AM45" s="53">
        <f t="shared" si="5"/>
        <v>0.90996783062746311</v>
      </c>
    </row>
    <row r="46" spans="2:39">
      <c r="B46" t="s">
        <v>79</v>
      </c>
      <c r="C46" s="32">
        <v>39237</v>
      </c>
      <c r="D46" s="42">
        <f t="shared" si="6"/>
        <v>0.60375000000000001</v>
      </c>
      <c r="E46" s="102">
        <f t="shared" si="7"/>
        <v>0.99492752782066085</v>
      </c>
      <c r="F46" s="55">
        <f t="shared" si="8"/>
        <v>-2.5382915186222821E-5</v>
      </c>
      <c r="H46" s="1" t="s">
        <v>113</v>
      </c>
      <c r="I46" s="11">
        <f t="shared" si="9"/>
        <v>304</v>
      </c>
      <c r="J46" s="1">
        <f t="shared" si="10"/>
        <v>0.99492752782066085</v>
      </c>
      <c r="AH46" s="39">
        <v>41089</v>
      </c>
      <c r="AI46" s="33">
        <v>-64</v>
      </c>
      <c r="AJ46" s="39">
        <f t="shared" si="2"/>
        <v>40945</v>
      </c>
      <c r="AK46" s="42">
        <f t="shared" si="3"/>
        <v>0.91331084225727255</v>
      </c>
      <c r="AL46" s="42">
        <f t="shared" si="4"/>
        <v>-6.3075691128480185E-5</v>
      </c>
      <c r="AM46" s="53">
        <f t="shared" si="5"/>
        <v>0.90422794273477136</v>
      </c>
    </row>
    <row r="47" spans="2:39">
      <c r="B47" t="s">
        <v>80</v>
      </c>
      <c r="C47" s="32">
        <v>39267</v>
      </c>
      <c r="D47" s="42">
        <f t="shared" si="6"/>
        <v>0.63249999999999995</v>
      </c>
      <c r="E47" s="102">
        <f t="shared" si="7"/>
        <v>0.99416604036507417</v>
      </c>
      <c r="F47" s="55">
        <f t="shared" si="8"/>
        <v>-2.7325102685757805E-5</v>
      </c>
      <c r="H47" s="1" t="s">
        <v>114</v>
      </c>
      <c r="I47" s="11">
        <f t="shared" si="9"/>
        <v>334</v>
      </c>
      <c r="J47" s="1">
        <f t="shared" si="10"/>
        <v>0.99416604036507417</v>
      </c>
      <c r="L47" s="43"/>
      <c r="AH47" s="39">
        <v>41148</v>
      </c>
      <c r="AI47" s="33">
        <v>20.942465753424656</v>
      </c>
      <c r="AJ47" s="39">
        <f t="shared" si="2"/>
        <v>41127</v>
      </c>
      <c r="AK47" s="42">
        <f t="shared" si="3"/>
        <v>0.90183106647188915</v>
      </c>
      <c r="AL47" s="42">
        <f t="shared" si="4"/>
        <v>-6.2927070345216389E-5</v>
      </c>
      <c r="AM47" s="53">
        <f t="shared" si="5"/>
        <v>0.90050959799463959</v>
      </c>
    </row>
    <row r="48" spans="2:39">
      <c r="B48" t="s">
        <v>92</v>
      </c>
      <c r="C48" s="32">
        <v>39300</v>
      </c>
      <c r="D48" s="45">
        <f t="shared" si="6"/>
        <v>0.67300000000000004</v>
      </c>
      <c r="E48" s="102">
        <f t="shared" ref="E48:E66" si="11">K52</f>
        <v>0.99326431197644416</v>
      </c>
      <c r="F48" s="55">
        <f t="shared" si="8"/>
        <v>-3.0356114370535024E-5</v>
      </c>
      <c r="H48" s="40"/>
      <c r="AH48" s="39">
        <v>41180</v>
      </c>
      <c r="AI48" s="33">
        <v>-2014.958904109589</v>
      </c>
      <c r="AJ48" s="39">
        <f t="shared" si="2"/>
        <v>41127</v>
      </c>
      <c r="AK48" s="42">
        <f t="shared" si="3"/>
        <v>0.90183106647188915</v>
      </c>
      <c r="AL48" s="42">
        <f t="shared" si="4"/>
        <v>-6.2927070345216389E-5</v>
      </c>
      <c r="AM48" s="53">
        <f t="shared" si="5"/>
        <v>0.89849593174359266</v>
      </c>
    </row>
    <row r="49" spans="2:39">
      <c r="B49" t="s">
        <v>81</v>
      </c>
      <c r="C49" s="32">
        <v>39482</v>
      </c>
      <c r="D49" s="45">
        <f>E20</f>
        <v>0.82099999999999995</v>
      </c>
      <c r="E49" s="102">
        <f t="shared" si="11"/>
        <v>0.98773949916100678</v>
      </c>
      <c r="F49" s="55">
        <f t="shared" si="8"/>
        <v>-3.6230416449353975E-5</v>
      </c>
      <c r="H49" s="40" t="s">
        <v>136</v>
      </c>
      <c r="AH49" s="39">
        <v>41330</v>
      </c>
      <c r="AI49" s="33">
        <v>3020.9424657534246</v>
      </c>
      <c r="AJ49" s="39">
        <f t="shared" si="2"/>
        <v>41309</v>
      </c>
      <c r="AK49" s="42">
        <f t="shared" si="3"/>
        <v>0.89037833966905977</v>
      </c>
      <c r="AL49" s="42">
        <f t="shared" si="4"/>
        <v>-6.5378756564292236E-5</v>
      </c>
      <c r="AM49" s="53">
        <f t="shared" si="5"/>
        <v>0.88900538578120958</v>
      </c>
    </row>
    <row r="50" spans="2:39">
      <c r="B50" t="s">
        <v>82</v>
      </c>
      <c r="C50" s="32">
        <v>39664</v>
      </c>
      <c r="D50" s="45">
        <f>E21</f>
        <v>0.95099999999999996</v>
      </c>
      <c r="E50" s="102">
        <f t="shared" si="11"/>
        <v>0.98114556336722436</v>
      </c>
      <c r="F50" s="55">
        <f t="shared" si="8"/>
        <v>-4.1559604481190532E-5</v>
      </c>
      <c r="H50" s="11" t="s">
        <v>135</v>
      </c>
      <c r="I50" s="1" t="s">
        <v>138</v>
      </c>
      <c r="J50" s="51" t="s">
        <v>139</v>
      </c>
      <c r="K50" s="52" t="s">
        <v>346</v>
      </c>
      <c r="AH50" s="39">
        <v>41453</v>
      </c>
      <c r="AI50" s="33">
        <v>-63.824657534246576</v>
      </c>
      <c r="AJ50" s="39">
        <f t="shared" si="2"/>
        <v>41309</v>
      </c>
      <c r="AK50" s="42">
        <f t="shared" si="3"/>
        <v>0.89037833966905977</v>
      </c>
      <c r="AL50" s="42">
        <f t="shared" si="4"/>
        <v>-6.5378756564292236E-5</v>
      </c>
      <c r="AM50" s="53">
        <f t="shared" si="5"/>
        <v>0.88096379872380171</v>
      </c>
    </row>
    <row r="51" spans="2:39">
      <c r="B51" t="s">
        <v>94</v>
      </c>
      <c r="C51" s="32">
        <v>39848</v>
      </c>
      <c r="D51" s="45">
        <f>D50+(D52-D50)/(C52-C50)*(C51-C50)</f>
        <v>1.0714821917808219</v>
      </c>
      <c r="E51" s="102">
        <f t="shared" si="11"/>
        <v>0.9734985961426853</v>
      </c>
      <c r="F51" s="55">
        <f t="shared" si="8"/>
        <v>-4.7652816109034793E-5</v>
      </c>
      <c r="H51" s="11" t="s">
        <v>115</v>
      </c>
      <c r="I51" s="50">
        <f>I42</f>
        <v>185</v>
      </c>
      <c r="J51" s="45">
        <f>I51/365</f>
        <v>0.50684931506849318</v>
      </c>
      <c r="K51" s="42">
        <f>J42</f>
        <v>0.99748315604224735</v>
      </c>
      <c r="AH51" s="39">
        <v>41820</v>
      </c>
      <c r="AI51" s="33">
        <v>-64.350684931506848</v>
      </c>
      <c r="AJ51" s="39">
        <f t="shared" si="2"/>
        <v>41674</v>
      </c>
      <c r="AK51" s="42">
        <f t="shared" si="3"/>
        <v>0.86678448903851057</v>
      </c>
      <c r="AL51" s="42">
        <f t="shared" si="4"/>
        <v>-6.5768084829210074E-5</v>
      </c>
      <c r="AM51" s="53">
        <f t="shared" si="5"/>
        <v>0.85718234865344589</v>
      </c>
    </row>
    <row r="52" spans="2:39">
      <c r="B52" t="s">
        <v>83</v>
      </c>
      <c r="C52" s="32">
        <v>40029</v>
      </c>
      <c r="D52" s="45">
        <f>E22</f>
        <v>1.19</v>
      </c>
      <c r="E52" s="102">
        <f t="shared" si="11"/>
        <v>0.96487343642695</v>
      </c>
      <c r="F52" s="55">
        <f t="shared" si="8"/>
        <v>-5.0065333798263291E-5</v>
      </c>
      <c r="H52" s="11" t="s">
        <v>116</v>
      </c>
      <c r="I52" s="11">
        <f>(C48-C42)</f>
        <v>182</v>
      </c>
      <c r="J52" s="45">
        <f t="shared" ref="J52:J70" si="12">I52/365</f>
        <v>0.49863013698630138</v>
      </c>
      <c r="K52" s="1">
        <f>(100-D48*SUMPRODUCT(J$51:J51,K$51:K51))/(100+D48*J52)</f>
        <v>0.99326431197644416</v>
      </c>
      <c r="AH52" s="39">
        <v>42185</v>
      </c>
      <c r="AI52" s="33">
        <v>-64</v>
      </c>
      <c r="AJ52" s="39">
        <f t="shared" si="2"/>
        <v>42039</v>
      </c>
      <c r="AK52" s="42">
        <f t="shared" si="3"/>
        <v>0.84317245452429823</v>
      </c>
      <c r="AL52" s="42">
        <f t="shared" si="4"/>
        <v>-6.4987657147996941E-5</v>
      </c>
      <c r="AM52" s="53">
        <f t="shared" si="5"/>
        <v>0.83368425658069067</v>
      </c>
    </row>
    <row r="53" spans="2:39">
      <c r="B53" t="s">
        <v>95</v>
      </c>
      <c r="C53" s="32">
        <v>40213</v>
      </c>
      <c r="D53" s="45">
        <f>D52+(D54-D52)/(C54-C52)*(C53-C52)</f>
        <v>1.2913260273972602</v>
      </c>
      <c r="E53" s="102">
        <f t="shared" si="11"/>
        <v>0.95566141500806956</v>
      </c>
      <c r="F53" s="55">
        <f t="shared" si="8"/>
        <v>-5.4948988119599676E-5</v>
      </c>
      <c r="H53" s="11" t="s">
        <v>117</v>
      </c>
      <c r="I53" s="11">
        <f t="shared" ref="I53:I70" si="13">C49-C48</f>
        <v>182</v>
      </c>
      <c r="J53" s="45">
        <f t="shared" si="12"/>
        <v>0.49863013698630138</v>
      </c>
      <c r="K53" s="1">
        <f>(100-D49*SUMPRODUCT(J$51:J52,K$51:K52))/(100+D49*J53)</f>
        <v>0.98773949916100678</v>
      </c>
      <c r="AH53" s="39">
        <v>42551</v>
      </c>
      <c r="AI53" s="33">
        <v>-4064.1753424657531</v>
      </c>
      <c r="AJ53" s="39">
        <f t="shared" si="2"/>
        <v>42404</v>
      </c>
      <c r="AK53" s="42">
        <f t="shared" si="3"/>
        <v>0.81961618036984452</v>
      </c>
      <c r="AL53" s="42">
        <f t="shared" si="4"/>
        <v>-6.5163346519981152E-5</v>
      </c>
      <c r="AM53" s="53">
        <f t="shared" si="5"/>
        <v>0.81003716843140727</v>
      </c>
    </row>
    <row r="54" spans="2:39">
      <c r="B54" t="s">
        <v>84</v>
      </c>
      <c r="C54" s="32">
        <v>40394</v>
      </c>
      <c r="D54" s="45">
        <f>E23</f>
        <v>1.391</v>
      </c>
      <c r="E54" s="102">
        <f t="shared" si="11"/>
        <v>0.94571564815842202</v>
      </c>
      <c r="F54" s="55">
        <f t="shared" si="8"/>
        <v>-5.6258385687937963E-5</v>
      </c>
      <c r="H54" s="11" t="s">
        <v>118</v>
      </c>
      <c r="I54" s="11">
        <f t="shared" si="13"/>
        <v>182</v>
      </c>
      <c r="J54" s="45">
        <f t="shared" si="12"/>
        <v>0.49863013698630138</v>
      </c>
      <c r="K54" s="1">
        <f>(100-D50*SUMPRODUCT(J$51:J53,K$51:K53))/(100+D50*J54)</f>
        <v>0.98114556336722436</v>
      </c>
    </row>
    <row r="55" spans="2:39">
      <c r="B55" t="s">
        <v>96</v>
      </c>
      <c r="C55" s="32">
        <v>40578</v>
      </c>
      <c r="D55" s="45">
        <f>D54+(D56-D54)/(C56-C54)*(C55-C54)</f>
        <v>1.4777068493150685</v>
      </c>
      <c r="E55" s="102">
        <f t="shared" si="11"/>
        <v>0.93536410519184143</v>
      </c>
      <c r="F55" s="55">
        <f t="shared" si="8"/>
        <v>-6.0199536281917776E-5</v>
      </c>
      <c r="H55" s="11" t="s">
        <v>119</v>
      </c>
      <c r="I55" s="11">
        <f t="shared" si="13"/>
        <v>184</v>
      </c>
      <c r="J55" s="45">
        <f t="shared" si="12"/>
        <v>0.50410958904109593</v>
      </c>
      <c r="K55" s="1">
        <f>(100-D51*SUMPRODUCT(J$51:J54,K$51:K54))/(100+D51*J55)</f>
        <v>0.9734985961426853</v>
      </c>
      <c r="AH55" t="s">
        <v>163</v>
      </c>
    </row>
    <row r="56" spans="2:39" ht="15" thickBot="1">
      <c r="B56" t="s">
        <v>85</v>
      </c>
      <c r="C56" s="32">
        <v>40759</v>
      </c>
      <c r="D56" s="45">
        <f>E24</f>
        <v>1.5629999999999999</v>
      </c>
      <c r="E56" s="102">
        <f t="shared" si="11"/>
        <v>0.92446798912481432</v>
      </c>
      <c r="F56" s="55">
        <f t="shared" si="8"/>
        <v>-5.9984660578181545E-5</v>
      </c>
      <c r="H56" s="11" t="s">
        <v>120</v>
      </c>
      <c r="I56" s="11">
        <f t="shared" si="13"/>
        <v>181</v>
      </c>
      <c r="J56" s="45">
        <f t="shared" si="12"/>
        <v>0.49589041095890413</v>
      </c>
      <c r="K56" s="1">
        <f>(100-D52*SUMPRODUCT(J$51:J55,K$51:K55))/(100+D52*J56)</f>
        <v>0.96487343642695</v>
      </c>
    </row>
    <row r="57" spans="2:39">
      <c r="B57" t="s">
        <v>97</v>
      </c>
      <c r="C57" s="32">
        <v>40945</v>
      </c>
      <c r="D57" s="45">
        <f>D56+(D58-D56)/(C58-C56)*(C57-C56)</f>
        <v>1.6362880434782607</v>
      </c>
      <c r="E57" s="102">
        <f t="shared" si="11"/>
        <v>0.91331084225727255</v>
      </c>
      <c r="F57" s="55">
        <f t="shared" si="8"/>
        <v>-6.3075691128480185E-5</v>
      </c>
      <c r="H57" s="11" t="s">
        <v>121</v>
      </c>
      <c r="I57" s="11">
        <f t="shared" si="13"/>
        <v>184</v>
      </c>
      <c r="J57" s="45">
        <f t="shared" si="12"/>
        <v>0.50410958904109593</v>
      </c>
      <c r="K57" s="1">
        <f>(100-D53*SUMPRODUCT(J$51:J56,K$51:K56))/(100+D53*J57)</f>
        <v>0.95566141500806956</v>
      </c>
      <c r="AH57" s="90" t="s">
        <v>157</v>
      </c>
      <c r="AI57" s="109">
        <f>SUMPRODUCT(AI8:AI53,AM8:AM53)</f>
        <v>276.17708885307457</v>
      </c>
      <c r="AJ57" t="s">
        <v>162</v>
      </c>
    </row>
    <row r="58" spans="2:39">
      <c r="B58" t="s">
        <v>86</v>
      </c>
      <c r="C58" s="32">
        <v>41127</v>
      </c>
      <c r="D58" s="45">
        <f>E25</f>
        <v>1.708</v>
      </c>
      <c r="E58" s="102">
        <f t="shared" si="11"/>
        <v>0.90183106647188915</v>
      </c>
      <c r="F58" s="55">
        <f t="shared" si="8"/>
        <v>-6.2927070345216389E-5</v>
      </c>
      <c r="H58" s="11" t="s">
        <v>122</v>
      </c>
      <c r="I58" s="11">
        <f t="shared" si="13"/>
        <v>181</v>
      </c>
      <c r="J58" s="45">
        <f t="shared" si="12"/>
        <v>0.49589041095890413</v>
      </c>
      <c r="K58" s="1">
        <f>(100-D54*SUMPRODUCT(J$51:J57,K$51:K57))/(100+D54*J58)</f>
        <v>0.94571564815842202</v>
      </c>
      <c r="AH58" s="78" t="s">
        <v>161</v>
      </c>
      <c r="AI58" s="83">
        <v>276.1770888530732</v>
      </c>
      <c r="AJ58" t="s">
        <v>162</v>
      </c>
    </row>
    <row r="59" spans="2:39" ht="15" thickBot="1">
      <c r="B59" t="s">
        <v>98</v>
      </c>
      <c r="C59" s="32">
        <v>41309</v>
      </c>
      <c r="D59" s="45">
        <f>D58+(D60-D58)/(C60-C58)*(C59-C58)</f>
        <v>1.7705</v>
      </c>
      <c r="E59" s="102">
        <f t="shared" si="11"/>
        <v>0.89037833966905977</v>
      </c>
      <c r="F59" s="55">
        <f t="shared" si="8"/>
        <v>-6.5378756564292236E-5</v>
      </c>
      <c r="H59" s="11" t="s">
        <v>123</v>
      </c>
      <c r="I59" s="11">
        <f t="shared" si="13"/>
        <v>184</v>
      </c>
      <c r="J59" s="45">
        <f t="shared" si="12"/>
        <v>0.50410958904109593</v>
      </c>
      <c r="K59" s="1">
        <f>(100-D55*SUMPRODUCT(J$51:J58,K$51:K58))/(100+D55*J59)</f>
        <v>0.93536410519184143</v>
      </c>
      <c r="AH59" s="79" t="s">
        <v>160</v>
      </c>
      <c r="AI59" s="101">
        <f>AI57-AI58</f>
        <v>1.3642420526593924E-12</v>
      </c>
      <c r="AJ59" t="s">
        <v>162</v>
      </c>
    </row>
    <row r="60" spans="2:39">
      <c r="B60" t="s">
        <v>87</v>
      </c>
      <c r="C60" s="32">
        <v>41491</v>
      </c>
      <c r="D60" s="45">
        <f>E26</f>
        <v>1.833</v>
      </c>
      <c r="E60" s="102">
        <f t="shared" si="11"/>
        <v>0.87847940597435858</v>
      </c>
      <c r="F60" s="55">
        <f t="shared" si="8"/>
        <v>-6.3906649922666718E-5</v>
      </c>
      <c r="H60" s="11" t="s">
        <v>124</v>
      </c>
      <c r="I60" s="11">
        <f t="shared" si="13"/>
        <v>181</v>
      </c>
      <c r="J60" s="45">
        <f t="shared" si="12"/>
        <v>0.49589041095890413</v>
      </c>
      <c r="K60" s="1">
        <f>(100-D56*SUMPRODUCT(J$51:J59,K$51:K59))/(100+D56*J60)</f>
        <v>0.92446798912481432</v>
      </c>
      <c r="AG60" t="s">
        <v>70</v>
      </c>
      <c r="AH60" s="90">
        <v>1</v>
      </c>
      <c r="AI60" s="91">
        <f t="dataTable" ref="AI60:AI83" dt2D="0" dtr="0" r1="E5"/>
        <v>1.4528460869314586E-2</v>
      </c>
    </row>
    <row r="61" spans="2:39">
      <c r="B61" t="s">
        <v>99</v>
      </c>
      <c r="C61" s="32">
        <v>41674</v>
      </c>
      <c r="D61" s="45">
        <f>D60+(D62-D60)/(C62-C60)*(C61-C60)</f>
        <v>1.8857884615384615</v>
      </c>
      <c r="E61" s="102">
        <f t="shared" si="11"/>
        <v>0.86678448903851057</v>
      </c>
      <c r="F61" s="55">
        <f t="shared" si="8"/>
        <v>-6.5768084829210074E-5</v>
      </c>
      <c r="H61" s="11" t="s">
        <v>125</v>
      </c>
      <c r="I61" s="11">
        <f t="shared" si="13"/>
        <v>186</v>
      </c>
      <c r="J61" s="45">
        <f t="shared" si="12"/>
        <v>0.50958904109589043</v>
      </c>
      <c r="K61" s="1">
        <f>(100-D57*SUMPRODUCT(J$51:J60,K$51:K60))/(100+D57*J61)</f>
        <v>0.91331084225727255</v>
      </c>
      <c r="AG61" t="s">
        <v>71</v>
      </c>
      <c r="AH61" s="78">
        <v>2</v>
      </c>
      <c r="AI61" s="92">
        <v>-1.276951294448736E-2</v>
      </c>
    </row>
    <row r="62" spans="2:39">
      <c r="B62" t="s">
        <v>88</v>
      </c>
      <c r="C62" s="32">
        <v>41855</v>
      </c>
      <c r="D62" s="45">
        <f>E27</f>
        <v>1.9379999999999999</v>
      </c>
      <c r="E62" s="102">
        <f t="shared" si="11"/>
        <v>0.85488046568442355</v>
      </c>
      <c r="F62" s="55">
        <f t="shared" si="8"/>
        <v>-6.363049543546369E-5</v>
      </c>
      <c r="H62" s="11" t="s">
        <v>126</v>
      </c>
      <c r="I62" s="11">
        <f t="shared" si="13"/>
        <v>182</v>
      </c>
      <c r="J62" s="45">
        <f t="shared" si="12"/>
        <v>0.49863013698630138</v>
      </c>
      <c r="K62" s="1">
        <f>(100-D58*SUMPRODUCT(J$51:J61,K$51:K61))/(100+D58*J62)</f>
        <v>0.90183106647188915</v>
      </c>
      <c r="AG62" t="s">
        <v>72</v>
      </c>
      <c r="AH62" s="78">
        <v>3</v>
      </c>
      <c r="AI62" s="92">
        <v>0.10562821475059536</v>
      </c>
    </row>
    <row r="63" spans="2:39">
      <c r="B63" t="s">
        <v>100</v>
      </c>
      <c r="C63" s="32">
        <v>42039</v>
      </c>
      <c r="D63" s="45">
        <f>D62+(D64-D62)/(C64-C62)*(C63-C62)</f>
        <v>1.9818575342465752</v>
      </c>
      <c r="E63" s="102">
        <f t="shared" si="11"/>
        <v>0.84317245452429823</v>
      </c>
      <c r="F63" s="55">
        <f t="shared" si="8"/>
        <v>-6.4987657147996941E-5</v>
      </c>
      <c r="H63" s="11" t="s">
        <v>127</v>
      </c>
      <c r="I63" s="11">
        <f t="shared" si="13"/>
        <v>182</v>
      </c>
      <c r="J63" s="45">
        <f t="shared" si="12"/>
        <v>0.49863013698630138</v>
      </c>
      <c r="K63" s="1">
        <f>(100-D59*SUMPRODUCT(J$51:J62,K$51:K62))/(100+D59*J63)</f>
        <v>0.89037833966905977</v>
      </c>
      <c r="AG63" t="s">
        <v>73</v>
      </c>
      <c r="AH63" s="78">
        <v>4</v>
      </c>
      <c r="AI63" s="92">
        <v>1.3642420526593924E-12</v>
      </c>
    </row>
    <row r="64" spans="2:39">
      <c r="B64" t="s">
        <v>89</v>
      </c>
      <c r="C64" s="32">
        <v>42220</v>
      </c>
      <c r="D64" s="45">
        <f>E28</f>
        <v>2.0249999999999999</v>
      </c>
      <c r="E64" s="102">
        <f t="shared" si="11"/>
        <v>0.83140968858051079</v>
      </c>
      <c r="F64" s="55">
        <f t="shared" si="8"/>
        <v>-6.4095153318838421E-5</v>
      </c>
      <c r="H64" s="11" t="s">
        <v>128</v>
      </c>
      <c r="I64" s="11">
        <f t="shared" si="13"/>
        <v>182</v>
      </c>
      <c r="J64" s="45">
        <f t="shared" si="12"/>
        <v>0.49863013698630138</v>
      </c>
      <c r="K64" s="1">
        <f>(100-D60*SUMPRODUCT(J$51:J63,K$51:K63))/(100+D60*J64)</f>
        <v>0.87847940597435858</v>
      </c>
      <c r="AG64" t="s">
        <v>74</v>
      </c>
      <c r="AH64" s="78">
        <v>5</v>
      </c>
      <c r="AI64" s="92">
        <v>1.3642420526593924E-12</v>
      </c>
    </row>
    <row r="65" spans="2:35">
      <c r="B65" t="s">
        <v>101</v>
      </c>
      <c r="C65" s="32">
        <v>42404</v>
      </c>
      <c r="D65" s="45">
        <f>D64+(D66-D64)/(C66-C64)*(C65-C64)</f>
        <v>2.0642131147540983</v>
      </c>
      <c r="E65" s="102">
        <f t="shared" si="11"/>
        <v>0.81961618036984452</v>
      </c>
      <c r="F65" s="55">
        <f t="shared" si="8"/>
        <v>-6.5163346519981152E-5</v>
      </c>
      <c r="H65" s="11" t="s">
        <v>129</v>
      </c>
      <c r="I65" s="11">
        <f t="shared" si="13"/>
        <v>183</v>
      </c>
      <c r="J65" s="45">
        <f t="shared" si="12"/>
        <v>0.50136986301369868</v>
      </c>
      <c r="K65" s="1">
        <f>(100-D61*SUMPRODUCT(J$51:J64,K$51:K64))/(100+D61*J65)</f>
        <v>0.86678448903851057</v>
      </c>
      <c r="AG65" t="s">
        <v>75</v>
      </c>
      <c r="AH65" s="78">
        <v>6</v>
      </c>
      <c r="AI65" s="92">
        <v>-5.8042085493070772E-4</v>
      </c>
    </row>
    <row r="66" spans="2:35">
      <c r="B66" t="s">
        <v>90</v>
      </c>
      <c r="C66" s="32">
        <v>42586</v>
      </c>
      <c r="D66" s="45">
        <f>E29</f>
        <v>2.1030000000000002</v>
      </c>
      <c r="E66" s="102">
        <f t="shared" si="11"/>
        <v>0.80775645130320795</v>
      </c>
      <c r="F66" s="55"/>
      <c r="H66" s="11" t="s">
        <v>130</v>
      </c>
      <c r="I66" s="11">
        <f t="shared" si="13"/>
        <v>181</v>
      </c>
      <c r="J66" s="45">
        <f t="shared" si="12"/>
        <v>0.49589041095890413</v>
      </c>
      <c r="K66" s="1">
        <f>(100-D62*SUMPRODUCT(J$51:J65,K$51:K65))/(100+D62*J66)</f>
        <v>0.85488046568442355</v>
      </c>
      <c r="AG66" t="s">
        <v>76</v>
      </c>
      <c r="AH66" s="78">
        <v>7</v>
      </c>
      <c r="AI66" s="92">
        <v>-7.9225233412216767E-4</v>
      </c>
    </row>
    <row r="67" spans="2:35">
      <c r="H67" s="11" t="s">
        <v>131</v>
      </c>
      <c r="I67" s="11">
        <f t="shared" si="13"/>
        <v>184</v>
      </c>
      <c r="J67" s="45">
        <f t="shared" si="12"/>
        <v>0.50410958904109593</v>
      </c>
      <c r="K67" s="1">
        <f>(100-D63*SUMPRODUCT(J$51:J66,K$51:K66))/(100+D63*J67)</f>
        <v>0.84317245452429823</v>
      </c>
      <c r="AG67" t="s">
        <v>77</v>
      </c>
      <c r="AH67" s="78">
        <v>8</v>
      </c>
      <c r="AI67" s="92">
        <v>3.9221602992256521E-4</v>
      </c>
    </row>
    <row r="68" spans="2:35">
      <c r="H68" s="11" t="s">
        <v>132</v>
      </c>
      <c r="I68" s="11">
        <f t="shared" si="13"/>
        <v>181</v>
      </c>
      <c r="J68" s="45">
        <f t="shared" si="12"/>
        <v>0.49589041095890413</v>
      </c>
      <c r="K68" s="1">
        <f>(100-D64*SUMPRODUCT(J$51:J67,K$51:K67))/(100+D64*J68)</f>
        <v>0.83140968858051079</v>
      </c>
      <c r="AG68" t="s">
        <v>78</v>
      </c>
      <c r="AH68" s="78">
        <v>9</v>
      </c>
      <c r="AI68" s="92">
        <v>-3.2306207899637229E-3</v>
      </c>
    </row>
    <row r="69" spans="2:35">
      <c r="H69" s="49" t="s">
        <v>133</v>
      </c>
      <c r="I69" s="11">
        <f t="shared" si="13"/>
        <v>184</v>
      </c>
      <c r="J69" s="45">
        <f t="shared" si="12"/>
        <v>0.50410958904109593</v>
      </c>
      <c r="K69" s="1">
        <f>(100-D65*SUMPRODUCT(J$51:J68,K$51:K68))/(100+D65*J69)</f>
        <v>0.81961618036984452</v>
      </c>
      <c r="AG69" t="s">
        <v>79</v>
      </c>
      <c r="AH69" s="78">
        <v>10</v>
      </c>
      <c r="AI69" s="92">
        <v>-5.5170174197428423E-2</v>
      </c>
    </row>
    <row r="70" spans="2:35">
      <c r="H70" s="49" t="s">
        <v>134</v>
      </c>
      <c r="I70" s="11">
        <f t="shared" si="13"/>
        <v>182</v>
      </c>
      <c r="J70" s="45">
        <f t="shared" si="12"/>
        <v>0.49863013698630138</v>
      </c>
      <c r="K70" s="1">
        <f>(100-D66*SUMPRODUCT(J$51:J69,K$51:K69))/(100+D66*J70)</f>
        <v>0.80775645130320795</v>
      </c>
      <c r="AG70" t="s">
        <v>80</v>
      </c>
      <c r="AH70" s="78">
        <v>11</v>
      </c>
      <c r="AI70" s="92">
        <v>-0.30260676079024051</v>
      </c>
    </row>
    <row r="71" spans="2:35">
      <c r="AG71" t="s">
        <v>164</v>
      </c>
      <c r="AH71" s="78">
        <v>12</v>
      </c>
      <c r="AI71" s="92">
        <v>-4.0478475111740408E-3</v>
      </c>
    </row>
    <row r="72" spans="2:35">
      <c r="AG72" t="s">
        <v>81</v>
      </c>
      <c r="AH72" s="78">
        <v>13</v>
      </c>
      <c r="AI72" s="92">
        <v>-7.4477096932241693E-3</v>
      </c>
    </row>
    <row r="73" spans="2:35">
      <c r="AG73" t="s">
        <v>82</v>
      </c>
      <c r="AH73" s="78">
        <v>14</v>
      </c>
      <c r="AI73" s="92">
        <v>-0.81694043024936036</v>
      </c>
    </row>
    <row r="74" spans="2:35">
      <c r="AG74" t="s">
        <v>83</v>
      </c>
      <c r="AH74" s="78">
        <v>15</v>
      </c>
      <c r="AI74" s="92">
        <v>-0.30289491632356658</v>
      </c>
    </row>
    <row r="75" spans="2:35">
      <c r="AG75" t="s">
        <v>84</v>
      </c>
      <c r="AH75" s="78">
        <v>16</v>
      </c>
      <c r="AI75" s="92">
        <v>-4.4936391773262585E-3</v>
      </c>
    </row>
    <row r="76" spans="2:35">
      <c r="AG76" t="s">
        <v>85</v>
      </c>
      <c r="AH76" s="78">
        <v>17</v>
      </c>
      <c r="AI76" s="92">
        <v>-5.4679871482221643E-3</v>
      </c>
    </row>
    <row r="77" spans="2:35">
      <c r="AG77" t="s">
        <v>86</v>
      </c>
      <c r="AH77" s="78">
        <v>18</v>
      </c>
      <c r="AI77" s="92">
        <v>0.16692875893795645</v>
      </c>
    </row>
    <row r="78" spans="2:35">
      <c r="AG78" t="s">
        <v>87</v>
      </c>
      <c r="AH78" s="78">
        <v>19</v>
      </c>
      <c r="AI78" s="92">
        <v>-0.88154142968505766</v>
      </c>
    </row>
    <row r="79" spans="2:35">
      <c r="AG79" t="s">
        <v>88</v>
      </c>
      <c r="AH79" s="78">
        <v>20</v>
      </c>
      <c r="AI79" s="92">
        <v>-1.4035893903837859E-2</v>
      </c>
    </row>
    <row r="80" spans="2:35">
      <c r="AG80" t="s">
        <v>89</v>
      </c>
      <c r="AH80" s="78">
        <v>21</v>
      </c>
      <c r="AI80" s="92">
        <v>0.31788306855560222</v>
      </c>
    </row>
    <row r="81" spans="33:36">
      <c r="AG81" t="s">
        <v>90</v>
      </c>
      <c r="AH81" s="78">
        <v>22</v>
      </c>
      <c r="AI81" s="92">
        <v>3.2942415251118291</v>
      </c>
      <c r="AJ81" s="81"/>
    </row>
    <row r="82" spans="33:36">
      <c r="AH82" s="78">
        <v>23</v>
      </c>
      <c r="AI82" s="92">
        <v>1.4863637592561645</v>
      </c>
    </row>
    <row r="83" spans="33:36" ht="15" thickBot="1">
      <c r="AH83" s="79">
        <v>24</v>
      </c>
      <c r="AI83" s="93">
        <v>-1.4890785679845067</v>
      </c>
    </row>
  </sheetData>
  <phoneticPr fontId="3"/>
  <pageMargins left="0.75" right="0.75" top="1" bottom="1" header="0.51200000000000001" footer="0.5120000000000000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H91"/>
  <sheetViews>
    <sheetView topLeftCell="A37" workbookViewId="0">
      <selection activeCell="AI10" sqref="AI10"/>
    </sheetView>
  </sheetViews>
  <sheetFormatPr baseColWidth="10" defaultColWidth="8.83203125" defaultRowHeight="14"/>
  <cols>
    <col min="1" max="1" width="3.6640625" customWidth="1"/>
    <col min="2" max="2" width="11.1640625" customWidth="1"/>
    <col min="3" max="4" width="11.5" customWidth="1"/>
    <col min="5" max="5" width="10.5" bestFit="1" customWidth="1"/>
    <col min="6" max="6" width="14.1640625" customWidth="1"/>
    <col min="7" max="32" width="7.5" customWidth="1"/>
    <col min="34" max="35" width="11.6640625" customWidth="1"/>
    <col min="36" max="36" width="12" customWidth="1"/>
    <col min="37" max="37" width="8.1640625" customWidth="1"/>
    <col min="38" max="38" width="11.1640625" customWidth="1"/>
    <col min="39" max="39" width="9.5" bestFit="1" customWidth="1"/>
    <col min="40" max="42" width="10.5" bestFit="1" customWidth="1"/>
    <col min="43" max="60" width="9.5" bestFit="1" customWidth="1"/>
  </cols>
  <sheetData>
    <row r="3" spans="1:60">
      <c r="B3" t="s">
        <v>66</v>
      </c>
      <c r="C3" s="32">
        <v>38931</v>
      </c>
      <c r="D3" s="36"/>
    </row>
    <row r="4" spans="1:60">
      <c r="B4" t="s">
        <v>67</v>
      </c>
      <c r="C4" s="32">
        <v>38933</v>
      </c>
      <c r="D4" s="36"/>
      <c r="E4" t="s">
        <v>142</v>
      </c>
      <c r="G4" t="s">
        <v>102</v>
      </c>
      <c r="AI4" t="s">
        <v>400</v>
      </c>
    </row>
    <row r="5" spans="1:60">
      <c r="C5" s="36"/>
      <c r="D5" s="36"/>
      <c r="E5" s="1">
        <v>0</v>
      </c>
    </row>
    <row r="6" spans="1:60" ht="15" thickBot="1">
      <c r="B6" t="s">
        <v>68</v>
      </c>
      <c r="AJ6" s="1" t="s">
        <v>69</v>
      </c>
      <c r="AK6" t="s">
        <v>138</v>
      </c>
      <c r="AL6" s="52" t="s">
        <v>346</v>
      </c>
      <c r="AM6" s="39" t="s">
        <v>70</v>
      </c>
      <c r="AN6" s="39" t="s">
        <v>71</v>
      </c>
      <c r="AO6" s="39" t="s">
        <v>72</v>
      </c>
      <c r="AP6" s="39" t="s">
        <v>73</v>
      </c>
      <c r="AQ6" s="39" t="s">
        <v>74</v>
      </c>
      <c r="AR6" s="39" t="s">
        <v>75</v>
      </c>
      <c r="AS6" s="39" t="s">
        <v>76</v>
      </c>
      <c r="AT6" s="39" t="s">
        <v>77</v>
      </c>
      <c r="AU6" s="39" t="s">
        <v>78</v>
      </c>
      <c r="AV6" s="39" t="s">
        <v>79</v>
      </c>
      <c r="AW6" s="39" t="s">
        <v>80</v>
      </c>
      <c r="AX6" s="39" t="s">
        <v>164</v>
      </c>
      <c r="AY6" s="39" t="s">
        <v>81</v>
      </c>
      <c r="AZ6" s="39" t="s">
        <v>82</v>
      </c>
      <c r="BA6" s="39" t="s">
        <v>83</v>
      </c>
      <c r="BB6" s="39" t="s">
        <v>84</v>
      </c>
      <c r="BC6" s="39" t="s">
        <v>85</v>
      </c>
      <c r="BD6" s="39" t="s">
        <v>86</v>
      </c>
      <c r="BE6" s="39" t="s">
        <v>87</v>
      </c>
      <c r="BF6" s="39" t="s">
        <v>88</v>
      </c>
      <c r="BG6" s="39" t="s">
        <v>89</v>
      </c>
      <c r="BH6" s="39" t="s">
        <v>90</v>
      </c>
    </row>
    <row r="7" spans="1:60" ht="15" thickBot="1">
      <c r="C7" s="1" t="s">
        <v>69</v>
      </c>
      <c r="D7" s="1" t="s">
        <v>91</v>
      </c>
      <c r="E7" s="1" t="s">
        <v>141</v>
      </c>
      <c r="G7" s="58">
        <v>0</v>
      </c>
      <c r="H7" s="59">
        <f>+G7+1</f>
        <v>1</v>
      </c>
      <c r="I7" s="59">
        <f>+H7+1</f>
        <v>2</v>
      </c>
      <c r="J7" s="59">
        <f t="shared" ref="J7:AE7" si="0">+I7+1</f>
        <v>3</v>
      </c>
      <c r="K7" s="59">
        <f t="shared" si="0"/>
        <v>4</v>
      </c>
      <c r="L7" s="59">
        <f t="shared" si="0"/>
        <v>5</v>
      </c>
      <c r="M7" s="59">
        <f t="shared" si="0"/>
        <v>6</v>
      </c>
      <c r="N7" s="59">
        <f t="shared" si="0"/>
        <v>7</v>
      </c>
      <c r="O7" s="59">
        <f t="shared" si="0"/>
        <v>8</v>
      </c>
      <c r="P7" s="59">
        <f t="shared" si="0"/>
        <v>9</v>
      </c>
      <c r="Q7" s="59">
        <f t="shared" si="0"/>
        <v>10</v>
      </c>
      <c r="R7" s="59">
        <f t="shared" si="0"/>
        <v>11</v>
      </c>
      <c r="S7" s="59">
        <f t="shared" si="0"/>
        <v>12</v>
      </c>
      <c r="T7" s="59">
        <f t="shared" si="0"/>
        <v>13</v>
      </c>
      <c r="U7" s="59">
        <f t="shared" si="0"/>
        <v>14</v>
      </c>
      <c r="V7" s="59">
        <f t="shared" si="0"/>
        <v>15</v>
      </c>
      <c r="W7" s="59">
        <f t="shared" si="0"/>
        <v>16</v>
      </c>
      <c r="X7" s="59">
        <f t="shared" si="0"/>
        <v>17</v>
      </c>
      <c r="Y7" s="59">
        <f t="shared" si="0"/>
        <v>18</v>
      </c>
      <c r="Z7" s="59">
        <f t="shared" si="0"/>
        <v>19</v>
      </c>
      <c r="AA7" s="59">
        <f t="shared" si="0"/>
        <v>20</v>
      </c>
      <c r="AB7" s="59">
        <f t="shared" si="0"/>
        <v>21</v>
      </c>
      <c r="AC7" s="59">
        <f t="shared" si="0"/>
        <v>22</v>
      </c>
      <c r="AD7" s="59">
        <f t="shared" si="0"/>
        <v>23</v>
      </c>
      <c r="AE7" s="60">
        <f t="shared" si="0"/>
        <v>24</v>
      </c>
      <c r="AI7" t="s">
        <v>143</v>
      </c>
      <c r="AJ7" s="32">
        <f>C4</f>
        <v>38933</v>
      </c>
      <c r="AM7" s="1">
        <v>0.36125000000000002</v>
      </c>
      <c r="AN7" s="1">
        <v>0.39</v>
      </c>
      <c r="AO7" s="1">
        <v>0.41687999999999997</v>
      </c>
      <c r="AP7" s="1">
        <v>0.43687999999999999</v>
      </c>
      <c r="AQ7" s="1">
        <v>0.45874999999999999</v>
      </c>
      <c r="AR7" s="1">
        <v>0.49099999999999999</v>
      </c>
      <c r="AS7" s="1">
        <v>0.51437999999999995</v>
      </c>
      <c r="AT7" s="1">
        <v>0.54562999999999995</v>
      </c>
      <c r="AU7" s="1">
        <v>0.57499999999999996</v>
      </c>
      <c r="AV7" s="1">
        <v>0.60375000000000001</v>
      </c>
      <c r="AW7" s="1">
        <v>0.63249999999999995</v>
      </c>
      <c r="AX7" s="1">
        <v>0.67300000000000004</v>
      </c>
      <c r="AY7" s="1">
        <v>0.82099999999999995</v>
      </c>
      <c r="AZ7" s="1">
        <v>0.95099999999999996</v>
      </c>
      <c r="BA7" s="1">
        <v>1.19</v>
      </c>
      <c r="BB7" s="1">
        <v>1.391</v>
      </c>
      <c r="BC7" s="1">
        <v>1.5629999999999999</v>
      </c>
      <c r="BD7" s="1">
        <v>1.708</v>
      </c>
      <c r="BE7" s="1">
        <v>1.833</v>
      </c>
      <c r="BF7" s="1">
        <v>1.9379999999999999</v>
      </c>
      <c r="BG7" s="1">
        <v>2.0249999999999999</v>
      </c>
      <c r="BH7" s="1">
        <v>2.1030000000000002</v>
      </c>
    </row>
    <row r="8" spans="1:60">
      <c r="A8" s="35">
        <v>1</v>
      </c>
      <c r="B8" t="s">
        <v>70</v>
      </c>
      <c r="C8" s="41">
        <v>38964</v>
      </c>
      <c r="D8" s="42">
        <v>0.36125000000000002</v>
      </c>
      <c r="E8" s="1">
        <f>INDEX($G$8:$AE$29,A8,E$5+1)/100+D8</f>
        <v>0.36125000000000002</v>
      </c>
      <c r="G8" s="57">
        <v>0</v>
      </c>
      <c r="H8" s="57">
        <v>1</v>
      </c>
      <c r="I8" s="57">
        <v>0</v>
      </c>
      <c r="J8" s="57">
        <v>0</v>
      </c>
      <c r="K8" s="57">
        <v>0</v>
      </c>
      <c r="L8" s="57">
        <v>0</v>
      </c>
      <c r="M8" s="57">
        <v>0</v>
      </c>
      <c r="N8" s="57">
        <v>0</v>
      </c>
      <c r="O8" s="57">
        <v>0</v>
      </c>
      <c r="P8" s="57">
        <v>0</v>
      </c>
      <c r="Q8" s="57">
        <v>0</v>
      </c>
      <c r="R8" s="57">
        <v>0</v>
      </c>
      <c r="S8" s="57">
        <v>0</v>
      </c>
      <c r="T8" s="57">
        <v>0</v>
      </c>
      <c r="U8" s="57">
        <v>0</v>
      </c>
      <c r="V8" s="57">
        <v>0</v>
      </c>
      <c r="W8" s="57">
        <v>0</v>
      </c>
      <c r="X8" s="57">
        <v>0</v>
      </c>
      <c r="Y8" s="57">
        <v>0</v>
      </c>
      <c r="Z8" s="57">
        <v>0</v>
      </c>
      <c r="AA8" s="57">
        <v>0</v>
      </c>
      <c r="AB8" s="57">
        <v>0</v>
      </c>
      <c r="AC8" s="57">
        <v>0</v>
      </c>
      <c r="AD8" s="57">
        <v>1</v>
      </c>
      <c r="AE8" s="57">
        <v>-1</v>
      </c>
      <c r="AH8" s="46"/>
      <c r="AI8" t="s">
        <v>70</v>
      </c>
      <c r="AJ8" s="32">
        <v>38964</v>
      </c>
      <c r="AK8" s="43">
        <f>AJ8-AJ$7</f>
        <v>31</v>
      </c>
      <c r="AL8" s="108">
        <f>J37</f>
        <v>0.99968902034953766</v>
      </c>
      <c r="AM8">
        <f>100*(1+AM$7/100*$AK8/360)</f>
        <v>100.0311076388889</v>
      </c>
    </row>
    <row r="9" spans="1:60">
      <c r="A9" s="35">
        <v>2</v>
      </c>
      <c r="B9" t="s">
        <v>71</v>
      </c>
      <c r="C9" s="41">
        <v>38994</v>
      </c>
      <c r="D9" s="42">
        <v>0.39</v>
      </c>
      <c r="E9" s="1">
        <f t="shared" ref="E9:E29" si="1">INDEX($G$8:$AE$29,A9,E$5+1)/100+D9</f>
        <v>0.39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-1</v>
      </c>
      <c r="AH9" s="46"/>
      <c r="AI9" t="s">
        <v>71</v>
      </c>
      <c r="AJ9" s="32">
        <v>38994</v>
      </c>
      <c r="AK9" s="43">
        <f t="shared" ref="AK9:AK18" si="2">AJ9-AJ$7</f>
        <v>61</v>
      </c>
      <c r="AL9" s="108">
        <f t="shared" ref="AL9:AL18" si="3">J38</f>
        <v>0.9993396030789653</v>
      </c>
      <c r="AN9">
        <f>100*(1+AN$7/100*$AK9/360)</f>
        <v>100.06608333333334</v>
      </c>
    </row>
    <row r="10" spans="1:60">
      <c r="A10" s="35">
        <v>3</v>
      </c>
      <c r="B10" t="s">
        <v>72</v>
      </c>
      <c r="C10" s="41">
        <v>39027</v>
      </c>
      <c r="D10" s="42">
        <v>0.41687999999999997</v>
      </c>
      <c r="E10" s="1">
        <f t="shared" si="1"/>
        <v>0.41687999999999997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-1</v>
      </c>
      <c r="AH10" s="46"/>
      <c r="AI10" t="s">
        <v>72</v>
      </c>
      <c r="AJ10" s="32">
        <v>39027</v>
      </c>
      <c r="AK10" s="43">
        <f t="shared" si="2"/>
        <v>94</v>
      </c>
      <c r="AL10" s="108">
        <f t="shared" si="3"/>
        <v>0.9989126635874318</v>
      </c>
      <c r="AO10">
        <f>100*(1+AO$7/100*$AK10/360)</f>
        <v>100.108852</v>
      </c>
    </row>
    <row r="11" spans="1:60">
      <c r="A11" s="35">
        <v>4</v>
      </c>
      <c r="B11" t="s">
        <v>73</v>
      </c>
      <c r="C11" s="41">
        <v>39055</v>
      </c>
      <c r="D11" s="42">
        <v>0.43687999999999999</v>
      </c>
      <c r="E11" s="1">
        <f t="shared" si="1"/>
        <v>0.43687999999999999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-1</v>
      </c>
      <c r="AH11" s="46"/>
      <c r="AI11" t="s">
        <v>73</v>
      </c>
      <c r="AJ11" s="32">
        <v>39055</v>
      </c>
      <c r="AK11" s="43">
        <f t="shared" si="2"/>
        <v>122</v>
      </c>
      <c r="AL11" s="108">
        <f t="shared" si="3"/>
        <v>0.9985216509738043</v>
      </c>
      <c r="AP11">
        <f>100*(1+AP$7/100*$AK11/360)</f>
        <v>100.14805377777778</v>
      </c>
    </row>
    <row r="12" spans="1:60">
      <c r="A12" s="35">
        <v>5</v>
      </c>
      <c r="B12" t="s">
        <v>74</v>
      </c>
      <c r="C12" s="41">
        <v>39086</v>
      </c>
      <c r="D12" s="42">
        <v>0.45874999999999999</v>
      </c>
      <c r="E12" s="1">
        <f t="shared" si="1"/>
        <v>0.45874999999999999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-1</v>
      </c>
      <c r="AH12" s="46"/>
      <c r="AI12" t="s">
        <v>74</v>
      </c>
      <c r="AJ12" s="32">
        <v>39086</v>
      </c>
      <c r="AK12" s="43">
        <f t="shared" si="2"/>
        <v>153</v>
      </c>
      <c r="AL12" s="108">
        <f t="shared" si="3"/>
        <v>0.99805410638445857</v>
      </c>
      <c r="AQ12">
        <f>100*(1+AQ$7/100*$AK12/360)</f>
        <v>100.19496875</v>
      </c>
    </row>
    <row r="13" spans="1:60">
      <c r="A13" s="35">
        <v>6</v>
      </c>
      <c r="B13" t="s">
        <v>75</v>
      </c>
      <c r="C13" s="41">
        <v>39118</v>
      </c>
      <c r="D13" s="42">
        <v>0.49099999999999999</v>
      </c>
      <c r="E13" s="1">
        <f t="shared" si="1"/>
        <v>0.49099999999999999</v>
      </c>
      <c r="F13" s="40"/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-1</v>
      </c>
      <c r="AH13" s="46"/>
      <c r="AI13" t="s">
        <v>75</v>
      </c>
      <c r="AJ13" s="32">
        <v>39118</v>
      </c>
      <c r="AK13" s="43">
        <f t="shared" si="2"/>
        <v>185</v>
      </c>
      <c r="AL13" s="108">
        <f t="shared" si="3"/>
        <v>0.99748315604224735</v>
      </c>
      <c r="AR13">
        <f>100*(1+AR$7/100*$AK13/360)</f>
        <v>100.25231944444444</v>
      </c>
      <c r="AX13">
        <f t="shared" ref="AX13:BH13" si="4">100*AX7/100*$AK13/365</f>
        <v>0.34110958904109595</v>
      </c>
      <c r="AY13">
        <f t="shared" si="4"/>
        <v>0.41612328767123286</v>
      </c>
      <c r="AZ13">
        <f t="shared" si="4"/>
        <v>0.48201369863013699</v>
      </c>
      <c r="BA13">
        <f t="shared" si="4"/>
        <v>0.60315068493150681</v>
      </c>
      <c r="BB13">
        <f t="shared" si="4"/>
        <v>0.70502739726027397</v>
      </c>
      <c r="BC13">
        <f t="shared" si="4"/>
        <v>0.79220547945205477</v>
      </c>
      <c r="BD13">
        <f t="shared" si="4"/>
        <v>0.86569863013698622</v>
      </c>
      <c r="BE13">
        <f t="shared" si="4"/>
        <v>0.92905479452054784</v>
      </c>
      <c r="BF13">
        <f t="shared" si="4"/>
        <v>0.98227397260273963</v>
      </c>
      <c r="BG13">
        <f t="shared" si="4"/>
        <v>1.0263698630136986</v>
      </c>
      <c r="BH13">
        <f t="shared" si="4"/>
        <v>1.0659041095890414</v>
      </c>
    </row>
    <row r="14" spans="1:60">
      <c r="A14" s="35">
        <v>7</v>
      </c>
      <c r="B14" t="s">
        <v>76</v>
      </c>
      <c r="C14" s="41">
        <v>39146</v>
      </c>
      <c r="D14" s="42">
        <v>0.51437999999999995</v>
      </c>
      <c r="E14" s="1">
        <f t="shared" si="1"/>
        <v>0.51437999999999995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-1</v>
      </c>
      <c r="AH14" s="46"/>
      <c r="AI14" t="s">
        <v>76</v>
      </c>
      <c r="AJ14" s="32">
        <v>39146</v>
      </c>
      <c r="AK14" s="43">
        <f t="shared" si="2"/>
        <v>213</v>
      </c>
      <c r="AL14" s="108">
        <f t="shared" si="3"/>
        <v>0.99696581927114281</v>
      </c>
      <c r="AS14">
        <f>100*(1+AS$7/100*$AK14/360)</f>
        <v>100.30434150000001</v>
      </c>
    </row>
    <row r="15" spans="1:60">
      <c r="A15" s="35">
        <v>8</v>
      </c>
      <c r="B15" t="s">
        <v>77</v>
      </c>
      <c r="C15" s="41">
        <v>39176</v>
      </c>
      <c r="D15" s="42">
        <v>0.54562999999999995</v>
      </c>
      <c r="E15" s="1">
        <f t="shared" si="1"/>
        <v>0.54562999999999995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-1</v>
      </c>
      <c r="AH15" s="46"/>
      <c r="AI15" t="s">
        <v>77</v>
      </c>
      <c r="AJ15" s="32">
        <v>39176</v>
      </c>
      <c r="AK15" s="43">
        <f t="shared" si="2"/>
        <v>243</v>
      </c>
      <c r="AL15" s="108">
        <f t="shared" si="3"/>
        <v>0.99633051223262092</v>
      </c>
      <c r="AT15">
        <f>100*(1+AT$7/100*$AK15/360)</f>
        <v>100.36830025</v>
      </c>
    </row>
    <row r="16" spans="1:60">
      <c r="A16" s="35">
        <v>9</v>
      </c>
      <c r="B16" t="s">
        <v>78</v>
      </c>
      <c r="C16" s="41">
        <v>39206</v>
      </c>
      <c r="D16" s="42">
        <v>0.57499999999999996</v>
      </c>
      <c r="E16" s="1">
        <f t="shared" si="1"/>
        <v>0.57499999999999996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-1</v>
      </c>
      <c r="AH16" s="46"/>
      <c r="AI16" t="s">
        <v>78</v>
      </c>
      <c r="AJ16" s="32">
        <v>39206</v>
      </c>
      <c r="AK16" s="43">
        <f t="shared" si="2"/>
        <v>273</v>
      </c>
      <c r="AL16" s="108">
        <f t="shared" si="3"/>
        <v>0.99565851402115357</v>
      </c>
      <c r="AU16">
        <f>100*(1+AU$7/100*$AK16/360)</f>
        <v>100.43604166666667</v>
      </c>
    </row>
    <row r="17" spans="1:60">
      <c r="A17" s="35">
        <v>10</v>
      </c>
      <c r="B17" t="s">
        <v>79</v>
      </c>
      <c r="C17" s="41">
        <v>39237</v>
      </c>
      <c r="D17" s="42">
        <v>0.60375000000000001</v>
      </c>
      <c r="E17" s="1">
        <f t="shared" si="1"/>
        <v>0.60375000000000001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-1</v>
      </c>
      <c r="AH17" s="46"/>
      <c r="AI17" t="s">
        <v>79</v>
      </c>
      <c r="AJ17" s="32">
        <v>39237</v>
      </c>
      <c r="AK17" s="43">
        <f t="shared" si="2"/>
        <v>304</v>
      </c>
      <c r="AL17" s="108">
        <f t="shared" si="3"/>
        <v>0.99492752782066085</v>
      </c>
      <c r="AV17">
        <f>100*(1+AV$7/100*$AK17/360)</f>
        <v>100.50983333333335</v>
      </c>
    </row>
    <row r="18" spans="1:60">
      <c r="A18" s="35">
        <v>11</v>
      </c>
      <c r="B18" t="s">
        <v>80</v>
      </c>
      <c r="C18" s="41">
        <v>39267</v>
      </c>
      <c r="D18" s="42">
        <v>0.63249999999999995</v>
      </c>
      <c r="E18" s="1">
        <f t="shared" si="1"/>
        <v>0.63249999999999995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-1</v>
      </c>
      <c r="AH18" s="46"/>
      <c r="AI18" t="s">
        <v>80</v>
      </c>
      <c r="AJ18" s="32">
        <v>39267</v>
      </c>
      <c r="AK18" s="43">
        <f t="shared" si="2"/>
        <v>334</v>
      </c>
      <c r="AL18" s="108">
        <f t="shared" si="3"/>
        <v>0.99416604036507417</v>
      </c>
      <c r="AW18">
        <f>100*(1+AW$7/100*$AK18/360)</f>
        <v>100.58681944444446</v>
      </c>
    </row>
    <row r="19" spans="1:60">
      <c r="A19" s="35">
        <v>12</v>
      </c>
      <c r="B19" t="s">
        <v>92</v>
      </c>
      <c r="C19" s="41">
        <v>39300</v>
      </c>
      <c r="D19" s="33">
        <v>0.67300000000000004</v>
      </c>
      <c r="E19" s="1">
        <f t="shared" si="1"/>
        <v>0.67300000000000004</v>
      </c>
      <c r="F19" s="40"/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-1</v>
      </c>
      <c r="AH19" s="46"/>
      <c r="AI19" t="s">
        <v>92</v>
      </c>
      <c r="AJ19" s="32">
        <v>39300</v>
      </c>
      <c r="AK19" s="43">
        <f>AJ19-AJ13</f>
        <v>182</v>
      </c>
      <c r="AL19" s="108">
        <f>K52</f>
        <v>0.99326431197644416</v>
      </c>
      <c r="AX19">
        <f>100*AX7/100*$AK19/365+100</f>
        <v>100.33557808219179</v>
      </c>
      <c r="AY19">
        <f>100*AY$7/100*$AK19/365</f>
        <v>0.40937534246575341</v>
      </c>
      <c r="AZ19">
        <f t="shared" ref="AZ19:BH19" si="5">100*AZ7/100*$AK19/365</f>
        <v>0.47419726027397258</v>
      </c>
      <c r="BA19">
        <f t="shared" si="5"/>
        <v>0.59336986301369854</v>
      </c>
      <c r="BB19">
        <f t="shared" si="5"/>
        <v>0.69359452054794524</v>
      </c>
      <c r="BC19">
        <f t="shared" si="5"/>
        <v>0.77935890410958886</v>
      </c>
      <c r="BD19">
        <f t="shared" si="5"/>
        <v>0.85166027397260258</v>
      </c>
      <c r="BE19">
        <f t="shared" si="5"/>
        <v>0.91398904109589019</v>
      </c>
      <c r="BF19">
        <f t="shared" si="5"/>
        <v>0.96634520547945191</v>
      </c>
      <c r="BG19">
        <f t="shared" si="5"/>
        <v>1.0097260273972604</v>
      </c>
      <c r="BH19">
        <f t="shared" si="5"/>
        <v>1.0486191780821918</v>
      </c>
    </row>
    <row r="20" spans="1:60">
      <c r="A20" s="35">
        <v>13</v>
      </c>
      <c r="B20" t="s">
        <v>81</v>
      </c>
      <c r="C20" s="41">
        <v>39482</v>
      </c>
      <c r="D20" s="33">
        <v>0.82099999999999995</v>
      </c>
      <c r="E20" s="1">
        <f t="shared" si="1"/>
        <v>0.82099999999999995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-1</v>
      </c>
      <c r="AH20" s="46"/>
      <c r="AI20" t="s">
        <v>81</v>
      </c>
      <c r="AJ20" s="32">
        <v>39482</v>
      </c>
      <c r="AK20" s="43">
        <f>AJ20-AJ19</f>
        <v>182</v>
      </c>
      <c r="AL20" s="108">
        <f t="shared" ref="AL20:AL37" si="6">K53</f>
        <v>0.98773949916100678</v>
      </c>
      <c r="AY20">
        <f>100*AY$7/100*$AK20/365+100</f>
        <v>100.40937534246575</v>
      </c>
      <c r="AZ20">
        <f t="shared" ref="AZ20:BH35" si="7">100*AZ$7/100*$AK20/365</f>
        <v>0.47419726027397258</v>
      </c>
      <c r="BA20">
        <f t="shared" si="7"/>
        <v>0.59336986301369854</v>
      </c>
      <c r="BB20">
        <f t="shared" si="7"/>
        <v>0.69359452054794524</v>
      </c>
      <c r="BC20">
        <f t="shared" si="7"/>
        <v>0.77935890410958886</v>
      </c>
      <c r="BD20">
        <f t="shared" si="7"/>
        <v>0.85166027397260258</v>
      </c>
      <c r="BE20">
        <f t="shared" si="7"/>
        <v>0.91398904109589019</v>
      </c>
      <c r="BF20">
        <f t="shared" si="7"/>
        <v>0.96634520547945191</v>
      </c>
      <c r="BG20">
        <f t="shared" si="7"/>
        <v>1.0097260273972604</v>
      </c>
      <c r="BH20">
        <f t="shared" si="7"/>
        <v>1.0486191780821918</v>
      </c>
    </row>
    <row r="21" spans="1:60">
      <c r="A21" s="35">
        <v>14</v>
      </c>
      <c r="B21" t="s">
        <v>82</v>
      </c>
      <c r="C21" s="41">
        <v>39664</v>
      </c>
      <c r="D21" s="33">
        <v>0.95099999999999996</v>
      </c>
      <c r="E21" s="1">
        <f t="shared" si="1"/>
        <v>0.95099999999999996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-1</v>
      </c>
      <c r="AH21" s="46"/>
      <c r="AI21" t="s">
        <v>82</v>
      </c>
      <c r="AJ21" s="32">
        <v>39664</v>
      </c>
      <c r="AK21" s="43">
        <f t="shared" ref="AK21:AK37" si="8">AJ21-AJ20</f>
        <v>182</v>
      </c>
      <c r="AL21" s="108">
        <f t="shared" si="6"/>
        <v>0.98114556336722436</v>
      </c>
      <c r="AZ21">
        <f>100*AZ$7/100*$AK21/365+100</f>
        <v>100.47419726027397</v>
      </c>
      <c r="BA21">
        <f t="shared" si="7"/>
        <v>0.59336986301369854</v>
      </c>
      <c r="BB21">
        <f t="shared" si="7"/>
        <v>0.69359452054794524</v>
      </c>
      <c r="BC21">
        <f t="shared" si="7"/>
        <v>0.77935890410958886</v>
      </c>
      <c r="BD21">
        <f t="shared" si="7"/>
        <v>0.85166027397260258</v>
      </c>
      <c r="BE21">
        <f t="shared" si="7"/>
        <v>0.91398904109589019</v>
      </c>
      <c r="BF21">
        <f t="shared" si="7"/>
        <v>0.96634520547945191</v>
      </c>
      <c r="BG21">
        <f t="shared" si="7"/>
        <v>1.0097260273972604</v>
      </c>
      <c r="BH21">
        <f t="shared" si="7"/>
        <v>1.0486191780821918</v>
      </c>
    </row>
    <row r="22" spans="1:60">
      <c r="A22" s="35">
        <v>15</v>
      </c>
      <c r="B22" t="s">
        <v>83</v>
      </c>
      <c r="C22" s="41">
        <v>40029</v>
      </c>
      <c r="D22" s="33">
        <v>1.19</v>
      </c>
      <c r="E22" s="1">
        <f t="shared" si="1"/>
        <v>1.19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-1</v>
      </c>
      <c r="AH22" s="46"/>
      <c r="AI22" t="s">
        <v>94</v>
      </c>
      <c r="AJ22" s="32">
        <v>39848</v>
      </c>
      <c r="AK22" s="43">
        <f t="shared" si="8"/>
        <v>184</v>
      </c>
      <c r="AL22" s="108">
        <f t="shared" si="6"/>
        <v>0.9734985961426853</v>
      </c>
      <c r="BA22">
        <f t="shared" si="7"/>
        <v>0.59989041095890405</v>
      </c>
      <c r="BB22">
        <f t="shared" si="7"/>
        <v>0.70121643835616443</v>
      </c>
      <c r="BC22">
        <f t="shared" si="7"/>
        <v>0.78792328767123265</v>
      </c>
      <c r="BD22">
        <f t="shared" si="7"/>
        <v>0.86101917808219164</v>
      </c>
      <c r="BE22">
        <f t="shared" si="7"/>
        <v>0.92403287671232859</v>
      </c>
      <c r="BF22">
        <f t="shared" si="7"/>
        <v>0.97696438356164361</v>
      </c>
      <c r="BG22">
        <f t="shared" si="7"/>
        <v>1.0208219178082192</v>
      </c>
      <c r="BH22">
        <f t="shared" si="7"/>
        <v>1.0601424657534249</v>
      </c>
    </row>
    <row r="23" spans="1:60">
      <c r="A23" s="35">
        <v>16</v>
      </c>
      <c r="B23" t="s">
        <v>84</v>
      </c>
      <c r="C23" s="41">
        <v>40394</v>
      </c>
      <c r="D23" s="33">
        <v>1.391</v>
      </c>
      <c r="E23" s="1">
        <f t="shared" si="1"/>
        <v>1.391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-1</v>
      </c>
      <c r="AH23" s="46"/>
      <c r="AI23" t="s">
        <v>83</v>
      </c>
      <c r="AJ23" s="32">
        <v>40029</v>
      </c>
      <c r="AK23" s="43">
        <f t="shared" si="8"/>
        <v>181</v>
      </c>
      <c r="AL23" s="108">
        <f t="shared" si="6"/>
        <v>0.96487343642695</v>
      </c>
      <c r="BA23">
        <f>100*BA$7/100*$AK23/365+100</f>
        <v>100.59010958904109</v>
      </c>
      <c r="BB23">
        <f t="shared" si="7"/>
        <v>0.6897835616438357</v>
      </c>
      <c r="BC23">
        <f t="shared" si="7"/>
        <v>0.77507671232876707</v>
      </c>
      <c r="BD23">
        <f t="shared" si="7"/>
        <v>0.8469808219178081</v>
      </c>
      <c r="BE23">
        <f t="shared" si="7"/>
        <v>0.90896712328767115</v>
      </c>
      <c r="BF23">
        <f t="shared" si="7"/>
        <v>0.96103561643835611</v>
      </c>
      <c r="BG23">
        <f t="shared" si="7"/>
        <v>1.0041780821917807</v>
      </c>
      <c r="BH23">
        <f t="shared" si="7"/>
        <v>1.0428575342465753</v>
      </c>
    </row>
    <row r="24" spans="1:60">
      <c r="A24" s="35">
        <v>17</v>
      </c>
      <c r="B24" t="s">
        <v>85</v>
      </c>
      <c r="C24" s="41">
        <v>40759</v>
      </c>
      <c r="D24" s="33">
        <v>1.5629999999999999</v>
      </c>
      <c r="E24" s="1">
        <f t="shared" si="1"/>
        <v>1.5629999999999999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-1</v>
      </c>
      <c r="AH24" s="46"/>
      <c r="AI24" t="s">
        <v>95</v>
      </c>
      <c r="AJ24" s="32">
        <v>40213</v>
      </c>
      <c r="AK24" s="43">
        <f t="shared" si="8"/>
        <v>184</v>
      </c>
      <c r="AL24" s="108">
        <f t="shared" si="6"/>
        <v>0.95566141500806956</v>
      </c>
      <c r="BB24">
        <f t="shared" si="7"/>
        <v>0.70121643835616443</v>
      </c>
      <c r="BC24">
        <f t="shared" si="7"/>
        <v>0.78792328767123265</v>
      </c>
      <c r="BD24">
        <f t="shared" si="7"/>
        <v>0.86101917808219164</v>
      </c>
      <c r="BE24">
        <f t="shared" si="7"/>
        <v>0.92403287671232859</v>
      </c>
      <c r="BF24">
        <f t="shared" si="7"/>
        <v>0.97696438356164361</v>
      </c>
      <c r="BG24">
        <f t="shared" si="7"/>
        <v>1.0208219178082192</v>
      </c>
      <c r="BH24">
        <f t="shared" si="7"/>
        <v>1.0601424657534249</v>
      </c>
    </row>
    <row r="25" spans="1:60">
      <c r="A25" s="35">
        <v>18</v>
      </c>
      <c r="B25" t="s">
        <v>86</v>
      </c>
      <c r="C25" s="41">
        <v>41127</v>
      </c>
      <c r="D25" s="33">
        <v>1.708</v>
      </c>
      <c r="E25" s="1">
        <f t="shared" si="1"/>
        <v>1.708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-1</v>
      </c>
      <c r="AH25" s="46"/>
      <c r="AI25" t="s">
        <v>84</v>
      </c>
      <c r="AJ25" s="32">
        <v>40394</v>
      </c>
      <c r="AK25" s="43">
        <f t="shared" si="8"/>
        <v>181</v>
      </c>
      <c r="AL25" s="108">
        <f t="shared" si="6"/>
        <v>0.94571564815842202</v>
      </c>
      <c r="BB25">
        <f>100*BB$7/100*$AK25/365+100</f>
        <v>100.68978356164384</v>
      </c>
      <c r="BC25">
        <f t="shared" si="7"/>
        <v>0.77507671232876707</v>
      </c>
      <c r="BD25">
        <f t="shared" si="7"/>
        <v>0.8469808219178081</v>
      </c>
      <c r="BE25">
        <f t="shared" si="7"/>
        <v>0.90896712328767115</v>
      </c>
      <c r="BF25">
        <f t="shared" si="7"/>
        <v>0.96103561643835611</v>
      </c>
      <c r="BG25">
        <f t="shared" si="7"/>
        <v>1.0041780821917807</v>
      </c>
      <c r="BH25">
        <f t="shared" si="7"/>
        <v>1.0428575342465753</v>
      </c>
    </row>
    <row r="26" spans="1:60">
      <c r="A26" s="35">
        <v>19</v>
      </c>
      <c r="B26" t="s">
        <v>87</v>
      </c>
      <c r="C26" s="41">
        <v>41491</v>
      </c>
      <c r="D26" s="33">
        <v>1.833</v>
      </c>
      <c r="E26" s="1">
        <f t="shared" si="1"/>
        <v>1.833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1</v>
      </c>
      <c r="AE26" s="1">
        <v>-1</v>
      </c>
      <c r="AH26" s="46"/>
      <c r="AI26" t="s">
        <v>96</v>
      </c>
      <c r="AJ26" s="32">
        <v>40578</v>
      </c>
      <c r="AK26" s="43">
        <f t="shared" si="8"/>
        <v>184</v>
      </c>
      <c r="AL26" s="108">
        <f t="shared" si="6"/>
        <v>0.93536410519184143</v>
      </c>
      <c r="BC26">
        <f t="shared" si="7"/>
        <v>0.78792328767123265</v>
      </c>
      <c r="BD26">
        <f t="shared" si="7"/>
        <v>0.86101917808219164</v>
      </c>
      <c r="BE26">
        <f t="shared" si="7"/>
        <v>0.92403287671232859</v>
      </c>
      <c r="BF26">
        <f t="shared" si="7"/>
        <v>0.97696438356164361</v>
      </c>
      <c r="BG26">
        <f t="shared" si="7"/>
        <v>1.0208219178082192</v>
      </c>
      <c r="BH26">
        <f t="shared" si="7"/>
        <v>1.0601424657534249</v>
      </c>
    </row>
    <row r="27" spans="1:60">
      <c r="A27" s="35">
        <v>20</v>
      </c>
      <c r="B27" t="s">
        <v>88</v>
      </c>
      <c r="C27" s="41">
        <v>41855</v>
      </c>
      <c r="D27" s="33">
        <v>1.9379999999999999</v>
      </c>
      <c r="E27" s="1">
        <f t="shared" si="1"/>
        <v>1.9379999999999999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1</v>
      </c>
      <c r="AE27" s="1">
        <v>-1</v>
      </c>
      <c r="AH27" s="46"/>
      <c r="AI27" t="s">
        <v>85</v>
      </c>
      <c r="AJ27" s="32">
        <v>40759</v>
      </c>
      <c r="AK27" s="43">
        <f t="shared" si="8"/>
        <v>181</v>
      </c>
      <c r="AL27" s="108">
        <f t="shared" si="6"/>
        <v>0.92446798912481432</v>
      </c>
      <c r="BC27">
        <f>100*BC$7/100*$AK27/365+100</f>
        <v>100.77507671232877</v>
      </c>
      <c r="BD27">
        <f t="shared" si="7"/>
        <v>0.8469808219178081</v>
      </c>
      <c r="BE27">
        <f t="shared" si="7"/>
        <v>0.90896712328767115</v>
      </c>
      <c r="BF27">
        <f t="shared" si="7"/>
        <v>0.96103561643835611</v>
      </c>
      <c r="BG27">
        <f t="shared" si="7"/>
        <v>1.0041780821917807</v>
      </c>
      <c r="BH27">
        <f t="shared" si="7"/>
        <v>1.0428575342465753</v>
      </c>
    </row>
    <row r="28" spans="1:60">
      <c r="A28" s="35">
        <v>21</v>
      </c>
      <c r="B28" t="s">
        <v>89</v>
      </c>
      <c r="C28" s="41">
        <v>42220</v>
      </c>
      <c r="D28" s="33">
        <v>2.0249999999999999</v>
      </c>
      <c r="E28" s="1">
        <f t="shared" si="1"/>
        <v>2.0249999999999999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1</v>
      </c>
      <c r="AE28" s="1">
        <v>-1</v>
      </c>
      <c r="AH28" s="46"/>
      <c r="AI28" t="s">
        <v>97</v>
      </c>
      <c r="AJ28" s="32">
        <v>40945</v>
      </c>
      <c r="AK28" s="43">
        <f t="shared" si="8"/>
        <v>186</v>
      </c>
      <c r="AL28" s="108">
        <f t="shared" si="6"/>
        <v>0.91331084225727255</v>
      </c>
      <c r="BD28">
        <f t="shared" si="7"/>
        <v>0.87037808219178059</v>
      </c>
      <c r="BE28">
        <f t="shared" si="7"/>
        <v>0.93407671232876699</v>
      </c>
      <c r="BF28">
        <f t="shared" si="7"/>
        <v>0.98758356164383554</v>
      </c>
      <c r="BG28">
        <f t="shared" si="7"/>
        <v>1.031917808219178</v>
      </c>
      <c r="BH28">
        <f t="shared" si="7"/>
        <v>1.0716657534246576</v>
      </c>
    </row>
    <row r="29" spans="1:60">
      <c r="A29" s="35">
        <v>22</v>
      </c>
      <c r="B29" t="s">
        <v>90</v>
      </c>
      <c r="C29" s="41">
        <v>42586</v>
      </c>
      <c r="D29" s="33">
        <v>2.1030000000000002</v>
      </c>
      <c r="E29" s="1">
        <f t="shared" si="1"/>
        <v>2.1030000000000002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1</v>
      </c>
      <c r="AE29" s="1">
        <v>-1</v>
      </c>
      <c r="AH29" s="46"/>
      <c r="AI29" t="s">
        <v>86</v>
      </c>
      <c r="AJ29" s="32">
        <v>41127</v>
      </c>
      <c r="AK29" s="43">
        <f t="shared" si="8"/>
        <v>182</v>
      </c>
      <c r="AL29" s="108">
        <f t="shared" si="6"/>
        <v>0.90183106647188915</v>
      </c>
      <c r="BD29">
        <f>100*BD$7/100*$AK29/365+100</f>
        <v>100.8516602739726</v>
      </c>
      <c r="BE29">
        <f t="shared" si="7"/>
        <v>0.91398904109589019</v>
      </c>
      <c r="BF29">
        <f t="shared" si="7"/>
        <v>0.96634520547945191</v>
      </c>
      <c r="BG29">
        <f t="shared" si="7"/>
        <v>1.0097260273972604</v>
      </c>
      <c r="BH29">
        <f t="shared" si="7"/>
        <v>1.0486191780821918</v>
      </c>
    </row>
    <row r="30" spans="1:60">
      <c r="AH30" s="46"/>
      <c r="AI30" t="s">
        <v>98</v>
      </c>
      <c r="AJ30" s="32">
        <v>41309</v>
      </c>
      <c r="AK30" s="43">
        <f t="shared" si="8"/>
        <v>182</v>
      </c>
      <c r="AL30" s="108">
        <f t="shared" si="6"/>
        <v>0.89037833966905977</v>
      </c>
      <c r="BE30">
        <f t="shared" si="7"/>
        <v>0.91398904109589019</v>
      </c>
      <c r="BF30">
        <f t="shared" si="7"/>
        <v>0.96634520547945191</v>
      </c>
      <c r="BG30">
        <f t="shared" si="7"/>
        <v>1.0097260273972604</v>
      </c>
      <c r="BH30">
        <f t="shared" si="7"/>
        <v>1.0486191780821918</v>
      </c>
    </row>
    <row r="31" spans="1:60">
      <c r="AH31" s="46"/>
      <c r="AI31" t="s">
        <v>87</v>
      </c>
      <c r="AJ31" s="32">
        <v>41491</v>
      </c>
      <c r="AK31" s="43">
        <f t="shared" si="8"/>
        <v>182</v>
      </c>
      <c r="AL31" s="108">
        <f t="shared" si="6"/>
        <v>0.87847940597435858</v>
      </c>
      <c r="BE31">
        <f>100*BE$7/100*$AK31/365+100</f>
        <v>100.91398904109589</v>
      </c>
      <c r="BF31">
        <f t="shared" si="7"/>
        <v>0.96634520547945191</v>
      </c>
      <c r="BG31">
        <f t="shared" si="7"/>
        <v>1.0097260273972604</v>
      </c>
      <c r="BH31">
        <f t="shared" si="7"/>
        <v>1.0486191780821918</v>
      </c>
    </row>
    <row r="32" spans="1:60">
      <c r="AH32" s="46"/>
      <c r="AI32" t="s">
        <v>99</v>
      </c>
      <c r="AJ32" s="32">
        <v>41674</v>
      </c>
      <c r="AK32" s="43">
        <f t="shared" si="8"/>
        <v>183</v>
      </c>
      <c r="AL32" s="108">
        <f t="shared" si="6"/>
        <v>0.86678448903851057</v>
      </c>
      <c r="BF32">
        <f t="shared" si="7"/>
        <v>0.97165479452054782</v>
      </c>
      <c r="BG32">
        <f t="shared" si="7"/>
        <v>1.0152739726027398</v>
      </c>
      <c r="BH32">
        <f t="shared" si="7"/>
        <v>1.0543808219178084</v>
      </c>
    </row>
    <row r="33" spans="2:60">
      <c r="AH33" s="46"/>
      <c r="AI33" t="s">
        <v>88</v>
      </c>
      <c r="AJ33" s="32">
        <v>41855</v>
      </c>
      <c r="AK33" s="43">
        <f t="shared" si="8"/>
        <v>181</v>
      </c>
      <c r="AL33" s="108">
        <f t="shared" si="6"/>
        <v>0.85488046568442355</v>
      </c>
      <c r="BF33">
        <f>100*BF$7/100*$AK33/365+100</f>
        <v>100.96103561643835</v>
      </c>
      <c r="BG33">
        <f t="shared" si="7"/>
        <v>1.0041780821917807</v>
      </c>
      <c r="BH33">
        <f t="shared" si="7"/>
        <v>1.0428575342465753</v>
      </c>
    </row>
    <row r="34" spans="2:60">
      <c r="B34" t="s">
        <v>93</v>
      </c>
      <c r="H34" t="s">
        <v>103</v>
      </c>
      <c r="AH34" s="46"/>
      <c r="AI34" t="s">
        <v>100</v>
      </c>
      <c r="AJ34" s="32">
        <v>42039</v>
      </c>
      <c r="AK34" s="43">
        <f t="shared" si="8"/>
        <v>184</v>
      </c>
      <c r="AL34" s="108">
        <f t="shared" si="6"/>
        <v>0.84317245452429823</v>
      </c>
      <c r="BG34">
        <f t="shared" si="7"/>
        <v>1.0208219178082192</v>
      </c>
      <c r="BH34">
        <f t="shared" si="7"/>
        <v>1.0601424657534249</v>
      </c>
    </row>
    <row r="35" spans="2:60">
      <c r="C35" s="1" t="s">
        <v>69</v>
      </c>
      <c r="D35" s="1" t="s">
        <v>91</v>
      </c>
      <c r="E35" s="52" t="s">
        <v>346</v>
      </c>
      <c r="F35" s="47" t="s">
        <v>349</v>
      </c>
      <c r="AH35" s="46"/>
      <c r="AI35" t="s">
        <v>89</v>
      </c>
      <c r="AJ35" s="32">
        <v>42220</v>
      </c>
      <c r="AK35" s="43">
        <f t="shared" si="8"/>
        <v>181</v>
      </c>
      <c r="AL35" s="108">
        <f t="shared" si="6"/>
        <v>0.83140968858051079</v>
      </c>
      <c r="BG35">
        <f>100*BG$7/100*$AK35/365+100</f>
        <v>101.00417808219179</v>
      </c>
      <c r="BH35">
        <f t="shared" si="7"/>
        <v>1.0428575342465753</v>
      </c>
    </row>
    <row r="36" spans="2:60">
      <c r="B36" t="s">
        <v>143</v>
      </c>
      <c r="C36" s="32">
        <f>C4</f>
        <v>38933</v>
      </c>
      <c r="D36" s="1"/>
      <c r="E36" s="1">
        <v>1</v>
      </c>
      <c r="F36" s="55">
        <f>(E37-E36)/(C37-C36)</f>
        <v>-1.0031601627817409E-5</v>
      </c>
      <c r="H36" s="1" t="s">
        <v>135</v>
      </c>
      <c r="I36" s="47" t="s">
        <v>137</v>
      </c>
      <c r="J36" s="52" t="s">
        <v>346</v>
      </c>
      <c r="AH36" s="46"/>
      <c r="AI36" t="s">
        <v>101</v>
      </c>
      <c r="AJ36" s="32">
        <v>42404</v>
      </c>
      <c r="AK36" s="43">
        <f t="shared" si="8"/>
        <v>184</v>
      </c>
      <c r="AL36" s="108">
        <f t="shared" si="6"/>
        <v>0.81961618036984452</v>
      </c>
      <c r="BH36">
        <f>100*BH$7/100*$AK36/365</f>
        <v>1.0601424657534249</v>
      </c>
    </row>
    <row r="37" spans="2:60">
      <c r="B37" t="s">
        <v>70</v>
      </c>
      <c r="C37" s="32">
        <v>38964</v>
      </c>
      <c r="D37" s="42">
        <f t="shared" ref="D37:D48" si="9">E8</f>
        <v>0.36125000000000002</v>
      </c>
      <c r="E37" s="1">
        <f t="shared" ref="E37:E47" si="10">J37</f>
        <v>0.99968902034953766</v>
      </c>
      <c r="F37" s="55">
        <f t="shared" ref="F37:F65" si="11">(E38-E37)/(C38-C37)</f>
        <v>-1.1647242352412028E-5</v>
      </c>
      <c r="H37" s="1" t="s">
        <v>105</v>
      </c>
      <c r="I37" s="11">
        <f t="shared" ref="I37:I47" si="12">C37-C$4</f>
        <v>31</v>
      </c>
      <c r="J37" s="1">
        <f t="shared" ref="J37:J47" si="13">100/(100*(1+D37/100*I37/360))</f>
        <v>0.99968902034953766</v>
      </c>
      <c r="M37" s="36"/>
      <c r="AH37" s="46"/>
      <c r="AI37" t="s">
        <v>90</v>
      </c>
      <c r="AJ37" s="32">
        <v>42586</v>
      </c>
      <c r="AK37" s="43">
        <f t="shared" si="8"/>
        <v>182</v>
      </c>
      <c r="AL37" s="108">
        <f t="shared" si="6"/>
        <v>0.80775645130320795</v>
      </c>
      <c r="BH37">
        <f>100*BH$7/100*$AK37/365+100</f>
        <v>101.04861917808219</v>
      </c>
    </row>
    <row r="38" spans="2:60">
      <c r="B38" t="s">
        <v>71</v>
      </c>
      <c r="C38" s="32">
        <v>38994</v>
      </c>
      <c r="D38" s="42">
        <f t="shared" si="9"/>
        <v>0.39</v>
      </c>
      <c r="E38" s="1">
        <f t="shared" si="10"/>
        <v>0.9993396030789653</v>
      </c>
      <c r="F38" s="55">
        <f t="shared" si="11"/>
        <v>-1.2937560349499869E-5</v>
      </c>
      <c r="H38" s="1" t="s">
        <v>104</v>
      </c>
      <c r="I38" s="11">
        <f t="shared" si="12"/>
        <v>61</v>
      </c>
      <c r="J38" s="1">
        <f t="shared" si="13"/>
        <v>0.9993396030789653</v>
      </c>
      <c r="AH38" s="46"/>
    </row>
    <row r="39" spans="2:60">
      <c r="B39" t="s">
        <v>72</v>
      </c>
      <c r="C39" s="32">
        <v>39027</v>
      </c>
      <c r="D39" s="42">
        <f t="shared" si="9"/>
        <v>0.41687999999999997</v>
      </c>
      <c r="E39" s="1">
        <f t="shared" si="10"/>
        <v>0.9989126635874318</v>
      </c>
      <c r="F39" s="55">
        <f t="shared" si="11"/>
        <v>-1.3964736200982359E-5</v>
      </c>
      <c r="H39" s="1" t="s">
        <v>106</v>
      </c>
      <c r="I39" s="11">
        <f t="shared" si="12"/>
        <v>94</v>
      </c>
      <c r="J39" s="1">
        <f t="shared" si="13"/>
        <v>0.9989126635874318</v>
      </c>
      <c r="AH39" s="46"/>
    </row>
    <row r="40" spans="2:60">
      <c r="B40" t="s">
        <v>73</v>
      </c>
      <c r="C40" s="32">
        <v>39055</v>
      </c>
      <c r="D40" s="42">
        <f t="shared" si="9"/>
        <v>0.43687999999999999</v>
      </c>
      <c r="E40" s="1">
        <f t="shared" si="10"/>
        <v>0.9985216509738043</v>
      </c>
      <c r="F40" s="55">
        <f t="shared" si="11"/>
        <v>-1.5082083527281461E-5</v>
      </c>
      <c r="H40" s="1" t="s">
        <v>107</v>
      </c>
      <c r="I40" s="11">
        <f t="shared" si="12"/>
        <v>122</v>
      </c>
      <c r="J40" s="1">
        <f t="shared" si="13"/>
        <v>0.9985216509738043</v>
      </c>
      <c r="AH40" s="46"/>
      <c r="AM40" s="1">
        <f>SUMPRODUCT($AL8:$AL37,AM8:AM37)-100</f>
        <v>0</v>
      </c>
      <c r="AN40" s="1">
        <f t="shared" ref="AN40:AS40" si="14">SUMPRODUCT($AL8:$AL37,AN8:AN37)-100</f>
        <v>0</v>
      </c>
      <c r="AO40" s="1">
        <f t="shared" si="14"/>
        <v>0</v>
      </c>
      <c r="AP40" s="1">
        <f t="shared" si="14"/>
        <v>0</v>
      </c>
      <c r="AQ40" s="1">
        <f t="shared" si="14"/>
        <v>0</v>
      </c>
      <c r="AR40" s="1">
        <f t="shared" si="14"/>
        <v>0</v>
      </c>
      <c r="AS40" s="1">
        <f t="shared" si="14"/>
        <v>0</v>
      </c>
      <c r="AT40" s="1">
        <f t="shared" ref="AT40:BH40" si="15">SUMPRODUCT($AL8:$AL37,AT8:AT37)-100</f>
        <v>0</v>
      </c>
      <c r="AU40" s="1">
        <f t="shared" si="15"/>
        <v>0</v>
      </c>
      <c r="AV40" s="1">
        <f t="shared" si="15"/>
        <v>0</v>
      </c>
      <c r="AW40" s="1">
        <f t="shared" si="15"/>
        <v>0</v>
      </c>
      <c r="AX40" s="1">
        <f t="shared" si="15"/>
        <v>0</v>
      </c>
      <c r="AY40" s="1">
        <f t="shared" si="15"/>
        <v>0</v>
      </c>
      <c r="AZ40" s="1">
        <f t="shared" si="15"/>
        <v>0</v>
      </c>
      <c r="BA40" s="1">
        <f t="shared" si="15"/>
        <v>0</v>
      </c>
      <c r="BB40" s="1">
        <f t="shared" si="15"/>
        <v>0</v>
      </c>
      <c r="BC40" s="1">
        <f t="shared" si="15"/>
        <v>0</v>
      </c>
      <c r="BD40" s="1">
        <f t="shared" si="15"/>
        <v>0</v>
      </c>
      <c r="BE40" s="1">
        <f t="shared" si="15"/>
        <v>0</v>
      </c>
      <c r="BF40" s="1">
        <f t="shared" si="15"/>
        <v>0</v>
      </c>
      <c r="BG40" s="1">
        <f t="shared" si="15"/>
        <v>0</v>
      </c>
      <c r="BH40" s="1">
        <f t="shared" si="15"/>
        <v>0</v>
      </c>
    </row>
    <row r="41" spans="2:60">
      <c r="B41" t="s">
        <v>74</v>
      </c>
      <c r="C41" s="32">
        <v>39086</v>
      </c>
      <c r="D41" s="42">
        <f t="shared" si="9"/>
        <v>0.45874999999999999</v>
      </c>
      <c r="E41" s="1">
        <f t="shared" si="10"/>
        <v>0.99805410638445857</v>
      </c>
      <c r="F41" s="55">
        <f t="shared" si="11"/>
        <v>-1.7842198194100573E-5</v>
      </c>
      <c r="H41" s="1" t="s">
        <v>108</v>
      </c>
      <c r="I41" s="11">
        <f t="shared" si="12"/>
        <v>153</v>
      </c>
      <c r="J41" s="1">
        <f t="shared" si="13"/>
        <v>0.99805410638445857</v>
      </c>
      <c r="AH41" s="46"/>
      <c r="AI41" s="61"/>
      <c r="AL41">
        <v>1</v>
      </c>
      <c r="AM41">
        <f t="dataTable" ref="AM41:BH64" dt2D="0" dtr="0" r1="E5"/>
        <v>-8.6083591263275139E-4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2:60">
      <c r="B42" t="s">
        <v>75</v>
      </c>
      <c r="C42" s="32">
        <v>39118</v>
      </c>
      <c r="D42" s="42">
        <f t="shared" si="9"/>
        <v>0.49099999999999999</v>
      </c>
      <c r="E42" s="1">
        <f t="shared" si="10"/>
        <v>0.99748315604224735</v>
      </c>
      <c r="F42" s="55">
        <f t="shared" si="11"/>
        <v>-1.8476313253733873E-5</v>
      </c>
      <c r="H42" s="1" t="s">
        <v>109</v>
      </c>
      <c r="I42" s="11">
        <f t="shared" si="12"/>
        <v>185</v>
      </c>
      <c r="J42" s="1">
        <f t="shared" si="13"/>
        <v>0.99748315604224735</v>
      </c>
      <c r="AH42" s="46"/>
      <c r="AI42" s="61"/>
      <c r="AL42">
        <v>2</v>
      </c>
      <c r="AM42">
        <v>0</v>
      </c>
      <c r="AN42">
        <v>-1.6932967655236553E-3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2:60">
      <c r="B43" t="s">
        <v>76</v>
      </c>
      <c r="C43" s="32">
        <v>39146</v>
      </c>
      <c r="D43" s="42">
        <f t="shared" si="9"/>
        <v>0.51437999999999995</v>
      </c>
      <c r="E43" s="1">
        <f t="shared" si="10"/>
        <v>0.99696581927114281</v>
      </c>
      <c r="F43" s="55">
        <f t="shared" si="11"/>
        <v>-2.1176901284062724E-5</v>
      </c>
      <c r="H43" s="1" t="s">
        <v>110</v>
      </c>
      <c r="I43" s="11">
        <f t="shared" si="12"/>
        <v>213</v>
      </c>
      <c r="J43" s="1">
        <f t="shared" si="13"/>
        <v>0.99696581927114281</v>
      </c>
      <c r="AH43" s="46"/>
      <c r="AI43" s="61"/>
      <c r="AL43">
        <v>3</v>
      </c>
      <c r="AM43">
        <v>0</v>
      </c>
      <c r="AN43">
        <v>0</v>
      </c>
      <c r="AO43">
        <v>-2.6082039258881196E-3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2:60">
      <c r="B44" t="s">
        <v>77</v>
      </c>
      <c r="C44" s="32">
        <v>39176</v>
      </c>
      <c r="D44" s="42">
        <f t="shared" si="9"/>
        <v>0.54562999999999995</v>
      </c>
      <c r="E44" s="1">
        <f t="shared" si="10"/>
        <v>0.99633051223262092</v>
      </c>
      <c r="F44" s="55">
        <f t="shared" si="11"/>
        <v>-2.2399940382245022E-5</v>
      </c>
      <c r="H44" s="1" t="s">
        <v>111</v>
      </c>
      <c r="I44" s="11">
        <f t="shared" si="12"/>
        <v>243</v>
      </c>
      <c r="J44" s="1">
        <f t="shared" si="13"/>
        <v>0.99633051223262092</v>
      </c>
      <c r="AH44" s="46"/>
      <c r="AI44" s="61"/>
      <c r="AL44">
        <v>4</v>
      </c>
      <c r="AM44">
        <v>0</v>
      </c>
      <c r="AN44">
        <v>0</v>
      </c>
      <c r="AO44">
        <v>0</v>
      </c>
      <c r="AP44">
        <v>-3.3837644258198907E-3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2:60">
      <c r="B45" t="s">
        <v>78</v>
      </c>
      <c r="C45" s="32">
        <v>39206</v>
      </c>
      <c r="D45" s="42">
        <f t="shared" si="9"/>
        <v>0.57499999999999996</v>
      </c>
      <c r="E45" s="1">
        <f t="shared" si="10"/>
        <v>0.99565851402115357</v>
      </c>
      <c r="F45" s="55">
        <f t="shared" si="11"/>
        <v>-2.3580200015894277E-5</v>
      </c>
      <c r="H45" s="1" t="s">
        <v>112</v>
      </c>
      <c r="I45" s="11">
        <f t="shared" si="12"/>
        <v>273</v>
      </c>
      <c r="J45" s="1">
        <f t="shared" si="13"/>
        <v>0.99565851402115357</v>
      </c>
      <c r="AH45" s="46"/>
      <c r="AI45" s="61"/>
      <c r="AL45">
        <v>5</v>
      </c>
      <c r="AM45">
        <v>0</v>
      </c>
      <c r="AN45">
        <v>0</v>
      </c>
      <c r="AO45">
        <v>0</v>
      </c>
      <c r="AP45">
        <v>0</v>
      </c>
      <c r="AQ45">
        <v>-4.2415500370367454E-3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2:60">
      <c r="B46" t="s">
        <v>79</v>
      </c>
      <c r="C46" s="32">
        <v>39237</v>
      </c>
      <c r="D46" s="42">
        <f t="shared" si="9"/>
        <v>0.60375000000000001</v>
      </c>
      <c r="E46" s="1">
        <f t="shared" si="10"/>
        <v>0.99492752782066085</v>
      </c>
      <c r="F46" s="55">
        <f t="shared" si="11"/>
        <v>-2.5382915186222821E-5</v>
      </c>
      <c r="H46" s="1" t="s">
        <v>113</v>
      </c>
      <c r="I46" s="11">
        <f t="shared" si="12"/>
        <v>304</v>
      </c>
      <c r="J46" s="1">
        <f t="shared" si="13"/>
        <v>0.99492752782066085</v>
      </c>
      <c r="AH46" s="46"/>
      <c r="AI46" s="61"/>
      <c r="AL46">
        <v>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-5.1256923667466481E-3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2:60">
      <c r="B47" t="s">
        <v>80</v>
      </c>
      <c r="C47" s="32">
        <v>39267</v>
      </c>
      <c r="D47" s="42">
        <f t="shared" si="9"/>
        <v>0.63249999999999995</v>
      </c>
      <c r="E47" s="1">
        <f t="shared" si="10"/>
        <v>0.99416604036507417</v>
      </c>
      <c r="F47" s="55">
        <f t="shared" si="11"/>
        <v>-2.7325102685757805E-5</v>
      </c>
      <c r="H47" s="1" t="s">
        <v>114</v>
      </c>
      <c r="I47" s="11">
        <f t="shared" si="12"/>
        <v>334</v>
      </c>
      <c r="J47" s="1">
        <f t="shared" si="13"/>
        <v>0.99416604036507417</v>
      </c>
      <c r="L47" s="43"/>
      <c r="AH47" s="46"/>
      <c r="AI47" s="61"/>
      <c r="AL47">
        <v>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-5.8983665028904397E-3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2:60">
      <c r="B48" t="s">
        <v>92</v>
      </c>
      <c r="C48" s="32">
        <v>39300</v>
      </c>
      <c r="D48" s="45">
        <f t="shared" si="9"/>
        <v>0.67300000000000004</v>
      </c>
      <c r="E48" s="1">
        <f t="shared" ref="E48:E66" si="16">K52</f>
        <v>0.99326431197644416</v>
      </c>
      <c r="F48" s="55">
        <f t="shared" si="11"/>
        <v>-3.0356114370535024E-5</v>
      </c>
      <c r="H48" s="40"/>
      <c r="AH48" s="46"/>
      <c r="AI48" s="61"/>
      <c r="AL48">
        <v>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-6.7247787006721182E-3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2:60">
      <c r="B49" t="s">
        <v>81</v>
      </c>
      <c r="C49" s="32">
        <v>39482</v>
      </c>
      <c r="D49" s="45">
        <f>E20</f>
        <v>0.82099999999999995</v>
      </c>
      <c r="E49" s="1">
        <f t="shared" si="16"/>
        <v>0.98773949916100678</v>
      </c>
      <c r="F49" s="55">
        <f t="shared" si="11"/>
        <v>-3.6230416449353975E-5</v>
      </c>
      <c r="H49" s="40" t="s">
        <v>136</v>
      </c>
      <c r="AH49" s="46"/>
      <c r="AI49" s="61"/>
      <c r="AL49">
        <v>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-7.5498403540592562E-3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2:60">
      <c r="B50" t="s">
        <v>82</v>
      </c>
      <c r="C50" s="32">
        <v>39664</v>
      </c>
      <c r="D50" s="45">
        <f>E21</f>
        <v>0.95099999999999996</v>
      </c>
      <c r="E50" s="1">
        <f t="shared" si="16"/>
        <v>0.98114556336722436</v>
      </c>
      <c r="F50" s="55">
        <f t="shared" si="11"/>
        <v>-4.1559604481190532E-5</v>
      </c>
      <c r="H50" s="11" t="s">
        <v>135</v>
      </c>
      <c r="I50" s="1" t="s">
        <v>138</v>
      </c>
      <c r="J50" s="51" t="s">
        <v>139</v>
      </c>
      <c r="K50" s="52" t="s">
        <v>346</v>
      </c>
      <c r="AH50" s="46"/>
      <c r="AI50" s="61"/>
      <c r="AL50">
        <v>10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-8.4009044236523778E-3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2:60">
      <c r="B51" t="s">
        <v>94</v>
      </c>
      <c r="C51" s="32">
        <v>39848</v>
      </c>
      <c r="D51" s="45">
        <f>D50+(D52-D50)/(C52-C50)*(C51-C50)</f>
        <v>1.0714821917808219</v>
      </c>
      <c r="E51" s="1">
        <f t="shared" si="16"/>
        <v>0.9734985961426853</v>
      </c>
      <c r="F51" s="55">
        <f t="shared" si="11"/>
        <v>-4.7652816109034793E-5</v>
      </c>
      <c r="H51" s="11" t="s">
        <v>115</v>
      </c>
      <c r="I51" s="50">
        <f>I42</f>
        <v>185</v>
      </c>
      <c r="J51" s="45">
        <f>I51/365</f>
        <v>0.50684931506849318</v>
      </c>
      <c r="K51" s="42">
        <f>J42</f>
        <v>0.99748315604224735</v>
      </c>
      <c r="AH51" s="46"/>
      <c r="AI51" s="61"/>
      <c r="AL51">
        <v>11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-9.2228009176835712E-3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2:60">
      <c r="B52" t="s">
        <v>83</v>
      </c>
      <c r="C52" s="32">
        <v>40029</v>
      </c>
      <c r="D52" s="45">
        <f>E22</f>
        <v>1.19</v>
      </c>
      <c r="E52" s="1">
        <f t="shared" si="16"/>
        <v>0.96487343642695</v>
      </c>
      <c r="F52" s="55">
        <f t="shared" si="11"/>
        <v>-5.0065333798263291E-5</v>
      </c>
      <c r="H52" s="11" t="s">
        <v>116</v>
      </c>
      <c r="I52" s="11">
        <f>(C48-C42)</f>
        <v>182</v>
      </c>
      <c r="J52" s="45">
        <f t="shared" ref="J52:J70" si="17">I52/365</f>
        <v>0.49863013698630138</v>
      </c>
      <c r="K52" s="1">
        <f>(100-D48*SUMPRODUCT(J$51:J51,K$51:K51))/(100+D48*J52)</f>
        <v>0.99326431197644416</v>
      </c>
      <c r="AH52" s="46"/>
      <c r="AI52" s="61"/>
      <c r="AL52">
        <v>12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-1.0007954386026086E-2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2:60">
      <c r="B53" t="s">
        <v>95</v>
      </c>
      <c r="C53" s="32">
        <v>40213</v>
      </c>
      <c r="D53" s="45">
        <f>D52+(D54-D52)/(C54-C52)*(C53-C52)</f>
        <v>1.2913260273972602</v>
      </c>
      <c r="E53" s="1">
        <f t="shared" si="16"/>
        <v>0.95566141500806956</v>
      </c>
      <c r="F53" s="55">
        <f t="shared" si="11"/>
        <v>-5.4948988119599676E-5</v>
      </c>
      <c r="H53" s="11" t="s">
        <v>117</v>
      </c>
      <c r="I53" s="11">
        <f t="shared" ref="I53:I70" si="18">C49-C48</f>
        <v>182</v>
      </c>
      <c r="J53" s="45">
        <f t="shared" si="17"/>
        <v>0.49863013698630138</v>
      </c>
      <c r="K53" s="1">
        <f>(100-D49*SUMPRODUCT(J$51:J52,K$51:K52))/(100+D49*J53)</f>
        <v>0.98773949916100678</v>
      </c>
      <c r="AH53" s="46"/>
      <c r="AI53" s="61"/>
      <c r="AL53">
        <v>13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-1.4932876999040445E-2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2:60">
      <c r="B54" t="s">
        <v>84</v>
      </c>
      <c r="C54" s="32">
        <v>40394</v>
      </c>
      <c r="D54" s="45">
        <f>E23</f>
        <v>1.391</v>
      </c>
      <c r="E54" s="1">
        <f t="shared" si="16"/>
        <v>0.94571564815842202</v>
      </c>
      <c r="F54" s="55">
        <f t="shared" si="11"/>
        <v>-5.6258385687937963E-5</v>
      </c>
      <c r="H54" s="11" t="s">
        <v>118</v>
      </c>
      <c r="I54" s="11">
        <f t="shared" si="18"/>
        <v>182</v>
      </c>
      <c r="J54" s="45">
        <f t="shared" si="17"/>
        <v>0.49863013698630138</v>
      </c>
      <c r="K54" s="1">
        <f>(100-D50*SUMPRODUCT(J$51:J53,K$51:K53))/(100+D50*J54)</f>
        <v>0.98114556336722436</v>
      </c>
      <c r="AL54">
        <v>14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-1.9824922163252268E-2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2:60">
      <c r="B55" t="s">
        <v>96</v>
      </c>
      <c r="C55" s="32">
        <v>40578</v>
      </c>
      <c r="D55" s="45">
        <f>D54+(D56-D54)/(C56-C54)*(C55-C54)</f>
        <v>1.4777068493150685</v>
      </c>
      <c r="E55" s="1">
        <f t="shared" si="16"/>
        <v>0.93536410519184143</v>
      </c>
      <c r="F55" s="55">
        <f t="shared" si="11"/>
        <v>-6.0199536281917776E-5</v>
      </c>
      <c r="H55" s="11" t="s">
        <v>119</v>
      </c>
      <c r="I55" s="11">
        <f t="shared" si="18"/>
        <v>184</v>
      </c>
      <c r="J55" s="45">
        <f t="shared" si="17"/>
        <v>0.50410958904109593</v>
      </c>
      <c r="K55" s="1">
        <f>(100-D51*SUMPRODUCT(J$51:J54,K$51:K54))/(100+D51*J55)</f>
        <v>0.9734985961426853</v>
      </c>
      <c r="AL55">
        <v>15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-2.9516044082583903E-2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2:60">
      <c r="B56" t="s">
        <v>85</v>
      </c>
      <c r="C56" s="32">
        <v>40759</v>
      </c>
      <c r="D56" s="45">
        <f>E24</f>
        <v>1.5629999999999999</v>
      </c>
      <c r="E56" s="1">
        <f t="shared" si="16"/>
        <v>0.92446798912481432</v>
      </c>
      <c r="F56" s="55">
        <f t="shared" si="11"/>
        <v>-5.9984660578181545E-5</v>
      </c>
      <c r="H56" s="11" t="s">
        <v>120</v>
      </c>
      <c r="I56" s="11">
        <f t="shared" si="18"/>
        <v>181</v>
      </c>
      <c r="J56" s="45">
        <f t="shared" si="17"/>
        <v>0.49589041095890413</v>
      </c>
      <c r="K56" s="1">
        <f>(100-D52*SUMPRODUCT(J$51:J55,K$51:K55))/(100+D52*J56)</f>
        <v>0.96487343642695</v>
      </c>
      <c r="AL56">
        <v>16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-3.9022631900138549E-2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2:60">
      <c r="B57" t="s">
        <v>97</v>
      </c>
      <c r="C57" s="32">
        <v>40945</v>
      </c>
      <c r="D57" s="45">
        <f>D56+(D58-D56)/(C58-C56)*(C57-C56)</f>
        <v>1.6362880434782607</v>
      </c>
      <c r="E57" s="1">
        <f t="shared" si="16"/>
        <v>0.91331084225727255</v>
      </c>
      <c r="F57" s="55">
        <f t="shared" si="11"/>
        <v>-6.3075691128480185E-5</v>
      </c>
      <c r="H57" s="11" t="s">
        <v>121</v>
      </c>
      <c r="I57" s="11">
        <f t="shared" si="18"/>
        <v>184</v>
      </c>
      <c r="J57" s="45">
        <f t="shared" si="17"/>
        <v>0.50410958904109593</v>
      </c>
      <c r="K57" s="1">
        <f>(100-D53*SUMPRODUCT(J$51:J56,K$51:K56))/(100+D53*J57)</f>
        <v>0.95566141500806956</v>
      </c>
      <c r="AL57">
        <v>17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-4.8321550329518459E-2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2:60">
      <c r="B58" t="s">
        <v>86</v>
      </c>
      <c r="C58" s="32">
        <v>41127</v>
      </c>
      <c r="D58" s="45">
        <f>E25</f>
        <v>1.708</v>
      </c>
      <c r="E58" s="1">
        <f t="shared" si="16"/>
        <v>0.90183106647188915</v>
      </c>
      <c r="F58" s="55">
        <f t="shared" si="11"/>
        <v>-6.2927070345216389E-5</v>
      </c>
      <c r="H58" s="11" t="s">
        <v>122</v>
      </c>
      <c r="I58" s="11">
        <f t="shared" si="18"/>
        <v>181</v>
      </c>
      <c r="J58" s="45">
        <f t="shared" si="17"/>
        <v>0.49589041095890413</v>
      </c>
      <c r="K58" s="1">
        <f>(100-D54*SUMPRODUCT(J$51:J57,K$51:K57))/(100+D54*J58)</f>
        <v>0.94571564815842202</v>
      </c>
      <c r="AL58">
        <v>18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-5.7471773076230193E-2</v>
      </c>
      <c r="BE58">
        <v>0</v>
      </c>
      <c r="BF58">
        <v>0</v>
      </c>
      <c r="BG58">
        <v>0</v>
      </c>
      <c r="BH58">
        <v>0</v>
      </c>
    </row>
    <row r="59" spans="2:60">
      <c r="B59" t="s">
        <v>98</v>
      </c>
      <c r="C59" s="32">
        <v>41309</v>
      </c>
      <c r="D59" s="45">
        <f>D58+(D60-D58)/(C60-C58)*(C59-C58)</f>
        <v>1.7705</v>
      </c>
      <c r="E59" s="1">
        <f t="shared" si="16"/>
        <v>0.89037833966905977</v>
      </c>
      <c r="F59" s="55">
        <f t="shared" si="11"/>
        <v>-6.5378756564292236E-5</v>
      </c>
      <c r="H59" s="11" t="s">
        <v>123</v>
      </c>
      <c r="I59" s="11">
        <f t="shared" si="18"/>
        <v>184</v>
      </c>
      <c r="J59" s="45">
        <f t="shared" si="17"/>
        <v>0.50410958904109593</v>
      </c>
      <c r="K59" s="1">
        <f>(100-D55*SUMPRODUCT(J$51:J58,K$51:K58))/(100+D55*J59)</f>
        <v>0.93536410519184143</v>
      </c>
      <c r="AL59">
        <v>19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-6.6291222410484352E-2</v>
      </c>
      <c r="BF59">
        <v>0</v>
      </c>
      <c r="BG59">
        <v>0</v>
      </c>
      <c r="BH59">
        <v>0</v>
      </c>
    </row>
    <row r="60" spans="2:60">
      <c r="B60" t="s">
        <v>87</v>
      </c>
      <c r="C60" s="32">
        <v>41491</v>
      </c>
      <c r="D60" s="45">
        <f>E26</f>
        <v>1.833</v>
      </c>
      <c r="E60" s="1">
        <f t="shared" si="16"/>
        <v>0.87847940597435858</v>
      </c>
      <c r="F60" s="55">
        <f t="shared" si="11"/>
        <v>-6.3906649922666718E-5</v>
      </c>
      <c r="H60" s="11" t="s">
        <v>124</v>
      </c>
      <c r="I60" s="11">
        <f t="shared" si="18"/>
        <v>181</v>
      </c>
      <c r="J60" s="45">
        <f t="shared" si="17"/>
        <v>0.49589041095890413</v>
      </c>
      <c r="K60" s="1">
        <f>(100-D56*SUMPRODUCT(J$51:J59,K$51:K59))/(100+D56*J60)</f>
        <v>0.92446798912481432</v>
      </c>
      <c r="AL60">
        <v>20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-7.4875655887993275E-2</v>
      </c>
      <c r="BG60">
        <v>0</v>
      </c>
      <c r="BH60">
        <v>0</v>
      </c>
    </row>
    <row r="61" spans="2:60">
      <c r="B61" t="s">
        <v>99</v>
      </c>
      <c r="C61" s="32">
        <v>41674</v>
      </c>
      <c r="D61" s="45">
        <f>D60+(D62-D60)/(C62-C60)*(C61-C60)</f>
        <v>1.8857884615384615</v>
      </c>
      <c r="E61" s="1">
        <f t="shared" si="16"/>
        <v>0.86678448903851057</v>
      </c>
      <c r="F61" s="55">
        <f t="shared" si="11"/>
        <v>-6.5768084829210074E-5</v>
      </c>
      <c r="H61" s="11" t="s">
        <v>125</v>
      </c>
      <c r="I61" s="11">
        <f t="shared" si="18"/>
        <v>186</v>
      </c>
      <c r="J61" s="45">
        <f t="shared" si="17"/>
        <v>0.50958904109589043</v>
      </c>
      <c r="K61" s="1">
        <f>(100-D57*SUMPRODUCT(J$51:J60,K$51:K60))/(100+D57*J61)</f>
        <v>0.91331084225727255</v>
      </c>
      <c r="AL61">
        <v>21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-8.3248416401602299E-2</v>
      </c>
      <c r="BH61">
        <v>0</v>
      </c>
    </row>
    <row r="62" spans="2:60">
      <c r="B62" t="s">
        <v>88</v>
      </c>
      <c r="C62" s="32">
        <v>41855</v>
      </c>
      <c r="D62" s="45">
        <f>E27</f>
        <v>1.9379999999999999</v>
      </c>
      <c r="E62" s="1">
        <f t="shared" si="16"/>
        <v>0.85488046568442355</v>
      </c>
      <c r="F62" s="55">
        <f t="shared" si="11"/>
        <v>-6.363049543546369E-5</v>
      </c>
      <c r="H62" s="11" t="s">
        <v>126</v>
      </c>
      <c r="I62" s="11">
        <f t="shared" si="18"/>
        <v>182</v>
      </c>
      <c r="J62" s="45">
        <f t="shared" si="17"/>
        <v>0.49863013698630138</v>
      </c>
      <c r="K62" s="1">
        <f>(100-D58*SUMPRODUCT(J$51:J61,K$51:K61))/(100+D58*J62)</f>
        <v>0.90183106647188915</v>
      </c>
      <c r="AL62">
        <v>22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-9.140727604929566E-2</v>
      </c>
    </row>
    <row r="63" spans="2:60">
      <c r="B63" t="s">
        <v>100</v>
      </c>
      <c r="C63" s="32">
        <v>42039</v>
      </c>
      <c r="D63" s="45">
        <f>D62+(D64-D62)/(C64-C62)*(C63-C62)</f>
        <v>1.9818575342465752</v>
      </c>
      <c r="E63" s="1">
        <f t="shared" si="16"/>
        <v>0.84317245452429823</v>
      </c>
      <c r="F63" s="55">
        <f t="shared" si="11"/>
        <v>-6.4987657147996941E-5</v>
      </c>
      <c r="H63" s="11" t="s">
        <v>127</v>
      </c>
      <c r="I63" s="11">
        <f t="shared" si="18"/>
        <v>182</v>
      </c>
      <c r="J63" s="45">
        <f t="shared" si="17"/>
        <v>0.49863013698630138</v>
      </c>
      <c r="K63" s="1">
        <f>(100-D59*SUMPRODUCT(J$51:J62,K$51:K62))/(100+D59*J63)</f>
        <v>0.89037833966905977</v>
      </c>
      <c r="AL63">
        <v>23</v>
      </c>
      <c r="AM63">
        <v>-8.6083591263275139E-4</v>
      </c>
      <c r="AN63">
        <v>-1.6932967655236553E-3</v>
      </c>
      <c r="AO63">
        <v>-2.6082039258881196E-3</v>
      </c>
      <c r="AP63">
        <v>-3.3837644258198907E-3</v>
      </c>
      <c r="AQ63">
        <v>-4.2415500370367454E-3</v>
      </c>
      <c r="AR63">
        <v>-5.1256923667466481E-3</v>
      </c>
      <c r="AS63">
        <v>-5.8983665028904397E-3</v>
      </c>
      <c r="AT63">
        <v>-6.7247787006721182E-3</v>
      </c>
      <c r="AU63">
        <v>-7.5498403540592562E-3</v>
      </c>
      <c r="AV63">
        <v>-8.4009044236523778E-3</v>
      </c>
      <c r="AW63">
        <v>-9.2228009176835712E-3</v>
      </c>
      <c r="AX63">
        <v>-1.0007696124063159E-2</v>
      </c>
      <c r="AY63">
        <v>-1.4932124497420318E-2</v>
      </c>
      <c r="AZ63">
        <v>-1.9823435224324726E-2</v>
      </c>
      <c r="BA63">
        <v>-2.9512989925251532E-2</v>
      </c>
      <c r="BB63">
        <v>-3.9016722947565086E-2</v>
      </c>
      <c r="BC63">
        <v>-4.8311913178523014E-2</v>
      </c>
      <c r="BD63">
        <v>-5.7457569974090461E-2</v>
      </c>
      <c r="BE63">
        <v>-6.6271647645280041E-2</v>
      </c>
      <c r="BF63">
        <v>-7.4850021851545989E-2</v>
      </c>
      <c r="BG63">
        <v>-8.3216034694899577E-2</v>
      </c>
      <c r="BH63">
        <v>-9.136748513709847E-2</v>
      </c>
    </row>
    <row r="64" spans="2:60">
      <c r="B64" t="s">
        <v>89</v>
      </c>
      <c r="C64" s="32">
        <v>42220</v>
      </c>
      <c r="D64" s="45">
        <f>E28</f>
        <v>2.0249999999999999</v>
      </c>
      <c r="E64" s="1">
        <f t="shared" si="16"/>
        <v>0.83140968858051079</v>
      </c>
      <c r="F64" s="55">
        <f t="shared" si="11"/>
        <v>-6.4095153318838421E-5</v>
      </c>
      <c r="H64" s="11" t="s">
        <v>128</v>
      </c>
      <c r="I64" s="11">
        <f t="shared" si="18"/>
        <v>182</v>
      </c>
      <c r="J64" s="45">
        <f t="shared" si="17"/>
        <v>0.49863013698630138</v>
      </c>
      <c r="K64" s="1">
        <f>(100-D60*SUMPRODUCT(J$51:J63,K$51:K63))/(100+D60*J64)</f>
        <v>0.87847940597435858</v>
      </c>
      <c r="AL64">
        <v>24</v>
      </c>
      <c r="AM64">
        <v>8.608507336589355E-4</v>
      </c>
      <c r="AN64">
        <v>1.6933541125609963E-3</v>
      </c>
      <c r="AO64">
        <v>2.6083399875176383E-3</v>
      </c>
      <c r="AP64">
        <v>3.383993438546895E-3</v>
      </c>
      <c r="AQ64">
        <v>4.2419098824950652E-3</v>
      </c>
      <c r="AR64">
        <v>5.1262178750732801E-3</v>
      </c>
      <c r="AS64">
        <v>5.8990623995356373E-3</v>
      </c>
      <c r="AT64">
        <v>6.7256832753059825E-3</v>
      </c>
      <c r="AU64">
        <v>7.5509805280091769E-3</v>
      </c>
      <c r="AV64">
        <v>8.4023161648048017E-3</v>
      </c>
      <c r="AW64">
        <v>9.2245024327155534E-3</v>
      </c>
      <c r="AX64">
        <v>1.0009207465046188E-2</v>
      </c>
      <c r="AY64">
        <v>1.4935112875164691E-2</v>
      </c>
      <c r="AZ64">
        <v>1.9828377325637803E-2</v>
      </c>
      <c r="BA64">
        <v>2.9523252736709082E-2</v>
      </c>
      <c r="BB64">
        <v>3.9034109322798827E-2</v>
      </c>
      <c r="BC64">
        <v>4.8338137927643743E-2</v>
      </c>
      <c r="BD64">
        <v>5.7494351326482729E-2</v>
      </c>
      <c r="BE64">
        <v>6.6320393599056615E-2</v>
      </c>
      <c r="BF64">
        <v>7.4912157843655791E-2</v>
      </c>
      <c r="BG64">
        <v>8.329294007756971E-2</v>
      </c>
      <c r="BH64">
        <v>9.1460459609436384E-2</v>
      </c>
    </row>
    <row r="65" spans="2:60">
      <c r="B65" t="s">
        <v>101</v>
      </c>
      <c r="C65" s="32">
        <v>42404</v>
      </c>
      <c r="D65" s="45">
        <f>D64+(D66-D64)/(C66-C64)*(C65-C64)</f>
        <v>2.0642131147540983</v>
      </c>
      <c r="E65" s="1">
        <f t="shared" si="16"/>
        <v>0.81961618036984452</v>
      </c>
      <c r="F65" s="55">
        <f t="shared" si="11"/>
        <v>-6.5163346519981152E-5</v>
      </c>
      <c r="H65" s="11" t="s">
        <v>129</v>
      </c>
      <c r="I65" s="11">
        <f t="shared" si="18"/>
        <v>183</v>
      </c>
      <c r="J65" s="45">
        <f t="shared" si="17"/>
        <v>0.50136986301369868</v>
      </c>
      <c r="K65" s="1">
        <f>(100-D61*SUMPRODUCT(J$51:J64,K$51:K64))/(100+D61*J65)</f>
        <v>0.86678448903851057</v>
      </c>
    </row>
    <row r="66" spans="2:60">
      <c r="B66" t="s">
        <v>90</v>
      </c>
      <c r="C66" s="32">
        <v>42586</v>
      </c>
      <c r="D66" s="45">
        <f>E29</f>
        <v>2.1030000000000002</v>
      </c>
      <c r="E66" s="1">
        <f t="shared" si="16"/>
        <v>0.80775645130320795</v>
      </c>
      <c r="F66" s="55"/>
      <c r="H66" s="11" t="s">
        <v>130</v>
      </c>
      <c r="I66" s="11">
        <f t="shared" si="18"/>
        <v>181</v>
      </c>
      <c r="J66" s="45">
        <f t="shared" si="17"/>
        <v>0.49589041095890413</v>
      </c>
      <c r="K66" s="1">
        <f>(100-D62*SUMPRODUCT(J$51:J65,K$51:K65))/(100+D62*J66)</f>
        <v>0.85488046568442355</v>
      </c>
      <c r="AM66" s="1">
        <f>SUM(AM41:AM62)</f>
        <v>-8.6083591263275139E-4</v>
      </c>
      <c r="AN66" s="1">
        <f t="shared" ref="AN66:BH66" si="19">SUM(AN41:AN62)</f>
        <v>-1.6932967655236553E-3</v>
      </c>
      <c r="AO66" s="1">
        <f t="shared" si="19"/>
        <v>-2.6082039258881196E-3</v>
      </c>
      <c r="AP66" s="1">
        <f t="shared" si="19"/>
        <v>-3.3837644258198907E-3</v>
      </c>
      <c r="AQ66" s="1">
        <f t="shared" si="19"/>
        <v>-4.2415500370367454E-3</v>
      </c>
      <c r="AR66" s="1">
        <f t="shared" si="19"/>
        <v>-5.1256923667466481E-3</v>
      </c>
      <c r="AS66" s="1">
        <f t="shared" si="19"/>
        <v>-5.8983665028904397E-3</v>
      </c>
      <c r="AT66" s="1">
        <f t="shared" si="19"/>
        <v>-6.7247787006721182E-3</v>
      </c>
      <c r="AU66" s="1">
        <f t="shared" si="19"/>
        <v>-7.5498403540592562E-3</v>
      </c>
      <c r="AV66" s="1">
        <f t="shared" si="19"/>
        <v>-8.4009044236523778E-3</v>
      </c>
      <c r="AW66" s="1">
        <f t="shared" si="19"/>
        <v>-9.2228009176835712E-3</v>
      </c>
      <c r="AX66" s="1">
        <f t="shared" si="19"/>
        <v>-1.0007954386026086E-2</v>
      </c>
      <c r="AY66" s="1">
        <f t="shared" si="19"/>
        <v>-1.4932876999040445E-2</v>
      </c>
      <c r="AZ66" s="1">
        <f t="shared" si="19"/>
        <v>-1.9824922163252268E-2</v>
      </c>
      <c r="BA66" s="1">
        <f t="shared" si="19"/>
        <v>-2.9516044082583903E-2</v>
      </c>
      <c r="BB66" s="1">
        <f t="shared" si="19"/>
        <v>-3.9022631900138549E-2</v>
      </c>
      <c r="BC66" s="1">
        <f t="shared" si="19"/>
        <v>-4.8321550329518459E-2</v>
      </c>
      <c r="BD66" s="1">
        <f t="shared" si="19"/>
        <v>-5.7471773076230193E-2</v>
      </c>
      <c r="BE66" s="1">
        <f t="shared" si="19"/>
        <v>-6.6291222410484352E-2</v>
      </c>
      <c r="BF66" s="1">
        <f t="shared" si="19"/>
        <v>-7.4875655887993275E-2</v>
      </c>
      <c r="BG66" s="1">
        <f t="shared" si="19"/>
        <v>-8.3248416401602299E-2</v>
      </c>
      <c r="BH66" s="1">
        <f t="shared" si="19"/>
        <v>-9.140727604929566E-2</v>
      </c>
    </row>
    <row r="67" spans="2:60">
      <c r="H67" s="11" t="s">
        <v>131</v>
      </c>
      <c r="I67" s="11">
        <f t="shared" si="18"/>
        <v>184</v>
      </c>
      <c r="J67" s="45">
        <f t="shared" si="17"/>
        <v>0.50410958904109593</v>
      </c>
      <c r="K67" s="1">
        <f>(100-D63*SUMPRODUCT(J$51:J66,K$51:K66))/(100+D63*J67)</f>
        <v>0.84317245452429823</v>
      </c>
    </row>
    <row r="68" spans="2:60">
      <c r="H68" s="11" t="s">
        <v>132</v>
      </c>
      <c r="I68" s="11">
        <f t="shared" si="18"/>
        <v>181</v>
      </c>
      <c r="J68" s="45">
        <f t="shared" si="17"/>
        <v>0.49589041095890413</v>
      </c>
      <c r="K68" s="1">
        <f>(100-D64*SUMPRODUCT(J$51:J67,K$51:K67))/(100+D64*J68)</f>
        <v>0.83140968858051079</v>
      </c>
      <c r="AL68" t="s">
        <v>401</v>
      </c>
    </row>
    <row r="69" spans="2:60" ht="15" thickBot="1">
      <c r="H69" s="49" t="s">
        <v>133</v>
      </c>
      <c r="I69" s="11">
        <f t="shared" si="18"/>
        <v>184</v>
      </c>
      <c r="J69" s="45">
        <f t="shared" si="17"/>
        <v>0.50410958904109593</v>
      </c>
      <c r="K69" s="1">
        <f>(100-D65*SUMPRODUCT(J$51:J68,K$51:K68))/(100+D65*J69)</f>
        <v>0.81961618036984452</v>
      </c>
      <c r="AL69" t="s">
        <v>165</v>
      </c>
      <c r="AM69" t="s">
        <v>199</v>
      </c>
    </row>
    <row r="70" spans="2:60">
      <c r="H70" s="49" t="s">
        <v>134</v>
      </c>
      <c r="I70" s="11">
        <f t="shared" si="18"/>
        <v>182</v>
      </c>
      <c r="J70" s="45">
        <f t="shared" si="17"/>
        <v>0.49863013698630138</v>
      </c>
      <c r="K70" s="1">
        <f>(100-D66*SUMPRODUCT(J$51:J69,K$51:K69))/(100+D66*J70)</f>
        <v>0.80775645130320795</v>
      </c>
      <c r="AL70" s="64">
        <v>1</v>
      </c>
      <c r="AM70" s="110" t="s">
        <v>70</v>
      </c>
      <c r="AN70" s="85">
        <v>-8.6083591263275139E-4</v>
      </c>
    </row>
    <row r="71" spans="2:60">
      <c r="AL71" s="94">
        <v>2</v>
      </c>
      <c r="AM71" s="31" t="s">
        <v>71</v>
      </c>
      <c r="AN71" s="66">
        <v>-1.6932967655236553E-3</v>
      </c>
    </row>
    <row r="72" spans="2:60">
      <c r="AL72" s="94">
        <v>3</v>
      </c>
      <c r="AM72" s="31" t="s">
        <v>72</v>
      </c>
      <c r="AN72" s="66">
        <v>-2.6082039258881196E-3</v>
      </c>
    </row>
    <row r="73" spans="2:60">
      <c r="AL73" s="94">
        <v>4</v>
      </c>
      <c r="AM73" s="31" t="s">
        <v>73</v>
      </c>
      <c r="AN73" s="66">
        <v>-3.3837644258198907E-3</v>
      </c>
    </row>
    <row r="74" spans="2:60">
      <c r="AL74" s="94">
        <v>5</v>
      </c>
      <c r="AM74" s="31" t="s">
        <v>74</v>
      </c>
      <c r="AN74" s="66">
        <v>-4.2415500370367454E-3</v>
      </c>
    </row>
    <row r="75" spans="2:60">
      <c r="AL75" s="94">
        <v>6</v>
      </c>
      <c r="AM75" s="31" t="s">
        <v>75</v>
      </c>
      <c r="AN75" s="66">
        <v>-5.1256923667466481E-3</v>
      </c>
    </row>
    <row r="76" spans="2:60">
      <c r="AL76" s="94">
        <v>7</v>
      </c>
      <c r="AM76" s="31" t="s">
        <v>76</v>
      </c>
      <c r="AN76" s="66">
        <v>-5.8983665028904397E-3</v>
      </c>
    </row>
    <row r="77" spans="2:60">
      <c r="AL77" s="94">
        <v>8</v>
      </c>
      <c r="AM77" s="31" t="s">
        <v>77</v>
      </c>
      <c r="AN77" s="66">
        <v>-6.7247787006721182E-3</v>
      </c>
    </row>
    <row r="78" spans="2:60">
      <c r="AL78" s="94">
        <v>9</v>
      </c>
      <c r="AM78" s="31" t="s">
        <v>78</v>
      </c>
      <c r="AN78" s="66">
        <v>-7.5498403540592562E-3</v>
      </c>
    </row>
    <row r="79" spans="2:60">
      <c r="AL79" s="94">
        <v>10</v>
      </c>
      <c r="AM79" s="31" t="s">
        <v>79</v>
      </c>
      <c r="AN79" s="66">
        <v>-8.4009044236523778E-3</v>
      </c>
    </row>
    <row r="80" spans="2:60">
      <c r="AL80" s="94">
        <v>11</v>
      </c>
      <c r="AM80" s="31" t="s">
        <v>80</v>
      </c>
      <c r="AN80" s="66">
        <v>-9.2228009176835712E-3</v>
      </c>
    </row>
    <row r="81" spans="38:40">
      <c r="AL81" s="94">
        <v>12</v>
      </c>
      <c r="AM81" s="31" t="s">
        <v>164</v>
      </c>
      <c r="AN81" s="66">
        <v>-1.0007954386026086E-2</v>
      </c>
    </row>
    <row r="82" spans="38:40">
      <c r="AL82" s="94">
        <v>13</v>
      </c>
      <c r="AM82" s="31" t="s">
        <v>81</v>
      </c>
      <c r="AN82" s="66">
        <v>-1.4932876999040445E-2</v>
      </c>
    </row>
    <row r="83" spans="38:40">
      <c r="AL83" s="94">
        <v>14</v>
      </c>
      <c r="AM83" s="31" t="s">
        <v>82</v>
      </c>
      <c r="AN83" s="66">
        <v>-1.9824922163252268E-2</v>
      </c>
    </row>
    <row r="84" spans="38:40">
      <c r="AL84" s="94">
        <v>15</v>
      </c>
      <c r="AM84" s="31" t="s">
        <v>83</v>
      </c>
      <c r="AN84" s="66">
        <v>-2.9516044082583903E-2</v>
      </c>
    </row>
    <row r="85" spans="38:40">
      <c r="AL85" s="94">
        <v>16</v>
      </c>
      <c r="AM85" s="31" t="s">
        <v>84</v>
      </c>
      <c r="AN85" s="66">
        <v>-3.9022631900138549E-2</v>
      </c>
    </row>
    <row r="86" spans="38:40">
      <c r="AL86" s="94">
        <v>17</v>
      </c>
      <c r="AM86" s="31" t="s">
        <v>85</v>
      </c>
      <c r="AN86" s="66">
        <v>-4.8321550329518459E-2</v>
      </c>
    </row>
    <row r="87" spans="38:40">
      <c r="AL87" s="94">
        <v>18</v>
      </c>
      <c r="AM87" s="31" t="s">
        <v>86</v>
      </c>
      <c r="AN87" s="66">
        <v>-5.7471773076230193E-2</v>
      </c>
    </row>
    <row r="88" spans="38:40">
      <c r="AL88" s="94">
        <v>19</v>
      </c>
      <c r="AM88" s="31" t="s">
        <v>87</v>
      </c>
      <c r="AN88" s="66">
        <v>-6.6291222410484352E-2</v>
      </c>
    </row>
    <row r="89" spans="38:40">
      <c r="AL89" s="94">
        <v>20</v>
      </c>
      <c r="AM89" s="31" t="s">
        <v>88</v>
      </c>
      <c r="AN89" s="66">
        <v>-7.4875655887993275E-2</v>
      </c>
    </row>
    <row r="90" spans="38:40">
      <c r="AL90" s="94">
        <v>21</v>
      </c>
      <c r="AM90" s="31" t="s">
        <v>89</v>
      </c>
      <c r="AN90" s="66">
        <v>-8.3248416401602299E-2</v>
      </c>
    </row>
    <row r="91" spans="38:40" ht="15" thickBot="1">
      <c r="AL91" s="95">
        <v>22</v>
      </c>
      <c r="AM91" s="111" t="s">
        <v>90</v>
      </c>
      <c r="AN91" s="69">
        <v>-9.140727604929566E-2</v>
      </c>
    </row>
  </sheetData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C81"/>
  <sheetViews>
    <sheetView topLeftCell="A32" workbookViewId="0"/>
  </sheetViews>
  <sheetFormatPr baseColWidth="10" defaultColWidth="8.83203125" defaultRowHeight="14"/>
  <cols>
    <col min="3" max="3" width="12" customWidth="1"/>
    <col min="5" max="5" width="7.6640625" customWidth="1"/>
    <col min="6" max="6" width="9.5" customWidth="1"/>
    <col min="7" max="7" width="10" customWidth="1"/>
    <col min="9" max="9" width="21.1640625" customWidth="1"/>
    <col min="13" max="13" width="12.5" customWidth="1"/>
    <col min="14" max="14" width="10.83203125" customWidth="1"/>
    <col min="15" max="15" width="11.33203125" customWidth="1"/>
    <col min="16" max="23" width="9.33203125" customWidth="1"/>
    <col min="24" max="24" width="12" customWidth="1"/>
    <col min="26" max="27" width="12.1640625" customWidth="1"/>
    <col min="29" max="29" width="11.6640625" bestFit="1" customWidth="1"/>
  </cols>
  <sheetData>
    <row r="2" spans="2:29" ht="15" thickBot="1">
      <c r="B2" t="s">
        <v>402</v>
      </c>
      <c r="M2" t="s">
        <v>187</v>
      </c>
    </row>
    <row r="3" spans="2:29" ht="15" thickBot="1">
      <c r="P3" s="31" t="s">
        <v>72</v>
      </c>
      <c r="Q3" s="31" t="s">
        <v>80</v>
      </c>
      <c r="R3" s="31" t="s">
        <v>82</v>
      </c>
      <c r="S3" s="31" t="s">
        <v>83</v>
      </c>
      <c r="T3" s="31" t="s">
        <v>86</v>
      </c>
      <c r="U3" s="31" t="s">
        <v>87</v>
      </c>
      <c r="V3" s="31" t="s">
        <v>89</v>
      </c>
      <c r="W3" s="140" t="s">
        <v>90</v>
      </c>
      <c r="X3" s="13" t="s">
        <v>192</v>
      </c>
      <c r="Z3" t="s">
        <v>194</v>
      </c>
    </row>
    <row r="4" spans="2:29" ht="15" thickBot="1">
      <c r="P4" t="s">
        <v>188</v>
      </c>
      <c r="Q4" t="s">
        <v>189</v>
      </c>
      <c r="R4" t="s">
        <v>190</v>
      </c>
      <c r="S4" t="s">
        <v>190</v>
      </c>
      <c r="T4" t="s">
        <v>191</v>
      </c>
      <c r="U4" t="s">
        <v>190</v>
      </c>
      <c r="V4" t="s">
        <v>191</v>
      </c>
      <c r="W4" t="s">
        <v>191</v>
      </c>
      <c r="Z4" s="64" t="s">
        <v>196</v>
      </c>
      <c r="AA4" s="85" t="s">
        <v>197</v>
      </c>
    </row>
    <row r="5" spans="2:29" ht="15" thickBot="1">
      <c r="B5" t="s">
        <v>165</v>
      </c>
      <c r="C5" s="1" t="s">
        <v>166</v>
      </c>
      <c r="D5" s="1" t="s">
        <v>169</v>
      </c>
      <c r="E5" s="1" t="s">
        <v>198</v>
      </c>
      <c r="F5" s="1" t="s">
        <v>403</v>
      </c>
      <c r="G5" s="1" t="s">
        <v>170</v>
      </c>
      <c r="I5" s="1" t="s">
        <v>172</v>
      </c>
      <c r="J5" s="1" t="s">
        <v>175</v>
      </c>
      <c r="N5" s="64" t="s">
        <v>69</v>
      </c>
      <c r="O5" s="71" t="s">
        <v>195</v>
      </c>
      <c r="P5" s="58">
        <v>0.41687999999999997</v>
      </c>
      <c r="Q5" s="59">
        <v>0.63249999999999995</v>
      </c>
      <c r="R5" s="59">
        <v>0.95099999999999996</v>
      </c>
      <c r="S5" s="59">
        <v>1.19</v>
      </c>
      <c r="T5" s="59">
        <v>1.708</v>
      </c>
      <c r="U5" s="59">
        <v>1.833</v>
      </c>
      <c r="V5" s="59">
        <v>2.0249999999999999</v>
      </c>
      <c r="W5" s="60">
        <v>2.1030000000000002</v>
      </c>
      <c r="X5" s="70"/>
      <c r="Z5" s="82">
        <v>38933</v>
      </c>
      <c r="AA5" s="83">
        <v>2200</v>
      </c>
      <c r="AC5" s="36"/>
    </row>
    <row r="6" spans="2:29">
      <c r="B6">
        <v>1</v>
      </c>
      <c r="C6" s="1" t="s">
        <v>70</v>
      </c>
      <c r="D6" s="45">
        <v>1.4528460867950344E-2</v>
      </c>
      <c r="E6" s="33"/>
      <c r="F6" s="45">
        <v>-8.6083591263275139E-4</v>
      </c>
      <c r="G6" s="63">
        <f>ABS(D6/F6)</f>
        <v>16.877154698991344</v>
      </c>
      <c r="I6" s="1"/>
      <c r="J6" s="1"/>
      <c r="M6" t="s">
        <v>178</v>
      </c>
      <c r="N6" s="65">
        <v>38933</v>
      </c>
      <c r="O6" s="1"/>
      <c r="P6" s="57"/>
      <c r="Q6" s="57"/>
      <c r="R6" s="57">
        <v>4150</v>
      </c>
      <c r="S6" s="57">
        <v>1000</v>
      </c>
      <c r="T6" s="57">
        <v>-300</v>
      </c>
      <c r="U6" s="57">
        <v>1350</v>
      </c>
      <c r="V6" s="57">
        <v>-400</v>
      </c>
      <c r="W6" s="72">
        <v>-3600</v>
      </c>
      <c r="X6" s="104">
        <f>SUM(P6:W6)</f>
        <v>2200</v>
      </c>
      <c r="Z6" s="82">
        <v>38954</v>
      </c>
      <c r="AA6" s="83">
        <v>-2980.950343892694</v>
      </c>
      <c r="AC6" s="36"/>
    </row>
    <row r="7" spans="2:29">
      <c r="B7">
        <v>2</v>
      </c>
      <c r="C7" s="1" t="s">
        <v>71</v>
      </c>
      <c r="D7" s="45">
        <v>-1.0227836319245398E-2</v>
      </c>
      <c r="E7" s="33"/>
      <c r="F7" s="45">
        <v>-1.6932967655236553E-3</v>
      </c>
      <c r="G7" s="63">
        <f t="shared" ref="G7:G27" si="0">ABS(D7/F7)</f>
        <v>6.040191257367943</v>
      </c>
      <c r="I7" s="1"/>
      <c r="J7" s="1"/>
      <c r="M7" t="s">
        <v>70</v>
      </c>
      <c r="N7" s="65">
        <v>38964</v>
      </c>
      <c r="O7" s="11">
        <v>31</v>
      </c>
      <c r="P7" s="1"/>
      <c r="Q7" s="1"/>
      <c r="R7" s="1"/>
      <c r="S7" s="1"/>
      <c r="T7" s="1"/>
      <c r="U7" s="1"/>
      <c r="V7" s="1"/>
      <c r="W7" s="66"/>
      <c r="X7" s="104">
        <f>SUM(P7:W7)</f>
        <v>0</v>
      </c>
      <c r="Z7" s="82">
        <v>38964</v>
      </c>
      <c r="AA7" s="83">
        <v>0</v>
      </c>
      <c r="AC7" s="36"/>
    </row>
    <row r="8" spans="2:29">
      <c r="B8">
        <v>3</v>
      </c>
      <c r="C8" s="1" t="s">
        <v>72</v>
      </c>
      <c r="D8" s="45">
        <v>0.10172030868579895</v>
      </c>
      <c r="E8" s="1" t="s">
        <v>171</v>
      </c>
      <c r="F8" s="45">
        <v>-2.6082039258881196E-3</v>
      </c>
      <c r="G8" s="63">
        <f t="shared" si="0"/>
        <v>39.00013632989306</v>
      </c>
      <c r="I8" s="1" t="s">
        <v>173</v>
      </c>
      <c r="J8" s="1">
        <v>3900</v>
      </c>
      <c r="M8" t="s">
        <v>71</v>
      </c>
      <c r="N8" s="65">
        <v>38994</v>
      </c>
      <c r="O8" s="11">
        <v>61</v>
      </c>
      <c r="P8" s="1"/>
      <c r="Q8" s="1"/>
      <c r="R8" s="1"/>
      <c r="S8" s="1"/>
      <c r="T8" s="1"/>
      <c r="U8" s="1"/>
      <c r="V8" s="1"/>
      <c r="W8" s="66"/>
      <c r="X8" s="104">
        <f>SUM(P8:W8)</f>
        <v>0</v>
      </c>
      <c r="Z8" s="82">
        <v>38989</v>
      </c>
      <c r="AA8" s="83">
        <v>1986.6778825570775</v>
      </c>
      <c r="AC8" s="36"/>
    </row>
    <row r="9" spans="2:29">
      <c r="B9">
        <v>4</v>
      </c>
      <c r="C9" s="1" t="s">
        <v>73</v>
      </c>
      <c r="D9" s="45">
        <v>0</v>
      </c>
      <c r="E9" s="1"/>
      <c r="F9" s="45">
        <v>-3.3837644258198907E-3</v>
      </c>
      <c r="G9" s="63">
        <f t="shared" si="0"/>
        <v>0</v>
      </c>
      <c r="I9" s="1"/>
      <c r="J9" s="1"/>
      <c r="M9" t="s">
        <v>72</v>
      </c>
      <c r="N9" s="65">
        <v>39027</v>
      </c>
      <c r="O9" s="11">
        <v>94</v>
      </c>
      <c r="P9" s="33">
        <f>3900*(1+P5/100*O9/360)</f>
        <v>3904.2452279999998</v>
      </c>
      <c r="Q9" s="33"/>
      <c r="R9" s="33"/>
      <c r="S9" s="33"/>
      <c r="T9" s="33"/>
      <c r="U9" s="33"/>
      <c r="V9" s="33"/>
      <c r="W9" s="83"/>
      <c r="X9" s="104">
        <f>SUM(P9:W9)</f>
        <v>3904.2452279999998</v>
      </c>
      <c r="Z9" s="82">
        <v>38994</v>
      </c>
      <c r="AA9" s="83">
        <v>0</v>
      </c>
      <c r="AC9" s="36"/>
    </row>
    <row r="10" spans="2:29">
      <c r="B10">
        <v>5</v>
      </c>
      <c r="C10" s="1" t="s">
        <v>74</v>
      </c>
      <c r="D10" s="45">
        <v>0</v>
      </c>
      <c r="E10" s="1"/>
      <c r="F10" s="45">
        <v>-4.2415500370367454E-3</v>
      </c>
      <c r="G10" s="63">
        <f t="shared" si="0"/>
        <v>0</v>
      </c>
      <c r="I10" s="1"/>
      <c r="J10" s="1"/>
      <c r="M10" t="s">
        <v>73</v>
      </c>
      <c r="N10" s="65">
        <v>39055</v>
      </c>
      <c r="O10" s="11">
        <v>122</v>
      </c>
      <c r="P10" s="33"/>
      <c r="Q10" s="33"/>
      <c r="R10" s="33"/>
      <c r="S10" s="33"/>
      <c r="T10" s="33"/>
      <c r="U10" s="33"/>
      <c r="V10" s="33"/>
      <c r="W10" s="83"/>
      <c r="X10" s="104">
        <f t="shared" ref="X10:X36" si="1">SUM(P10:W10)</f>
        <v>0</v>
      </c>
      <c r="Z10" s="82">
        <v>39021</v>
      </c>
      <c r="AA10" s="83">
        <v>-4955.1984514459673</v>
      </c>
      <c r="AC10" s="36"/>
    </row>
    <row r="11" spans="2:29">
      <c r="B11">
        <v>6</v>
      </c>
      <c r="C11" s="1" t="s">
        <v>75</v>
      </c>
      <c r="D11" s="45">
        <v>-5.8129824037678191E-4</v>
      </c>
      <c r="E11" s="1"/>
      <c r="F11" s="45">
        <v>-5.1256923667466481E-3</v>
      </c>
      <c r="G11" s="63">
        <f t="shared" si="0"/>
        <v>0.11340872584316651</v>
      </c>
      <c r="I11" s="1"/>
      <c r="J11" s="1"/>
      <c r="M11" t="s">
        <v>74</v>
      </c>
      <c r="N11" s="65">
        <v>39086</v>
      </c>
      <c r="O11" s="11">
        <v>153</v>
      </c>
      <c r="P11" s="33"/>
      <c r="Q11" s="33"/>
      <c r="R11" s="33"/>
      <c r="S11" s="33"/>
      <c r="T11" s="33"/>
      <c r="U11" s="33"/>
      <c r="V11" s="33"/>
      <c r="W11" s="83"/>
      <c r="X11" s="104">
        <f t="shared" si="1"/>
        <v>0</v>
      </c>
      <c r="Z11" s="82">
        <v>39027</v>
      </c>
      <c r="AA11" s="83">
        <v>3904.2452279999998</v>
      </c>
      <c r="AC11" s="36"/>
    </row>
    <row r="12" spans="2:29">
      <c r="B12">
        <v>7</v>
      </c>
      <c r="C12" s="1" t="s">
        <v>76</v>
      </c>
      <c r="D12" s="45">
        <v>-7.9225233548640972E-4</v>
      </c>
      <c r="E12" s="1"/>
      <c r="F12" s="45">
        <v>-5.8983665028904397E-3</v>
      </c>
      <c r="G12" s="63">
        <f t="shared" si="0"/>
        <v>0.13431724446050849</v>
      </c>
      <c r="I12" s="1"/>
      <c r="J12" s="1"/>
      <c r="M12" t="s">
        <v>75</v>
      </c>
      <c r="N12" s="65">
        <v>39118</v>
      </c>
      <c r="O12" s="11">
        <v>185</v>
      </c>
      <c r="P12" s="33"/>
      <c r="Q12" s="33"/>
      <c r="R12" s="33">
        <f t="shared" ref="R12:W12" si="2">-R$6*R$5/100*$O12/365</f>
        <v>-20.003568493150684</v>
      </c>
      <c r="S12" s="33">
        <f t="shared" si="2"/>
        <v>-6.0315068493150683</v>
      </c>
      <c r="T12" s="33">
        <f t="shared" si="2"/>
        <v>2.5970958904109587</v>
      </c>
      <c r="U12" s="33">
        <f t="shared" si="2"/>
        <v>-12.542239726027397</v>
      </c>
      <c r="V12" s="33">
        <f t="shared" si="2"/>
        <v>4.1054794520547944</v>
      </c>
      <c r="W12" s="83">
        <f t="shared" si="2"/>
        <v>38.37254794520549</v>
      </c>
      <c r="X12" s="104">
        <f t="shared" si="1"/>
        <v>6.4978082191780899</v>
      </c>
      <c r="Z12" s="82">
        <v>39055</v>
      </c>
      <c r="AA12" s="83">
        <v>0</v>
      </c>
      <c r="AC12" s="36"/>
    </row>
    <row r="13" spans="2:29">
      <c r="B13">
        <v>8</v>
      </c>
      <c r="C13" s="1" t="s">
        <v>77</v>
      </c>
      <c r="D13" s="45">
        <v>3.8976850282779196E-4</v>
      </c>
      <c r="E13" s="1"/>
      <c r="F13" s="45">
        <v>-6.7247787006721182E-3</v>
      </c>
      <c r="G13" s="63">
        <f t="shared" si="0"/>
        <v>5.7960048973631793E-2</v>
      </c>
      <c r="I13" s="1"/>
      <c r="J13" s="1"/>
      <c r="M13" t="s">
        <v>76</v>
      </c>
      <c r="N13" s="65">
        <v>39146</v>
      </c>
      <c r="O13" s="11">
        <v>213</v>
      </c>
      <c r="P13" s="33"/>
      <c r="Q13" s="33"/>
      <c r="R13" s="33"/>
      <c r="S13" s="33"/>
      <c r="T13" s="33"/>
      <c r="U13" s="33"/>
      <c r="V13" s="33"/>
      <c r="W13" s="83"/>
      <c r="X13" s="104">
        <f t="shared" si="1"/>
        <v>0</v>
      </c>
      <c r="Z13" s="82">
        <v>39086</v>
      </c>
      <c r="AA13" s="83">
        <v>0</v>
      </c>
      <c r="AC13" s="36"/>
    </row>
    <row r="14" spans="2:29">
      <c r="B14">
        <v>9</v>
      </c>
      <c r="C14" s="1" t="s">
        <v>78</v>
      </c>
      <c r="D14" s="45">
        <v>-3.2484695257153362E-3</v>
      </c>
      <c r="E14" s="1"/>
      <c r="F14" s="45">
        <v>-7.5498403540592562E-3</v>
      </c>
      <c r="G14" s="63">
        <f t="shared" si="0"/>
        <v>0.4302699624593731</v>
      </c>
      <c r="I14" s="1"/>
      <c r="J14" s="1"/>
      <c r="M14" t="s">
        <v>77</v>
      </c>
      <c r="N14" s="65">
        <v>39176</v>
      </c>
      <c r="O14" s="11">
        <v>243</v>
      </c>
      <c r="P14" s="33"/>
      <c r="Q14" s="33"/>
      <c r="R14" s="33"/>
      <c r="S14" s="33"/>
      <c r="T14" s="33"/>
      <c r="U14" s="33"/>
      <c r="V14" s="33"/>
      <c r="W14" s="83"/>
      <c r="X14" s="104">
        <f t="shared" si="1"/>
        <v>0</v>
      </c>
      <c r="Z14" s="82">
        <v>39113</v>
      </c>
      <c r="AA14" s="83">
        <v>0</v>
      </c>
      <c r="AC14" s="36"/>
    </row>
    <row r="15" spans="2:29">
      <c r="B15">
        <v>10</v>
      </c>
      <c r="C15" s="1" t="s">
        <v>79</v>
      </c>
      <c r="D15" s="45">
        <v>-5.5170174198792665E-2</v>
      </c>
      <c r="E15" s="1"/>
      <c r="F15" s="45">
        <v>-8.4009044236523778E-3</v>
      </c>
      <c r="G15" s="63">
        <f t="shared" si="0"/>
        <v>6.5671707969279431</v>
      </c>
      <c r="I15" s="1"/>
      <c r="J15" s="1"/>
      <c r="M15" t="s">
        <v>78</v>
      </c>
      <c r="N15" s="65">
        <v>39206</v>
      </c>
      <c r="O15" s="11">
        <v>273</v>
      </c>
      <c r="P15" s="33"/>
      <c r="Q15" s="33"/>
      <c r="R15" s="33"/>
      <c r="S15" s="33"/>
      <c r="T15" s="33"/>
      <c r="U15" s="33"/>
      <c r="V15" s="33"/>
      <c r="W15" s="83"/>
      <c r="X15" s="104">
        <f t="shared" si="1"/>
        <v>0</v>
      </c>
      <c r="Z15" s="82">
        <v>39118</v>
      </c>
      <c r="AA15" s="83">
        <v>6.4978082191780899</v>
      </c>
      <c r="AC15" s="36"/>
    </row>
    <row r="16" spans="2:29">
      <c r="B16">
        <v>11</v>
      </c>
      <c r="C16" s="1" t="s">
        <v>80</v>
      </c>
      <c r="D16" s="45">
        <v>-0.30260676079160476</v>
      </c>
      <c r="E16" s="1" t="s">
        <v>171</v>
      </c>
      <c r="F16" s="45">
        <v>-9.2228009176835712E-3</v>
      </c>
      <c r="G16" s="63">
        <f t="shared" si="0"/>
        <v>32.810722414206516</v>
      </c>
      <c r="I16" s="1" t="s">
        <v>174</v>
      </c>
      <c r="J16" s="1">
        <v>3300</v>
      </c>
      <c r="M16" t="s">
        <v>79</v>
      </c>
      <c r="N16" s="65">
        <v>39237</v>
      </c>
      <c r="O16" s="11">
        <v>304</v>
      </c>
      <c r="P16" s="33"/>
      <c r="Q16" s="33"/>
      <c r="R16" s="33"/>
      <c r="S16" s="33"/>
      <c r="T16" s="33"/>
      <c r="U16" s="33"/>
      <c r="V16" s="33"/>
      <c r="W16" s="83"/>
      <c r="X16" s="104">
        <f t="shared" si="1"/>
        <v>0</v>
      </c>
      <c r="Z16" s="82">
        <v>39139</v>
      </c>
      <c r="AA16" s="83">
        <v>21.287671232876711</v>
      </c>
      <c r="AC16" s="36"/>
    </row>
    <row r="17" spans="2:29">
      <c r="B17">
        <v>12</v>
      </c>
      <c r="C17" s="1" t="s">
        <v>164</v>
      </c>
      <c r="D17" s="45">
        <v>-4.0626439936204406E-3</v>
      </c>
      <c r="E17" s="1"/>
      <c r="F17" s="45">
        <v>-1.0007954386026086E-2</v>
      </c>
      <c r="G17" s="63">
        <f t="shared" si="0"/>
        <v>0.40594149782427391</v>
      </c>
      <c r="I17" s="1"/>
      <c r="J17" s="1"/>
      <c r="M17" t="s">
        <v>80</v>
      </c>
      <c r="N17" s="65">
        <v>39267</v>
      </c>
      <c r="O17" s="11">
        <v>334</v>
      </c>
      <c r="P17" s="33"/>
      <c r="Q17" s="33">
        <f>-3300*(1+Q5/100*O17/360)</f>
        <v>-3319.3650416666669</v>
      </c>
      <c r="R17" s="33"/>
      <c r="S17" s="33"/>
      <c r="T17" s="33"/>
      <c r="U17" s="33"/>
      <c r="V17" s="33"/>
      <c r="W17" s="83"/>
      <c r="X17" s="104">
        <f t="shared" si="1"/>
        <v>-3319.3650416666669</v>
      </c>
      <c r="Z17" s="82">
        <v>39146</v>
      </c>
      <c r="AA17" s="83">
        <v>0</v>
      </c>
      <c r="AC17" s="36"/>
    </row>
    <row r="18" spans="2:29">
      <c r="B18">
        <v>13</v>
      </c>
      <c r="C18" s="1" t="s">
        <v>81</v>
      </c>
      <c r="D18" s="45">
        <v>-7.4114159210694197E-3</v>
      </c>
      <c r="E18" s="1"/>
      <c r="F18" s="45">
        <v>-1.4932876999040445E-2</v>
      </c>
      <c r="G18" s="63">
        <f t="shared" si="0"/>
        <v>0.49631533973966713</v>
      </c>
      <c r="I18" s="1"/>
      <c r="J18" s="1"/>
      <c r="M18" t="s">
        <v>164</v>
      </c>
      <c r="N18" s="65">
        <v>39300</v>
      </c>
      <c r="O18" s="11">
        <v>182</v>
      </c>
      <c r="P18" s="33"/>
      <c r="Q18" s="33"/>
      <c r="R18" s="33">
        <f t="shared" ref="R18:W19" si="3">-R$6*R$5/100*$O18/365</f>
        <v>-19.67918630136986</v>
      </c>
      <c r="S18" s="33">
        <f t="shared" si="3"/>
        <v>-5.9336986301369867</v>
      </c>
      <c r="T18" s="33">
        <f t="shared" si="3"/>
        <v>2.5549808219178081</v>
      </c>
      <c r="U18" s="33">
        <f t="shared" si="3"/>
        <v>-12.33885205479452</v>
      </c>
      <c r="V18" s="33">
        <f t="shared" si="3"/>
        <v>4.0389041095890414</v>
      </c>
      <c r="W18" s="83">
        <f t="shared" si="3"/>
        <v>37.750290410958911</v>
      </c>
      <c r="X18" s="104">
        <f t="shared" si="1"/>
        <v>6.3924383561643907</v>
      </c>
      <c r="Z18" s="82">
        <v>39171</v>
      </c>
      <c r="AA18" s="83">
        <v>-14.95890410958904</v>
      </c>
      <c r="AC18" s="36"/>
    </row>
    <row r="19" spans="2:29">
      <c r="B19">
        <v>14</v>
      </c>
      <c r="C19" s="1" t="s">
        <v>82</v>
      </c>
      <c r="D19" s="45">
        <v>-0.81901823284988495</v>
      </c>
      <c r="E19" s="1" t="s">
        <v>171</v>
      </c>
      <c r="F19" s="45">
        <v>-1.9824922163252268E-2</v>
      </c>
      <c r="G19" s="63">
        <f t="shared" si="0"/>
        <v>41.312557300629798</v>
      </c>
      <c r="I19" s="1" t="s">
        <v>176</v>
      </c>
      <c r="J19" s="1">
        <v>41.5</v>
      </c>
      <c r="M19" t="s">
        <v>81</v>
      </c>
      <c r="N19" s="65">
        <v>39482</v>
      </c>
      <c r="O19" s="11">
        <v>182</v>
      </c>
      <c r="P19" s="33"/>
      <c r="Q19" s="33"/>
      <c r="R19" s="33">
        <f t="shared" si="3"/>
        <v>-19.67918630136986</v>
      </c>
      <c r="S19" s="33">
        <f t="shared" si="3"/>
        <v>-5.9336986301369867</v>
      </c>
      <c r="T19" s="33">
        <f t="shared" si="3"/>
        <v>2.5549808219178081</v>
      </c>
      <c r="U19" s="33">
        <f t="shared" si="3"/>
        <v>-12.33885205479452</v>
      </c>
      <c r="V19" s="33">
        <f t="shared" si="3"/>
        <v>4.0389041095890414</v>
      </c>
      <c r="W19" s="83">
        <f t="shared" si="3"/>
        <v>37.750290410958911</v>
      </c>
      <c r="X19" s="104">
        <f t="shared" si="1"/>
        <v>6.3924383561643907</v>
      </c>
      <c r="Z19" s="82">
        <v>39176</v>
      </c>
      <c r="AA19" s="83">
        <v>0</v>
      </c>
      <c r="AC19" s="36"/>
    </row>
    <row r="20" spans="2:29">
      <c r="B20">
        <v>15</v>
      </c>
      <c r="C20" s="1" t="s">
        <v>83</v>
      </c>
      <c r="D20" s="45">
        <v>-0.29947502627283029</v>
      </c>
      <c r="E20" s="1" t="s">
        <v>171</v>
      </c>
      <c r="F20" s="45">
        <v>-2.9516044082583903E-2</v>
      </c>
      <c r="G20" s="63">
        <f t="shared" si="0"/>
        <v>10.146177632575672</v>
      </c>
      <c r="I20" s="1" t="s">
        <v>176</v>
      </c>
      <c r="J20" s="1">
        <v>1000</v>
      </c>
      <c r="M20" t="s">
        <v>82</v>
      </c>
      <c r="N20" s="65">
        <v>39664</v>
      </c>
      <c r="O20" s="11">
        <v>182</v>
      </c>
      <c r="P20" s="33"/>
      <c r="Q20" s="33"/>
      <c r="R20" s="33">
        <f>-R$6*R$5/100*$O20/365-R6</f>
        <v>-4169.6791863013696</v>
      </c>
      <c r="S20" s="33">
        <f>-S$6*S$5/100*$O20/365</f>
        <v>-5.9336986301369867</v>
      </c>
      <c r="T20" s="33">
        <f>-T$6*T$5/100*$O20/365</f>
        <v>2.5549808219178081</v>
      </c>
      <c r="U20" s="33">
        <f t="shared" ref="U20:W21" si="4">-U$6*U$5/100*$O20/365</f>
        <v>-12.33885205479452</v>
      </c>
      <c r="V20" s="33">
        <f t="shared" si="4"/>
        <v>4.0389041095890414</v>
      </c>
      <c r="W20" s="83">
        <f t="shared" si="4"/>
        <v>37.750290410958911</v>
      </c>
      <c r="X20" s="104">
        <f t="shared" si="1"/>
        <v>-4143.6075616438357</v>
      </c>
      <c r="Z20" s="82">
        <v>39202</v>
      </c>
      <c r="AA20" s="83">
        <v>49.589041095890408</v>
      </c>
      <c r="AC20" s="36"/>
    </row>
    <row r="21" spans="2:29">
      <c r="B21">
        <v>16</v>
      </c>
      <c r="C21" s="1" t="s">
        <v>84</v>
      </c>
      <c r="D21" s="45">
        <v>-4.4936391791452479E-3</v>
      </c>
      <c r="E21" s="1"/>
      <c r="F21" s="45">
        <v>-3.9022631900138549E-2</v>
      </c>
      <c r="G21" s="63">
        <f t="shared" si="0"/>
        <v>0.11515469255494511</v>
      </c>
      <c r="I21" s="1"/>
      <c r="J21" s="1"/>
      <c r="M21" t="s">
        <v>179</v>
      </c>
      <c r="N21" s="65">
        <v>39848</v>
      </c>
      <c r="O21" s="11">
        <v>184</v>
      </c>
      <c r="P21" s="33"/>
      <c r="Q21" s="33"/>
      <c r="R21" s="33"/>
      <c r="S21" s="33">
        <f>-S$6*S$5/100*$O21/365</f>
        <v>-5.9989041095890405</v>
      </c>
      <c r="T21" s="33">
        <f t="shared" ref="T21:W35" si="5">-T$6*T$5/100*$O21/365</f>
        <v>2.5830575342465751</v>
      </c>
      <c r="U21" s="33">
        <f t="shared" si="4"/>
        <v>-12.474443835616437</v>
      </c>
      <c r="V21" s="33">
        <f t="shared" si="4"/>
        <v>4.0832876712328767</v>
      </c>
      <c r="W21" s="83">
        <f t="shared" si="4"/>
        <v>38.165128767123292</v>
      </c>
      <c r="X21" s="104">
        <f t="shared" si="1"/>
        <v>26.358126027397265</v>
      </c>
      <c r="Z21" s="82">
        <v>39206</v>
      </c>
      <c r="AA21" s="83">
        <v>0</v>
      </c>
      <c r="AC21" s="36"/>
    </row>
    <row r="22" spans="2:29">
      <c r="B22">
        <v>17</v>
      </c>
      <c r="C22" s="1" t="s">
        <v>85</v>
      </c>
      <c r="D22" s="45">
        <v>-5.4679871495864063E-3</v>
      </c>
      <c r="E22" s="1"/>
      <c r="F22" s="45">
        <v>-4.8321550329518459E-2</v>
      </c>
      <c r="G22" s="63">
        <f t="shared" si="0"/>
        <v>0.11315835506722445</v>
      </c>
      <c r="I22" s="1"/>
      <c r="J22" s="1"/>
      <c r="M22" t="s">
        <v>83</v>
      </c>
      <c r="N22" s="65">
        <v>40029</v>
      </c>
      <c r="O22" s="11">
        <v>181</v>
      </c>
      <c r="P22" s="33"/>
      <c r="Q22" s="33"/>
      <c r="R22" s="33"/>
      <c r="S22" s="33">
        <f>-S$6*S$5/100*$O22/365-S6</f>
        <v>-1005.9010958904109</v>
      </c>
      <c r="T22" s="33">
        <f t="shared" si="5"/>
        <v>2.5409424657534245</v>
      </c>
      <c r="U22" s="33">
        <f t="shared" si="5"/>
        <v>-12.271056164383561</v>
      </c>
      <c r="V22" s="33">
        <f t="shared" si="5"/>
        <v>4.0167123287671229</v>
      </c>
      <c r="W22" s="83">
        <f t="shared" si="5"/>
        <v>37.54287123287672</v>
      </c>
      <c r="X22" s="104">
        <f t="shared" si="1"/>
        <v>-974.07162602739731</v>
      </c>
      <c r="Z22" s="82">
        <v>39237</v>
      </c>
      <c r="AA22" s="83">
        <v>0</v>
      </c>
      <c r="AC22" s="36"/>
    </row>
    <row r="23" spans="2:29">
      <c r="B23">
        <v>18</v>
      </c>
      <c r="C23" s="1" t="s">
        <v>86</v>
      </c>
      <c r="D23" s="45">
        <v>0.1669287589365922</v>
      </c>
      <c r="E23" s="1" t="s">
        <v>171</v>
      </c>
      <c r="F23" s="45">
        <v>-5.7471773076230193E-2</v>
      </c>
      <c r="G23" s="63">
        <f t="shared" si="0"/>
        <v>2.9045346959311482</v>
      </c>
      <c r="I23" s="1" t="s">
        <v>177</v>
      </c>
      <c r="J23" s="1">
        <v>300</v>
      </c>
      <c r="M23" t="s">
        <v>180</v>
      </c>
      <c r="N23" s="65">
        <v>40213</v>
      </c>
      <c r="O23" s="11">
        <v>184</v>
      </c>
      <c r="P23" s="33"/>
      <c r="Q23" s="33"/>
      <c r="R23" s="33"/>
      <c r="S23" s="33"/>
      <c r="T23" s="33">
        <f t="shared" si="5"/>
        <v>2.5830575342465751</v>
      </c>
      <c r="U23" s="33">
        <f t="shared" si="5"/>
        <v>-12.474443835616437</v>
      </c>
      <c r="V23" s="33">
        <f t="shared" si="5"/>
        <v>4.0832876712328767</v>
      </c>
      <c r="W23" s="83">
        <f t="shared" si="5"/>
        <v>38.165128767123292</v>
      </c>
      <c r="X23" s="104">
        <f t="shared" si="1"/>
        <v>32.357030136986303</v>
      </c>
      <c r="Z23" s="82">
        <v>39262</v>
      </c>
      <c r="AA23" s="83">
        <v>3960.3914535768649</v>
      </c>
      <c r="AC23" s="36"/>
    </row>
    <row r="24" spans="2:29">
      <c r="B24">
        <v>19</v>
      </c>
      <c r="C24" s="1" t="s">
        <v>87</v>
      </c>
      <c r="D24" s="45">
        <v>-0.88154142968642191</v>
      </c>
      <c r="E24" s="1" t="s">
        <v>171</v>
      </c>
      <c r="F24" s="45">
        <v>-6.6291222410484352E-2</v>
      </c>
      <c r="G24" s="63">
        <f t="shared" si="0"/>
        <v>13.298011375137968</v>
      </c>
      <c r="I24" s="1" t="s">
        <v>176</v>
      </c>
      <c r="J24" s="1">
        <v>13.5</v>
      </c>
      <c r="M24" t="s">
        <v>84</v>
      </c>
      <c r="N24" s="65">
        <v>40394</v>
      </c>
      <c r="O24" s="11">
        <v>181</v>
      </c>
      <c r="P24" s="33"/>
      <c r="Q24" s="33"/>
      <c r="R24" s="33"/>
      <c r="S24" s="33"/>
      <c r="T24" s="33">
        <f t="shared" si="5"/>
        <v>2.5409424657534245</v>
      </c>
      <c r="U24" s="33">
        <f t="shared" si="5"/>
        <v>-12.271056164383561</v>
      </c>
      <c r="V24" s="33">
        <f t="shared" si="5"/>
        <v>4.0167123287671229</v>
      </c>
      <c r="W24" s="83">
        <f t="shared" si="5"/>
        <v>37.54287123287672</v>
      </c>
      <c r="X24" s="104">
        <f t="shared" si="1"/>
        <v>31.829469863013706</v>
      </c>
      <c r="Z24" s="82">
        <v>39267</v>
      </c>
      <c r="AA24" s="83">
        <v>-3319.3650416666669</v>
      </c>
      <c r="AC24" s="36"/>
    </row>
    <row r="25" spans="2:29">
      <c r="B25">
        <v>20</v>
      </c>
      <c r="C25" s="1" t="s">
        <v>88</v>
      </c>
      <c r="D25" s="45">
        <v>-1.4035893905202101E-2</v>
      </c>
      <c r="E25" s="1"/>
      <c r="F25" s="45">
        <v>-7.4875655887993275E-2</v>
      </c>
      <c r="G25" s="63">
        <f t="shared" si="0"/>
        <v>0.18745603946626443</v>
      </c>
      <c r="I25" s="1"/>
      <c r="J25" s="1"/>
      <c r="M25" t="s">
        <v>181</v>
      </c>
      <c r="N25" s="65">
        <v>40578</v>
      </c>
      <c r="O25" s="11">
        <v>184</v>
      </c>
      <c r="P25" s="33"/>
      <c r="Q25" s="33"/>
      <c r="R25" s="33"/>
      <c r="S25" s="33"/>
      <c r="T25" s="33">
        <f t="shared" si="5"/>
        <v>2.5830575342465751</v>
      </c>
      <c r="U25" s="33">
        <f t="shared" si="5"/>
        <v>-12.474443835616437</v>
      </c>
      <c r="V25" s="33">
        <f t="shared" si="5"/>
        <v>4.0832876712328767</v>
      </c>
      <c r="W25" s="83">
        <f t="shared" si="5"/>
        <v>38.165128767123292</v>
      </c>
      <c r="X25" s="104">
        <f t="shared" si="1"/>
        <v>32.357030136986303</v>
      </c>
      <c r="Z25" s="82">
        <v>39294</v>
      </c>
      <c r="AA25" s="83">
        <v>0</v>
      </c>
      <c r="AC25" s="36"/>
    </row>
    <row r="26" spans="2:29">
      <c r="B26">
        <v>21</v>
      </c>
      <c r="C26" s="1" t="s">
        <v>89</v>
      </c>
      <c r="D26" s="45">
        <v>0.31788306855423798</v>
      </c>
      <c r="E26" s="1" t="s">
        <v>171</v>
      </c>
      <c r="F26" s="45">
        <v>-8.3248416401602299E-2</v>
      </c>
      <c r="G26" s="63">
        <f t="shared" si="0"/>
        <v>3.8184878739401418</v>
      </c>
      <c r="I26" s="1" t="s">
        <v>177</v>
      </c>
      <c r="J26" s="1">
        <v>400</v>
      </c>
      <c r="M26" t="s">
        <v>85</v>
      </c>
      <c r="N26" s="65">
        <v>40759</v>
      </c>
      <c r="O26" s="11">
        <v>181</v>
      </c>
      <c r="P26" s="33"/>
      <c r="Q26" s="33"/>
      <c r="R26" s="33"/>
      <c r="S26" s="33"/>
      <c r="T26" s="33">
        <f t="shared" si="5"/>
        <v>2.5409424657534245</v>
      </c>
      <c r="U26" s="33">
        <f t="shared" si="5"/>
        <v>-12.271056164383561</v>
      </c>
      <c r="V26" s="33">
        <f t="shared" si="5"/>
        <v>4.0167123287671229</v>
      </c>
      <c r="W26" s="83">
        <f t="shared" si="5"/>
        <v>37.54287123287672</v>
      </c>
      <c r="X26" s="104">
        <f t="shared" si="1"/>
        <v>31.829469863013706</v>
      </c>
      <c r="Z26" s="82">
        <v>39300</v>
      </c>
      <c r="AA26" s="83">
        <v>6.3924383561643907</v>
      </c>
      <c r="AC26" s="36"/>
    </row>
    <row r="27" spans="2:29">
      <c r="B27">
        <v>22</v>
      </c>
      <c r="C27" s="1" t="s">
        <v>90</v>
      </c>
      <c r="D27" s="45">
        <v>3.2942415251104649</v>
      </c>
      <c r="E27" s="1" t="s">
        <v>171</v>
      </c>
      <c r="F27" s="45">
        <v>-9.140727604929566E-2</v>
      </c>
      <c r="G27" s="63">
        <f t="shared" si="0"/>
        <v>36.039160857762468</v>
      </c>
      <c r="I27" s="1" t="s">
        <v>177</v>
      </c>
      <c r="J27" s="1">
        <v>3600</v>
      </c>
      <c r="M27" t="s">
        <v>182</v>
      </c>
      <c r="N27" s="65">
        <v>40945</v>
      </c>
      <c r="O27" s="11">
        <v>186</v>
      </c>
      <c r="P27" s="33"/>
      <c r="Q27" s="33"/>
      <c r="R27" s="33"/>
      <c r="S27" s="33"/>
      <c r="T27" s="33">
        <f t="shared" si="5"/>
        <v>2.6111342465753422</v>
      </c>
      <c r="U27" s="33">
        <f t="shared" si="5"/>
        <v>-12.610035616438354</v>
      </c>
      <c r="V27" s="33">
        <f t="shared" si="5"/>
        <v>4.127671232876712</v>
      </c>
      <c r="W27" s="83">
        <f t="shared" si="5"/>
        <v>38.579967123287673</v>
      </c>
      <c r="X27" s="104">
        <f t="shared" si="1"/>
        <v>32.708736986301375</v>
      </c>
      <c r="Z27" s="82">
        <v>39321</v>
      </c>
      <c r="AA27" s="83">
        <v>20.942465753424656</v>
      </c>
      <c r="AC27" s="36"/>
    </row>
    <row r="28" spans="2:29">
      <c r="B28">
        <v>23</v>
      </c>
      <c r="C28" s="1" t="s">
        <v>167</v>
      </c>
      <c r="D28" s="45">
        <v>1.4863396366249617</v>
      </c>
      <c r="E28" s="34"/>
      <c r="M28" t="s">
        <v>86</v>
      </c>
      <c r="N28" s="65">
        <v>41127</v>
      </c>
      <c r="O28" s="11">
        <v>182</v>
      </c>
      <c r="P28" s="33"/>
      <c r="Q28" s="33"/>
      <c r="R28" s="33"/>
      <c r="S28" s="33"/>
      <c r="T28" s="33">
        <f>-T$6*T$5/100*$O28/365-T6</f>
        <v>302.55498082191781</v>
      </c>
      <c r="U28" s="33">
        <f t="shared" si="5"/>
        <v>-12.33885205479452</v>
      </c>
      <c r="V28" s="33">
        <f t="shared" si="5"/>
        <v>4.0389041095890414</v>
      </c>
      <c r="W28" s="83">
        <f t="shared" si="5"/>
        <v>37.750290410958911</v>
      </c>
      <c r="X28" s="104">
        <f t="shared" si="1"/>
        <v>332.00532328767122</v>
      </c>
      <c r="Z28" s="82">
        <v>39353</v>
      </c>
      <c r="AA28" s="83">
        <v>-14.95890410958904</v>
      </c>
      <c r="AC28" s="36"/>
    </row>
    <row r="29" spans="2:29">
      <c r="B29">
        <v>24</v>
      </c>
      <c r="C29" s="1" t="s">
        <v>168</v>
      </c>
      <c r="D29" s="45">
        <v>-1.4890550015356894</v>
      </c>
      <c r="E29" s="34"/>
      <c r="M29" t="s">
        <v>183</v>
      </c>
      <c r="N29" s="65">
        <v>41309</v>
      </c>
      <c r="O29" s="11">
        <v>182</v>
      </c>
      <c r="P29" s="33"/>
      <c r="Q29" s="33"/>
      <c r="R29" s="33"/>
      <c r="S29" s="33"/>
      <c r="T29" s="33"/>
      <c r="U29" s="33">
        <f t="shared" si="5"/>
        <v>-12.33885205479452</v>
      </c>
      <c r="V29" s="33">
        <f t="shared" si="5"/>
        <v>4.0389041095890414</v>
      </c>
      <c r="W29" s="83">
        <f t="shared" si="5"/>
        <v>37.750290410958911</v>
      </c>
      <c r="X29" s="104">
        <f t="shared" si="1"/>
        <v>29.450342465753433</v>
      </c>
      <c r="Z29" s="82">
        <v>39386</v>
      </c>
      <c r="AA29" s="83">
        <v>50.410958904109592</v>
      </c>
      <c r="AC29" s="36"/>
    </row>
    <row r="30" spans="2:29">
      <c r="M30" t="s">
        <v>87</v>
      </c>
      <c r="N30" s="65">
        <v>41491</v>
      </c>
      <c r="O30" s="11">
        <v>182</v>
      </c>
      <c r="P30" s="33"/>
      <c r="Q30" s="33"/>
      <c r="R30" s="33"/>
      <c r="S30" s="33"/>
      <c r="T30" s="33"/>
      <c r="U30" s="33">
        <f>-U$6*U$5/100*$O30/365-U6</f>
        <v>-1362.3388520547944</v>
      </c>
      <c r="V30" s="33">
        <f t="shared" si="5"/>
        <v>4.0389041095890414</v>
      </c>
      <c r="W30" s="83">
        <f t="shared" si="5"/>
        <v>37.750290410958911</v>
      </c>
      <c r="X30" s="104">
        <f t="shared" si="1"/>
        <v>-1320.5496575342463</v>
      </c>
      <c r="Z30" s="82">
        <v>39478</v>
      </c>
      <c r="AA30" s="83">
        <v>0</v>
      </c>
      <c r="AC30" s="36"/>
    </row>
    <row r="31" spans="2:29">
      <c r="I31" t="s">
        <v>200</v>
      </c>
      <c r="M31" t="s">
        <v>184</v>
      </c>
      <c r="N31" s="65">
        <v>41674</v>
      </c>
      <c r="O31" s="11">
        <v>183</v>
      </c>
      <c r="P31" s="33"/>
      <c r="Q31" s="33"/>
      <c r="R31" s="33"/>
      <c r="S31" s="33"/>
      <c r="T31" s="33"/>
      <c r="U31" s="33"/>
      <c r="V31" s="33">
        <f t="shared" si="5"/>
        <v>4.0610958904109591</v>
      </c>
      <c r="W31" s="83">
        <f t="shared" si="5"/>
        <v>37.957709589041102</v>
      </c>
      <c r="X31" s="104">
        <f t="shared" si="1"/>
        <v>42.018805479452062</v>
      </c>
      <c r="Z31" s="82">
        <v>39482</v>
      </c>
      <c r="AA31" s="83">
        <v>6.3924383561643907</v>
      </c>
      <c r="AC31" s="36"/>
    </row>
    <row r="32" spans="2:29">
      <c r="I32" s="47" t="s">
        <v>201</v>
      </c>
      <c r="J32" s="51" t="s">
        <v>203</v>
      </c>
      <c r="M32" t="s">
        <v>88</v>
      </c>
      <c r="N32" s="65">
        <v>41855</v>
      </c>
      <c r="O32" s="11">
        <v>181</v>
      </c>
      <c r="P32" s="33"/>
      <c r="Q32" s="33"/>
      <c r="R32" s="33"/>
      <c r="S32" s="33"/>
      <c r="T32" s="33"/>
      <c r="U32" s="33"/>
      <c r="V32" s="33">
        <f t="shared" si="5"/>
        <v>4.0167123287671229</v>
      </c>
      <c r="W32" s="83">
        <f t="shared" si="5"/>
        <v>37.54287123287672</v>
      </c>
      <c r="X32" s="104">
        <f t="shared" si="1"/>
        <v>41.559583561643841</v>
      </c>
      <c r="Z32" s="82">
        <v>39503</v>
      </c>
      <c r="AA32" s="83">
        <v>20.942465753424656</v>
      </c>
      <c r="AC32" s="36"/>
    </row>
    <row r="33" spans="9:29">
      <c r="I33" s="1" t="s">
        <v>202</v>
      </c>
      <c r="J33" s="10">
        <v>39</v>
      </c>
      <c r="M33" t="s">
        <v>185</v>
      </c>
      <c r="N33" s="65">
        <v>42039</v>
      </c>
      <c r="O33" s="11">
        <v>184</v>
      </c>
      <c r="P33" s="33"/>
      <c r="Q33" s="33"/>
      <c r="R33" s="33"/>
      <c r="S33" s="33"/>
      <c r="T33" s="33"/>
      <c r="U33" s="33"/>
      <c r="V33" s="33">
        <f t="shared" si="5"/>
        <v>4.0832876712328767</v>
      </c>
      <c r="W33" s="83">
        <f t="shared" si="5"/>
        <v>38.165128767123292</v>
      </c>
      <c r="X33" s="104">
        <f t="shared" si="1"/>
        <v>42.248416438356166</v>
      </c>
      <c r="Z33" s="82">
        <v>39538</v>
      </c>
      <c r="AA33" s="83">
        <v>-15.205479452054794</v>
      </c>
      <c r="AC33" s="36"/>
    </row>
    <row r="34" spans="9:29">
      <c r="I34" s="1" t="s">
        <v>204</v>
      </c>
      <c r="J34" s="10">
        <v>33</v>
      </c>
      <c r="M34" t="s">
        <v>89</v>
      </c>
      <c r="N34" s="65">
        <v>42220</v>
      </c>
      <c r="O34" s="11">
        <v>181</v>
      </c>
      <c r="P34" s="33"/>
      <c r="Q34" s="33"/>
      <c r="R34" s="33"/>
      <c r="S34" s="33"/>
      <c r="T34" s="33"/>
      <c r="U34" s="33"/>
      <c r="V34" s="33">
        <f>-V$6*V$5/100*$O34/365-V6</f>
        <v>404.01671232876714</v>
      </c>
      <c r="W34" s="83">
        <f t="shared" si="5"/>
        <v>37.54287123287672</v>
      </c>
      <c r="X34" s="104">
        <f t="shared" si="1"/>
        <v>441.55958356164388</v>
      </c>
      <c r="Z34" s="82">
        <v>39568</v>
      </c>
      <c r="AA34" s="83">
        <v>49.863013698630134</v>
      </c>
      <c r="AC34" s="36"/>
    </row>
    <row r="35" spans="9:29">
      <c r="I35" s="1" t="s">
        <v>205</v>
      </c>
      <c r="J35" s="10">
        <v>41.5</v>
      </c>
      <c r="M35" t="s">
        <v>186</v>
      </c>
      <c r="N35" s="65">
        <v>42404</v>
      </c>
      <c r="O35" s="11">
        <v>184</v>
      </c>
      <c r="P35" s="33"/>
      <c r="Q35" s="33"/>
      <c r="R35" s="33"/>
      <c r="S35" s="33"/>
      <c r="T35" s="33"/>
      <c r="U35" s="33"/>
      <c r="V35" s="33"/>
      <c r="W35" s="83">
        <f t="shared" si="5"/>
        <v>38.165128767123292</v>
      </c>
      <c r="X35" s="104">
        <f t="shared" si="1"/>
        <v>38.165128767123292</v>
      </c>
      <c r="Z35" s="82">
        <v>39629</v>
      </c>
      <c r="AA35" s="83">
        <v>-64.350684931506848</v>
      </c>
      <c r="AC35" s="36"/>
    </row>
    <row r="36" spans="9:29" ht="15" thickBot="1">
      <c r="I36" s="1" t="s">
        <v>206</v>
      </c>
      <c r="J36" s="10">
        <v>10</v>
      </c>
      <c r="M36" t="s">
        <v>90</v>
      </c>
      <c r="N36" s="67">
        <v>42586</v>
      </c>
      <c r="O36" s="68">
        <v>182</v>
      </c>
      <c r="P36" s="103"/>
      <c r="Q36" s="103"/>
      <c r="R36" s="103"/>
      <c r="S36" s="103"/>
      <c r="T36" s="103"/>
      <c r="U36" s="103"/>
      <c r="V36" s="103"/>
      <c r="W36" s="101">
        <f>-W$6*W$5/100*$O36/365-W6</f>
        <v>3637.7502904109588</v>
      </c>
      <c r="X36" s="105">
        <f t="shared" si="1"/>
        <v>3637.7502904109588</v>
      </c>
      <c r="Z36" s="82">
        <v>39660</v>
      </c>
      <c r="AA36" s="83">
        <v>0</v>
      </c>
      <c r="AC36" s="36"/>
    </row>
    <row r="37" spans="9:29">
      <c r="I37" s="1" t="s">
        <v>207</v>
      </c>
      <c r="J37" s="10">
        <v>3</v>
      </c>
      <c r="Z37" s="82">
        <v>39664</v>
      </c>
      <c r="AA37" s="83">
        <v>-4143.6075616438357</v>
      </c>
      <c r="AC37" s="36"/>
    </row>
    <row r="38" spans="9:29">
      <c r="I38" s="1" t="s">
        <v>208</v>
      </c>
      <c r="J38" s="10">
        <v>13.5</v>
      </c>
      <c r="Z38" s="82">
        <v>39685</v>
      </c>
      <c r="AA38" s="83">
        <v>20.942465753424656</v>
      </c>
      <c r="AC38" s="36"/>
    </row>
    <row r="39" spans="9:29">
      <c r="I39" s="1" t="s">
        <v>209</v>
      </c>
      <c r="J39" s="10">
        <v>4</v>
      </c>
      <c r="Z39" s="82">
        <v>39721</v>
      </c>
      <c r="AA39" s="83">
        <v>-15.04109589041096</v>
      </c>
      <c r="AC39" s="36"/>
    </row>
    <row r="40" spans="9:29">
      <c r="I40" s="1" t="s">
        <v>210</v>
      </c>
      <c r="J40" s="10">
        <v>36</v>
      </c>
      <c r="Z40" s="82">
        <v>39752</v>
      </c>
      <c r="AA40" s="83">
        <v>5050.4109589041091</v>
      </c>
      <c r="AC40" s="36"/>
    </row>
    <row r="41" spans="9:29">
      <c r="I41" s="1"/>
      <c r="J41" s="1"/>
      <c r="Z41" s="82">
        <v>39848</v>
      </c>
      <c r="AA41" s="83">
        <v>26.358126027397265</v>
      </c>
      <c r="AC41" s="36"/>
    </row>
    <row r="42" spans="9:29">
      <c r="I42" s="1"/>
      <c r="J42" s="1"/>
      <c r="Z42" s="82">
        <v>39869</v>
      </c>
      <c r="AA42" s="83">
        <v>21.172602739726027</v>
      </c>
      <c r="AC42" s="36"/>
    </row>
    <row r="43" spans="9:29">
      <c r="I43" s="1"/>
      <c r="J43" s="1"/>
      <c r="Z43" s="82">
        <v>39903</v>
      </c>
      <c r="AA43" s="83">
        <v>-14.95890410958904</v>
      </c>
      <c r="AC43" s="36"/>
    </row>
    <row r="44" spans="9:29">
      <c r="I44" s="1"/>
      <c r="J44" s="1"/>
      <c r="Z44" s="82">
        <v>39994</v>
      </c>
      <c r="AA44" s="83">
        <v>-64</v>
      </c>
      <c r="AC44" s="36"/>
    </row>
    <row r="45" spans="9:29">
      <c r="Z45" s="82">
        <v>40029</v>
      </c>
      <c r="AA45" s="83">
        <v>-974.07162602739731</v>
      </c>
      <c r="AC45" s="36"/>
    </row>
    <row r="46" spans="9:29">
      <c r="Z46" s="82">
        <v>40050</v>
      </c>
      <c r="AA46" s="83">
        <v>20.827397260273973</v>
      </c>
      <c r="AC46" s="36"/>
    </row>
    <row r="47" spans="9:29">
      <c r="Z47" s="82">
        <v>40086</v>
      </c>
      <c r="AA47" s="83">
        <v>-15.04109589041096</v>
      </c>
      <c r="AC47" s="36"/>
    </row>
    <row r="48" spans="9:29">
      <c r="Z48" s="82">
        <v>40213</v>
      </c>
      <c r="AA48" s="83">
        <v>32.357030136986303</v>
      </c>
      <c r="AC48" s="36"/>
    </row>
    <row r="49" spans="26:29">
      <c r="Z49" s="82">
        <v>40234</v>
      </c>
      <c r="AA49" s="83">
        <v>21.172602739726027</v>
      </c>
      <c r="AC49" s="36"/>
    </row>
    <row r="50" spans="26:29">
      <c r="Z50" s="82">
        <v>40268</v>
      </c>
      <c r="AA50" s="83">
        <v>-14.95890410958904</v>
      </c>
      <c r="AC50" s="36"/>
    </row>
    <row r="51" spans="26:29">
      <c r="Z51" s="82">
        <v>40359</v>
      </c>
      <c r="AA51" s="83">
        <v>-64</v>
      </c>
      <c r="AC51" s="36"/>
    </row>
    <row r="52" spans="26:29">
      <c r="Z52" s="82">
        <v>40394</v>
      </c>
      <c r="AA52" s="83">
        <v>31.829469863013706</v>
      </c>
      <c r="AC52" s="36"/>
    </row>
    <row r="53" spans="26:29">
      <c r="Z53" s="82">
        <v>40415</v>
      </c>
      <c r="AA53" s="83">
        <v>20.827397260273973</v>
      </c>
      <c r="AC53" s="36"/>
    </row>
    <row r="54" spans="26:29">
      <c r="Z54" s="82">
        <v>40451</v>
      </c>
      <c r="AA54" s="83">
        <v>-15.04109589041096</v>
      </c>
      <c r="AC54" s="36"/>
    </row>
    <row r="55" spans="26:29">
      <c r="Z55" s="82">
        <v>40578</v>
      </c>
      <c r="AA55" s="83">
        <v>32.357030136986303</v>
      </c>
      <c r="AC55" s="36"/>
    </row>
    <row r="56" spans="26:29">
      <c r="Z56" s="82">
        <v>40599</v>
      </c>
      <c r="AA56" s="83">
        <v>21.172602739726027</v>
      </c>
      <c r="AC56" s="36"/>
    </row>
    <row r="57" spans="26:29">
      <c r="Z57" s="82">
        <v>40633</v>
      </c>
      <c r="AA57" s="83">
        <v>-14.95890410958904</v>
      </c>
      <c r="AC57" s="36"/>
    </row>
    <row r="58" spans="26:29">
      <c r="Z58" s="82">
        <v>40724</v>
      </c>
      <c r="AA58" s="83">
        <v>-64</v>
      </c>
      <c r="AC58" s="36"/>
    </row>
    <row r="59" spans="26:29">
      <c r="Z59" s="82">
        <v>40759</v>
      </c>
      <c r="AA59" s="83">
        <v>31.829469863013706</v>
      </c>
      <c r="AC59" s="36"/>
    </row>
    <row r="60" spans="26:29">
      <c r="Z60" s="82">
        <v>40780</v>
      </c>
      <c r="AA60" s="83">
        <v>20.827397260273973</v>
      </c>
      <c r="AC60" s="36"/>
    </row>
    <row r="61" spans="26:29">
      <c r="Z61" s="82">
        <v>40816</v>
      </c>
      <c r="AA61" s="83">
        <v>-15.04109589041096</v>
      </c>
      <c r="AC61" s="36"/>
    </row>
    <row r="62" spans="26:29">
      <c r="Z62" s="82">
        <v>40945</v>
      </c>
      <c r="AA62" s="83">
        <v>32.708736986301375</v>
      </c>
      <c r="AC62" s="36"/>
    </row>
    <row r="63" spans="26:29">
      <c r="Z63" s="82">
        <v>40966</v>
      </c>
      <c r="AA63" s="83">
        <v>21.402739726027399</v>
      </c>
      <c r="AC63" s="36"/>
    </row>
    <row r="64" spans="26:29">
      <c r="Z64" s="82">
        <v>40998</v>
      </c>
      <c r="AA64" s="83">
        <v>-14.95890410958904</v>
      </c>
      <c r="AC64" s="36"/>
    </row>
    <row r="65" spans="26:29">
      <c r="Z65" s="82">
        <v>41089</v>
      </c>
      <c r="AA65" s="83">
        <v>-64</v>
      </c>
      <c r="AC65" s="36"/>
    </row>
    <row r="66" spans="26:29">
      <c r="Z66" s="82">
        <v>41127</v>
      </c>
      <c r="AA66" s="83">
        <v>332.00532328767122</v>
      </c>
      <c r="AC66" s="36"/>
    </row>
    <row r="67" spans="26:29">
      <c r="Z67" s="82">
        <v>41148</v>
      </c>
      <c r="AA67" s="83">
        <v>20.942465753424656</v>
      </c>
      <c r="AC67" s="36"/>
    </row>
    <row r="68" spans="26:29">
      <c r="Z68" s="82">
        <v>41180</v>
      </c>
      <c r="AA68" s="83">
        <v>-2014.958904109589</v>
      </c>
      <c r="AC68" s="36"/>
    </row>
    <row r="69" spans="26:29">
      <c r="Z69" s="82">
        <v>41309</v>
      </c>
      <c r="AA69" s="83">
        <v>29.450342465753433</v>
      </c>
      <c r="AC69" s="36"/>
    </row>
    <row r="70" spans="26:29">
      <c r="Z70" s="82">
        <v>41330</v>
      </c>
      <c r="AA70" s="83">
        <v>3020.9424657534246</v>
      </c>
      <c r="AC70" s="36"/>
    </row>
    <row r="71" spans="26:29">
      <c r="Z71" s="82">
        <v>41453</v>
      </c>
      <c r="AA71" s="83">
        <v>-63.824657534246576</v>
      </c>
      <c r="AC71" s="36"/>
    </row>
    <row r="72" spans="26:29">
      <c r="Z72" s="82">
        <v>41491</v>
      </c>
      <c r="AA72" s="83">
        <v>-1320.5496575342463</v>
      </c>
      <c r="AC72" s="36"/>
    </row>
    <row r="73" spans="26:29">
      <c r="Z73" s="82">
        <v>41674</v>
      </c>
      <c r="AA73" s="83">
        <v>42.018805479452062</v>
      </c>
      <c r="AC73" s="36"/>
    </row>
    <row r="74" spans="26:29">
      <c r="Z74" s="82">
        <v>41820</v>
      </c>
      <c r="AA74" s="83">
        <v>-64.350684931506848</v>
      </c>
      <c r="AC74" s="36"/>
    </row>
    <row r="75" spans="26:29">
      <c r="Z75" s="82">
        <v>41855</v>
      </c>
      <c r="AA75" s="83">
        <v>41.559583561643841</v>
      </c>
      <c r="AC75" s="36"/>
    </row>
    <row r="76" spans="26:29">
      <c r="Z76" s="82">
        <v>42039</v>
      </c>
      <c r="AA76" s="83">
        <v>42.248416438356166</v>
      </c>
      <c r="AC76" s="36"/>
    </row>
    <row r="77" spans="26:29">
      <c r="Z77" s="82">
        <v>42185</v>
      </c>
      <c r="AA77" s="83">
        <v>-64</v>
      </c>
      <c r="AC77" s="36"/>
    </row>
    <row r="78" spans="26:29">
      <c r="Z78" s="82">
        <v>42220</v>
      </c>
      <c r="AA78" s="83">
        <v>441.55958356164388</v>
      </c>
      <c r="AC78" s="36"/>
    </row>
    <row r="79" spans="26:29">
      <c r="Z79" s="82">
        <v>42404</v>
      </c>
      <c r="AA79" s="83">
        <v>38.165128767123292</v>
      </c>
      <c r="AC79" s="36"/>
    </row>
    <row r="80" spans="26:29">
      <c r="Z80" s="82">
        <v>42551</v>
      </c>
      <c r="AA80" s="83">
        <v>-4064.1753424657531</v>
      </c>
      <c r="AC80" s="36"/>
    </row>
    <row r="81" spans="26:29" ht="15" thickBot="1">
      <c r="Z81" s="86">
        <v>42586</v>
      </c>
      <c r="AA81" s="101">
        <v>3637.7502904109588</v>
      </c>
      <c r="AC81" s="36"/>
    </row>
  </sheetData>
  <phoneticPr fontId="3"/>
  <pageMargins left="0.75" right="0.75" top="1" bottom="1" header="0.51200000000000001" footer="0.51200000000000001"/>
  <pageSetup paperSize="9" orientation="portrait" r:id="rId1"/>
  <headerFooter alignWithMargins="0"/>
  <ignoredErrors>
    <ignoredError sqref="X7:X16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N109"/>
  <sheetViews>
    <sheetView topLeftCell="A55" workbookViewId="0"/>
  </sheetViews>
  <sheetFormatPr baseColWidth="10" defaultColWidth="8.83203125" defaultRowHeight="14"/>
  <cols>
    <col min="1" max="1" width="3.6640625" customWidth="1"/>
    <col min="2" max="2" width="11.1640625" customWidth="1"/>
    <col min="3" max="4" width="11.5" customWidth="1"/>
    <col min="5" max="5" width="10.5" bestFit="1" customWidth="1"/>
    <col min="6" max="6" width="14.1640625" customWidth="1"/>
    <col min="7" max="32" width="7.5" customWidth="1"/>
    <col min="33" max="33" width="11.33203125" customWidth="1"/>
    <col min="34" max="35" width="12.5" customWidth="1"/>
    <col min="36" max="43" width="11.6640625" customWidth="1"/>
    <col min="44" max="44" width="12" customWidth="1"/>
    <col min="45" max="45" width="8.1640625" customWidth="1"/>
    <col min="46" max="46" width="11.1640625" customWidth="1"/>
    <col min="47" max="47" width="10.5" bestFit="1" customWidth="1"/>
    <col min="48" max="54" width="9.5" bestFit="1" customWidth="1"/>
    <col min="55" max="55" width="11.6640625" customWidth="1"/>
    <col min="56" max="58" width="9"/>
    <col min="59" max="59" width="14.33203125" customWidth="1"/>
    <col min="60" max="60" width="13.1640625" customWidth="1"/>
    <col min="61" max="61" width="9"/>
    <col min="62" max="62" width="15" customWidth="1"/>
    <col min="63" max="63" width="10.6640625" customWidth="1"/>
    <col min="64" max="64" width="9"/>
    <col min="65" max="66" width="13.1640625" customWidth="1"/>
    <col min="67" max="80" width="9"/>
  </cols>
  <sheetData>
    <row r="2" spans="1:66">
      <c r="BM2" s="54"/>
    </row>
    <row r="3" spans="1:66">
      <c r="B3" t="s">
        <v>66</v>
      </c>
      <c r="C3" s="32">
        <v>38931</v>
      </c>
      <c r="D3" s="36"/>
      <c r="AH3" t="s">
        <v>193</v>
      </c>
      <c r="BG3" s="54"/>
      <c r="BJ3" s="54"/>
      <c r="BM3" s="54"/>
      <c r="BN3" s="73"/>
    </row>
    <row r="4" spans="1:66">
      <c r="B4" t="s">
        <v>67</v>
      </c>
      <c r="C4" s="32">
        <v>38933</v>
      </c>
      <c r="D4" s="36"/>
      <c r="E4" t="s">
        <v>142</v>
      </c>
      <c r="G4" t="s">
        <v>102</v>
      </c>
      <c r="AH4" s="1" t="s">
        <v>196</v>
      </c>
      <c r="AI4" s="1" t="s">
        <v>197</v>
      </c>
      <c r="AJ4" s="1" t="s">
        <v>140</v>
      </c>
      <c r="AK4" s="47" t="s">
        <v>144</v>
      </c>
      <c r="AL4" s="1" t="s">
        <v>348</v>
      </c>
      <c r="AM4" s="52" t="s">
        <v>346</v>
      </c>
      <c r="BG4" s="54"/>
      <c r="BJ4" s="54"/>
      <c r="BK4" s="73"/>
      <c r="BM4" s="54"/>
    </row>
    <row r="5" spans="1:66">
      <c r="C5" s="36"/>
      <c r="D5" s="36"/>
      <c r="E5" s="1">
        <v>0</v>
      </c>
      <c r="AH5" s="39">
        <v>38933</v>
      </c>
      <c r="AI5" s="33">
        <v>2200</v>
      </c>
      <c r="AJ5" s="39">
        <f>VLOOKUP($AH5,$C$36:$F$66,1)</f>
        <v>38933</v>
      </c>
      <c r="AK5" s="42">
        <f>VLOOKUP($AH5,$C$6:$F$66,3)</f>
        <v>1</v>
      </c>
      <c r="AL5" s="42">
        <f>VLOOKUP($AH5,$C$6:$F$66,4)</f>
        <v>-1.0031601627817409E-5</v>
      </c>
      <c r="AM5" s="53">
        <f>AK5+AL5*(AH5-AJ5)</f>
        <v>1</v>
      </c>
      <c r="AN5" s="54"/>
      <c r="AO5" s="73"/>
      <c r="AU5" s="54"/>
      <c r="AV5" s="54"/>
      <c r="AW5" s="54"/>
      <c r="AX5" s="54"/>
      <c r="AY5" s="54"/>
      <c r="AZ5" s="54"/>
      <c r="BA5" s="54"/>
      <c r="BB5" s="54"/>
      <c r="BC5" s="54"/>
      <c r="BG5" s="54"/>
      <c r="BJ5" s="54"/>
      <c r="BK5" s="73"/>
      <c r="BM5" s="54"/>
    </row>
    <row r="6" spans="1:66" ht="15" thickBot="1">
      <c r="B6" t="s">
        <v>68</v>
      </c>
      <c r="AH6" s="39">
        <v>38954</v>
      </c>
      <c r="AI6" s="33">
        <v>-2980.950343892694</v>
      </c>
      <c r="AJ6" s="39">
        <f t="shared" ref="AJ6:AJ69" si="0">VLOOKUP($AH6,$C$36:$F$66,1)</f>
        <v>38933</v>
      </c>
      <c r="AK6" s="42">
        <f t="shared" ref="AK6:AK69" si="1">VLOOKUP($AH6,$C$6:$F$66,3)</f>
        <v>1</v>
      </c>
      <c r="AL6" s="42">
        <f t="shared" ref="AL6:AL69" si="2">VLOOKUP($AH6,$C$6:$F$66,4)</f>
        <v>-1.0031601627817409E-5</v>
      </c>
      <c r="AM6" s="53">
        <f t="shared" ref="AM6:AM69" si="3">AK6+AL6*(AH6-AJ6)</f>
        <v>0.9997893363658158</v>
      </c>
      <c r="AN6" s="54"/>
      <c r="AO6" s="73"/>
      <c r="BG6" s="54"/>
      <c r="BJ6" s="54"/>
      <c r="BK6" s="73"/>
      <c r="BM6" s="54"/>
      <c r="BN6" s="73"/>
    </row>
    <row r="7" spans="1:66" ht="15" thickBot="1">
      <c r="C7" s="1" t="s">
        <v>69</v>
      </c>
      <c r="D7" s="1" t="s">
        <v>91</v>
      </c>
      <c r="E7" s="1" t="s">
        <v>141</v>
      </c>
      <c r="G7" s="58">
        <v>0</v>
      </c>
      <c r="H7" s="59">
        <f>+G7+1</f>
        <v>1</v>
      </c>
      <c r="I7" s="59">
        <f>+H7+1</f>
        <v>2</v>
      </c>
      <c r="J7" s="59">
        <f t="shared" ref="J7:AE7" si="4">+I7+1</f>
        <v>3</v>
      </c>
      <c r="K7" s="59">
        <f t="shared" si="4"/>
        <v>4</v>
      </c>
      <c r="L7" s="59">
        <f t="shared" si="4"/>
        <v>5</v>
      </c>
      <c r="M7" s="59">
        <f t="shared" si="4"/>
        <v>6</v>
      </c>
      <c r="N7" s="59">
        <f t="shared" si="4"/>
        <v>7</v>
      </c>
      <c r="O7" s="59">
        <f t="shared" si="4"/>
        <v>8</v>
      </c>
      <c r="P7" s="59">
        <f t="shared" si="4"/>
        <v>9</v>
      </c>
      <c r="Q7" s="59">
        <f t="shared" si="4"/>
        <v>10</v>
      </c>
      <c r="R7" s="59">
        <f t="shared" si="4"/>
        <v>11</v>
      </c>
      <c r="S7" s="59">
        <f t="shared" si="4"/>
        <v>12</v>
      </c>
      <c r="T7" s="59">
        <f t="shared" si="4"/>
        <v>13</v>
      </c>
      <c r="U7" s="59">
        <f t="shared" si="4"/>
        <v>14</v>
      </c>
      <c r="V7" s="59">
        <f t="shared" si="4"/>
        <v>15</v>
      </c>
      <c r="W7" s="59">
        <f t="shared" si="4"/>
        <v>16</v>
      </c>
      <c r="X7" s="59">
        <f t="shared" si="4"/>
        <v>17</v>
      </c>
      <c r="Y7" s="59">
        <f t="shared" si="4"/>
        <v>18</v>
      </c>
      <c r="Z7" s="59">
        <f t="shared" si="4"/>
        <v>19</v>
      </c>
      <c r="AA7" s="59">
        <f t="shared" si="4"/>
        <v>20</v>
      </c>
      <c r="AB7" s="59">
        <f t="shared" si="4"/>
        <v>21</v>
      </c>
      <c r="AC7" s="59">
        <f t="shared" si="4"/>
        <v>22</v>
      </c>
      <c r="AD7" s="59">
        <f t="shared" si="4"/>
        <v>23</v>
      </c>
      <c r="AE7" s="60">
        <f t="shared" si="4"/>
        <v>24</v>
      </c>
      <c r="AH7" s="39">
        <v>38964</v>
      </c>
      <c r="AI7" s="33">
        <v>0</v>
      </c>
      <c r="AJ7" s="39">
        <f t="shared" si="0"/>
        <v>38964</v>
      </c>
      <c r="AK7" s="42">
        <f t="shared" si="1"/>
        <v>0.99968902034953766</v>
      </c>
      <c r="AL7" s="42">
        <f t="shared" si="2"/>
        <v>-1.1647242352412028E-5</v>
      </c>
      <c r="AM7" s="53">
        <f t="shared" si="3"/>
        <v>0.99968902034953766</v>
      </c>
      <c r="AN7" s="54"/>
      <c r="AO7" s="77"/>
      <c r="AR7" s="36"/>
      <c r="BC7" s="36"/>
      <c r="BG7" s="54"/>
      <c r="BJ7" s="54"/>
      <c r="BK7" s="73"/>
      <c r="BM7" s="54"/>
    </row>
    <row r="8" spans="1:66">
      <c r="A8" s="35">
        <v>1</v>
      </c>
      <c r="B8" t="s">
        <v>70</v>
      </c>
      <c r="C8" s="41">
        <v>38964</v>
      </c>
      <c r="D8" s="42">
        <v>0.36125000000000002</v>
      </c>
      <c r="E8" s="1">
        <f>INDEX($G$8:$AE$29,A8,E$5+1)/100+D8</f>
        <v>0.36125000000000002</v>
      </c>
      <c r="G8" s="57">
        <v>0</v>
      </c>
      <c r="H8" s="57">
        <v>1</v>
      </c>
      <c r="I8" s="57">
        <v>0</v>
      </c>
      <c r="J8" s="57">
        <v>0</v>
      </c>
      <c r="K8" s="57">
        <v>0</v>
      </c>
      <c r="L8" s="57">
        <v>0</v>
      </c>
      <c r="M8" s="57">
        <v>0</v>
      </c>
      <c r="N8" s="57">
        <v>0</v>
      </c>
      <c r="O8" s="57">
        <v>0</v>
      </c>
      <c r="P8" s="57">
        <v>0</v>
      </c>
      <c r="Q8" s="57">
        <v>0</v>
      </c>
      <c r="R8" s="57">
        <v>0</v>
      </c>
      <c r="S8" s="57">
        <v>0</v>
      </c>
      <c r="T8" s="57">
        <v>0</v>
      </c>
      <c r="U8" s="57">
        <v>0</v>
      </c>
      <c r="V8" s="57">
        <v>0</v>
      </c>
      <c r="W8" s="57">
        <v>0</v>
      </c>
      <c r="X8" s="57">
        <v>0</v>
      </c>
      <c r="Y8" s="57">
        <v>0</v>
      </c>
      <c r="Z8" s="57">
        <v>0</v>
      </c>
      <c r="AA8" s="57">
        <v>0</v>
      </c>
      <c r="AB8" s="57">
        <v>0</v>
      </c>
      <c r="AC8" s="57">
        <v>0</v>
      </c>
      <c r="AD8" s="57">
        <v>1</v>
      </c>
      <c r="AE8" s="57">
        <v>-1</v>
      </c>
      <c r="AH8" s="75">
        <v>38989</v>
      </c>
      <c r="AI8" s="33">
        <v>1986.6778825570775</v>
      </c>
      <c r="AJ8" s="39">
        <f t="shared" si="0"/>
        <v>38964</v>
      </c>
      <c r="AK8" s="42">
        <f t="shared" si="1"/>
        <v>0.99968902034953766</v>
      </c>
      <c r="AL8" s="42">
        <f t="shared" si="2"/>
        <v>-1.1647242352412028E-5</v>
      </c>
      <c r="AM8" s="53">
        <f t="shared" si="3"/>
        <v>0.99939783929072734</v>
      </c>
      <c r="AN8" s="76"/>
      <c r="AO8" s="73"/>
      <c r="AP8" s="46"/>
      <c r="AR8" s="36"/>
      <c r="AS8" s="40"/>
      <c r="BC8" s="36"/>
      <c r="BG8" s="54"/>
      <c r="BJ8" s="54"/>
      <c r="BK8" s="73"/>
      <c r="BM8" s="54"/>
    </row>
    <row r="9" spans="1:66">
      <c r="A9" s="35">
        <v>2</v>
      </c>
      <c r="B9" t="s">
        <v>71</v>
      </c>
      <c r="C9" s="41">
        <v>38994</v>
      </c>
      <c r="D9" s="42">
        <v>0.39</v>
      </c>
      <c r="E9" s="1">
        <f t="shared" ref="E9:E29" si="5">INDEX($G$8:$AE$29,A9,E$5+1)/100+D9</f>
        <v>0.39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57">
        <v>1</v>
      </c>
      <c r="AE9" s="1">
        <v>-1</v>
      </c>
      <c r="AH9" s="75">
        <v>38994</v>
      </c>
      <c r="AI9" s="33">
        <v>0</v>
      </c>
      <c r="AJ9" s="39">
        <f t="shared" si="0"/>
        <v>38994</v>
      </c>
      <c r="AK9" s="42">
        <f t="shared" si="1"/>
        <v>0.9993396030789653</v>
      </c>
      <c r="AL9" s="42">
        <f t="shared" si="2"/>
        <v>-1.2937560349499869E-5</v>
      </c>
      <c r="AM9" s="53">
        <f t="shared" si="3"/>
        <v>0.9993396030789653</v>
      </c>
      <c r="AN9" s="76"/>
      <c r="AO9" s="73"/>
      <c r="AP9" s="46"/>
      <c r="AR9" s="36"/>
      <c r="AS9" s="40"/>
      <c r="BC9" s="36"/>
      <c r="BG9" s="54"/>
      <c r="BJ9" s="54"/>
      <c r="BK9" s="73"/>
      <c r="BM9" s="54"/>
    </row>
    <row r="10" spans="1:66">
      <c r="A10" s="35">
        <v>3</v>
      </c>
      <c r="B10" t="s">
        <v>72</v>
      </c>
      <c r="C10" s="41">
        <v>39027</v>
      </c>
      <c r="D10" s="42">
        <v>0.41687999999999997</v>
      </c>
      <c r="E10" s="1">
        <f t="shared" si="5"/>
        <v>0.41687999999999997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57">
        <v>1</v>
      </c>
      <c r="AE10" s="1">
        <v>-1</v>
      </c>
      <c r="AH10" s="75">
        <v>39021</v>
      </c>
      <c r="AI10" s="33">
        <v>-4955.1984514459673</v>
      </c>
      <c r="AJ10" s="39">
        <f t="shared" si="0"/>
        <v>38994</v>
      </c>
      <c r="AK10" s="42">
        <f t="shared" si="1"/>
        <v>0.9993396030789653</v>
      </c>
      <c r="AL10" s="42">
        <f t="shared" si="2"/>
        <v>-1.2937560349499869E-5</v>
      </c>
      <c r="AM10" s="53">
        <f t="shared" si="3"/>
        <v>0.99899028894952879</v>
      </c>
      <c r="AN10" s="76"/>
      <c r="AO10" s="73"/>
      <c r="AP10" s="46"/>
      <c r="AR10" s="36"/>
      <c r="AS10" s="40"/>
      <c r="BC10" s="36"/>
      <c r="BG10" s="54"/>
      <c r="BJ10" s="54"/>
      <c r="BK10" s="73"/>
      <c r="BM10" s="54"/>
      <c r="BN10" s="73"/>
    </row>
    <row r="11" spans="1:66">
      <c r="A11" s="35">
        <v>4</v>
      </c>
      <c r="B11" t="s">
        <v>73</v>
      </c>
      <c r="C11" s="41">
        <v>39055</v>
      </c>
      <c r="D11" s="42">
        <v>0.43687999999999999</v>
      </c>
      <c r="E11" s="1">
        <f t="shared" si="5"/>
        <v>0.43687999999999999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57">
        <v>1</v>
      </c>
      <c r="AE11" s="1">
        <v>-1</v>
      </c>
      <c r="AH11" s="75">
        <v>39027</v>
      </c>
      <c r="AI11" s="33">
        <v>3904.2452279999998</v>
      </c>
      <c r="AJ11" s="39">
        <f t="shared" si="0"/>
        <v>39027</v>
      </c>
      <c r="AK11" s="42">
        <f t="shared" si="1"/>
        <v>0.9989126635874318</v>
      </c>
      <c r="AL11" s="42">
        <f t="shared" si="2"/>
        <v>-1.3964736200982359E-5</v>
      </c>
      <c r="AM11" s="53">
        <f t="shared" si="3"/>
        <v>0.9989126635874318</v>
      </c>
      <c r="AN11" s="76"/>
      <c r="AO11" s="73"/>
      <c r="AP11" s="46"/>
      <c r="AR11" s="36"/>
      <c r="AS11" s="40"/>
      <c r="BC11" s="36"/>
      <c r="BG11" s="54"/>
      <c r="BJ11" s="54"/>
      <c r="BK11" s="73"/>
      <c r="BM11" s="54"/>
      <c r="BN11" s="73"/>
    </row>
    <row r="12" spans="1:66">
      <c r="A12" s="35">
        <v>5</v>
      </c>
      <c r="B12" t="s">
        <v>74</v>
      </c>
      <c r="C12" s="41">
        <v>39086</v>
      </c>
      <c r="D12" s="42">
        <v>0.45874999999999999</v>
      </c>
      <c r="E12" s="1">
        <f t="shared" si="5"/>
        <v>0.45874999999999999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57">
        <v>1</v>
      </c>
      <c r="AE12" s="1">
        <v>-1</v>
      </c>
      <c r="AH12" s="75">
        <v>39055</v>
      </c>
      <c r="AI12" s="33">
        <v>0</v>
      </c>
      <c r="AJ12" s="39">
        <f t="shared" si="0"/>
        <v>39055</v>
      </c>
      <c r="AK12" s="42">
        <f t="shared" si="1"/>
        <v>0.9985216509738043</v>
      </c>
      <c r="AL12" s="42">
        <f t="shared" si="2"/>
        <v>-1.5082083527281461E-5</v>
      </c>
      <c r="AM12" s="53">
        <f t="shared" si="3"/>
        <v>0.9985216509738043</v>
      </c>
      <c r="AN12" s="76"/>
      <c r="AO12" s="73"/>
      <c r="AP12" s="46"/>
      <c r="AR12" s="36"/>
      <c r="AS12" s="40"/>
      <c r="BC12" s="36"/>
      <c r="BG12" s="54"/>
      <c r="BJ12" s="54"/>
      <c r="BK12" s="73"/>
      <c r="BM12" s="54"/>
    </row>
    <row r="13" spans="1:66">
      <c r="A13" s="35">
        <v>6</v>
      </c>
      <c r="B13" t="s">
        <v>75</v>
      </c>
      <c r="C13" s="41">
        <v>39118</v>
      </c>
      <c r="D13" s="42">
        <v>0.49099999999999999</v>
      </c>
      <c r="E13" s="1">
        <f t="shared" si="5"/>
        <v>0.49099999999999999</v>
      </c>
      <c r="F13" s="40"/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57">
        <v>1</v>
      </c>
      <c r="AE13" s="1">
        <v>-1</v>
      </c>
      <c r="AH13" s="75">
        <v>39086</v>
      </c>
      <c r="AI13" s="33">
        <v>0</v>
      </c>
      <c r="AJ13" s="39">
        <f t="shared" si="0"/>
        <v>39086</v>
      </c>
      <c r="AK13" s="42">
        <f t="shared" si="1"/>
        <v>0.99805410638445857</v>
      </c>
      <c r="AL13" s="42">
        <f t="shared" si="2"/>
        <v>-1.7842198194100573E-5</v>
      </c>
      <c r="AM13" s="53">
        <f t="shared" si="3"/>
        <v>0.99805410638445857</v>
      </c>
      <c r="AN13" s="76"/>
      <c r="AO13" s="73"/>
      <c r="AP13" s="46"/>
      <c r="AR13" s="36"/>
      <c r="AS13" s="40"/>
      <c r="BC13" s="36"/>
      <c r="BG13" s="54"/>
      <c r="BJ13" s="54"/>
      <c r="BK13" s="73"/>
      <c r="BM13" s="54"/>
    </row>
    <row r="14" spans="1:66">
      <c r="A14" s="35">
        <v>7</v>
      </c>
      <c r="B14" t="s">
        <v>76</v>
      </c>
      <c r="C14" s="41">
        <v>39146</v>
      </c>
      <c r="D14" s="42">
        <v>0.51437999999999995</v>
      </c>
      <c r="E14" s="1">
        <f t="shared" si="5"/>
        <v>0.51437999999999995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57">
        <v>1</v>
      </c>
      <c r="AE14" s="1">
        <v>-1</v>
      </c>
      <c r="AH14" s="75">
        <v>39113</v>
      </c>
      <c r="AI14" s="33">
        <v>0</v>
      </c>
      <c r="AJ14" s="39">
        <f t="shared" si="0"/>
        <v>39086</v>
      </c>
      <c r="AK14" s="42">
        <f t="shared" si="1"/>
        <v>0.99805410638445857</v>
      </c>
      <c r="AL14" s="42">
        <f t="shared" si="2"/>
        <v>-1.7842198194100573E-5</v>
      </c>
      <c r="AM14" s="53">
        <f t="shared" si="3"/>
        <v>0.99757236703321783</v>
      </c>
      <c r="AN14" s="76"/>
      <c r="AO14" s="73"/>
      <c r="AP14" s="46"/>
      <c r="AR14" s="36"/>
      <c r="AS14" s="40"/>
      <c r="BC14" s="36"/>
      <c r="BG14" s="54"/>
      <c r="BJ14" s="54"/>
      <c r="BK14" s="73"/>
      <c r="BM14" s="54"/>
      <c r="BN14" s="73"/>
    </row>
    <row r="15" spans="1:66">
      <c r="A15" s="35">
        <v>8</v>
      </c>
      <c r="B15" t="s">
        <v>77</v>
      </c>
      <c r="C15" s="41">
        <v>39176</v>
      </c>
      <c r="D15" s="42">
        <v>0.54562999999999995</v>
      </c>
      <c r="E15" s="1">
        <f t="shared" si="5"/>
        <v>0.54562999999999995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57">
        <v>1</v>
      </c>
      <c r="AE15" s="1">
        <v>-1</v>
      </c>
      <c r="AH15" s="75">
        <v>39118</v>
      </c>
      <c r="AI15" s="33">
        <v>6.4978082191780899</v>
      </c>
      <c r="AJ15" s="39">
        <f t="shared" si="0"/>
        <v>39118</v>
      </c>
      <c r="AK15" s="42">
        <f t="shared" si="1"/>
        <v>0.99748315604224735</v>
      </c>
      <c r="AL15" s="42">
        <f t="shared" si="2"/>
        <v>-1.8476313253733873E-5</v>
      </c>
      <c r="AM15" s="53">
        <f t="shared" si="3"/>
        <v>0.99748315604224735</v>
      </c>
      <c r="AN15" s="76"/>
      <c r="AO15" s="73"/>
      <c r="AP15" s="46"/>
      <c r="AR15" s="36"/>
      <c r="AS15" s="40"/>
      <c r="BC15" s="36"/>
      <c r="BG15" s="54"/>
      <c r="BJ15" s="54"/>
      <c r="BK15" s="73"/>
      <c r="BM15" s="54"/>
      <c r="BN15" s="73"/>
    </row>
    <row r="16" spans="1:66">
      <c r="A16" s="35">
        <v>9</v>
      </c>
      <c r="B16" t="s">
        <v>78</v>
      </c>
      <c r="C16" s="41">
        <v>39206</v>
      </c>
      <c r="D16" s="42">
        <v>0.57499999999999996</v>
      </c>
      <c r="E16" s="1">
        <f t="shared" si="5"/>
        <v>0.57499999999999996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57">
        <v>1</v>
      </c>
      <c r="AE16" s="1">
        <v>-1</v>
      </c>
      <c r="AH16" s="75">
        <v>39139</v>
      </c>
      <c r="AI16" s="33">
        <v>21.287671232876711</v>
      </c>
      <c r="AJ16" s="39">
        <f t="shared" si="0"/>
        <v>39118</v>
      </c>
      <c r="AK16" s="42">
        <f t="shared" si="1"/>
        <v>0.99748315604224735</v>
      </c>
      <c r="AL16" s="42">
        <f t="shared" si="2"/>
        <v>-1.8476313253733873E-5</v>
      </c>
      <c r="AM16" s="53">
        <f t="shared" si="3"/>
        <v>0.99709515346391897</v>
      </c>
      <c r="AN16" s="76"/>
      <c r="AO16" s="73"/>
      <c r="AP16" s="46"/>
      <c r="AR16" s="36"/>
      <c r="AS16" s="40"/>
      <c r="BC16" s="36"/>
      <c r="BG16" s="54"/>
      <c r="BJ16" s="54"/>
      <c r="BK16" s="73"/>
      <c r="BM16" s="54"/>
    </row>
    <row r="17" spans="1:66">
      <c r="A17" s="35">
        <v>10</v>
      </c>
      <c r="B17" t="s">
        <v>79</v>
      </c>
      <c r="C17" s="41">
        <v>39237</v>
      </c>
      <c r="D17" s="42">
        <v>0.60375000000000001</v>
      </c>
      <c r="E17" s="1">
        <f t="shared" si="5"/>
        <v>0.60375000000000001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57">
        <v>1</v>
      </c>
      <c r="AE17" s="1">
        <v>-1</v>
      </c>
      <c r="AH17" s="75">
        <v>39146</v>
      </c>
      <c r="AI17" s="33">
        <v>0</v>
      </c>
      <c r="AJ17" s="39">
        <f t="shared" si="0"/>
        <v>39146</v>
      </c>
      <c r="AK17" s="42">
        <f t="shared" si="1"/>
        <v>0.99696581927114281</v>
      </c>
      <c r="AL17" s="42">
        <f t="shared" si="2"/>
        <v>-2.1176901284062724E-5</v>
      </c>
      <c r="AM17" s="53">
        <f t="shared" si="3"/>
        <v>0.99696581927114281</v>
      </c>
      <c r="AN17" s="76"/>
      <c r="AO17" s="73"/>
      <c r="AP17" s="46"/>
      <c r="AR17" s="36"/>
      <c r="AS17" s="40"/>
      <c r="BC17" s="36"/>
      <c r="BG17" s="54"/>
      <c r="BJ17" s="54"/>
      <c r="BK17" s="73"/>
      <c r="BM17" s="54"/>
      <c r="BN17" s="73"/>
    </row>
    <row r="18" spans="1:66">
      <c r="A18" s="35">
        <v>11</v>
      </c>
      <c r="B18" t="s">
        <v>80</v>
      </c>
      <c r="C18" s="41">
        <v>39267</v>
      </c>
      <c r="D18" s="42">
        <v>0.63249999999999995</v>
      </c>
      <c r="E18" s="1">
        <f t="shared" si="5"/>
        <v>0.63249999999999995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57">
        <v>1</v>
      </c>
      <c r="AE18" s="1">
        <v>-1</v>
      </c>
      <c r="AH18" s="75">
        <v>39171</v>
      </c>
      <c r="AI18" s="33">
        <v>-14.95890410958904</v>
      </c>
      <c r="AJ18" s="39">
        <f t="shared" si="0"/>
        <v>39146</v>
      </c>
      <c r="AK18" s="42">
        <f t="shared" si="1"/>
        <v>0.99696581927114281</v>
      </c>
      <c r="AL18" s="42">
        <f t="shared" si="2"/>
        <v>-2.1176901284062724E-5</v>
      </c>
      <c r="AM18" s="53">
        <f t="shared" si="3"/>
        <v>0.99643639673904127</v>
      </c>
      <c r="AN18" s="76"/>
      <c r="AO18" s="73"/>
      <c r="AP18" s="46"/>
      <c r="AR18" s="36"/>
      <c r="AS18" s="40"/>
      <c r="BC18" s="36"/>
      <c r="BG18" s="54"/>
      <c r="BJ18" s="54"/>
      <c r="BK18" s="73"/>
      <c r="BM18" s="54"/>
    </row>
    <row r="19" spans="1:66">
      <c r="A19" s="35">
        <v>12</v>
      </c>
      <c r="B19" t="s">
        <v>92</v>
      </c>
      <c r="C19" s="41">
        <v>39300</v>
      </c>
      <c r="D19" s="33">
        <v>0.67300000000000004</v>
      </c>
      <c r="E19" s="1">
        <f t="shared" si="5"/>
        <v>0.67300000000000004</v>
      </c>
      <c r="F19" s="40"/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57">
        <v>1</v>
      </c>
      <c r="AE19" s="1">
        <v>-1</v>
      </c>
      <c r="AH19" s="75">
        <v>39176</v>
      </c>
      <c r="AI19" s="33">
        <v>0</v>
      </c>
      <c r="AJ19" s="39">
        <f t="shared" si="0"/>
        <v>39176</v>
      </c>
      <c r="AK19" s="42">
        <f t="shared" si="1"/>
        <v>0.99633051223262092</v>
      </c>
      <c r="AL19" s="42">
        <f t="shared" si="2"/>
        <v>-2.2399940382245022E-5</v>
      </c>
      <c r="AM19" s="53">
        <f t="shared" si="3"/>
        <v>0.99633051223262092</v>
      </c>
      <c r="AN19" s="76"/>
      <c r="AO19" s="73"/>
      <c r="AP19" s="46"/>
      <c r="AR19" s="36"/>
      <c r="AS19" s="40"/>
      <c r="AT19" s="74"/>
      <c r="BC19" s="36"/>
      <c r="BG19" s="54"/>
      <c r="BJ19" s="54"/>
      <c r="BK19" s="73"/>
      <c r="BM19" s="54"/>
    </row>
    <row r="20" spans="1:66">
      <c r="A20" s="35">
        <v>13</v>
      </c>
      <c r="B20" t="s">
        <v>81</v>
      </c>
      <c r="C20" s="41">
        <v>39482</v>
      </c>
      <c r="D20" s="33">
        <v>0.82099999999999995</v>
      </c>
      <c r="E20" s="1">
        <f t="shared" si="5"/>
        <v>0.82099999999999995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57">
        <v>1</v>
      </c>
      <c r="AE20" s="1">
        <v>-1</v>
      </c>
      <c r="AH20" s="75">
        <v>39202</v>
      </c>
      <c r="AI20" s="33">
        <v>49.589041095890408</v>
      </c>
      <c r="AJ20" s="39">
        <f t="shared" si="0"/>
        <v>39176</v>
      </c>
      <c r="AK20" s="42">
        <f t="shared" si="1"/>
        <v>0.99633051223262092</v>
      </c>
      <c r="AL20" s="42">
        <f t="shared" si="2"/>
        <v>-2.2399940382245022E-5</v>
      </c>
      <c r="AM20" s="53">
        <f t="shared" si="3"/>
        <v>0.99574811378268258</v>
      </c>
      <c r="AN20" s="76"/>
      <c r="AO20" s="73"/>
      <c r="AP20" s="46"/>
      <c r="AR20" s="36"/>
      <c r="AS20" s="40"/>
      <c r="AT20" s="74"/>
      <c r="BC20" s="36"/>
      <c r="BG20" s="54"/>
      <c r="BJ20" s="54"/>
      <c r="BK20" s="73"/>
      <c r="BM20" s="54"/>
    </row>
    <row r="21" spans="1:66">
      <c r="A21" s="35">
        <v>14</v>
      </c>
      <c r="B21" t="s">
        <v>82</v>
      </c>
      <c r="C21" s="41">
        <v>39664</v>
      </c>
      <c r="D21" s="33">
        <v>0.95099999999999996</v>
      </c>
      <c r="E21" s="1">
        <f t="shared" si="5"/>
        <v>0.95099999999999996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57">
        <v>1</v>
      </c>
      <c r="AE21" s="1">
        <v>-1</v>
      </c>
      <c r="AH21" s="75">
        <v>39206</v>
      </c>
      <c r="AI21" s="33">
        <v>0</v>
      </c>
      <c r="AJ21" s="39">
        <f t="shared" si="0"/>
        <v>39206</v>
      </c>
      <c r="AK21" s="42">
        <f t="shared" si="1"/>
        <v>0.99565851402115357</v>
      </c>
      <c r="AL21" s="42">
        <f t="shared" si="2"/>
        <v>-2.3580200015894277E-5</v>
      </c>
      <c r="AM21" s="53">
        <f t="shared" si="3"/>
        <v>0.99565851402115357</v>
      </c>
      <c r="AN21" s="76"/>
      <c r="AO21" s="73"/>
      <c r="AP21" s="46"/>
      <c r="AR21" s="36"/>
      <c r="AS21" s="40"/>
      <c r="AT21" s="74"/>
      <c r="BC21" s="36"/>
      <c r="BG21" s="54"/>
      <c r="BJ21" s="54"/>
      <c r="BK21" s="73"/>
      <c r="BM21" s="54"/>
      <c r="BN21" s="73"/>
    </row>
    <row r="22" spans="1:66">
      <c r="A22" s="35">
        <v>15</v>
      </c>
      <c r="B22" t="s">
        <v>83</v>
      </c>
      <c r="C22" s="41">
        <v>40029</v>
      </c>
      <c r="D22" s="33">
        <v>1.19</v>
      </c>
      <c r="E22" s="1">
        <f t="shared" si="5"/>
        <v>1.19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57">
        <v>1</v>
      </c>
      <c r="AE22" s="1">
        <v>-1</v>
      </c>
      <c r="AH22" s="75">
        <v>39237</v>
      </c>
      <c r="AI22" s="33">
        <v>0</v>
      </c>
      <c r="AJ22" s="39">
        <f t="shared" si="0"/>
        <v>39237</v>
      </c>
      <c r="AK22" s="42">
        <f t="shared" si="1"/>
        <v>0.99492752782066085</v>
      </c>
      <c r="AL22" s="42">
        <f t="shared" si="2"/>
        <v>-2.5382915186222821E-5</v>
      </c>
      <c r="AM22" s="53">
        <f t="shared" si="3"/>
        <v>0.99492752782066085</v>
      </c>
      <c r="AN22" s="76"/>
      <c r="AO22" s="73"/>
      <c r="AP22" s="46"/>
      <c r="AR22" s="36"/>
      <c r="AS22" s="40"/>
      <c r="AT22" s="74"/>
      <c r="BC22" s="36"/>
      <c r="BG22" s="54"/>
      <c r="BJ22" s="54"/>
      <c r="BK22" s="73"/>
      <c r="BM22" s="54"/>
    </row>
    <row r="23" spans="1:66">
      <c r="A23" s="35">
        <v>16</v>
      </c>
      <c r="B23" t="s">
        <v>84</v>
      </c>
      <c r="C23" s="41">
        <v>40394</v>
      </c>
      <c r="D23" s="33">
        <v>1.391</v>
      </c>
      <c r="E23" s="1">
        <f t="shared" si="5"/>
        <v>1.391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57">
        <v>1</v>
      </c>
      <c r="AE23" s="1">
        <v>-1</v>
      </c>
      <c r="AH23" s="75">
        <v>39262</v>
      </c>
      <c r="AI23" s="33">
        <v>3960.3914535768649</v>
      </c>
      <c r="AJ23" s="39">
        <f t="shared" si="0"/>
        <v>39237</v>
      </c>
      <c r="AK23" s="42">
        <f t="shared" si="1"/>
        <v>0.99492752782066085</v>
      </c>
      <c r="AL23" s="42">
        <f t="shared" si="2"/>
        <v>-2.5382915186222821E-5</v>
      </c>
      <c r="AM23" s="53">
        <f t="shared" si="3"/>
        <v>0.99429295494100534</v>
      </c>
      <c r="AN23" s="76"/>
      <c r="AO23" s="73"/>
      <c r="AP23" s="46"/>
      <c r="AR23" s="36"/>
      <c r="AS23" s="40"/>
      <c r="AT23" s="74"/>
      <c r="BC23" s="36"/>
      <c r="BG23" s="54"/>
      <c r="BJ23" s="54"/>
      <c r="BK23" s="73"/>
      <c r="BM23" s="54"/>
    </row>
    <row r="24" spans="1:66">
      <c r="A24" s="35">
        <v>17</v>
      </c>
      <c r="B24" t="s">
        <v>85</v>
      </c>
      <c r="C24" s="41">
        <v>40759</v>
      </c>
      <c r="D24" s="33">
        <v>1.5629999999999999</v>
      </c>
      <c r="E24" s="1">
        <f t="shared" si="5"/>
        <v>1.5629999999999999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57">
        <v>1</v>
      </c>
      <c r="AE24" s="1">
        <v>-1</v>
      </c>
      <c r="AH24" s="75">
        <v>39267</v>
      </c>
      <c r="AI24" s="33">
        <v>-3319.3650416666669</v>
      </c>
      <c r="AJ24" s="39">
        <f t="shared" si="0"/>
        <v>39267</v>
      </c>
      <c r="AK24" s="42">
        <f t="shared" si="1"/>
        <v>0.99416604036507417</v>
      </c>
      <c r="AL24" s="42">
        <f t="shared" si="2"/>
        <v>-2.7325102685757805E-5</v>
      </c>
      <c r="AM24" s="53">
        <f t="shared" si="3"/>
        <v>0.99416604036507417</v>
      </c>
      <c r="AN24" s="76"/>
      <c r="AO24" s="73"/>
      <c r="AP24" s="46"/>
      <c r="AR24" s="36"/>
      <c r="AS24" s="40"/>
      <c r="AT24" s="74"/>
      <c r="BC24" s="36"/>
      <c r="BG24" s="54"/>
      <c r="BJ24" s="54"/>
      <c r="BK24" s="73"/>
      <c r="BM24" s="54"/>
    </row>
    <row r="25" spans="1:66">
      <c r="A25" s="35">
        <v>18</v>
      </c>
      <c r="B25" t="s">
        <v>86</v>
      </c>
      <c r="C25" s="41">
        <v>41127</v>
      </c>
      <c r="D25" s="33">
        <v>1.708</v>
      </c>
      <c r="E25" s="1">
        <f t="shared" si="5"/>
        <v>1.708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57">
        <v>1</v>
      </c>
      <c r="AE25" s="1">
        <v>-1</v>
      </c>
      <c r="AH25" s="75">
        <v>39294</v>
      </c>
      <c r="AI25" s="33">
        <v>0</v>
      </c>
      <c r="AJ25" s="39">
        <f t="shared" si="0"/>
        <v>39267</v>
      </c>
      <c r="AK25" s="42">
        <f t="shared" si="1"/>
        <v>0.99416604036507417</v>
      </c>
      <c r="AL25" s="42">
        <f t="shared" si="2"/>
        <v>-2.7325102685757805E-5</v>
      </c>
      <c r="AM25" s="53">
        <f t="shared" si="3"/>
        <v>0.99342826259255868</v>
      </c>
      <c r="AN25" s="76"/>
      <c r="AO25" s="73"/>
      <c r="AP25" s="46"/>
      <c r="AR25" s="36"/>
      <c r="AS25" s="40"/>
      <c r="AT25" s="74"/>
      <c r="BC25" s="36"/>
      <c r="BG25" s="54"/>
      <c r="BJ25" s="54"/>
      <c r="BK25" s="73"/>
      <c r="BM25" s="54"/>
    </row>
    <row r="26" spans="1:66">
      <c r="A26" s="35">
        <v>19</v>
      </c>
      <c r="B26" t="s">
        <v>87</v>
      </c>
      <c r="C26" s="41">
        <v>41491</v>
      </c>
      <c r="D26" s="33">
        <v>1.833</v>
      </c>
      <c r="E26" s="1">
        <f t="shared" si="5"/>
        <v>1.833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57">
        <v>1</v>
      </c>
      <c r="AE26" s="1">
        <v>-1</v>
      </c>
      <c r="AH26" s="75">
        <v>39300</v>
      </c>
      <c r="AI26" s="33">
        <v>6.3924383561643907</v>
      </c>
      <c r="AJ26" s="39">
        <f t="shared" si="0"/>
        <v>39300</v>
      </c>
      <c r="AK26" s="42">
        <f t="shared" si="1"/>
        <v>0.99326431197644416</v>
      </c>
      <c r="AL26" s="42">
        <f t="shared" si="2"/>
        <v>-3.0356114370535024E-5</v>
      </c>
      <c r="AM26" s="53">
        <f t="shared" si="3"/>
        <v>0.99326431197644416</v>
      </c>
      <c r="AN26" s="76"/>
      <c r="AO26" s="73"/>
      <c r="AP26" s="46"/>
      <c r="AR26" s="36"/>
      <c r="AS26" s="40"/>
      <c r="AT26" s="74"/>
      <c r="BC26" s="36"/>
      <c r="BG26" s="54"/>
      <c r="BJ26" s="54"/>
      <c r="BK26" s="73"/>
      <c r="BM26" s="54"/>
    </row>
    <row r="27" spans="1:66">
      <c r="A27" s="35">
        <v>20</v>
      </c>
      <c r="B27" t="s">
        <v>88</v>
      </c>
      <c r="C27" s="41">
        <v>41855</v>
      </c>
      <c r="D27" s="33">
        <v>1.9379999999999999</v>
      </c>
      <c r="E27" s="1">
        <f t="shared" si="5"/>
        <v>1.9379999999999999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57">
        <v>1</v>
      </c>
      <c r="AE27" s="1">
        <v>-1</v>
      </c>
      <c r="AH27" s="75">
        <v>39321</v>
      </c>
      <c r="AI27" s="33">
        <v>20.942465753424656</v>
      </c>
      <c r="AJ27" s="39">
        <f t="shared" si="0"/>
        <v>39300</v>
      </c>
      <c r="AK27" s="42">
        <f t="shared" si="1"/>
        <v>0.99326431197644416</v>
      </c>
      <c r="AL27" s="42">
        <f t="shared" si="2"/>
        <v>-3.0356114370535024E-5</v>
      </c>
      <c r="AM27" s="53">
        <f t="shared" si="3"/>
        <v>0.99262683357466297</v>
      </c>
      <c r="AN27" s="76"/>
      <c r="AO27" s="73"/>
      <c r="AP27" s="46"/>
      <c r="AR27" s="36"/>
      <c r="AS27" s="40"/>
      <c r="AT27" s="74"/>
      <c r="BC27" s="36"/>
      <c r="BG27" s="54"/>
      <c r="BJ27" s="54"/>
      <c r="BK27" s="73"/>
      <c r="BM27" s="54"/>
    </row>
    <row r="28" spans="1:66">
      <c r="A28" s="35">
        <v>21</v>
      </c>
      <c r="B28" t="s">
        <v>89</v>
      </c>
      <c r="C28" s="41">
        <v>42220</v>
      </c>
      <c r="D28" s="33">
        <v>2.0249999999999999</v>
      </c>
      <c r="E28" s="1">
        <f t="shared" si="5"/>
        <v>2.0249999999999999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57">
        <v>1</v>
      </c>
      <c r="AE28" s="1">
        <v>-1</v>
      </c>
      <c r="AH28" s="75">
        <v>39353</v>
      </c>
      <c r="AI28" s="33">
        <v>-14.95890410958904</v>
      </c>
      <c r="AJ28" s="39">
        <f t="shared" si="0"/>
        <v>39300</v>
      </c>
      <c r="AK28" s="42">
        <f t="shared" si="1"/>
        <v>0.99326431197644416</v>
      </c>
      <c r="AL28" s="42">
        <f t="shared" si="2"/>
        <v>-3.0356114370535024E-5</v>
      </c>
      <c r="AM28" s="53">
        <f t="shared" si="3"/>
        <v>0.99165543791480582</v>
      </c>
      <c r="AN28" s="76"/>
      <c r="AO28" s="73"/>
      <c r="AP28" s="46"/>
      <c r="AR28" s="36"/>
      <c r="AS28" s="40"/>
      <c r="AT28" s="74"/>
      <c r="BC28" s="36"/>
      <c r="BG28" s="54"/>
      <c r="BJ28" s="54"/>
      <c r="BK28" s="73"/>
      <c r="BM28" s="54"/>
    </row>
    <row r="29" spans="1:66">
      <c r="A29" s="35">
        <v>22</v>
      </c>
      <c r="B29" t="s">
        <v>90</v>
      </c>
      <c r="C29" s="41">
        <v>42586</v>
      </c>
      <c r="D29" s="33">
        <v>2.1030000000000002</v>
      </c>
      <c r="E29" s="1">
        <f t="shared" si="5"/>
        <v>2.1030000000000002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57">
        <v>1</v>
      </c>
      <c r="AE29" s="1">
        <v>-1</v>
      </c>
      <c r="AH29" s="75">
        <v>39386</v>
      </c>
      <c r="AI29" s="33">
        <v>50.410958904109592</v>
      </c>
      <c r="AJ29" s="39">
        <f t="shared" si="0"/>
        <v>39300</v>
      </c>
      <c r="AK29" s="42">
        <f t="shared" si="1"/>
        <v>0.99326431197644416</v>
      </c>
      <c r="AL29" s="42">
        <f t="shared" si="2"/>
        <v>-3.0356114370535024E-5</v>
      </c>
      <c r="AM29" s="53">
        <f t="shared" si="3"/>
        <v>0.99065368614057814</v>
      </c>
      <c r="AN29" s="76"/>
      <c r="AO29" s="73"/>
      <c r="AP29" s="46"/>
      <c r="AR29" s="36"/>
      <c r="AS29" s="40"/>
      <c r="AT29" s="74"/>
      <c r="BC29" s="36"/>
      <c r="BG29" s="54"/>
      <c r="BJ29" s="54"/>
      <c r="BK29" s="73"/>
      <c r="BM29" s="54"/>
      <c r="BN29" s="73"/>
    </row>
    <row r="30" spans="1:66">
      <c r="AH30" s="39">
        <v>39478</v>
      </c>
      <c r="AI30" s="33">
        <v>0</v>
      </c>
      <c r="AJ30" s="39">
        <f t="shared" si="0"/>
        <v>39300</v>
      </c>
      <c r="AK30" s="42">
        <f t="shared" si="1"/>
        <v>0.99326431197644416</v>
      </c>
      <c r="AL30" s="42">
        <f t="shared" si="2"/>
        <v>-3.0356114370535024E-5</v>
      </c>
      <c r="AM30" s="53">
        <f t="shared" si="3"/>
        <v>0.98786092361848887</v>
      </c>
      <c r="AN30" s="76"/>
      <c r="AO30" s="73"/>
      <c r="AP30" s="46"/>
      <c r="AR30" s="36"/>
      <c r="AS30" s="40"/>
      <c r="AT30" s="74"/>
      <c r="BC30" s="36"/>
      <c r="BG30" s="54"/>
      <c r="BJ30" s="54"/>
      <c r="BK30" s="73"/>
      <c r="BM30" s="54"/>
    </row>
    <row r="31" spans="1:66">
      <c r="AH31" s="39">
        <v>39482</v>
      </c>
      <c r="AI31" s="33">
        <v>6.3924383561643907</v>
      </c>
      <c r="AJ31" s="39">
        <f t="shared" si="0"/>
        <v>39482</v>
      </c>
      <c r="AK31" s="42">
        <f t="shared" si="1"/>
        <v>0.98773949916100678</v>
      </c>
      <c r="AL31" s="42">
        <f t="shared" si="2"/>
        <v>-3.6230416449353975E-5</v>
      </c>
      <c r="AM31" s="53">
        <f t="shared" si="3"/>
        <v>0.98773949916100678</v>
      </c>
      <c r="AN31" s="76"/>
      <c r="AO31" s="73"/>
      <c r="AP31" s="46"/>
      <c r="AR31" s="36"/>
      <c r="AS31" s="40"/>
      <c r="AT31" s="74"/>
      <c r="BC31" s="36"/>
      <c r="BG31" s="54"/>
      <c r="BJ31" s="54"/>
      <c r="BK31" s="73"/>
      <c r="BM31" s="54"/>
    </row>
    <row r="32" spans="1:66">
      <c r="AH32" s="39">
        <v>39503</v>
      </c>
      <c r="AI32" s="33">
        <v>20.942465753424656</v>
      </c>
      <c r="AJ32" s="39">
        <f t="shared" si="0"/>
        <v>39482</v>
      </c>
      <c r="AK32" s="42">
        <f t="shared" si="1"/>
        <v>0.98773949916100678</v>
      </c>
      <c r="AL32" s="42">
        <f t="shared" si="2"/>
        <v>-3.6230416449353975E-5</v>
      </c>
      <c r="AM32" s="53">
        <f t="shared" si="3"/>
        <v>0.98697866041557036</v>
      </c>
      <c r="AN32" s="76"/>
      <c r="AO32" s="73"/>
      <c r="AP32" s="46"/>
      <c r="AR32" s="36"/>
      <c r="AS32" s="40"/>
      <c r="AT32" s="74"/>
      <c r="BC32" s="36"/>
      <c r="BG32" s="54"/>
      <c r="BJ32" s="54"/>
      <c r="BK32" s="73"/>
      <c r="BM32" s="54"/>
      <c r="BN32" s="73"/>
    </row>
    <row r="33" spans="2:66">
      <c r="AH33" s="39">
        <v>39538</v>
      </c>
      <c r="AI33" s="33">
        <v>-15.205479452054794</v>
      </c>
      <c r="AJ33" s="39">
        <f t="shared" si="0"/>
        <v>39482</v>
      </c>
      <c r="AK33" s="42">
        <f t="shared" si="1"/>
        <v>0.98773949916100678</v>
      </c>
      <c r="AL33" s="42">
        <f t="shared" si="2"/>
        <v>-3.6230416449353975E-5</v>
      </c>
      <c r="AM33" s="53">
        <f t="shared" si="3"/>
        <v>0.985710595839843</v>
      </c>
      <c r="AN33" s="76"/>
      <c r="AO33" s="73"/>
      <c r="AP33" s="46"/>
      <c r="AR33" s="36"/>
      <c r="AS33" s="40"/>
      <c r="AT33" s="74"/>
      <c r="BC33" s="36"/>
      <c r="BG33" s="54"/>
      <c r="BJ33" s="54"/>
      <c r="BK33" s="73"/>
      <c r="BM33" s="54"/>
    </row>
    <row r="34" spans="2:66">
      <c r="B34" t="s">
        <v>93</v>
      </c>
      <c r="H34" t="s">
        <v>103</v>
      </c>
      <c r="AH34" s="39">
        <v>39568</v>
      </c>
      <c r="AI34" s="33">
        <v>49.863013698630134</v>
      </c>
      <c r="AJ34" s="39">
        <f t="shared" si="0"/>
        <v>39482</v>
      </c>
      <c r="AK34" s="42">
        <f t="shared" si="1"/>
        <v>0.98773949916100678</v>
      </c>
      <c r="AL34" s="42">
        <f t="shared" si="2"/>
        <v>-3.6230416449353975E-5</v>
      </c>
      <c r="AM34" s="53">
        <f t="shared" si="3"/>
        <v>0.9846236833463623</v>
      </c>
      <c r="AN34" s="76"/>
      <c r="AO34" s="73"/>
      <c r="AP34" s="46"/>
      <c r="AR34" s="36"/>
      <c r="AS34" s="40"/>
      <c r="AT34" s="74"/>
      <c r="BC34" s="36"/>
      <c r="BG34" s="54"/>
      <c r="BM34" s="54"/>
      <c r="BN34" s="73"/>
    </row>
    <row r="35" spans="2:66">
      <c r="C35" s="1" t="s">
        <v>69</v>
      </c>
      <c r="D35" s="1" t="s">
        <v>91</v>
      </c>
      <c r="E35" s="52" t="s">
        <v>346</v>
      </c>
      <c r="F35" s="1" t="s">
        <v>348</v>
      </c>
      <c r="AH35" s="39">
        <v>39629</v>
      </c>
      <c r="AI35" s="33">
        <v>-64.350684931506848</v>
      </c>
      <c r="AJ35" s="39">
        <f t="shared" si="0"/>
        <v>39482</v>
      </c>
      <c r="AK35" s="42">
        <f t="shared" si="1"/>
        <v>0.98773949916100678</v>
      </c>
      <c r="AL35" s="42">
        <f t="shared" si="2"/>
        <v>-3.6230416449353975E-5</v>
      </c>
      <c r="AM35" s="53">
        <f t="shared" si="3"/>
        <v>0.98241362794295173</v>
      </c>
      <c r="AN35" s="76"/>
      <c r="AO35" s="73"/>
      <c r="AP35" s="46"/>
      <c r="AR35" s="36"/>
      <c r="AS35" s="40"/>
      <c r="AT35" s="74"/>
      <c r="BC35" s="36"/>
      <c r="BG35" s="54"/>
      <c r="BM35" s="54"/>
    </row>
    <row r="36" spans="2:66">
      <c r="B36" t="s">
        <v>143</v>
      </c>
      <c r="C36" s="32">
        <f>C4</f>
        <v>38933</v>
      </c>
      <c r="D36" s="1"/>
      <c r="E36" s="1">
        <v>1</v>
      </c>
      <c r="F36" s="55">
        <f>(E37-E36)/(C37-C36)</f>
        <v>-1.0031601627817409E-5</v>
      </c>
      <c r="H36" s="1" t="s">
        <v>135</v>
      </c>
      <c r="I36" s="47" t="s">
        <v>137</v>
      </c>
      <c r="J36" s="52" t="s">
        <v>346</v>
      </c>
      <c r="AH36" s="39">
        <v>39660</v>
      </c>
      <c r="AI36" s="33">
        <v>0</v>
      </c>
      <c r="AJ36" s="39">
        <f t="shared" si="0"/>
        <v>39482</v>
      </c>
      <c r="AK36" s="42">
        <f t="shared" si="1"/>
        <v>0.98773949916100678</v>
      </c>
      <c r="AL36" s="42">
        <f t="shared" si="2"/>
        <v>-3.6230416449353975E-5</v>
      </c>
      <c r="AM36" s="53">
        <f t="shared" si="3"/>
        <v>0.98129048503302174</v>
      </c>
      <c r="AN36" s="76"/>
      <c r="AO36" s="73"/>
      <c r="AP36" s="46"/>
      <c r="AR36" s="36"/>
      <c r="AS36" s="40"/>
      <c r="AT36" s="74"/>
      <c r="BC36" s="36"/>
      <c r="BG36" s="54"/>
      <c r="BM36" s="54"/>
    </row>
    <row r="37" spans="2:66">
      <c r="B37" t="s">
        <v>70</v>
      </c>
      <c r="C37" s="32">
        <v>38964</v>
      </c>
      <c r="D37" s="42">
        <f t="shared" ref="D37:D48" si="6">E8</f>
        <v>0.36125000000000002</v>
      </c>
      <c r="E37" s="1">
        <f t="shared" ref="E37:E47" si="7">J37</f>
        <v>0.99968902034953766</v>
      </c>
      <c r="F37" s="55">
        <f t="shared" ref="F37:F65" si="8">(E38-E37)/(C38-C37)</f>
        <v>-1.1647242352412028E-5</v>
      </c>
      <c r="H37" s="1" t="s">
        <v>105</v>
      </c>
      <c r="I37" s="11">
        <f t="shared" ref="I37:I47" si="9">C37-C$4</f>
        <v>31</v>
      </c>
      <c r="J37" s="1">
        <f t="shared" ref="J37:J47" si="10">100/(100*(1+D37/100*I37/360))</f>
        <v>0.99968902034953766</v>
      </c>
      <c r="M37" s="36"/>
      <c r="AH37" s="39">
        <v>39664</v>
      </c>
      <c r="AI37" s="33">
        <v>-4143.6075616438357</v>
      </c>
      <c r="AJ37" s="39">
        <f t="shared" si="0"/>
        <v>39664</v>
      </c>
      <c r="AK37" s="42">
        <f t="shared" si="1"/>
        <v>0.98114556336722436</v>
      </c>
      <c r="AL37" s="42">
        <f t="shared" si="2"/>
        <v>-4.1559604481190532E-5</v>
      </c>
      <c r="AM37" s="53">
        <f t="shared" si="3"/>
        <v>0.98114556336722436</v>
      </c>
      <c r="AN37" s="76"/>
      <c r="AO37" s="73"/>
      <c r="AP37" s="46"/>
      <c r="AR37" s="36"/>
      <c r="AS37" s="40"/>
      <c r="AT37" s="74"/>
      <c r="BC37" s="36"/>
      <c r="BG37" s="54"/>
      <c r="BM37" s="54"/>
    </row>
    <row r="38" spans="2:66">
      <c r="B38" t="s">
        <v>71</v>
      </c>
      <c r="C38" s="32">
        <v>38994</v>
      </c>
      <c r="D38" s="42">
        <f t="shared" si="6"/>
        <v>0.39</v>
      </c>
      <c r="E38" s="1">
        <f t="shared" si="7"/>
        <v>0.9993396030789653</v>
      </c>
      <c r="F38" s="55">
        <f t="shared" si="8"/>
        <v>-1.2937560349499869E-5</v>
      </c>
      <c r="H38" s="1" t="s">
        <v>104</v>
      </c>
      <c r="I38" s="11">
        <f t="shared" si="9"/>
        <v>61</v>
      </c>
      <c r="J38" s="1">
        <f t="shared" si="10"/>
        <v>0.9993396030789653</v>
      </c>
      <c r="AH38" s="39">
        <v>39685</v>
      </c>
      <c r="AI38" s="33">
        <v>20.942465753424656</v>
      </c>
      <c r="AJ38" s="39">
        <f t="shared" si="0"/>
        <v>39664</v>
      </c>
      <c r="AK38" s="42">
        <f t="shared" si="1"/>
        <v>0.98114556336722436</v>
      </c>
      <c r="AL38" s="42">
        <f t="shared" si="2"/>
        <v>-4.1559604481190532E-5</v>
      </c>
      <c r="AM38" s="53">
        <f t="shared" si="3"/>
        <v>0.9802728116731193</v>
      </c>
      <c r="AN38" s="76"/>
      <c r="AO38" s="73"/>
      <c r="AP38" s="46"/>
      <c r="BG38" s="54"/>
      <c r="BM38" s="54"/>
      <c r="BN38" s="73"/>
    </row>
    <row r="39" spans="2:66">
      <c r="B39" t="s">
        <v>72</v>
      </c>
      <c r="C39" s="32">
        <v>39027</v>
      </c>
      <c r="D39" s="42">
        <f t="shared" si="6"/>
        <v>0.41687999999999997</v>
      </c>
      <c r="E39" s="1">
        <f t="shared" si="7"/>
        <v>0.9989126635874318</v>
      </c>
      <c r="F39" s="55">
        <f t="shared" si="8"/>
        <v>-1.3964736200982359E-5</v>
      </c>
      <c r="H39" s="1" t="s">
        <v>106</v>
      </c>
      <c r="I39" s="11">
        <f t="shared" si="9"/>
        <v>94</v>
      </c>
      <c r="J39" s="1">
        <f t="shared" si="10"/>
        <v>0.9989126635874318</v>
      </c>
      <c r="AH39" s="39">
        <v>39721</v>
      </c>
      <c r="AI39" s="33">
        <v>-15.04109589041096</v>
      </c>
      <c r="AJ39" s="39">
        <f t="shared" si="0"/>
        <v>39664</v>
      </c>
      <c r="AK39" s="42">
        <f t="shared" si="1"/>
        <v>0.98114556336722436</v>
      </c>
      <c r="AL39" s="42">
        <f t="shared" si="2"/>
        <v>-4.1559604481190532E-5</v>
      </c>
      <c r="AM39" s="53">
        <f t="shared" si="3"/>
        <v>0.97877666591179646</v>
      </c>
      <c r="AN39" s="76"/>
      <c r="AO39" s="73"/>
      <c r="AP39" s="46"/>
      <c r="BG39" s="54"/>
      <c r="BM39" s="54"/>
      <c r="BN39" s="73"/>
    </row>
    <row r="40" spans="2:66">
      <c r="B40" t="s">
        <v>73</v>
      </c>
      <c r="C40" s="32">
        <v>39055</v>
      </c>
      <c r="D40" s="42">
        <f t="shared" si="6"/>
        <v>0.43687999999999999</v>
      </c>
      <c r="E40" s="1">
        <f t="shared" si="7"/>
        <v>0.9985216509738043</v>
      </c>
      <c r="F40" s="55">
        <f t="shared" si="8"/>
        <v>-1.5082083527281461E-5</v>
      </c>
      <c r="H40" s="1" t="s">
        <v>107</v>
      </c>
      <c r="I40" s="11">
        <f t="shared" si="9"/>
        <v>122</v>
      </c>
      <c r="J40" s="1">
        <f t="shared" si="10"/>
        <v>0.9985216509738043</v>
      </c>
      <c r="AH40" s="39">
        <v>39752</v>
      </c>
      <c r="AI40" s="33">
        <v>5050.4109589041091</v>
      </c>
      <c r="AJ40" s="39">
        <f t="shared" si="0"/>
        <v>39664</v>
      </c>
      <c r="AK40" s="42">
        <f t="shared" si="1"/>
        <v>0.98114556336722436</v>
      </c>
      <c r="AL40" s="42">
        <f t="shared" si="2"/>
        <v>-4.1559604481190532E-5</v>
      </c>
      <c r="AM40" s="53">
        <f t="shared" si="3"/>
        <v>0.97748831817287962</v>
      </c>
      <c r="AN40" s="76"/>
      <c r="AO40" s="73"/>
      <c r="AP40" s="46"/>
      <c r="BG40" s="54"/>
      <c r="BM40" s="54"/>
    </row>
    <row r="41" spans="2:66">
      <c r="B41" t="s">
        <v>74</v>
      </c>
      <c r="C41" s="32">
        <v>39086</v>
      </c>
      <c r="D41" s="42">
        <f t="shared" si="6"/>
        <v>0.45874999999999999</v>
      </c>
      <c r="E41" s="1">
        <f t="shared" si="7"/>
        <v>0.99805410638445857</v>
      </c>
      <c r="F41" s="55">
        <f t="shared" si="8"/>
        <v>-1.7842198194100573E-5</v>
      </c>
      <c r="H41" s="1" t="s">
        <v>108</v>
      </c>
      <c r="I41" s="11">
        <f t="shared" si="9"/>
        <v>153</v>
      </c>
      <c r="J41" s="1">
        <f t="shared" si="10"/>
        <v>0.99805410638445857</v>
      </c>
      <c r="AH41" s="39">
        <v>39848</v>
      </c>
      <c r="AI41" s="33">
        <v>26.358126027397265</v>
      </c>
      <c r="AJ41" s="39">
        <f t="shared" si="0"/>
        <v>39848</v>
      </c>
      <c r="AK41" s="42">
        <f t="shared" si="1"/>
        <v>0.9734985961426853</v>
      </c>
      <c r="AL41" s="42">
        <f t="shared" si="2"/>
        <v>-4.7652816109034793E-5</v>
      </c>
      <c r="AM41" s="53">
        <f t="shared" si="3"/>
        <v>0.9734985961426853</v>
      </c>
      <c r="AN41" s="76"/>
      <c r="AO41" s="73"/>
      <c r="AP41" s="46"/>
      <c r="AQ41" s="61"/>
      <c r="BG41" s="54"/>
      <c r="BM41" s="54"/>
    </row>
    <row r="42" spans="2:66">
      <c r="B42" t="s">
        <v>75</v>
      </c>
      <c r="C42" s="32">
        <v>39118</v>
      </c>
      <c r="D42" s="42">
        <f t="shared" si="6"/>
        <v>0.49099999999999999</v>
      </c>
      <c r="E42" s="1">
        <f t="shared" si="7"/>
        <v>0.99748315604224735</v>
      </c>
      <c r="F42" s="55">
        <f t="shared" si="8"/>
        <v>-1.8476313253733873E-5</v>
      </c>
      <c r="H42" s="1" t="s">
        <v>109</v>
      </c>
      <c r="I42" s="11">
        <f t="shared" si="9"/>
        <v>185</v>
      </c>
      <c r="J42" s="1">
        <f t="shared" si="10"/>
        <v>0.99748315604224735</v>
      </c>
      <c r="AH42" s="39">
        <v>39869</v>
      </c>
      <c r="AI42" s="33">
        <v>21.172602739726027</v>
      </c>
      <c r="AJ42" s="39">
        <f t="shared" si="0"/>
        <v>39848</v>
      </c>
      <c r="AK42" s="42">
        <f t="shared" si="1"/>
        <v>0.9734985961426853</v>
      </c>
      <c r="AL42" s="42">
        <f t="shared" si="2"/>
        <v>-4.7652816109034793E-5</v>
      </c>
      <c r="AM42" s="53">
        <f t="shared" si="3"/>
        <v>0.97249788700439554</v>
      </c>
      <c r="AN42" s="76"/>
      <c r="AO42" s="73"/>
      <c r="AP42" s="46"/>
      <c r="AQ42" s="61"/>
      <c r="BG42" s="54"/>
      <c r="BM42" s="54"/>
    </row>
    <row r="43" spans="2:66">
      <c r="B43" t="s">
        <v>76</v>
      </c>
      <c r="C43" s="32">
        <v>39146</v>
      </c>
      <c r="D43" s="42">
        <f t="shared" si="6"/>
        <v>0.51437999999999995</v>
      </c>
      <c r="E43" s="1">
        <f t="shared" si="7"/>
        <v>0.99696581927114281</v>
      </c>
      <c r="F43" s="55">
        <f t="shared" si="8"/>
        <v>-2.1176901284062724E-5</v>
      </c>
      <c r="H43" s="1" t="s">
        <v>110</v>
      </c>
      <c r="I43" s="11">
        <f t="shared" si="9"/>
        <v>213</v>
      </c>
      <c r="J43" s="1">
        <f t="shared" si="10"/>
        <v>0.99696581927114281</v>
      </c>
      <c r="AH43" s="39">
        <v>39903</v>
      </c>
      <c r="AI43" s="33">
        <v>-14.95890410958904</v>
      </c>
      <c r="AJ43" s="39">
        <f t="shared" si="0"/>
        <v>39848</v>
      </c>
      <c r="AK43" s="42">
        <f t="shared" si="1"/>
        <v>0.9734985961426853</v>
      </c>
      <c r="AL43" s="42">
        <f t="shared" si="2"/>
        <v>-4.7652816109034793E-5</v>
      </c>
      <c r="AM43" s="53">
        <f t="shared" si="3"/>
        <v>0.97087769125668844</v>
      </c>
      <c r="AN43" s="76"/>
      <c r="AO43" s="73"/>
      <c r="AP43" s="46"/>
      <c r="AQ43" s="61"/>
      <c r="BG43" s="54"/>
      <c r="BM43" s="54"/>
    </row>
    <row r="44" spans="2:66">
      <c r="B44" t="s">
        <v>77</v>
      </c>
      <c r="C44" s="32">
        <v>39176</v>
      </c>
      <c r="D44" s="42">
        <f t="shared" si="6"/>
        <v>0.54562999999999995</v>
      </c>
      <c r="E44" s="1">
        <f t="shared" si="7"/>
        <v>0.99633051223262092</v>
      </c>
      <c r="F44" s="55">
        <f t="shared" si="8"/>
        <v>-2.2399940382245022E-5</v>
      </c>
      <c r="H44" s="1" t="s">
        <v>111</v>
      </c>
      <c r="I44" s="11">
        <f t="shared" si="9"/>
        <v>243</v>
      </c>
      <c r="J44" s="1">
        <f t="shared" si="10"/>
        <v>0.99633051223262092</v>
      </c>
      <c r="AH44" s="39">
        <v>39994</v>
      </c>
      <c r="AI44" s="33">
        <v>-64</v>
      </c>
      <c r="AJ44" s="39">
        <f t="shared" si="0"/>
        <v>39848</v>
      </c>
      <c r="AK44" s="42">
        <f t="shared" si="1"/>
        <v>0.9734985961426853</v>
      </c>
      <c r="AL44" s="42">
        <f t="shared" si="2"/>
        <v>-4.7652816109034793E-5</v>
      </c>
      <c r="AM44" s="53">
        <f t="shared" si="3"/>
        <v>0.96654128499076619</v>
      </c>
      <c r="AN44" s="76"/>
      <c r="AO44" s="73"/>
      <c r="AP44" s="46"/>
      <c r="AQ44" s="61"/>
      <c r="BG44" s="54"/>
      <c r="BM44" s="54"/>
    </row>
    <row r="45" spans="2:66">
      <c r="B45" t="s">
        <v>78</v>
      </c>
      <c r="C45" s="32">
        <v>39206</v>
      </c>
      <c r="D45" s="42">
        <f t="shared" si="6"/>
        <v>0.57499999999999996</v>
      </c>
      <c r="E45" s="1">
        <f t="shared" si="7"/>
        <v>0.99565851402115357</v>
      </c>
      <c r="F45" s="55">
        <f t="shared" si="8"/>
        <v>-2.3580200015894277E-5</v>
      </c>
      <c r="H45" s="1" t="s">
        <v>112</v>
      </c>
      <c r="I45" s="11">
        <f t="shared" si="9"/>
        <v>273</v>
      </c>
      <c r="J45" s="1">
        <f t="shared" si="10"/>
        <v>0.99565851402115357</v>
      </c>
      <c r="AH45" s="39">
        <v>40029</v>
      </c>
      <c r="AI45" s="33">
        <v>-974.07162602739731</v>
      </c>
      <c r="AJ45" s="39">
        <f t="shared" si="0"/>
        <v>40029</v>
      </c>
      <c r="AK45" s="42">
        <f t="shared" si="1"/>
        <v>0.96487343642695</v>
      </c>
      <c r="AL45" s="42">
        <f t="shared" si="2"/>
        <v>-5.0065333798263291E-5</v>
      </c>
      <c r="AM45" s="53">
        <f t="shared" si="3"/>
        <v>0.96487343642695</v>
      </c>
      <c r="AN45" s="76"/>
      <c r="AO45" s="73"/>
      <c r="AP45" s="46"/>
      <c r="AQ45" s="61"/>
      <c r="BG45" s="54"/>
      <c r="BM45" s="54"/>
    </row>
    <row r="46" spans="2:66">
      <c r="B46" t="s">
        <v>79</v>
      </c>
      <c r="C46" s="32">
        <v>39237</v>
      </c>
      <c r="D46" s="42">
        <f t="shared" si="6"/>
        <v>0.60375000000000001</v>
      </c>
      <c r="E46" s="1">
        <f t="shared" si="7"/>
        <v>0.99492752782066085</v>
      </c>
      <c r="F46" s="55">
        <f t="shared" si="8"/>
        <v>-2.5382915186222821E-5</v>
      </c>
      <c r="H46" s="1" t="s">
        <v>113</v>
      </c>
      <c r="I46" s="11">
        <f t="shared" si="9"/>
        <v>304</v>
      </c>
      <c r="J46" s="1">
        <f t="shared" si="10"/>
        <v>0.99492752782066085</v>
      </c>
      <c r="AH46" s="39">
        <v>40050</v>
      </c>
      <c r="AI46" s="33">
        <v>20.827397260273973</v>
      </c>
      <c r="AJ46" s="39">
        <f t="shared" si="0"/>
        <v>40029</v>
      </c>
      <c r="AK46" s="42">
        <f t="shared" si="1"/>
        <v>0.96487343642695</v>
      </c>
      <c r="AL46" s="42">
        <f t="shared" si="2"/>
        <v>-5.0065333798263291E-5</v>
      </c>
      <c r="AM46" s="53">
        <f t="shared" si="3"/>
        <v>0.96382206441718643</v>
      </c>
      <c r="AN46" s="76"/>
      <c r="AO46" s="73"/>
      <c r="AP46" s="46"/>
      <c r="AQ46" s="61"/>
      <c r="BG46" s="54"/>
      <c r="BM46" s="54"/>
      <c r="BN46" s="73"/>
    </row>
    <row r="47" spans="2:66">
      <c r="B47" t="s">
        <v>80</v>
      </c>
      <c r="C47" s="32">
        <v>39267</v>
      </c>
      <c r="D47" s="42">
        <f t="shared" si="6"/>
        <v>0.63249999999999995</v>
      </c>
      <c r="E47" s="1">
        <f t="shared" si="7"/>
        <v>0.99416604036507417</v>
      </c>
      <c r="F47" s="55">
        <f t="shared" si="8"/>
        <v>-2.7325102685757805E-5</v>
      </c>
      <c r="H47" s="1" t="s">
        <v>114</v>
      </c>
      <c r="I47" s="11">
        <f t="shared" si="9"/>
        <v>334</v>
      </c>
      <c r="J47" s="1">
        <f t="shared" si="10"/>
        <v>0.99416604036507417</v>
      </c>
      <c r="L47" s="43"/>
      <c r="AH47" s="39">
        <v>40086</v>
      </c>
      <c r="AI47" s="33">
        <v>-15.04109589041096</v>
      </c>
      <c r="AJ47" s="39">
        <f t="shared" si="0"/>
        <v>40029</v>
      </c>
      <c r="AK47" s="42">
        <f t="shared" si="1"/>
        <v>0.96487343642695</v>
      </c>
      <c r="AL47" s="42">
        <f t="shared" si="2"/>
        <v>-5.0065333798263291E-5</v>
      </c>
      <c r="AM47" s="53">
        <f t="shared" si="3"/>
        <v>0.96201971240044903</v>
      </c>
      <c r="AN47" s="76"/>
      <c r="AO47" s="73"/>
      <c r="AP47" s="46"/>
      <c r="AQ47" s="61"/>
      <c r="BG47" s="54"/>
      <c r="BM47" s="54"/>
      <c r="BN47" s="73"/>
    </row>
    <row r="48" spans="2:66">
      <c r="B48" t="s">
        <v>92</v>
      </c>
      <c r="C48" s="32">
        <v>39300</v>
      </c>
      <c r="D48" s="45">
        <f t="shared" si="6"/>
        <v>0.67300000000000004</v>
      </c>
      <c r="E48" s="1">
        <f t="shared" ref="E48:E66" si="11">K52</f>
        <v>0.99326431197644416</v>
      </c>
      <c r="F48" s="55">
        <f t="shared" si="8"/>
        <v>-3.0356114370535024E-5</v>
      </c>
      <c r="H48" s="40"/>
      <c r="AH48" s="39">
        <v>40213</v>
      </c>
      <c r="AI48" s="33">
        <v>32.357030136986303</v>
      </c>
      <c r="AJ48" s="39">
        <f t="shared" si="0"/>
        <v>40213</v>
      </c>
      <c r="AK48" s="42">
        <f t="shared" si="1"/>
        <v>0.95566141500806956</v>
      </c>
      <c r="AL48" s="42">
        <f t="shared" si="2"/>
        <v>-5.4948988119599676E-5</v>
      </c>
      <c r="AM48" s="53">
        <f t="shared" si="3"/>
        <v>0.95566141500806956</v>
      </c>
      <c r="AN48" s="76"/>
      <c r="AO48" s="73"/>
      <c r="AP48" s="46"/>
      <c r="AQ48" s="61"/>
      <c r="BG48" s="54"/>
      <c r="BM48" s="54"/>
    </row>
    <row r="49" spans="2:66">
      <c r="B49" t="s">
        <v>81</v>
      </c>
      <c r="C49" s="32">
        <v>39482</v>
      </c>
      <c r="D49" s="45">
        <f>E20</f>
        <v>0.82099999999999995</v>
      </c>
      <c r="E49" s="1">
        <f t="shared" si="11"/>
        <v>0.98773949916100678</v>
      </c>
      <c r="F49" s="55">
        <f t="shared" si="8"/>
        <v>-3.6230416449353975E-5</v>
      </c>
      <c r="H49" s="40" t="s">
        <v>136</v>
      </c>
      <c r="AH49" s="39">
        <v>40234</v>
      </c>
      <c r="AI49" s="33">
        <v>21.172602739726027</v>
      </c>
      <c r="AJ49" s="39">
        <f t="shared" si="0"/>
        <v>40213</v>
      </c>
      <c r="AK49" s="42">
        <f t="shared" si="1"/>
        <v>0.95566141500806956</v>
      </c>
      <c r="AL49" s="42">
        <f t="shared" si="2"/>
        <v>-5.4948988119599676E-5</v>
      </c>
      <c r="AM49" s="53">
        <f t="shared" si="3"/>
        <v>0.95450748625755799</v>
      </c>
      <c r="AN49" s="76"/>
      <c r="AO49" s="73"/>
      <c r="AP49" s="46"/>
      <c r="AQ49" s="61"/>
      <c r="BM49" s="54"/>
      <c r="BN49" s="73"/>
    </row>
    <row r="50" spans="2:66">
      <c r="B50" t="s">
        <v>82</v>
      </c>
      <c r="C50" s="32">
        <v>39664</v>
      </c>
      <c r="D50" s="45">
        <f>E21</f>
        <v>0.95099999999999996</v>
      </c>
      <c r="E50" s="1">
        <f t="shared" si="11"/>
        <v>0.98114556336722436</v>
      </c>
      <c r="F50" s="55">
        <f t="shared" si="8"/>
        <v>-4.1559604481190532E-5</v>
      </c>
      <c r="H50" s="11" t="s">
        <v>135</v>
      </c>
      <c r="I50" s="1" t="s">
        <v>138</v>
      </c>
      <c r="J50" s="51" t="s">
        <v>139</v>
      </c>
      <c r="K50" s="52" t="s">
        <v>346</v>
      </c>
      <c r="AH50" s="39">
        <v>40268</v>
      </c>
      <c r="AI50" s="33">
        <v>-14.95890410958904</v>
      </c>
      <c r="AJ50" s="39">
        <f t="shared" si="0"/>
        <v>40213</v>
      </c>
      <c r="AK50" s="42">
        <f t="shared" si="1"/>
        <v>0.95566141500806956</v>
      </c>
      <c r="AL50" s="42">
        <f t="shared" si="2"/>
        <v>-5.4948988119599676E-5</v>
      </c>
      <c r="AM50" s="53">
        <f t="shared" si="3"/>
        <v>0.95263922066149154</v>
      </c>
      <c r="AN50" s="76"/>
      <c r="AO50" s="73"/>
      <c r="AP50" s="46"/>
      <c r="AQ50" s="61"/>
      <c r="BM50" s="54"/>
    </row>
    <row r="51" spans="2:66">
      <c r="B51" t="s">
        <v>94</v>
      </c>
      <c r="C51" s="32">
        <v>39848</v>
      </c>
      <c r="D51" s="45">
        <f>D50+(D52-D50)/(C52-C50)*(C51-C50)</f>
        <v>1.0714821917808219</v>
      </c>
      <c r="E51" s="1">
        <f t="shared" si="11"/>
        <v>0.9734985961426853</v>
      </c>
      <c r="F51" s="55">
        <f t="shared" si="8"/>
        <v>-4.7652816109034793E-5</v>
      </c>
      <c r="H51" s="11" t="s">
        <v>115</v>
      </c>
      <c r="I51" s="50">
        <f>I42</f>
        <v>185</v>
      </c>
      <c r="J51" s="45">
        <f>I51/365</f>
        <v>0.50684931506849318</v>
      </c>
      <c r="K51" s="42">
        <f>J42</f>
        <v>0.99748315604224735</v>
      </c>
      <c r="AH51" s="39">
        <v>40359</v>
      </c>
      <c r="AI51" s="33">
        <v>-64</v>
      </c>
      <c r="AJ51" s="39">
        <f t="shared" si="0"/>
        <v>40213</v>
      </c>
      <c r="AK51" s="42">
        <f t="shared" si="1"/>
        <v>0.95566141500806956</v>
      </c>
      <c r="AL51" s="42">
        <f t="shared" si="2"/>
        <v>-5.4948988119599676E-5</v>
      </c>
      <c r="AM51" s="53">
        <f t="shared" si="3"/>
        <v>0.947638862742608</v>
      </c>
      <c r="AN51" s="76"/>
      <c r="AO51" s="73"/>
      <c r="AP51" s="46"/>
      <c r="AQ51" s="61"/>
      <c r="BM51" s="54"/>
      <c r="BN51" s="73"/>
    </row>
    <row r="52" spans="2:66">
      <c r="B52" t="s">
        <v>83</v>
      </c>
      <c r="C52" s="32">
        <v>40029</v>
      </c>
      <c r="D52" s="45">
        <f>E22</f>
        <v>1.19</v>
      </c>
      <c r="E52" s="1">
        <f t="shared" si="11"/>
        <v>0.96487343642695</v>
      </c>
      <c r="F52" s="55">
        <f t="shared" si="8"/>
        <v>-5.0065333798263291E-5</v>
      </c>
      <c r="H52" s="11" t="s">
        <v>116</v>
      </c>
      <c r="I52" s="11">
        <f>(C48-C42)</f>
        <v>182</v>
      </c>
      <c r="J52" s="45">
        <f t="shared" ref="J52:J70" si="12">I52/365</f>
        <v>0.49863013698630138</v>
      </c>
      <c r="K52" s="1">
        <f>(100-D48*SUMPRODUCT(J$51:J51,K$51:K51))/(100+D48*J52)</f>
        <v>0.99326431197644416</v>
      </c>
      <c r="AH52" s="39">
        <v>40394</v>
      </c>
      <c r="AI52" s="33">
        <v>31.829469863013706</v>
      </c>
      <c r="AJ52" s="39">
        <f t="shared" si="0"/>
        <v>40394</v>
      </c>
      <c r="AK52" s="42">
        <f t="shared" si="1"/>
        <v>0.94571564815842202</v>
      </c>
      <c r="AL52" s="42">
        <f t="shared" si="2"/>
        <v>-5.6258385687937963E-5</v>
      </c>
      <c r="AM52" s="53">
        <f t="shared" si="3"/>
        <v>0.94571564815842202</v>
      </c>
      <c r="AN52" s="76"/>
      <c r="AO52" s="73"/>
      <c r="AP52" s="46"/>
      <c r="AQ52" s="61"/>
      <c r="BM52" s="54"/>
      <c r="BN52" s="73"/>
    </row>
    <row r="53" spans="2:66">
      <c r="B53" t="s">
        <v>95</v>
      </c>
      <c r="C53" s="32">
        <v>40213</v>
      </c>
      <c r="D53" s="45">
        <f>D52+(D54-D52)/(C54-C52)*(C53-C52)</f>
        <v>1.2913260273972602</v>
      </c>
      <c r="E53" s="1">
        <f t="shared" si="11"/>
        <v>0.95566141500806956</v>
      </c>
      <c r="F53" s="55">
        <f t="shared" si="8"/>
        <v>-5.4948988119599676E-5</v>
      </c>
      <c r="H53" s="11" t="s">
        <v>117</v>
      </c>
      <c r="I53" s="11">
        <f t="shared" ref="I53:I70" si="13">C49-C48</f>
        <v>182</v>
      </c>
      <c r="J53" s="45">
        <f t="shared" si="12"/>
        <v>0.49863013698630138</v>
      </c>
      <c r="K53" s="1">
        <f>(100-D49*SUMPRODUCT(J$51:J52,K$51:K52))/(100+D49*J53)</f>
        <v>0.98773949916100678</v>
      </c>
      <c r="AH53" s="39">
        <v>40415</v>
      </c>
      <c r="AI53" s="33">
        <v>20.827397260273973</v>
      </c>
      <c r="AJ53" s="39">
        <f t="shared" si="0"/>
        <v>40394</v>
      </c>
      <c r="AK53" s="42">
        <f t="shared" si="1"/>
        <v>0.94571564815842202</v>
      </c>
      <c r="AL53" s="42">
        <f t="shared" si="2"/>
        <v>-5.6258385687937963E-5</v>
      </c>
      <c r="AM53" s="53">
        <f t="shared" si="3"/>
        <v>0.9445342220589753</v>
      </c>
      <c r="AN53" s="76"/>
      <c r="AO53" s="73"/>
      <c r="AP53" s="46"/>
      <c r="AQ53" s="61"/>
      <c r="BM53" s="54"/>
    </row>
    <row r="54" spans="2:66">
      <c r="B54" t="s">
        <v>84</v>
      </c>
      <c r="C54" s="32">
        <v>40394</v>
      </c>
      <c r="D54" s="45">
        <f>E23</f>
        <v>1.391</v>
      </c>
      <c r="E54" s="1">
        <f t="shared" si="11"/>
        <v>0.94571564815842202</v>
      </c>
      <c r="F54" s="55">
        <f t="shared" si="8"/>
        <v>-5.6258385687937963E-5</v>
      </c>
      <c r="H54" s="11" t="s">
        <v>118</v>
      </c>
      <c r="I54" s="11">
        <f t="shared" si="13"/>
        <v>182</v>
      </c>
      <c r="J54" s="45">
        <f t="shared" si="12"/>
        <v>0.49863013698630138</v>
      </c>
      <c r="K54" s="1">
        <f>(100-D50*SUMPRODUCT(J$51:J53,K$51:K53))/(100+D50*J54)</f>
        <v>0.98114556336722436</v>
      </c>
      <c r="AH54" s="39">
        <v>40451</v>
      </c>
      <c r="AI54" s="33">
        <v>-15.04109589041096</v>
      </c>
      <c r="AJ54" s="39">
        <f t="shared" si="0"/>
        <v>40394</v>
      </c>
      <c r="AK54" s="42">
        <f t="shared" si="1"/>
        <v>0.94571564815842202</v>
      </c>
      <c r="AL54" s="42">
        <f t="shared" si="2"/>
        <v>-5.6258385687937963E-5</v>
      </c>
      <c r="AM54" s="53">
        <f t="shared" si="3"/>
        <v>0.94250892017420951</v>
      </c>
      <c r="AN54" s="54"/>
      <c r="AO54" s="73"/>
      <c r="BM54" s="54"/>
      <c r="BN54" s="73"/>
    </row>
    <row r="55" spans="2:66">
      <c r="B55" t="s">
        <v>96</v>
      </c>
      <c r="C55" s="32">
        <v>40578</v>
      </c>
      <c r="D55" s="45">
        <f>D54+(D56-D54)/(C56-C54)*(C55-C54)</f>
        <v>1.4777068493150685</v>
      </c>
      <c r="E55" s="1">
        <f t="shared" si="11"/>
        <v>0.93536410519184143</v>
      </c>
      <c r="F55" s="55">
        <f t="shared" si="8"/>
        <v>-6.0199536281917776E-5</v>
      </c>
      <c r="H55" s="11" t="s">
        <v>119</v>
      </c>
      <c r="I55" s="11">
        <f t="shared" si="13"/>
        <v>184</v>
      </c>
      <c r="J55" s="45">
        <f t="shared" si="12"/>
        <v>0.50410958904109593</v>
      </c>
      <c r="K55" s="1">
        <f>(100-D51*SUMPRODUCT(J$51:J54,K$51:K54))/(100+D51*J55)</f>
        <v>0.9734985961426853</v>
      </c>
      <c r="AH55" s="39">
        <v>40578</v>
      </c>
      <c r="AI55" s="33">
        <v>32.357030136986303</v>
      </c>
      <c r="AJ55" s="39">
        <f t="shared" si="0"/>
        <v>40578</v>
      </c>
      <c r="AK55" s="42">
        <f t="shared" si="1"/>
        <v>0.93536410519184143</v>
      </c>
      <c r="AL55" s="42">
        <f t="shared" si="2"/>
        <v>-6.0199536281917776E-5</v>
      </c>
      <c r="AM55" s="53">
        <f t="shared" si="3"/>
        <v>0.93536410519184143</v>
      </c>
      <c r="AN55" s="54"/>
      <c r="AO55" s="73"/>
      <c r="BM55" s="54"/>
    </row>
    <row r="56" spans="2:66">
      <c r="B56" t="s">
        <v>85</v>
      </c>
      <c r="C56" s="32">
        <v>40759</v>
      </c>
      <c r="D56" s="45">
        <f>E24</f>
        <v>1.5629999999999999</v>
      </c>
      <c r="E56" s="1">
        <f t="shared" si="11"/>
        <v>0.92446798912481432</v>
      </c>
      <c r="F56" s="55">
        <f t="shared" si="8"/>
        <v>-5.9984660578181545E-5</v>
      </c>
      <c r="H56" s="11" t="s">
        <v>120</v>
      </c>
      <c r="I56" s="11">
        <f t="shared" si="13"/>
        <v>181</v>
      </c>
      <c r="J56" s="45">
        <f t="shared" si="12"/>
        <v>0.49589041095890413</v>
      </c>
      <c r="K56" s="1">
        <f>(100-D52*SUMPRODUCT(J$51:J55,K$51:K55))/(100+D52*J56)</f>
        <v>0.96487343642695</v>
      </c>
      <c r="AH56" s="39">
        <v>40599</v>
      </c>
      <c r="AI56" s="33">
        <v>21.172602739726027</v>
      </c>
      <c r="AJ56" s="39">
        <f t="shared" si="0"/>
        <v>40578</v>
      </c>
      <c r="AK56" s="42">
        <f t="shared" si="1"/>
        <v>0.93536410519184143</v>
      </c>
      <c r="AL56" s="42">
        <f t="shared" si="2"/>
        <v>-6.0199536281917776E-5</v>
      </c>
      <c r="AM56" s="53">
        <f t="shared" si="3"/>
        <v>0.93409991492992117</v>
      </c>
      <c r="AN56" s="54"/>
      <c r="AO56" s="73"/>
      <c r="BM56" s="54"/>
      <c r="BN56" s="73"/>
    </row>
    <row r="57" spans="2:66">
      <c r="B57" t="s">
        <v>97</v>
      </c>
      <c r="C57" s="32">
        <v>40945</v>
      </c>
      <c r="D57" s="45">
        <f>D56+(D58-D56)/(C58-C56)*(C57-C56)</f>
        <v>1.6362880434782607</v>
      </c>
      <c r="E57" s="1">
        <f t="shared" si="11"/>
        <v>0.91331084225727255</v>
      </c>
      <c r="F57" s="55">
        <f t="shared" si="8"/>
        <v>-6.3075691128480185E-5</v>
      </c>
      <c r="H57" s="11" t="s">
        <v>121</v>
      </c>
      <c r="I57" s="11">
        <f t="shared" si="13"/>
        <v>184</v>
      </c>
      <c r="J57" s="45">
        <f t="shared" si="12"/>
        <v>0.50410958904109593</v>
      </c>
      <c r="K57" s="1">
        <f>(100-D53*SUMPRODUCT(J$51:J56,K$51:K56))/(100+D53*J57)</f>
        <v>0.95566141500806956</v>
      </c>
      <c r="AH57" s="39">
        <v>40633</v>
      </c>
      <c r="AI57" s="33">
        <v>-14.95890410958904</v>
      </c>
      <c r="AJ57" s="39">
        <f t="shared" si="0"/>
        <v>40578</v>
      </c>
      <c r="AK57" s="42">
        <f t="shared" si="1"/>
        <v>0.93536410519184143</v>
      </c>
      <c r="AL57" s="42">
        <f t="shared" si="2"/>
        <v>-6.0199536281917776E-5</v>
      </c>
      <c r="AM57" s="53">
        <f t="shared" si="3"/>
        <v>0.932053130696336</v>
      </c>
      <c r="AN57" s="54"/>
      <c r="AO57" s="73"/>
      <c r="BM57" s="54"/>
    </row>
    <row r="58" spans="2:66">
      <c r="B58" t="s">
        <v>86</v>
      </c>
      <c r="C58" s="32">
        <v>41127</v>
      </c>
      <c r="D58" s="45">
        <f>E25</f>
        <v>1.708</v>
      </c>
      <c r="E58" s="1">
        <f t="shared" si="11"/>
        <v>0.90183106647188915</v>
      </c>
      <c r="F58" s="55">
        <f t="shared" si="8"/>
        <v>-6.2927070345216389E-5</v>
      </c>
      <c r="H58" s="11" t="s">
        <v>122</v>
      </c>
      <c r="I58" s="11">
        <f t="shared" si="13"/>
        <v>181</v>
      </c>
      <c r="J58" s="45">
        <f t="shared" si="12"/>
        <v>0.49589041095890413</v>
      </c>
      <c r="K58" s="1">
        <f>(100-D54*SUMPRODUCT(J$51:J57,K$51:K57))/(100+D54*J58)</f>
        <v>0.94571564815842202</v>
      </c>
      <c r="AH58" s="39">
        <v>40724</v>
      </c>
      <c r="AI58" s="33">
        <v>-64</v>
      </c>
      <c r="AJ58" s="39">
        <f t="shared" si="0"/>
        <v>40578</v>
      </c>
      <c r="AK58" s="42">
        <f t="shared" si="1"/>
        <v>0.93536410519184143</v>
      </c>
      <c r="AL58" s="42">
        <f t="shared" si="2"/>
        <v>-6.0199536281917776E-5</v>
      </c>
      <c r="AM58" s="53">
        <f t="shared" si="3"/>
        <v>0.92657497289468149</v>
      </c>
      <c r="AN58" s="54"/>
      <c r="AO58" s="73"/>
      <c r="BM58" s="54"/>
    </row>
    <row r="59" spans="2:66">
      <c r="B59" t="s">
        <v>98</v>
      </c>
      <c r="C59" s="32">
        <v>41309</v>
      </c>
      <c r="D59" s="45">
        <f>D58+(D60-D58)/(C60-C58)*(C59-C58)</f>
        <v>1.7705</v>
      </c>
      <c r="E59" s="1">
        <f t="shared" si="11"/>
        <v>0.89037833966905977</v>
      </c>
      <c r="F59" s="55">
        <f t="shared" si="8"/>
        <v>-6.5378756564292236E-5</v>
      </c>
      <c r="H59" s="11" t="s">
        <v>123</v>
      </c>
      <c r="I59" s="11">
        <f t="shared" si="13"/>
        <v>184</v>
      </c>
      <c r="J59" s="45">
        <f t="shared" si="12"/>
        <v>0.50410958904109593</v>
      </c>
      <c r="K59" s="1">
        <f>(100-D55*SUMPRODUCT(J$51:J58,K$51:K58))/(100+D55*J59)</f>
        <v>0.93536410519184143</v>
      </c>
      <c r="AH59" s="39">
        <v>40759</v>
      </c>
      <c r="AI59" s="33">
        <v>31.829469863013706</v>
      </c>
      <c r="AJ59" s="39">
        <f t="shared" si="0"/>
        <v>40759</v>
      </c>
      <c r="AK59" s="42">
        <f t="shared" si="1"/>
        <v>0.92446798912481432</v>
      </c>
      <c r="AL59" s="42">
        <f t="shared" si="2"/>
        <v>-5.9984660578181545E-5</v>
      </c>
      <c r="AM59" s="53">
        <f t="shared" si="3"/>
        <v>0.92446798912481432</v>
      </c>
      <c r="AN59" s="54"/>
      <c r="AO59" s="73"/>
      <c r="BM59" s="54"/>
    </row>
    <row r="60" spans="2:66">
      <c r="B60" t="s">
        <v>87</v>
      </c>
      <c r="C60" s="32">
        <v>41491</v>
      </c>
      <c r="D60" s="45">
        <f>E26</f>
        <v>1.833</v>
      </c>
      <c r="E60" s="1">
        <f t="shared" si="11"/>
        <v>0.87847940597435858</v>
      </c>
      <c r="F60" s="55">
        <f t="shared" si="8"/>
        <v>-6.3906649922666718E-5</v>
      </c>
      <c r="H60" s="11" t="s">
        <v>124</v>
      </c>
      <c r="I60" s="11">
        <f t="shared" si="13"/>
        <v>181</v>
      </c>
      <c r="J60" s="45">
        <f t="shared" si="12"/>
        <v>0.49589041095890413</v>
      </c>
      <c r="K60" s="1">
        <f>(100-D56*SUMPRODUCT(J$51:J59,K$51:K59))/(100+D56*J60)</f>
        <v>0.92446798912481432</v>
      </c>
      <c r="AH60" s="39">
        <v>40780</v>
      </c>
      <c r="AI60" s="33">
        <v>20.827397260273973</v>
      </c>
      <c r="AJ60" s="39">
        <f t="shared" si="0"/>
        <v>40759</v>
      </c>
      <c r="AK60" s="42">
        <f t="shared" si="1"/>
        <v>0.92446798912481432</v>
      </c>
      <c r="AL60" s="42">
        <f t="shared" si="2"/>
        <v>-5.9984660578181545E-5</v>
      </c>
      <c r="AM60" s="53">
        <f t="shared" si="3"/>
        <v>0.92320831125267255</v>
      </c>
      <c r="AN60" s="54"/>
      <c r="AO60" s="73"/>
      <c r="BM60" s="54"/>
      <c r="BN60" s="73"/>
    </row>
    <row r="61" spans="2:66">
      <c r="B61" t="s">
        <v>99</v>
      </c>
      <c r="C61" s="32">
        <v>41674</v>
      </c>
      <c r="D61" s="45">
        <f>D60+(D62-D60)/(C62-C60)*(C61-C60)</f>
        <v>1.8857884615384615</v>
      </c>
      <c r="E61" s="1">
        <f t="shared" si="11"/>
        <v>0.86678448903851057</v>
      </c>
      <c r="F61" s="55">
        <f t="shared" si="8"/>
        <v>-6.5768084829210074E-5</v>
      </c>
      <c r="H61" s="11" t="s">
        <v>125</v>
      </c>
      <c r="I61" s="11">
        <f t="shared" si="13"/>
        <v>186</v>
      </c>
      <c r="J61" s="45">
        <f t="shared" si="12"/>
        <v>0.50958904109589043</v>
      </c>
      <c r="K61" s="1">
        <f>(100-D57*SUMPRODUCT(J$51:J60,K$51:K60))/(100+D57*J61)</f>
        <v>0.91331084225727255</v>
      </c>
      <c r="AH61" s="39">
        <v>40816</v>
      </c>
      <c r="AI61" s="33">
        <v>-15.04109589041096</v>
      </c>
      <c r="AJ61" s="39">
        <f t="shared" si="0"/>
        <v>40759</v>
      </c>
      <c r="AK61" s="42">
        <f t="shared" si="1"/>
        <v>0.92446798912481432</v>
      </c>
      <c r="AL61" s="42">
        <f t="shared" si="2"/>
        <v>-5.9984660578181545E-5</v>
      </c>
      <c r="AM61" s="53">
        <f t="shared" si="3"/>
        <v>0.92104886347185799</v>
      </c>
      <c r="AN61" s="54"/>
      <c r="AO61" s="73"/>
      <c r="BM61" s="54"/>
      <c r="BN61" s="73"/>
    </row>
    <row r="62" spans="2:66">
      <c r="B62" t="s">
        <v>88</v>
      </c>
      <c r="C62" s="32">
        <v>41855</v>
      </c>
      <c r="D62" s="45">
        <f>E27</f>
        <v>1.9379999999999999</v>
      </c>
      <c r="E62" s="1">
        <f t="shared" si="11"/>
        <v>0.85488046568442355</v>
      </c>
      <c r="F62" s="55">
        <f t="shared" si="8"/>
        <v>-6.363049543546369E-5</v>
      </c>
      <c r="H62" s="11" t="s">
        <v>126</v>
      </c>
      <c r="I62" s="11">
        <f t="shared" si="13"/>
        <v>182</v>
      </c>
      <c r="J62" s="45">
        <f t="shared" si="12"/>
        <v>0.49863013698630138</v>
      </c>
      <c r="K62" s="1">
        <f>(100-D58*SUMPRODUCT(J$51:J61,K$51:K61))/(100+D58*J62)</f>
        <v>0.90183106647188915</v>
      </c>
      <c r="AH62" s="39">
        <v>40945</v>
      </c>
      <c r="AI62" s="33">
        <v>32.708736986301375</v>
      </c>
      <c r="AJ62" s="39">
        <f t="shared" si="0"/>
        <v>40945</v>
      </c>
      <c r="AK62" s="42">
        <f t="shared" si="1"/>
        <v>0.91331084225727255</v>
      </c>
      <c r="AL62" s="42">
        <f t="shared" si="2"/>
        <v>-6.3075691128480185E-5</v>
      </c>
      <c r="AM62" s="53">
        <f t="shared" si="3"/>
        <v>0.91331084225727255</v>
      </c>
      <c r="AN62" s="54"/>
      <c r="AO62" s="73"/>
      <c r="BM62" s="54"/>
      <c r="BN62" s="73"/>
    </row>
    <row r="63" spans="2:66">
      <c r="B63" t="s">
        <v>100</v>
      </c>
      <c r="C63" s="32">
        <v>42039</v>
      </c>
      <c r="D63" s="45">
        <f>D62+(D64-D62)/(C64-C62)*(C63-C62)</f>
        <v>1.9818575342465752</v>
      </c>
      <c r="E63" s="1">
        <f t="shared" si="11"/>
        <v>0.84317245452429823</v>
      </c>
      <c r="F63" s="55">
        <f t="shared" si="8"/>
        <v>-6.4987657147996941E-5</v>
      </c>
      <c r="H63" s="11" t="s">
        <v>127</v>
      </c>
      <c r="I63" s="11">
        <f t="shared" si="13"/>
        <v>182</v>
      </c>
      <c r="J63" s="45">
        <f t="shared" si="12"/>
        <v>0.49863013698630138</v>
      </c>
      <c r="K63" s="1">
        <f>(100-D59*SUMPRODUCT(J$51:J62,K$51:K62))/(100+D59*J63)</f>
        <v>0.89037833966905977</v>
      </c>
      <c r="AH63" s="39">
        <v>40966</v>
      </c>
      <c r="AI63" s="33">
        <v>21.402739726027399</v>
      </c>
      <c r="AJ63" s="39">
        <f t="shared" si="0"/>
        <v>40945</v>
      </c>
      <c r="AK63" s="42">
        <f t="shared" si="1"/>
        <v>0.91331084225727255</v>
      </c>
      <c r="AL63" s="42">
        <f t="shared" si="2"/>
        <v>-6.3075691128480185E-5</v>
      </c>
      <c r="AM63" s="53">
        <f t="shared" si="3"/>
        <v>0.91198625274357448</v>
      </c>
      <c r="AN63" s="54"/>
      <c r="AO63" s="73"/>
      <c r="BM63" s="54"/>
    </row>
    <row r="64" spans="2:66">
      <c r="B64" t="s">
        <v>89</v>
      </c>
      <c r="C64" s="32">
        <v>42220</v>
      </c>
      <c r="D64" s="45">
        <f>E28</f>
        <v>2.0249999999999999</v>
      </c>
      <c r="E64" s="1">
        <f t="shared" si="11"/>
        <v>0.83140968858051079</v>
      </c>
      <c r="F64" s="55">
        <f t="shared" si="8"/>
        <v>-6.4095153318838421E-5</v>
      </c>
      <c r="H64" s="11" t="s">
        <v>128</v>
      </c>
      <c r="I64" s="11">
        <f t="shared" si="13"/>
        <v>182</v>
      </c>
      <c r="J64" s="45">
        <f t="shared" si="12"/>
        <v>0.49863013698630138</v>
      </c>
      <c r="K64" s="1">
        <f>(100-D60*SUMPRODUCT(J$51:J63,K$51:K63))/(100+D60*J64)</f>
        <v>0.87847940597435858</v>
      </c>
      <c r="AH64" s="39">
        <v>40998</v>
      </c>
      <c r="AI64" s="33">
        <v>-14.95890410958904</v>
      </c>
      <c r="AJ64" s="39">
        <f t="shared" si="0"/>
        <v>40945</v>
      </c>
      <c r="AK64" s="42">
        <f t="shared" si="1"/>
        <v>0.91331084225727255</v>
      </c>
      <c r="AL64" s="42">
        <f t="shared" si="2"/>
        <v>-6.3075691128480185E-5</v>
      </c>
      <c r="AM64" s="53">
        <f t="shared" si="3"/>
        <v>0.90996783062746311</v>
      </c>
      <c r="AN64" s="54"/>
      <c r="AO64" s="73"/>
      <c r="BM64" s="54"/>
    </row>
    <row r="65" spans="2:66">
      <c r="B65" t="s">
        <v>101</v>
      </c>
      <c r="C65" s="32">
        <v>42404</v>
      </c>
      <c r="D65" s="45">
        <f>D64+(D66-D64)/(C66-C64)*(C65-C64)</f>
        <v>2.0642131147540983</v>
      </c>
      <c r="E65" s="1">
        <f t="shared" si="11"/>
        <v>0.81961618036984452</v>
      </c>
      <c r="F65" s="55">
        <f t="shared" si="8"/>
        <v>-6.5163346519981152E-5</v>
      </c>
      <c r="H65" s="11" t="s">
        <v>129</v>
      </c>
      <c r="I65" s="11">
        <f t="shared" si="13"/>
        <v>183</v>
      </c>
      <c r="J65" s="45">
        <f t="shared" si="12"/>
        <v>0.50136986301369868</v>
      </c>
      <c r="K65" s="1">
        <f>(100-D61*SUMPRODUCT(J$51:J64,K$51:K64))/(100+D61*J65)</f>
        <v>0.86678448903851057</v>
      </c>
      <c r="AH65" s="39">
        <v>41089</v>
      </c>
      <c r="AI65" s="33">
        <v>-64</v>
      </c>
      <c r="AJ65" s="39">
        <f t="shared" si="0"/>
        <v>40945</v>
      </c>
      <c r="AK65" s="42">
        <f t="shared" si="1"/>
        <v>0.91331084225727255</v>
      </c>
      <c r="AL65" s="42">
        <f t="shared" si="2"/>
        <v>-6.3075691128480185E-5</v>
      </c>
      <c r="AM65" s="53">
        <f t="shared" si="3"/>
        <v>0.90422794273477136</v>
      </c>
      <c r="AN65" s="54"/>
      <c r="AO65" s="73"/>
      <c r="BM65" s="54"/>
      <c r="BN65" s="73"/>
    </row>
    <row r="66" spans="2:66">
      <c r="B66" t="s">
        <v>90</v>
      </c>
      <c r="C66" s="32">
        <v>42586</v>
      </c>
      <c r="D66" s="45">
        <f>E29</f>
        <v>2.1030000000000002</v>
      </c>
      <c r="E66" s="48">
        <f t="shared" si="11"/>
        <v>0.80775645130320795</v>
      </c>
      <c r="F66" s="55"/>
      <c r="H66" s="11" t="s">
        <v>130</v>
      </c>
      <c r="I66" s="11">
        <f t="shared" si="13"/>
        <v>181</v>
      </c>
      <c r="J66" s="45">
        <f t="shared" si="12"/>
        <v>0.49589041095890413</v>
      </c>
      <c r="K66" s="1">
        <f>(100-D62*SUMPRODUCT(J$51:J65,K$51:K65))/(100+D62*J66)</f>
        <v>0.85488046568442355</v>
      </c>
      <c r="AH66" s="39">
        <v>41127</v>
      </c>
      <c r="AI66" s="33">
        <v>332.00532328767122</v>
      </c>
      <c r="AJ66" s="39">
        <f t="shared" si="0"/>
        <v>41127</v>
      </c>
      <c r="AK66" s="42">
        <f t="shared" si="1"/>
        <v>0.90183106647188915</v>
      </c>
      <c r="AL66" s="42">
        <f t="shared" si="2"/>
        <v>-6.2927070345216389E-5</v>
      </c>
      <c r="AM66" s="53">
        <f t="shared" si="3"/>
        <v>0.90183106647188915</v>
      </c>
      <c r="AN66" s="54"/>
      <c r="AO66" s="73"/>
      <c r="BM66" s="54"/>
      <c r="BN66" s="73"/>
    </row>
    <row r="67" spans="2:66">
      <c r="H67" s="11" t="s">
        <v>131</v>
      </c>
      <c r="I67" s="11">
        <f t="shared" si="13"/>
        <v>184</v>
      </c>
      <c r="J67" s="45">
        <f t="shared" si="12"/>
        <v>0.50410958904109593</v>
      </c>
      <c r="K67" s="1">
        <f>(100-D63*SUMPRODUCT(J$51:J66,K$51:K66))/(100+D63*J67)</f>
        <v>0.84317245452429823</v>
      </c>
      <c r="AH67" s="39">
        <v>41148</v>
      </c>
      <c r="AI67" s="33">
        <v>20.942465753424656</v>
      </c>
      <c r="AJ67" s="39">
        <f t="shared" si="0"/>
        <v>41127</v>
      </c>
      <c r="AK67" s="42">
        <f t="shared" si="1"/>
        <v>0.90183106647188915</v>
      </c>
      <c r="AL67" s="42">
        <f t="shared" si="2"/>
        <v>-6.2927070345216389E-5</v>
      </c>
      <c r="AM67" s="53">
        <f t="shared" si="3"/>
        <v>0.90050959799463959</v>
      </c>
      <c r="AN67" s="54"/>
      <c r="AO67" s="73"/>
      <c r="BM67" s="54"/>
    </row>
    <row r="68" spans="2:66">
      <c r="H68" s="11" t="s">
        <v>132</v>
      </c>
      <c r="I68" s="11">
        <f t="shared" si="13"/>
        <v>181</v>
      </c>
      <c r="J68" s="45">
        <f t="shared" si="12"/>
        <v>0.49589041095890413</v>
      </c>
      <c r="K68" s="1">
        <f>(100-D64*SUMPRODUCT(J$51:J67,K$51:K67))/(100+D64*J68)</f>
        <v>0.83140968858051079</v>
      </c>
      <c r="AH68" s="39">
        <v>41180</v>
      </c>
      <c r="AI68" s="33">
        <v>-2014.958904109589</v>
      </c>
      <c r="AJ68" s="39">
        <f t="shared" si="0"/>
        <v>41127</v>
      </c>
      <c r="AK68" s="42">
        <f t="shared" si="1"/>
        <v>0.90183106647188915</v>
      </c>
      <c r="AL68" s="42">
        <f t="shared" si="2"/>
        <v>-6.2927070345216389E-5</v>
      </c>
      <c r="AM68" s="53">
        <f t="shared" si="3"/>
        <v>0.89849593174359266</v>
      </c>
      <c r="AN68" s="54"/>
      <c r="AO68" s="73"/>
      <c r="BM68" s="54"/>
      <c r="BN68" s="73"/>
    </row>
    <row r="69" spans="2:66">
      <c r="H69" s="49" t="s">
        <v>133</v>
      </c>
      <c r="I69" s="11">
        <f t="shared" si="13"/>
        <v>184</v>
      </c>
      <c r="J69" s="45">
        <f t="shared" si="12"/>
        <v>0.50410958904109593</v>
      </c>
      <c r="K69" s="1">
        <f>(100-D65*SUMPRODUCT(J$51:J68,K$51:K68))/(100+D65*J69)</f>
        <v>0.81961618036984452</v>
      </c>
      <c r="AH69" s="39">
        <v>41309</v>
      </c>
      <c r="AI69" s="33">
        <v>29.450342465753433</v>
      </c>
      <c r="AJ69" s="39">
        <f t="shared" si="0"/>
        <v>41309</v>
      </c>
      <c r="AK69" s="42">
        <f t="shared" si="1"/>
        <v>0.89037833966905977</v>
      </c>
      <c r="AL69" s="42">
        <f t="shared" si="2"/>
        <v>-6.5378756564292236E-5</v>
      </c>
      <c r="AM69" s="53">
        <f t="shared" si="3"/>
        <v>0.89037833966905977</v>
      </c>
      <c r="AN69" s="54"/>
      <c r="AO69" s="73"/>
      <c r="BM69" s="54"/>
    </row>
    <row r="70" spans="2:66">
      <c r="H70" s="49" t="s">
        <v>134</v>
      </c>
      <c r="I70" s="11">
        <f t="shared" si="13"/>
        <v>182</v>
      </c>
      <c r="J70" s="45">
        <f t="shared" si="12"/>
        <v>0.49863013698630138</v>
      </c>
      <c r="K70" s="1">
        <f>(100-D66*SUMPRODUCT(J$51:J69,K$51:K69))/(100+D66*J70)</f>
        <v>0.80775645130320795</v>
      </c>
      <c r="AH70" s="39">
        <v>41330</v>
      </c>
      <c r="AI70" s="33">
        <v>3020.9424657534246</v>
      </c>
      <c r="AJ70" s="39">
        <f t="shared" ref="AJ70:AJ81" si="14">VLOOKUP($AH70,$C$36:$F$66,1)</f>
        <v>41309</v>
      </c>
      <c r="AK70" s="42">
        <f t="shared" ref="AK70:AK81" si="15">VLOOKUP($AH70,$C$6:$F$66,3)</f>
        <v>0.89037833966905977</v>
      </c>
      <c r="AL70" s="42">
        <f t="shared" ref="AL70:AL81" si="16">VLOOKUP($AH70,$C$6:$F$66,4)</f>
        <v>-6.5378756564292236E-5</v>
      </c>
      <c r="AM70" s="53">
        <f t="shared" ref="AM70:AM81" si="17">AK70+AL70*(AH70-AJ70)</f>
        <v>0.88900538578120958</v>
      </c>
      <c r="AN70" s="54"/>
      <c r="AO70" s="73"/>
      <c r="BM70" s="54"/>
      <c r="BN70" s="73"/>
    </row>
    <row r="71" spans="2:66">
      <c r="AH71" s="39">
        <v>41453</v>
      </c>
      <c r="AI71" s="33">
        <v>-63.824657534246576</v>
      </c>
      <c r="AJ71" s="39">
        <f t="shared" si="14"/>
        <v>41309</v>
      </c>
      <c r="AK71" s="42">
        <f t="shared" si="15"/>
        <v>0.89037833966905977</v>
      </c>
      <c r="AL71" s="42">
        <f t="shared" si="16"/>
        <v>-6.5378756564292236E-5</v>
      </c>
      <c r="AM71" s="53">
        <f t="shared" si="17"/>
        <v>0.88096379872380171</v>
      </c>
      <c r="AN71" s="54"/>
      <c r="AO71" s="73"/>
      <c r="BM71" s="54"/>
    </row>
    <row r="72" spans="2:66">
      <c r="AH72" s="39">
        <v>41491</v>
      </c>
      <c r="AI72" s="33">
        <v>-1320.5496575342463</v>
      </c>
      <c r="AJ72" s="39">
        <f t="shared" si="14"/>
        <v>41491</v>
      </c>
      <c r="AK72" s="42">
        <f t="shared" si="15"/>
        <v>0.87847940597435858</v>
      </c>
      <c r="AL72" s="42">
        <f t="shared" si="16"/>
        <v>-6.3906649922666718E-5</v>
      </c>
      <c r="AM72" s="53">
        <f t="shared" si="17"/>
        <v>0.87847940597435858</v>
      </c>
      <c r="AN72" s="54"/>
      <c r="AO72" s="73"/>
      <c r="BM72" s="54"/>
    </row>
    <row r="73" spans="2:66">
      <c r="AH73" s="39">
        <v>41674</v>
      </c>
      <c r="AI73" s="33">
        <v>42.018805479452062</v>
      </c>
      <c r="AJ73" s="39">
        <f t="shared" si="14"/>
        <v>41674</v>
      </c>
      <c r="AK73" s="42">
        <f t="shared" si="15"/>
        <v>0.86678448903851057</v>
      </c>
      <c r="AL73" s="42">
        <f t="shared" si="16"/>
        <v>-6.5768084829210074E-5</v>
      </c>
      <c r="AM73" s="53">
        <f t="shared" si="17"/>
        <v>0.86678448903851057</v>
      </c>
      <c r="AN73" s="54"/>
      <c r="AO73" s="73"/>
      <c r="BM73" s="54"/>
    </row>
    <row r="74" spans="2:66">
      <c r="AH74" s="39">
        <v>41820</v>
      </c>
      <c r="AI74" s="33">
        <v>-64.350684931506848</v>
      </c>
      <c r="AJ74" s="39">
        <f t="shared" si="14"/>
        <v>41674</v>
      </c>
      <c r="AK74" s="42">
        <f t="shared" si="15"/>
        <v>0.86678448903851057</v>
      </c>
      <c r="AL74" s="42">
        <f t="shared" si="16"/>
        <v>-6.5768084829210074E-5</v>
      </c>
      <c r="AM74" s="53">
        <f t="shared" si="17"/>
        <v>0.85718234865344589</v>
      </c>
      <c r="AN74" s="54"/>
      <c r="AO74" s="73"/>
      <c r="BM74" s="54"/>
    </row>
    <row r="75" spans="2:66">
      <c r="AH75" s="39">
        <v>41855</v>
      </c>
      <c r="AI75" s="33">
        <v>41.559583561643841</v>
      </c>
      <c r="AJ75" s="39">
        <f t="shared" si="14"/>
        <v>41855</v>
      </c>
      <c r="AK75" s="42">
        <f t="shared" si="15"/>
        <v>0.85488046568442355</v>
      </c>
      <c r="AL75" s="42">
        <f t="shared" si="16"/>
        <v>-6.363049543546369E-5</v>
      </c>
      <c r="AM75" s="53">
        <f t="shared" si="17"/>
        <v>0.85488046568442355</v>
      </c>
      <c r="AN75" s="54"/>
      <c r="AO75" s="73"/>
      <c r="BM75" s="54"/>
      <c r="BN75" s="73"/>
    </row>
    <row r="76" spans="2:66">
      <c r="AH76" s="39">
        <v>42039</v>
      </c>
      <c r="AI76" s="33">
        <v>42.248416438356166</v>
      </c>
      <c r="AJ76" s="39">
        <f t="shared" si="14"/>
        <v>42039</v>
      </c>
      <c r="AK76" s="42">
        <f t="shared" si="15"/>
        <v>0.84317245452429823</v>
      </c>
      <c r="AL76" s="42">
        <f t="shared" si="16"/>
        <v>-6.4987657147996941E-5</v>
      </c>
      <c r="AM76" s="53">
        <f t="shared" si="17"/>
        <v>0.84317245452429823</v>
      </c>
      <c r="AN76" s="54"/>
      <c r="AO76" s="73"/>
      <c r="BM76" s="54"/>
    </row>
    <row r="77" spans="2:66">
      <c r="AH77" s="39">
        <v>42185</v>
      </c>
      <c r="AI77" s="33">
        <v>-64</v>
      </c>
      <c r="AJ77" s="39">
        <f t="shared" si="14"/>
        <v>42039</v>
      </c>
      <c r="AK77" s="42">
        <f t="shared" si="15"/>
        <v>0.84317245452429823</v>
      </c>
      <c r="AL77" s="42">
        <f t="shared" si="16"/>
        <v>-6.4987657147996941E-5</v>
      </c>
      <c r="AM77" s="53">
        <f t="shared" si="17"/>
        <v>0.83368425658069067</v>
      </c>
      <c r="AN77" s="54"/>
      <c r="AO77" s="73"/>
      <c r="BM77" s="54"/>
      <c r="BN77" s="73"/>
    </row>
    <row r="78" spans="2:66">
      <c r="AH78" s="39">
        <v>42220</v>
      </c>
      <c r="AI78" s="33">
        <v>441.55958356164388</v>
      </c>
      <c r="AJ78" s="39">
        <f t="shared" si="14"/>
        <v>42220</v>
      </c>
      <c r="AK78" s="42">
        <f t="shared" si="15"/>
        <v>0.83140968858051079</v>
      </c>
      <c r="AL78" s="42">
        <f t="shared" si="16"/>
        <v>-6.4095153318838421E-5</v>
      </c>
      <c r="AM78" s="53">
        <f t="shared" si="17"/>
        <v>0.83140968858051079</v>
      </c>
      <c r="AN78" s="54"/>
      <c r="AO78" s="73"/>
      <c r="BM78" s="54"/>
      <c r="BN78" s="73"/>
    </row>
    <row r="79" spans="2:66">
      <c r="AH79" s="39">
        <v>42404</v>
      </c>
      <c r="AI79" s="33">
        <v>38.165128767123292</v>
      </c>
      <c r="AJ79" s="39">
        <f t="shared" si="14"/>
        <v>42404</v>
      </c>
      <c r="AK79" s="42">
        <f t="shared" si="15"/>
        <v>0.81961618036984452</v>
      </c>
      <c r="AL79" s="42">
        <f t="shared" si="16"/>
        <v>-6.5163346519981152E-5</v>
      </c>
      <c r="AM79" s="53">
        <f t="shared" si="17"/>
        <v>0.81961618036984452</v>
      </c>
      <c r="AN79" s="54"/>
      <c r="AO79" s="73"/>
    </row>
    <row r="80" spans="2:66">
      <c r="AH80" s="39">
        <v>42551</v>
      </c>
      <c r="AI80" s="33">
        <v>-4064.1753424657531</v>
      </c>
      <c r="AJ80" s="39">
        <f t="shared" si="14"/>
        <v>42404</v>
      </c>
      <c r="AK80" s="42">
        <f t="shared" si="15"/>
        <v>0.81961618036984452</v>
      </c>
      <c r="AL80" s="42">
        <f t="shared" si="16"/>
        <v>-6.5163346519981152E-5</v>
      </c>
      <c r="AM80" s="53">
        <f t="shared" si="17"/>
        <v>0.81003716843140727</v>
      </c>
      <c r="AN80" s="54"/>
      <c r="AO80" s="73"/>
    </row>
    <row r="81" spans="33:41">
      <c r="AH81" s="39">
        <v>42586</v>
      </c>
      <c r="AI81" s="33">
        <v>3637.7502904109588</v>
      </c>
      <c r="AJ81" s="39">
        <f t="shared" si="14"/>
        <v>42586</v>
      </c>
      <c r="AK81" s="42">
        <f t="shared" si="15"/>
        <v>0.80775645130320795</v>
      </c>
      <c r="AL81" s="42">
        <f t="shared" si="16"/>
        <v>0</v>
      </c>
      <c r="AM81" s="53">
        <f t="shared" si="17"/>
        <v>0.80775645130320795</v>
      </c>
      <c r="AN81" s="54"/>
      <c r="AO81" s="73"/>
    </row>
    <row r="82" spans="33:41" ht="15" thickBot="1">
      <c r="AI82" s="62"/>
    </row>
    <row r="83" spans="33:41">
      <c r="AH83" s="64" t="s">
        <v>157</v>
      </c>
      <c r="AI83" s="99">
        <f>SUMPRODUCT(AI5:AI81,AM5:AM81)</f>
        <v>876.17708885307593</v>
      </c>
    </row>
    <row r="84" spans="33:41">
      <c r="AH84" s="94" t="s">
        <v>161</v>
      </c>
      <c r="AI84" s="96">
        <v>876.17708885307593</v>
      </c>
      <c r="AJ84" t="s">
        <v>211</v>
      </c>
    </row>
    <row r="85" spans="33:41">
      <c r="AH85" s="94" t="s">
        <v>160</v>
      </c>
      <c r="AI85" s="100">
        <f>AI83-AI84</f>
        <v>0</v>
      </c>
    </row>
    <row r="86" spans="33:41">
      <c r="AG86" s="84" t="s">
        <v>70</v>
      </c>
      <c r="AH86" s="78">
        <v>1</v>
      </c>
      <c r="AI86" s="97">
        <f t="dataTable" ref="AI86:AI109" dt2D="0" dtr="0" r1="E5"/>
        <v>1.4528460867950344E-2</v>
      </c>
    </row>
    <row r="87" spans="33:41">
      <c r="AG87" s="84" t="s">
        <v>71</v>
      </c>
      <c r="AH87" s="78">
        <v>2</v>
      </c>
      <c r="AI87" s="97">
        <v>-1.2769512945851602E-2</v>
      </c>
    </row>
    <row r="88" spans="33:41">
      <c r="AG88" s="84" t="s">
        <v>72</v>
      </c>
      <c r="AH88" s="78">
        <v>3</v>
      </c>
      <c r="AI88" s="97">
        <v>3.9082616394807701E-3</v>
      </c>
    </row>
    <row r="89" spans="33:41">
      <c r="AG89" s="84" t="s">
        <v>73</v>
      </c>
      <c r="AH89" s="78">
        <v>4</v>
      </c>
      <c r="AI89" s="97">
        <v>0</v>
      </c>
    </row>
    <row r="90" spans="33:41">
      <c r="AG90" s="84" t="s">
        <v>74</v>
      </c>
      <c r="AH90" s="78">
        <v>5</v>
      </c>
      <c r="AI90" s="97">
        <v>0</v>
      </c>
    </row>
    <row r="91" spans="33:41">
      <c r="AG91" s="84" t="s">
        <v>75</v>
      </c>
      <c r="AH91" s="78">
        <v>6</v>
      </c>
      <c r="AI91" s="97">
        <v>-5.8042085765919182E-4</v>
      </c>
    </row>
    <row r="92" spans="33:41">
      <c r="AG92" s="84" t="s">
        <v>76</v>
      </c>
      <c r="AH92" s="78">
        <v>7</v>
      </c>
      <c r="AI92" s="97">
        <v>-7.9225233457691502E-4</v>
      </c>
    </row>
    <row r="93" spans="33:41">
      <c r="AG93" s="84" t="s">
        <v>77</v>
      </c>
      <c r="AH93" s="78">
        <v>8</v>
      </c>
      <c r="AI93" s="97">
        <v>3.9221602855832316E-4</v>
      </c>
    </row>
    <row r="94" spans="33:41">
      <c r="AG94" s="84" t="s">
        <v>78</v>
      </c>
      <c r="AH94" s="78">
        <v>9</v>
      </c>
      <c r="AI94" s="97">
        <v>-3.2306207922374597E-3</v>
      </c>
    </row>
    <row r="95" spans="33:41">
      <c r="AG95" s="84" t="s">
        <v>79</v>
      </c>
      <c r="AH95" s="78">
        <v>10</v>
      </c>
      <c r="AI95" s="97">
        <v>-5.5170174198792665E-2</v>
      </c>
    </row>
    <row r="96" spans="33:41">
      <c r="AG96" s="84" t="s">
        <v>80</v>
      </c>
      <c r="AH96" s="78">
        <v>11</v>
      </c>
      <c r="AI96" s="97">
        <v>1.7456694918109861E-3</v>
      </c>
    </row>
    <row r="97" spans="33:35">
      <c r="AG97" s="84" t="s">
        <v>164</v>
      </c>
      <c r="AH97" s="78">
        <v>12</v>
      </c>
      <c r="AI97" s="97">
        <v>-4.0478475134477776E-3</v>
      </c>
    </row>
    <row r="98" spans="33:35">
      <c r="AG98" s="84" t="s">
        <v>81</v>
      </c>
      <c r="AH98" s="78">
        <v>13</v>
      </c>
      <c r="AI98" s="97">
        <v>-7.4477096950431587E-3</v>
      </c>
    </row>
    <row r="99" spans="33:35">
      <c r="AG99" s="84" t="s">
        <v>82</v>
      </c>
      <c r="AH99" s="78">
        <v>14</v>
      </c>
      <c r="AI99" s="97">
        <v>5.7938395229939488E-3</v>
      </c>
    </row>
    <row r="100" spans="33:35">
      <c r="AG100" s="84" t="s">
        <v>83</v>
      </c>
      <c r="AH100" s="78">
        <v>15</v>
      </c>
      <c r="AI100" s="97">
        <v>-7.7344755004560284E-3</v>
      </c>
    </row>
    <row r="101" spans="33:35">
      <c r="AG101" s="84" t="s">
        <v>84</v>
      </c>
      <c r="AH101" s="78">
        <v>16</v>
      </c>
      <c r="AI101" s="97">
        <v>-4.4936391800547426E-3</v>
      </c>
    </row>
    <row r="102" spans="33:35">
      <c r="AG102" s="84" t="s">
        <v>85</v>
      </c>
      <c r="AH102" s="78">
        <v>17</v>
      </c>
      <c r="AI102" s="97">
        <v>-5.4679871518601431E-3</v>
      </c>
    </row>
    <row r="103" spans="33:35">
      <c r="AG103" s="84" t="s">
        <v>86</v>
      </c>
      <c r="AH103" s="78">
        <v>18</v>
      </c>
      <c r="AI103" s="97">
        <v>-5.4865602928657609E-3</v>
      </c>
    </row>
    <row r="104" spans="33:35">
      <c r="AG104" s="84" t="s">
        <v>87</v>
      </c>
      <c r="AH104" s="78">
        <v>19</v>
      </c>
      <c r="AI104" s="97">
        <v>1.3390072854690516E-2</v>
      </c>
    </row>
    <row r="105" spans="33:35">
      <c r="AG105" s="84" t="s">
        <v>88</v>
      </c>
      <c r="AH105" s="78">
        <v>20</v>
      </c>
      <c r="AI105" s="97">
        <v>-1.4035893905202101E-2</v>
      </c>
    </row>
    <row r="106" spans="33:35">
      <c r="AG106" s="84" t="s">
        <v>89</v>
      </c>
      <c r="AH106" s="78">
        <v>21</v>
      </c>
      <c r="AI106" s="97">
        <v>-1.5110597052171215E-2</v>
      </c>
    </row>
    <row r="107" spans="33:35">
      <c r="AG107" s="84" t="s">
        <v>90</v>
      </c>
      <c r="AH107" s="78">
        <v>22</v>
      </c>
      <c r="AI107" s="97">
        <v>3.5795873363895225E-3</v>
      </c>
    </row>
    <row r="108" spans="33:35">
      <c r="AH108" s="78">
        <v>23</v>
      </c>
      <c r="AI108" s="97">
        <v>-9.3000372939059162E-2</v>
      </c>
    </row>
    <row r="109" spans="33:35" ht="15" thickBot="1">
      <c r="AH109" s="79">
        <v>24</v>
      </c>
      <c r="AI109" s="98">
        <v>9.3033971508702962E-2</v>
      </c>
    </row>
  </sheetData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E48"/>
  <sheetViews>
    <sheetView workbookViewId="0"/>
  </sheetViews>
  <sheetFormatPr baseColWidth="10" defaultColWidth="8.83203125" defaultRowHeight="14"/>
  <cols>
    <col min="2" max="2" width="11.5" customWidth="1"/>
    <col min="3" max="3" width="13.33203125" customWidth="1"/>
    <col min="4" max="4" width="12.5" customWidth="1"/>
    <col min="5" max="5" width="12.33203125" customWidth="1"/>
  </cols>
  <sheetData>
    <row r="3" spans="2:5">
      <c r="B3" t="s">
        <v>228</v>
      </c>
    </row>
    <row r="5" spans="2:5">
      <c r="C5" s="1"/>
      <c r="D5" s="1" t="s">
        <v>212</v>
      </c>
      <c r="E5" s="52" t="s">
        <v>346</v>
      </c>
    </row>
    <row r="6" spans="2:5">
      <c r="C6" s="1" t="s">
        <v>214</v>
      </c>
      <c r="D6" s="33">
        <v>0.5</v>
      </c>
      <c r="E6" s="53">
        <f>100/(100*(1+D6/100*182.5/360))</f>
        <v>0.99747168635056971</v>
      </c>
    </row>
    <row r="7" spans="2:5">
      <c r="C7" s="1" t="s">
        <v>215</v>
      </c>
      <c r="D7" s="33">
        <v>0.7</v>
      </c>
      <c r="E7" s="53">
        <f>(100-D7/2*SUM(E$6:E6))/(100+D7/2)</f>
        <v>0.99303323278303246</v>
      </c>
    </row>
    <row r="8" spans="2:5">
      <c r="C8" s="1" t="s">
        <v>216</v>
      </c>
      <c r="D8" s="33">
        <v>0.85</v>
      </c>
      <c r="E8" s="53">
        <f>(100-D8/2*SUM(E$6:E7))/(100+D8/2)</f>
        <v>0.98734414149233973</v>
      </c>
    </row>
    <row r="9" spans="2:5">
      <c r="C9" s="1" t="s">
        <v>217</v>
      </c>
      <c r="D9" s="33">
        <v>1</v>
      </c>
      <c r="E9" s="53">
        <f>(100-D9/2*SUM(E$6:E8))/(100+D9/2)</f>
        <v>0.98020970616604008</v>
      </c>
    </row>
    <row r="10" spans="2:5">
      <c r="C10" s="1" t="s">
        <v>218</v>
      </c>
      <c r="D10" s="33">
        <f>(D9+D11)/2</f>
        <v>1.1000000000000001</v>
      </c>
      <c r="E10" s="53">
        <f>(100-D10/2*SUM(E$6:E9))/(100+D10/2)</f>
        <v>0.97287983767542929</v>
      </c>
    </row>
    <row r="11" spans="2:5">
      <c r="C11" s="1" t="s">
        <v>219</v>
      </c>
      <c r="D11" s="33">
        <v>1.2</v>
      </c>
      <c r="E11" s="53">
        <f>(100-D11/2*SUM(E$6:E10))/(100+D11/2)</f>
        <v>0.96462660872087036</v>
      </c>
    </row>
    <row r="12" spans="2:5">
      <c r="C12" s="1" t="s">
        <v>220</v>
      </c>
      <c r="D12" s="33">
        <f>(D11+D13)/2</f>
        <v>1.2999999999999998</v>
      </c>
      <c r="E12" s="53">
        <f>(100-D12/2*SUM(E$6:E11))/(100+D12/2)</f>
        <v>0.95546828227945957</v>
      </c>
    </row>
    <row r="13" spans="2:5">
      <c r="C13" s="1" t="s">
        <v>221</v>
      </c>
      <c r="D13" s="33">
        <v>1.4</v>
      </c>
      <c r="E13" s="53">
        <f>(100-D13/2*SUM(E$6:E12))/(100+D13/2)</f>
        <v>0.94542479198781104</v>
      </c>
    </row>
    <row r="14" spans="2:5">
      <c r="C14" s="1" t="s">
        <v>222</v>
      </c>
      <c r="D14" s="33">
        <f>(D13+D15)/2</f>
        <v>1.4750000000000001</v>
      </c>
      <c r="E14" s="53">
        <f>(100-D14/2*SUM(E$6:E13))/(100+D14/2)</f>
        <v>0.93560106229558537</v>
      </c>
    </row>
    <row r="15" spans="2:5">
      <c r="C15" s="1" t="s">
        <v>223</v>
      </c>
      <c r="D15" s="33">
        <v>1.55</v>
      </c>
      <c r="E15" s="53">
        <f>(100-D15/2*SUM(E$6:E14))/(100+D15/2)</f>
        <v>0.92515657657100336</v>
      </c>
    </row>
    <row r="16" spans="2:5">
      <c r="C16" s="1" t="s">
        <v>224</v>
      </c>
      <c r="D16" s="33">
        <f>(D15+D17)/2</f>
        <v>1.625</v>
      </c>
      <c r="E16" s="53">
        <f>(100-D16/2*SUM(E$6:E15))/(100+D16/2)</f>
        <v>0.91410799315425428</v>
      </c>
    </row>
    <row r="17" spans="2:5">
      <c r="C17" s="1" t="s">
        <v>225</v>
      </c>
      <c r="D17" s="33">
        <v>1.7</v>
      </c>
      <c r="E17" s="53">
        <f>(100-D17/2*SUM(E$6:E16))/(100+D17/2)</f>
        <v>0.90247272849226645</v>
      </c>
    </row>
    <row r="18" spans="2:5">
      <c r="C18" s="1" t="s">
        <v>226</v>
      </c>
      <c r="D18" s="33">
        <f>(D17+D19)/2</f>
        <v>1.75</v>
      </c>
      <c r="E18" s="53">
        <f>(100-D18/2*SUM(E$6:E17))/(100+D18/2)</f>
        <v>0.89180102040175879</v>
      </c>
    </row>
    <row r="19" spans="2:5">
      <c r="C19" s="1" t="s">
        <v>227</v>
      </c>
      <c r="D19" s="33">
        <v>1.8</v>
      </c>
      <c r="E19" s="53">
        <f>(100-D19/2*SUM(E$6:E18))/(100+D19/2)</f>
        <v>0.88078257778460467</v>
      </c>
    </row>
    <row r="22" spans="2:5">
      <c r="B22" t="s">
        <v>238</v>
      </c>
    </row>
    <row r="24" spans="2:5">
      <c r="C24" s="1" t="s">
        <v>229</v>
      </c>
      <c r="D24" s="33">
        <f>100*(E11-E19)</f>
        <v>8.3844030936265685</v>
      </c>
    </row>
    <row r="25" spans="2:5">
      <c r="C25" s="1" t="s">
        <v>230</v>
      </c>
      <c r="D25" s="33">
        <f>D24/(SUM(E12:E19)*0.5)</f>
        <v>2.2812172680238634</v>
      </c>
      <c r="E25" t="s">
        <v>245</v>
      </c>
    </row>
    <row r="27" spans="2:5">
      <c r="B27" t="s">
        <v>231</v>
      </c>
    </row>
    <row r="29" spans="2:5">
      <c r="C29" s="1" t="s">
        <v>237</v>
      </c>
      <c r="D29" s="1">
        <v>100</v>
      </c>
    </row>
    <row r="30" spans="2:5">
      <c r="C30" s="1" t="s">
        <v>230</v>
      </c>
      <c r="D30" s="112">
        <f>D25/100</f>
        <v>2.2812172680238635E-2</v>
      </c>
    </row>
    <row r="31" spans="2:5">
      <c r="C31" s="1" t="s">
        <v>232</v>
      </c>
      <c r="D31" s="112">
        <v>2.1999999999999999E-2</v>
      </c>
    </row>
    <row r="32" spans="2:5">
      <c r="C32" s="1" t="s">
        <v>233</v>
      </c>
      <c r="D32" s="1">
        <v>0.3</v>
      </c>
    </row>
    <row r="33" spans="3:4">
      <c r="C33" s="1" t="s">
        <v>244</v>
      </c>
      <c r="D33" s="1">
        <v>3</v>
      </c>
    </row>
    <row r="34" spans="3:4" ht="16">
      <c r="C34" s="1" t="s">
        <v>234</v>
      </c>
      <c r="D34" s="1">
        <f>(LN(D30/D31)+D32^2*D33/2)/(D32*D33^0.5)</f>
        <v>0.32957429976378882</v>
      </c>
    </row>
    <row r="35" spans="3:4" ht="16">
      <c r="C35" s="1" t="s">
        <v>235</v>
      </c>
      <c r="D35" s="1">
        <f>D34-D32*D33^0.5</f>
        <v>-0.19004094250687431</v>
      </c>
    </row>
    <row r="37" spans="3:4">
      <c r="C37" s="1" t="s">
        <v>236</v>
      </c>
      <c r="D37" s="33">
        <f>(D30*NORMSDIST(D34)-D31*NORMSDIST(D35))*(D29*SUM(E12:E19)*0.5)</f>
        <v>1.8413732999292858</v>
      </c>
    </row>
    <row r="44" spans="3:4">
      <c r="D44" s="73"/>
    </row>
    <row r="48" spans="3:4">
      <c r="D48" s="46"/>
    </row>
  </sheetData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E48"/>
  <sheetViews>
    <sheetView workbookViewId="0"/>
  </sheetViews>
  <sheetFormatPr baseColWidth="10" defaultColWidth="8.83203125" defaultRowHeight="14"/>
  <cols>
    <col min="2" max="2" width="11.5" customWidth="1"/>
    <col min="3" max="3" width="13.33203125" customWidth="1"/>
    <col min="4" max="4" width="12.5" customWidth="1"/>
    <col min="5" max="5" width="12.33203125" customWidth="1"/>
  </cols>
  <sheetData>
    <row r="3" spans="2:5">
      <c r="B3" t="s">
        <v>228</v>
      </c>
    </row>
    <row r="5" spans="2:5">
      <c r="C5" s="1"/>
      <c r="D5" s="1" t="s">
        <v>212</v>
      </c>
      <c r="E5" s="1" t="s">
        <v>213</v>
      </c>
    </row>
    <row r="6" spans="2:5">
      <c r="C6" s="1" t="s">
        <v>214</v>
      </c>
      <c r="D6" s="33">
        <v>0.5</v>
      </c>
      <c r="E6" s="53">
        <f>100/(100*(1+D6/100*182.5/360))</f>
        <v>0.99747168635056971</v>
      </c>
    </row>
    <row r="7" spans="2:5">
      <c r="C7" s="1" t="s">
        <v>215</v>
      </c>
      <c r="D7" s="33">
        <v>0.7</v>
      </c>
      <c r="E7" s="53">
        <f>(100-D7/2*SUM(E$6:E6))/(100+D7/2)</f>
        <v>0.99303323278303246</v>
      </c>
    </row>
    <row r="8" spans="2:5">
      <c r="C8" s="1" t="s">
        <v>216</v>
      </c>
      <c r="D8" s="33">
        <v>0.85</v>
      </c>
      <c r="E8" s="53">
        <f>(100-D8/2*SUM(E$6:E7))/(100+D8/2)</f>
        <v>0.98734414149233973</v>
      </c>
    </row>
    <row r="9" spans="2:5">
      <c r="C9" s="1" t="s">
        <v>217</v>
      </c>
      <c r="D9" s="33">
        <v>1</v>
      </c>
      <c r="E9" s="53">
        <f>(100-D9/2*SUM(E$6:E8))/(100+D9/2)</f>
        <v>0.98020970616604008</v>
      </c>
    </row>
    <row r="10" spans="2:5">
      <c r="C10" s="1" t="s">
        <v>218</v>
      </c>
      <c r="D10" s="33">
        <f>(D9+D11)/2</f>
        <v>1.1000000000000001</v>
      </c>
      <c r="E10" s="53">
        <f>(100-D10/2*SUM(E$6:E9))/(100+D10/2)</f>
        <v>0.97287983767542929</v>
      </c>
    </row>
    <row r="11" spans="2:5">
      <c r="C11" s="1" t="s">
        <v>219</v>
      </c>
      <c r="D11" s="33">
        <v>1.2</v>
      </c>
      <c r="E11" s="53">
        <f>(100-D11/2*SUM(E$6:E10))/(100+D11/2)</f>
        <v>0.96462660872087036</v>
      </c>
    </row>
    <row r="12" spans="2:5">
      <c r="C12" s="1" t="s">
        <v>220</v>
      </c>
      <c r="D12" s="33">
        <f>(D11+D13)/2</f>
        <v>1.2999999999999998</v>
      </c>
      <c r="E12" s="53">
        <f>(100-D12/2*SUM(E$6:E11))/(100+D12/2)</f>
        <v>0.95546828227945957</v>
      </c>
    </row>
    <row r="13" spans="2:5">
      <c r="C13" s="1" t="s">
        <v>221</v>
      </c>
      <c r="D13" s="33">
        <v>1.4</v>
      </c>
      <c r="E13" s="53">
        <f>(100-D13/2*SUM(E$6:E12))/(100+D13/2)</f>
        <v>0.94542479198781104</v>
      </c>
    </row>
    <row r="14" spans="2:5">
      <c r="C14" s="1" t="s">
        <v>222</v>
      </c>
      <c r="D14" s="33">
        <f>(D13+D15)/2</f>
        <v>1.4750000000000001</v>
      </c>
      <c r="E14" s="53">
        <f>(100-D14/2*SUM(E$6:E13))/(100+D14/2)</f>
        <v>0.93560106229558537</v>
      </c>
    </row>
    <row r="15" spans="2:5">
      <c r="C15" s="1" t="s">
        <v>223</v>
      </c>
      <c r="D15" s="33">
        <v>1.55</v>
      </c>
      <c r="E15" s="53">
        <f>(100-D15/2*SUM(E$6:E14))/(100+D15/2)</f>
        <v>0.92515657657100336</v>
      </c>
    </row>
    <row r="16" spans="2:5">
      <c r="C16" s="1" t="s">
        <v>224</v>
      </c>
      <c r="D16" s="33">
        <f>(D15+D17)/2</f>
        <v>1.625</v>
      </c>
      <c r="E16" s="53">
        <f>(100-D16/2*SUM(E$6:E15))/(100+D16/2)</f>
        <v>0.91410799315425428</v>
      </c>
    </row>
    <row r="17" spans="2:5">
      <c r="C17" s="1" t="s">
        <v>225</v>
      </c>
      <c r="D17" s="33">
        <v>1.7</v>
      </c>
      <c r="E17" s="53">
        <f>(100-D17/2*SUM(E$6:E16))/(100+D17/2)</f>
        <v>0.90247272849226645</v>
      </c>
    </row>
    <row r="18" spans="2:5">
      <c r="C18" s="1" t="s">
        <v>226</v>
      </c>
      <c r="D18" s="33">
        <f>(D17+D19)/2</f>
        <v>1.75</v>
      </c>
      <c r="E18" s="53">
        <f>(100-D18/2*SUM(E$6:E17))/(100+D18/2)</f>
        <v>0.89180102040175879</v>
      </c>
    </row>
    <row r="19" spans="2:5">
      <c r="C19" s="1" t="s">
        <v>227</v>
      </c>
      <c r="D19" s="33">
        <v>1.8</v>
      </c>
      <c r="E19" s="53">
        <f>(100-D19/2*SUM(E$6:E18))/(100+D19/2)</f>
        <v>0.88078257778460467</v>
      </c>
    </row>
    <row r="22" spans="2:5">
      <c r="B22" t="s">
        <v>239</v>
      </c>
    </row>
    <row r="24" spans="2:5">
      <c r="C24" s="1" t="s">
        <v>229</v>
      </c>
      <c r="D24" s="33">
        <f>100*(E9-E19)</f>
        <v>9.9427128381435423</v>
      </c>
    </row>
    <row r="25" spans="2:5">
      <c r="C25" s="1" t="s">
        <v>230</v>
      </c>
      <c r="D25" s="33">
        <f>D24/(SUM(E10:E19)*0.5)</f>
        <v>2.1409062682066802</v>
      </c>
      <c r="E25" t="s">
        <v>245</v>
      </c>
    </row>
    <row r="27" spans="2:5">
      <c r="B27" t="s">
        <v>231</v>
      </c>
    </row>
    <row r="29" spans="2:5">
      <c r="C29" s="1" t="s">
        <v>237</v>
      </c>
      <c r="D29" s="1">
        <v>100</v>
      </c>
    </row>
    <row r="30" spans="2:5">
      <c r="C30" s="1" t="s">
        <v>230</v>
      </c>
      <c r="D30" s="112">
        <f>D25/100</f>
        <v>2.1409062682066802E-2</v>
      </c>
    </row>
    <row r="31" spans="2:5">
      <c r="C31" s="1" t="s">
        <v>232</v>
      </c>
      <c r="D31" s="112">
        <v>2.1999999999999999E-2</v>
      </c>
    </row>
    <row r="32" spans="2:5">
      <c r="C32" s="1" t="s">
        <v>233</v>
      </c>
      <c r="D32" s="1">
        <v>0.3</v>
      </c>
    </row>
    <row r="33" spans="2:5">
      <c r="C33" s="1" t="s">
        <v>244</v>
      </c>
      <c r="D33" s="1">
        <v>2</v>
      </c>
    </row>
    <row r="34" spans="2:5" ht="16">
      <c r="C34" s="1" t="s">
        <v>234</v>
      </c>
      <c r="D34" s="1">
        <f>(LN(D30/D31)+D32^2*D33/2)/(D32*D33^0.5)</f>
        <v>0.14795471374648433</v>
      </c>
    </row>
    <row r="35" spans="2:5" ht="16">
      <c r="C35" s="1" t="s">
        <v>235</v>
      </c>
      <c r="D35" s="1">
        <f>D34-D32*D33^0.5</f>
        <v>-0.27630935496544418</v>
      </c>
    </row>
    <row r="37" spans="2:5">
      <c r="C37" s="1" t="s">
        <v>236</v>
      </c>
      <c r="D37" s="33">
        <f>(D30*NORMSDIST(D34)-D31*NORMSDIST(D35))*(D29*SUM(E10:E19)*0.5)</f>
        <v>1.5596016436868541</v>
      </c>
    </row>
    <row r="40" spans="2:5">
      <c r="B40" t="s">
        <v>240</v>
      </c>
    </row>
    <row r="42" spans="2:5">
      <c r="C42" t="s">
        <v>243</v>
      </c>
      <c r="D42" s="2">
        <v>1</v>
      </c>
    </row>
    <row r="43" spans="2:5">
      <c r="C43" t="s">
        <v>241</v>
      </c>
      <c r="D43" s="63">
        <f>D37/(0.5*SUM(E6:E9))</f>
        <v>0.788063914953398</v>
      </c>
      <c r="E43" t="s">
        <v>245</v>
      </c>
    </row>
    <row r="44" spans="2:5">
      <c r="D44" s="73"/>
    </row>
    <row r="45" spans="2:5">
      <c r="C45" t="s">
        <v>242</v>
      </c>
      <c r="D45" s="2">
        <f>D42+D43</f>
        <v>1.7880639149533981</v>
      </c>
      <c r="E45" t="s">
        <v>245</v>
      </c>
    </row>
    <row r="48" spans="2:5">
      <c r="D48" s="46"/>
    </row>
  </sheetData>
  <phoneticPr fontId="3"/>
  <pageMargins left="0.75" right="0.75" top="1" bottom="1" header="0.51200000000000001" footer="0.5120000000000000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H63"/>
  <sheetViews>
    <sheetView topLeftCell="A36" workbookViewId="0"/>
  </sheetViews>
  <sheetFormatPr baseColWidth="10" defaultColWidth="8.83203125" defaultRowHeight="14"/>
  <cols>
    <col min="2" max="2" width="11.5" customWidth="1"/>
    <col min="3" max="3" width="13.33203125" customWidth="1"/>
    <col min="4" max="8" width="12.5" customWidth="1"/>
  </cols>
  <sheetData>
    <row r="3" spans="2:5">
      <c r="B3" t="s">
        <v>228</v>
      </c>
    </row>
    <row r="5" spans="2:5">
      <c r="C5" s="1"/>
      <c r="D5" s="1" t="s">
        <v>212</v>
      </c>
      <c r="E5" s="1" t="s">
        <v>213</v>
      </c>
    </row>
    <row r="6" spans="2:5">
      <c r="C6" s="1" t="s">
        <v>214</v>
      </c>
      <c r="D6" s="33">
        <v>0.5</v>
      </c>
      <c r="E6" s="53">
        <f>100/(100*(1+D6/100*182.5/360))</f>
        <v>0.99747168635056971</v>
      </c>
    </row>
    <row r="7" spans="2:5">
      <c r="C7" s="1" t="s">
        <v>215</v>
      </c>
      <c r="D7" s="33">
        <v>0.7</v>
      </c>
      <c r="E7" s="53">
        <f>(100-D7/2*SUM(E$6:E6))/(100+D7/2)</f>
        <v>0.99303323278303246</v>
      </c>
    </row>
    <row r="8" spans="2:5">
      <c r="C8" s="1" t="s">
        <v>216</v>
      </c>
      <c r="D8" s="33">
        <v>0.85</v>
      </c>
      <c r="E8" s="53">
        <f>(100-D8/2*SUM(E$6:E7))/(100+D8/2)</f>
        <v>0.98734414149233973</v>
      </c>
    </row>
    <row r="9" spans="2:5">
      <c r="C9" s="1" t="s">
        <v>217</v>
      </c>
      <c r="D9" s="33">
        <v>1</v>
      </c>
      <c r="E9" s="53">
        <f>(100-D9/2*SUM(E$6:E8))/(100+D9/2)</f>
        <v>0.98020970616604008</v>
      </c>
    </row>
    <row r="10" spans="2:5">
      <c r="C10" s="1" t="s">
        <v>218</v>
      </c>
      <c r="D10" s="33">
        <f>(D9+D11)/2</f>
        <v>1.1000000000000001</v>
      </c>
      <c r="E10" s="53">
        <f>(100-D10/2*SUM(E$6:E9))/(100+D10/2)</f>
        <v>0.97287983767542929</v>
      </c>
    </row>
    <row r="11" spans="2:5">
      <c r="C11" s="1" t="s">
        <v>219</v>
      </c>
      <c r="D11" s="33">
        <v>1.2</v>
      </c>
      <c r="E11" s="53">
        <f>(100-D11/2*SUM(E$6:E10))/(100+D11/2)</f>
        <v>0.96462660872087036</v>
      </c>
    </row>
    <row r="12" spans="2:5">
      <c r="C12" s="1" t="s">
        <v>220</v>
      </c>
      <c r="D12" s="33">
        <f>(D11+D13)/2</f>
        <v>1.2999999999999998</v>
      </c>
      <c r="E12" s="53">
        <f>(100-D12/2*SUM(E$6:E11))/(100+D12/2)</f>
        <v>0.95546828227945957</v>
      </c>
    </row>
    <row r="13" spans="2:5">
      <c r="C13" s="1" t="s">
        <v>221</v>
      </c>
      <c r="D13" s="33">
        <v>1.4</v>
      </c>
      <c r="E13" s="53">
        <f>(100-D13/2*SUM(E$6:E12))/(100+D13/2)</f>
        <v>0.94542479198781104</v>
      </c>
    </row>
    <row r="14" spans="2:5">
      <c r="C14" s="1" t="s">
        <v>222</v>
      </c>
      <c r="D14" s="33">
        <f>(D13+D15)/2</f>
        <v>1.4750000000000001</v>
      </c>
      <c r="E14" s="53">
        <f>(100-D14/2*SUM(E$6:E13))/(100+D14/2)</f>
        <v>0.93560106229558537</v>
      </c>
    </row>
    <row r="15" spans="2:5">
      <c r="C15" s="1" t="s">
        <v>223</v>
      </c>
      <c r="D15" s="33">
        <v>1.55</v>
      </c>
      <c r="E15" s="53">
        <f>(100-D15/2*SUM(E$6:E14))/(100+D15/2)</f>
        <v>0.92515657657100336</v>
      </c>
    </row>
    <row r="16" spans="2:5">
      <c r="C16" s="1" t="s">
        <v>224</v>
      </c>
      <c r="D16" s="33">
        <f>(D15+D17)/2</f>
        <v>1.625</v>
      </c>
      <c r="E16" s="53">
        <f>(100-D16/2*SUM(E$6:E15))/(100+D16/2)</f>
        <v>0.91410799315425428</v>
      </c>
    </row>
    <row r="17" spans="2:5">
      <c r="C17" s="1" t="s">
        <v>225</v>
      </c>
      <c r="D17" s="33">
        <v>1.7</v>
      </c>
      <c r="E17" s="53">
        <f>(100-D17/2*SUM(E$6:E16))/(100+D17/2)</f>
        <v>0.90247272849226645</v>
      </c>
    </row>
    <row r="18" spans="2:5">
      <c r="C18" s="1" t="s">
        <v>226</v>
      </c>
      <c r="D18" s="33">
        <f>(D17+D19)/2</f>
        <v>1.75</v>
      </c>
      <c r="E18" s="53">
        <f>(100-D18/2*SUM(E$6:E17))/(100+D18/2)</f>
        <v>0.89180102040175879</v>
      </c>
    </row>
    <row r="19" spans="2:5">
      <c r="C19" s="1" t="s">
        <v>227</v>
      </c>
      <c r="D19" s="33">
        <v>1.8</v>
      </c>
      <c r="E19" s="53">
        <f>(100-D19/2*SUM(E$6:E18))/(100+D19/2)</f>
        <v>0.88078257778460467</v>
      </c>
    </row>
    <row r="22" spans="2:5">
      <c r="B22" t="s">
        <v>246</v>
      </c>
    </row>
    <row r="24" spans="2:5">
      <c r="C24" s="1" t="s">
        <v>247</v>
      </c>
      <c r="D24" s="33" t="s">
        <v>248</v>
      </c>
    </row>
    <row r="25" spans="2:5">
      <c r="C25" s="1" t="s">
        <v>249</v>
      </c>
      <c r="D25" s="33">
        <f>(E6/E7-1)*200</f>
        <v>0.893918435156138</v>
      </c>
    </row>
    <row r="26" spans="2:5">
      <c r="C26" s="1" t="s">
        <v>250</v>
      </c>
      <c r="D26" s="33">
        <f>(E7/E8-1)*200</f>
        <v>1.1524029062640384</v>
      </c>
    </row>
    <row r="27" spans="2:5">
      <c r="C27" s="1" t="s">
        <v>251</v>
      </c>
      <c r="D27" s="33">
        <f>(E8/E9-1)*200</f>
        <v>1.4556957111157676</v>
      </c>
    </row>
    <row r="28" spans="2:5">
      <c r="C28" s="1" t="s">
        <v>252</v>
      </c>
      <c r="D28" s="33">
        <f>(E9/E10-1)*200</f>
        <v>1.5068394280067565</v>
      </c>
    </row>
    <row r="29" spans="2:5">
      <c r="C29" s="1" t="s">
        <v>253</v>
      </c>
      <c r="D29" s="33">
        <f>(E10/E11-1)*200</f>
        <v>1.7111758850407277</v>
      </c>
    </row>
    <row r="30" spans="2:5">
      <c r="D30" s="34"/>
    </row>
    <row r="31" spans="2:5">
      <c r="D31" s="34"/>
    </row>
    <row r="32" spans="2:5">
      <c r="B32" t="s">
        <v>254</v>
      </c>
    </row>
    <row r="34" spans="3:8">
      <c r="D34" t="s">
        <v>255</v>
      </c>
      <c r="E34" t="s">
        <v>257</v>
      </c>
      <c r="F34" t="s">
        <v>258</v>
      </c>
      <c r="G34" t="s">
        <v>259</v>
      </c>
      <c r="H34" t="s">
        <v>260</v>
      </c>
    </row>
    <row r="35" spans="3:8">
      <c r="C35" s="1" t="s">
        <v>237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</row>
    <row r="36" spans="3:8">
      <c r="C36" s="1" t="s">
        <v>230</v>
      </c>
      <c r="D36" s="112">
        <f>D25/100</f>
        <v>8.93918435156138E-3</v>
      </c>
      <c r="E36" s="112">
        <f>D26/100</f>
        <v>1.1524029062640384E-2</v>
      </c>
      <c r="F36" s="112">
        <f>D27/100</f>
        <v>1.4556957111157676E-2</v>
      </c>
      <c r="G36" s="112">
        <f>D28/100</f>
        <v>1.5068394280067565E-2</v>
      </c>
      <c r="H36" s="112">
        <f>D29/100</f>
        <v>1.7111758850407277E-2</v>
      </c>
    </row>
    <row r="37" spans="3:8">
      <c r="C37" s="1" t="s">
        <v>232</v>
      </c>
      <c r="D37" s="112">
        <v>1.2999999999999999E-2</v>
      </c>
      <c r="E37" s="112">
        <f>D37</f>
        <v>1.2999999999999999E-2</v>
      </c>
      <c r="F37" s="112">
        <f>E37</f>
        <v>1.2999999999999999E-2</v>
      </c>
      <c r="G37" s="112">
        <f>F37</f>
        <v>1.2999999999999999E-2</v>
      </c>
      <c r="H37" s="112">
        <f>G37</f>
        <v>1.2999999999999999E-2</v>
      </c>
    </row>
    <row r="38" spans="3:8">
      <c r="C38" s="1" t="s">
        <v>233</v>
      </c>
      <c r="D38" s="1">
        <v>0.4</v>
      </c>
      <c r="E38" s="1">
        <v>0.4</v>
      </c>
      <c r="F38" s="1">
        <v>0.4</v>
      </c>
      <c r="G38" s="1">
        <v>0.4</v>
      </c>
      <c r="H38" s="1">
        <v>0.4</v>
      </c>
    </row>
    <row r="39" spans="3:8">
      <c r="C39" s="1" t="s">
        <v>244</v>
      </c>
      <c r="D39" s="2">
        <v>0.5</v>
      </c>
      <c r="E39" s="2">
        <v>1</v>
      </c>
      <c r="F39" s="2">
        <v>1.5</v>
      </c>
      <c r="G39" s="2">
        <v>2</v>
      </c>
      <c r="H39" s="2">
        <v>2.5</v>
      </c>
    </row>
    <row r="40" spans="3:8" ht="16">
      <c r="C40" s="1" t="s">
        <v>234</v>
      </c>
      <c r="D40" s="42">
        <f>(LN(D36/D37)+D38^2*D39/2)/(D38*D39^0.5)</f>
        <v>-1.1826537984839176</v>
      </c>
      <c r="E40" s="42">
        <f>(LN(E36/E37)+E38^2*E39/2)/(E38*E39^0.5)</f>
        <v>-0.1012875457986448</v>
      </c>
      <c r="F40" s="42">
        <f>(LN(F36/F37)+F38^2*F39/2)/(F38*F39^0.5)</f>
        <v>0.47585354160834581</v>
      </c>
      <c r="G40" s="42">
        <f>(LN(G36/G37)+G38^2*G39/2)/(G38*G39^0.5)</f>
        <v>0.54385367763172776</v>
      </c>
      <c r="H40" s="42">
        <f>(LN(H36/H37)+H38^2*H39/2)/(H38*H39^0.5)</f>
        <v>0.75075083977294421</v>
      </c>
    </row>
    <row r="41" spans="3:8" ht="16">
      <c r="C41" s="1" t="s">
        <v>235</v>
      </c>
      <c r="D41" s="42">
        <f>D40-D38*D39^0.5</f>
        <v>-1.4654965109585367</v>
      </c>
      <c r="E41" s="42">
        <f>E40-E38*E39^0.5</f>
        <v>-0.50128754579864476</v>
      </c>
      <c r="F41" s="42">
        <f>F40-F38*F39^0.5</f>
        <v>-1.4044406948289789E-2</v>
      </c>
      <c r="G41" s="42">
        <f>G40-G38*G39^0.5</f>
        <v>-2.1831747317510364E-2</v>
      </c>
      <c r="H41" s="42">
        <f>H40-H38*H39^0.5</f>
        <v>0.11829530773926822</v>
      </c>
    </row>
    <row r="43" spans="3:8">
      <c r="C43" s="1" t="s">
        <v>256</v>
      </c>
      <c r="D43" s="113">
        <f>E7</f>
        <v>0.99303323278303246</v>
      </c>
      <c r="E43" s="113">
        <f>E8</f>
        <v>0.98734414149233973</v>
      </c>
      <c r="F43" s="113">
        <f>E9</f>
        <v>0.98020970616604008</v>
      </c>
      <c r="G43" s="113">
        <f>E10</f>
        <v>0.97287983767542929</v>
      </c>
      <c r="H43" s="113">
        <f>E11</f>
        <v>0.96462660872087036</v>
      </c>
    </row>
    <row r="44" spans="3:8">
      <c r="C44" s="1" t="s">
        <v>236</v>
      </c>
      <c r="D44" s="45">
        <f>D35*D43*0.5*(D36*NORMSDIST(D40)-D37*NORMSDIST(D41))</f>
        <v>6.501781847646949E-3</v>
      </c>
      <c r="E44" s="45">
        <f>E35*E43*0.5*(E36*NORMSDIST(E40)-E37*NORMSDIST(E41))</f>
        <v>6.3784943861765406E-2</v>
      </c>
      <c r="F44" s="45">
        <f>F35*F43*0.5*(F36*NORMSDIST(F40)-F37*NORMSDIST(F41))</f>
        <v>0.17221972275257311</v>
      </c>
      <c r="G44" s="45">
        <f>G35*G43*0.5*(G36*NORMSDIST(G40)-G37*NORMSDIST(G41))</f>
        <v>0.20734432744923753</v>
      </c>
      <c r="H44" s="45">
        <f>H35*H43*0.5*(H36*NORMSDIST(H40)-H37*NORMSDIST(H41))</f>
        <v>0.29544357650934228</v>
      </c>
    </row>
    <row r="46" spans="3:8">
      <c r="C46" s="1" t="s">
        <v>261</v>
      </c>
      <c r="D46" s="33">
        <f>SUM(D44:H44)</f>
        <v>0.7452943524205653</v>
      </c>
    </row>
    <row r="48" spans="3:8">
      <c r="D48" s="7"/>
    </row>
    <row r="49" spans="2:8">
      <c r="B49" t="s">
        <v>262</v>
      </c>
      <c r="D49" s="34"/>
    </row>
    <row r="50" spans="2:8">
      <c r="D50" s="73"/>
    </row>
    <row r="51" spans="2:8">
      <c r="D51" t="s">
        <v>263</v>
      </c>
      <c r="E51" t="s">
        <v>264</v>
      </c>
      <c r="F51" t="s">
        <v>265</v>
      </c>
      <c r="G51" t="s">
        <v>266</v>
      </c>
      <c r="H51" t="s">
        <v>267</v>
      </c>
    </row>
    <row r="52" spans="2:8">
      <c r="C52" s="1" t="s">
        <v>268</v>
      </c>
      <c r="D52" s="1">
        <v>100</v>
      </c>
      <c r="E52" s="1">
        <v>100</v>
      </c>
      <c r="F52" s="1">
        <v>100</v>
      </c>
      <c r="G52" s="1">
        <v>100</v>
      </c>
      <c r="H52" s="1">
        <v>100</v>
      </c>
    </row>
    <row r="53" spans="2:8">
      <c r="C53" s="1" t="s">
        <v>269</v>
      </c>
      <c r="D53" s="112">
        <f>D36</f>
        <v>8.93918435156138E-3</v>
      </c>
      <c r="E53" s="112">
        <f>E36</f>
        <v>1.1524029062640384E-2</v>
      </c>
      <c r="F53" s="112">
        <f>F36</f>
        <v>1.4556957111157676E-2</v>
      </c>
      <c r="G53" s="112">
        <f>G36</f>
        <v>1.5068394280067565E-2</v>
      </c>
      <c r="H53" s="112">
        <f>H36</f>
        <v>1.7111758850407277E-2</v>
      </c>
    </row>
    <row r="54" spans="2:8">
      <c r="C54" s="1" t="s">
        <v>270</v>
      </c>
      <c r="D54" s="112">
        <v>1.2999999999999999E-2</v>
      </c>
      <c r="E54" s="112">
        <f>D54</f>
        <v>1.2999999999999999E-2</v>
      </c>
      <c r="F54" s="112">
        <f>E54</f>
        <v>1.2999999999999999E-2</v>
      </c>
      <c r="G54" s="112">
        <f>F54</f>
        <v>1.2999999999999999E-2</v>
      </c>
      <c r="H54" s="112">
        <f>G54</f>
        <v>1.2999999999999999E-2</v>
      </c>
    </row>
    <row r="55" spans="2:8">
      <c r="C55" s="1" t="s">
        <v>271</v>
      </c>
      <c r="D55" s="1">
        <v>0.4</v>
      </c>
      <c r="E55" s="1">
        <v>0.4</v>
      </c>
      <c r="F55" s="1">
        <v>0.4</v>
      </c>
      <c r="G55" s="1">
        <v>0.4</v>
      </c>
      <c r="H55" s="1">
        <v>0.4</v>
      </c>
    </row>
    <row r="56" spans="2:8">
      <c r="C56" s="1" t="s">
        <v>272</v>
      </c>
      <c r="D56" s="2">
        <v>0.5</v>
      </c>
      <c r="E56" s="2">
        <v>1</v>
      </c>
      <c r="F56" s="2">
        <v>1.5</v>
      </c>
      <c r="G56" s="2">
        <v>2</v>
      </c>
      <c r="H56" s="2">
        <v>2.5</v>
      </c>
    </row>
    <row r="57" spans="2:8" ht="16">
      <c r="C57" s="1" t="s">
        <v>273</v>
      </c>
      <c r="D57" s="42">
        <f>(LN(D53/D54)+D55^2*D56/2)/(D55*D56^0.5)</f>
        <v>-1.1826537984839176</v>
      </c>
      <c r="E57" s="42">
        <f>(LN(E53/E54)+E55^2*E56/2)/(E55*E56^0.5)</f>
        <v>-0.1012875457986448</v>
      </c>
      <c r="F57" s="42">
        <f>(LN(F53/F54)+F55^2*F56/2)/(F55*F56^0.5)</f>
        <v>0.47585354160834581</v>
      </c>
      <c r="G57" s="42">
        <f>(LN(G53/G54)+G55^2*G56/2)/(G55*G56^0.5)</f>
        <v>0.54385367763172776</v>
      </c>
      <c r="H57" s="42">
        <f>(LN(H53/H54)+H55^2*H56/2)/(H55*H56^0.5)</f>
        <v>0.75075083977294421</v>
      </c>
    </row>
    <row r="58" spans="2:8" ht="16">
      <c r="C58" s="1" t="s">
        <v>274</v>
      </c>
      <c r="D58" s="42">
        <f>D57-D55*D56^0.5</f>
        <v>-1.4654965109585367</v>
      </c>
      <c r="E58" s="42">
        <f>E57-E55*E56^0.5</f>
        <v>-0.50128754579864476</v>
      </c>
      <c r="F58" s="42">
        <f>F57-F55*F56^0.5</f>
        <v>-1.4044406948289789E-2</v>
      </c>
      <c r="G58" s="42">
        <f>G57-G55*G56^0.5</f>
        <v>-2.1831747317510364E-2</v>
      </c>
      <c r="H58" s="42">
        <f>H57-H55*H56^0.5</f>
        <v>0.11829530773926822</v>
      </c>
    </row>
    <row r="60" spans="2:8">
      <c r="C60" s="1" t="s">
        <v>256</v>
      </c>
      <c r="D60" s="113">
        <f>D43</f>
        <v>0.99303323278303246</v>
      </c>
      <c r="E60" s="113">
        <f>E43</f>
        <v>0.98734414149233973</v>
      </c>
      <c r="F60" s="113">
        <f>F43</f>
        <v>0.98020970616604008</v>
      </c>
      <c r="G60" s="113">
        <f>G43</f>
        <v>0.97287983767542929</v>
      </c>
      <c r="H60" s="113">
        <f>H43</f>
        <v>0.96462660872087036</v>
      </c>
    </row>
    <row r="61" spans="2:8">
      <c r="C61" s="1" t="s">
        <v>275</v>
      </c>
      <c r="D61" s="45">
        <f>D52*D60*0.5*(D54*NORMSDIST(-D58)-D53*NORMSDIST(-D57))</f>
        <v>0.20812802640289332</v>
      </c>
      <c r="E61" s="45">
        <f>E52*E60*0.5*(E54*NORMSDIST(-E58)-E53*NORMSDIST(-E57))</f>
        <v>0.13664950676251403</v>
      </c>
      <c r="F61" s="45">
        <f>F52*F60*0.5*(F54*NORMSDIST(-F58)-F53*NORMSDIST(-F57))</f>
        <v>9.5912499130523521E-2</v>
      </c>
      <c r="G61" s="45">
        <f>G52*G60*0.5*(G54*NORMSDIST(-G58)-G53*NORMSDIST(-G57))</f>
        <v>0.10672937287719157</v>
      </c>
      <c r="H61" s="45">
        <f>H52*H60*0.5*(H54*NORMSDIST(-H58)-H53*NORMSDIST(-H57))</f>
        <v>9.7127976722022474E-2</v>
      </c>
    </row>
    <row r="63" spans="2:8">
      <c r="C63" s="1" t="s">
        <v>276</v>
      </c>
      <c r="D63" s="33">
        <f>SUM(D61:H61)</f>
        <v>0.64454738189514493</v>
      </c>
    </row>
  </sheetData>
  <phoneticPr fontId="3"/>
  <pageMargins left="0.75" right="0.75" top="1" bottom="1" header="0.51200000000000001" footer="0.5120000000000000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H63"/>
  <sheetViews>
    <sheetView workbookViewId="0"/>
  </sheetViews>
  <sheetFormatPr baseColWidth="10" defaultColWidth="8.83203125" defaultRowHeight="14"/>
  <cols>
    <col min="2" max="2" width="11.5" customWidth="1"/>
    <col min="3" max="3" width="13.33203125" customWidth="1"/>
    <col min="4" max="8" width="12.5" customWidth="1"/>
  </cols>
  <sheetData>
    <row r="3" spans="2:5">
      <c r="B3" t="s">
        <v>228</v>
      </c>
    </row>
    <row r="5" spans="2:5">
      <c r="C5" s="1"/>
      <c r="D5" s="1" t="s">
        <v>212</v>
      </c>
      <c r="E5" s="52" t="s">
        <v>346</v>
      </c>
    </row>
    <row r="6" spans="2:5">
      <c r="C6" s="1" t="s">
        <v>214</v>
      </c>
      <c r="D6" s="33">
        <v>0.5</v>
      </c>
      <c r="E6" s="53">
        <f>100/(100*(1+D6/100*182.5/360))</f>
        <v>0.99747168635056971</v>
      </c>
    </row>
    <row r="7" spans="2:5">
      <c r="C7" s="1" t="s">
        <v>215</v>
      </c>
      <c r="D7" s="33">
        <v>0.7</v>
      </c>
      <c r="E7" s="53">
        <f>(100-D7/2*SUM(E$6:E6))/(100+D7/2)</f>
        <v>0.99303323278303246</v>
      </c>
    </row>
    <row r="8" spans="2:5">
      <c r="C8" s="1" t="s">
        <v>216</v>
      </c>
      <c r="D8" s="33">
        <v>0.85</v>
      </c>
      <c r="E8" s="53">
        <f>(100-D8/2*SUM(E$6:E7))/(100+D8/2)</f>
        <v>0.98734414149233973</v>
      </c>
    </row>
    <row r="9" spans="2:5">
      <c r="C9" s="1" t="s">
        <v>217</v>
      </c>
      <c r="D9" s="33">
        <v>1</v>
      </c>
      <c r="E9" s="53">
        <f>(100-D9/2*SUM(E$6:E8))/(100+D9/2)</f>
        <v>0.98020970616604008</v>
      </c>
    </row>
    <row r="10" spans="2:5">
      <c r="C10" s="1" t="s">
        <v>218</v>
      </c>
      <c r="D10" s="33">
        <f>(D9+D11)/2</f>
        <v>1.1000000000000001</v>
      </c>
      <c r="E10" s="53">
        <f>(100-D10/2*SUM(E$6:E9))/(100+D10/2)</f>
        <v>0.97287983767542929</v>
      </c>
    </row>
    <row r="11" spans="2:5">
      <c r="C11" s="1" t="s">
        <v>219</v>
      </c>
      <c r="D11" s="33">
        <v>1.2</v>
      </c>
      <c r="E11" s="53">
        <f>(100-D11/2*SUM(E$6:E10))/(100+D11/2)</f>
        <v>0.96462660872087036</v>
      </c>
    </row>
    <row r="12" spans="2:5">
      <c r="C12" s="1" t="s">
        <v>220</v>
      </c>
      <c r="D12" s="33">
        <f>(D11+D13)/2</f>
        <v>1.2999999999999998</v>
      </c>
      <c r="E12" s="53">
        <f>(100-D12/2*SUM(E$6:E11))/(100+D12/2)</f>
        <v>0.95546828227945957</v>
      </c>
    </row>
    <row r="13" spans="2:5">
      <c r="C13" s="1" t="s">
        <v>221</v>
      </c>
      <c r="D13" s="33">
        <v>1.4</v>
      </c>
      <c r="E13" s="53">
        <f>(100-D13/2*SUM(E$6:E12))/(100+D13/2)</f>
        <v>0.94542479198781104</v>
      </c>
    </row>
    <row r="14" spans="2:5">
      <c r="C14" s="1" t="s">
        <v>222</v>
      </c>
      <c r="D14" s="33">
        <f>(D13+D15)/2</f>
        <v>1.4750000000000001</v>
      </c>
      <c r="E14" s="53">
        <f>(100-D14/2*SUM(E$6:E13))/(100+D14/2)</f>
        <v>0.93560106229558537</v>
      </c>
    </row>
    <row r="15" spans="2:5">
      <c r="C15" s="1" t="s">
        <v>223</v>
      </c>
      <c r="D15" s="33">
        <v>1.55</v>
      </c>
      <c r="E15" s="53">
        <f>(100-D15/2*SUM(E$6:E14))/(100+D15/2)</f>
        <v>0.92515657657100336</v>
      </c>
    </row>
    <row r="16" spans="2:5">
      <c r="C16" s="1" t="s">
        <v>224</v>
      </c>
      <c r="D16" s="33">
        <f>(D15+D17)/2</f>
        <v>1.625</v>
      </c>
      <c r="E16" s="53">
        <f>(100-D16/2*SUM(E$6:E15))/(100+D16/2)</f>
        <v>0.91410799315425428</v>
      </c>
    </row>
    <row r="17" spans="2:5">
      <c r="C17" s="1" t="s">
        <v>225</v>
      </c>
      <c r="D17" s="33">
        <v>1.7</v>
      </c>
      <c r="E17" s="53">
        <f>(100-D17/2*SUM(E$6:E16))/(100+D17/2)</f>
        <v>0.90247272849226645</v>
      </c>
    </row>
    <row r="18" spans="2:5">
      <c r="C18" s="1" t="s">
        <v>226</v>
      </c>
      <c r="D18" s="33">
        <f>(D17+D19)/2</f>
        <v>1.75</v>
      </c>
      <c r="E18" s="53">
        <f>(100-D18/2*SUM(E$6:E17))/(100+D18/2)</f>
        <v>0.89180102040175879</v>
      </c>
    </row>
    <row r="19" spans="2:5">
      <c r="C19" s="1" t="s">
        <v>227</v>
      </c>
      <c r="D19" s="33">
        <v>1.8</v>
      </c>
      <c r="E19" s="53">
        <f>(100-D19/2*SUM(E$6:E18))/(100+D19/2)</f>
        <v>0.88078257778460467</v>
      </c>
    </row>
    <row r="22" spans="2:5">
      <c r="B22" t="s">
        <v>246</v>
      </c>
    </row>
    <row r="24" spans="2:5">
      <c r="C24" s="1" t="s">
        <v>247</v>
      </c>
      <c r="D24" s="33" t="s">
        <v>248</v>
      </c>
    </row>
    <row r="25" spans="2:5">
      <c r="C25" s="1" t="s">
        <v>249</v>
      </c>
      <c r="D25" s="33">
        <f>(E6/E7-1)*200</f>
        <v>0.893918435156138</v>
      </c>
    </row>
    <row r="26" spans="2:5">
      <c r="C26" s="1" t="s">
        <v>250</v>
      </c>
      <c r="D26" s="33">
        <f>(E7/E8-1)*200</f>
        <v>1.1524029062640384</v>
      </c>
    </row>
    <row r="27" spans="2:5">
      <c r="C27" s="1" t="s">
        <v>251</v>
      </c>
      <c r="D27" s="33">
        <f>(E8/E9-1)*200</f>
        <v>1.4556957111157676</v>
      </c>
    </row>
    <row r="28" spans="2:5">
      <c r="C28" s="1" t="s">
        <v>252</v>
      </c>
      <c r="D28" s="33">
        <f>(E9/E10-1)*200</f>
        <v>1.5068394280067565</v>
      </c>
    </row>
    <row r="29" spans="2:5">
      <c r="C29" s="1" t="s">
        <v>253</v>
      </c>
      <c r="D29" s="33">
        <f>(E10/E11-1)*200</f>
        <v>1.7111758850407277</v>
      </c>
    </row>
    <row r="30" spans="2:5">
      <c r="D30" s="34"/>
    </row>
    <row r="31" spans="2:5">
      <c r="D31" s="34"/>
    </row>
    <row r="32" spans="2:5">
      <c r="B32" t="s">
        <v>254</v>
      </c>
    </row>
    <row r="34" spans="3:8">
      <c r="D34" t="s">
        <v>255</v>
      </c>
      <c r="E34" t="s">
        <v>257</v>
      </c>
      <c r="F34" t="s">
        <v>258</v>
      </c>
      <c r="G34" t="s">
        <v>259</v>
      </c>
      <c r="H34" t="s">
        <v>260</v>
      </c>
    </row>
    <row r="35" spans="3:8">
      <c r="C35" s="1" t="s">
        <v>237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</row>
    <row r="36" spans="3:8">
      <c r="C36" s="1" t="s">
        <v>230</v>
      </c>
      <c r="D36" s="112">
        <f>D25/100</f>
        <v>8.93918435156138E-3</v>
      </c>
      <c r="E36" s="112">
        <f>D26/100</f>
        <v>1.1524029062640384E-2</v>
      </c>
      <c r="F36" s="112">
        <f>D27/100</f>
        <v>1.4556957111157676E-2</v>
      </c>
      <c r="G36" s="112">
        <f>D28/100</f>
        <v>1.5068394280067565E-2</v>
      </c>
      <c r="H36" s="112">
        <f>D29/100</f>
        <v>1.7111758850407277E-2</v>
      </c>
    </row>
    <row r="37" spans="3:8">
      <c r="C37" s="1" t="s">
        <v>232</v>
      </c>
      <c r="D37" s="112">
        <v>0.02</v>
      </c>
      <c r="E37" s="112">
        <f>D37</f>
        <v>0.02</v>
      </c>
      <c r="F37" s="112">
        <f>E37</f>
        <v>0.02</v>
      </c>
      <c r="G37" s="112">
        <f>F37</f>
        <v>0.02</v>
      </c>
      <c r="H37" s="112">
        <f>G37</f>
        <v>0.02</v>
      </c>
    </row>
    <row r="38" spans="3:8">
      <c r="C38" s="1" t="s">
        <v>233</v>
      </c>
      <c r="D38" s="1">
        <v>0.4</v>
      </c>
      <c r="E38" s="1">
        <v>0.4</v>
      </c>
      <c r="F38" s="1">
        <v>0.4</v>
      </c>
      <c r="G38" s="1">
        <v>0.4</v>
      </c>
      <c r="H38" s="1">
        <v>0.4</v>
      </c>
    </row>
    <row r="39" spans="3:8">
      <c r="C39" s="1" t="s">
        <v>244</v>
      </c>
      <c r="D39" s="2">
        <v>0.5</v>
      </c>
      <c r="E39" s="2">
        <v>1</v>
      </c>
      <c r="F39" s="2">
        <v>1.5</v>
      </c>
      <c r="G39" s="2">
        <v>2</v>
      </c>
      <c r="H39" s="2">
        <v>2.5</v>
      </c>
    </row>
    <row r="40" spans="3:8" ht="16">
      <c r="C40" s="1" t="s">
        <v>234</v>
      </c>
      <c r="D40" s="42">
        <f>(LN(D36/D37)+D38^2*D39/2)/(D38*D39^0.5)</f>
        <v>-2.7057014044253669</v>
      </c>
      <c r="E40" s="42">
        <f>(LN(E36/E37)+E38^2*E39/2)/(E38*E39^0.5)</f>
        <v>-1.1782448360297804</v>
      </c>
      <c r="F40" s="42">
        <f>(LN(F36/F37)+F38^2*F39/2)/(F38*F39^0.5)</f>
        <v>-0.40347840367056514</v>
      </c>
      <c r="G40" s="42">
        <f>(LN(G36/G37)+G38^2*G39/2)/(G38*G39^0.5)</f>
        <v>-0.21767012533899671</v>
      </c>
      <c r="H40" s="42">
        <f>(LN(H36/H37)+H38^2*H39/2)/(H38*H39^0.5)</f>
        <v>6.9623243802265519E-2</v>
      </c>
    </row>
    <row r="41" spans="3:8" ht="16">
      <c r="C41" s="1" t="s">
        <v>235</v>
      </c>
      <c r="D41" s="42">
        <f>D40-D38*D39^0.5</f>
        <v>-2.9885441168999858</v>
      </c>
      <c r="E41" s="42">
        <f>E40-E38*E39^0.5</f>
        <v>-1.5782448360297803</v>
      </c>
      <c r="F41" s="42">
        <f>F40-F38*F39^0.5</f>
        <v>-0.89337635222720069</v>
      </c>
      <c r="G41" s="42">
        <f>G40-G38*G39^0.5</f>
        <v>-0.78335555028823478</v>
      </c>
      <c r="H41" s="42">
        <f>H40-H38*H39^0.5</f>
        <v>-0.56283228823141052</v>
      </c>
    </row>
    <row r="43" spans="3:8">
      <c r="C43" s="1" t="s">
        <v>256</v>
      </c>
      <c r="D43" s="113">
        <f>E7</f>
        <v>0.99303323278303246</v>
      </c>
      <c r="E43" s="113">
        <f>E8</f>
        <v>0.98734414149233973</v>
      </c>
      <c r="F43" s="113">
        <f>E9</f>
        <v>0.98020970616604008</v>
      </c>
      <c r="G43" s="113">
        <f>E10</f>
        <v>0.97287983767542929</v>
      </c>
      <c r="H43" s="113">
        <f>E11</f>
        <v>0.96462660872087036</v>
      </c>
    </row>
    <row r="44" spans="3:8">
      <c r="C44" s="1" t="s">
        <v>236</v>
      </c>
      <c r="D44" s="45">
        <f>D35*D43*0.5*(D36*NORMSDIST(D40)-D37*NORMSDIST(D41))</f>
        <v>1.2084581577986629E-4</v>
      </c>
      <c r="E44" s="45">
        <f>E35*E43*0.5*(E36*NORMSDIST(E40)-E37*NORMSDIST(E41))</f>
        <v>1.13689441687538E-2</v>
      </c>
      <c r="F44" s="45">
        <f>F35*F43*0.5*(F36*NORMSDIST(F40)-F37*NORMSDIST(F41))</f>
        <v>6.2773607970887962E-2</v>
      </c>
      <c r="G44" s="45">
        <f>G35*G43*0.5*(G36*NORMSDIST(G40)-G37*NORMSDIST(G41))</f>
        <v>9.2509541300397208E-2</v>
      </c>
      <c r="H44" s="45">
        <f>H35*H43*0.5*(H36*NORMSDIST(H40)-H37*NORMSDIST(H41))</f>
        <v>0.15893646796729244</v>
      </c>
    </row>
    <row r="46" spans="3:8">
      <c r="C46" s="1" t="s">
        <v>261</v>
      </c>
      <c r="D46" s="33">
        <f>SUM(D44:H44)</f>
        <v>0.32570940722311126</v>
      </c>
    </row>
    <row r="48" spans="3:8">
      <c r="D48" s="7"/>
    </row>
    <row r="49" spans="2:8">
      <c r="B49" t="s">
        <v>277</v>
      </c>
      <c r="D49" s="34"/>
    </row>
    <row r="50" spans="2:8">
      <c r="D50" s="73"/>
    </row>
    <row r="51" spans="2:8">
      <c r="C51" s="33">
        <f>D46/(0.5*SUM(E6:E11))</f>
        <v>0.11049302160020373</v>
      </c>
      <c r="D51" t="s">
        <v>278</v>
      </c>
    </row>
    <row r="53" spans="2:8">
      <c r="D53" s="74"/>
      <c r="E53" s="74"/>
      <c r="F53" s="74"/>
      <c r="G53" s="74"/>
      <c r="H53" s="74"/>
    </row>
    <row r="54" spans="2:8">
      <c r="D54" s="74"/>
      <c r="E54" s="74"/>
      <c r="F54" s="74"/>
      <c r="G54" s="74"/>
      <c r="H54" s="74"/>
    </row>
    <row r="56" spans="2:8">
      <c r="D56" s="7"/>
      <c r="E56" s="7"/>
      <c r="F56" s="7"/>
      <c r="G56" s="7"/>
      <c r="H56" s="7"/>
    </row>
    <row r="57" spans="2:8">
      <c r="D57" s="46"/>
      <c r="E57" s="46"/>
      <c r="F57" s="46"/>
      <c r="G57" s="46"/>
      <c r="H57" s="46"/>
    </row>
    <row r="58" spans="2:8">
      <c r="D58" s="46"/>
      <c r="E58" s="46"/>
      <c r="F58" s="46"/>
      <c r="G58" s="46"/>
      <c r="H58" s="46"/>
    </row>
    <row r="60" spans="2:8">
      <c r="D60" s="114"/>
      <c r="E60" s="114"/>
      <c r="F60" s="114"/>
      <c r="G60" s="114"/>
      <c r="H60" s="114"/>
    </row>
    <row r="61" spans="2:8">
      <c r="D61" s="62"/>
      <c r="E61" s="62"/>
      <c r="F61" s="62"/>
      <c r="G61" s="62"/>
      <c r="H61" s="62"/>
    </row>
    <row r="63" spans="2:8">
      <c r="D63" s="81"/>
    </row>
  </sheetData>
  <phoneticPr fontId="3"/>
  <pageMargins left="0.75" right="0.75" top="1" bottom="1" header="0.51200000000000001" footer="0.5120000000000000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S79"/>
  <sheetViews>
    <sheetView topLeftCell="A23" zoomScale="125" zoomScaleNormal="125" workbookViewId="0">
      <selection activeCell="D80" sqref="D80"/>
    </sheetView>
  </sheetViews>
  <sheetFormatPr baseColWidth="10" defaultColWidth="8.83203125" defaultRowHeight="14"/>
  <cols>
    <col min="1" max="1" width="10.6640625" customWidth="1"/>
    <col min="2" max="2" width="14.1640625" customWidth="1"/>
    <col min="3" max="5" width="13.6640625" customWidth="1"/>
    <col min="6" max="6" width="8.1640625" customWidth="1"/>
    <col min="7" max="14" width="6.1640625" customWidth="1"/>
    <col min="15" max="15" width="10.1640625" customWidth="1"/>
    <col min="16" max="18" width="11.6640625" customWidth="1"/>
    <col min="19" max="19" width="11.1640625" customWidth="1"/>
  </cols>
  <sheetData>
    <row r="2" spans="2:19">
      <c r="F2" t="s">
        <v>102</v>
      </c>
    </row>
    <row r="3" spans="2:19">
      <c r="C3" t="s">
        <v>321</v>
      </c>
      <c r="F3" s="1">
        <v>0</v>
      </c>
    </row>
    <row r="4" spans="2:19" ht="15" thickBot="1">
      <c r="R4" t="s">
        <v>325</v>
      </c>
    </row>
    <row r="5" spans="2:19" ht="15" thickBot="1">
      <c r="C5" s="64"/>
      <c r="D5" s="85" t="s">
        <v>212</v>
      </c>
      <c r="F5" s="58">
        <v>0</v>
      </c>
      <c r="G5" s="59">
        <v>1</v>
      </c>
      <c r="H5" s="59">
        <v>2</v>
      </c>
      <c r="I5" s="59">
        <v>3</v>
      </c>
      <c r="J5" s="59">
        <v>4</v>
      </c>
      <c r="K5" s="59">
        <v>5</v>
      </c>
      <c r="L5" s="59">
        <v>6</v>
      </c>
      <c r="M5" s="60">
        <v>7</v>
      </c>
      <c r="P5" s="1" t="s">
        <v>141</v>
      </c>
      <c r="Q5" s="1"/>
      <c r="R5" s="1"/>
      <c r="S5" s="1" t="s">
        <v>309</v>
      </c>
    </row>
    <row r="6" spans="2:19">
      <c r="B6">
        <v>1</v>
      </c>
      <c r="C6" s="94" t="s">
        <v>214</v>
      </c>
      <c r="D6" s="124">
        <v>0.6</v>
      </c>
      <c r="F6" s="57">
        <v>0</v>
      </c>
      <c r="G6" s="57">
        <v>1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O6" s="1" t="s">
        <v>214</v>
      </c>
      <c r="P6" s="118">
        <f>D6+INDEX($F$6:$M$15,B6,$F$3+1)/100</f>
        <v>0.6</v>
      </c>
      <c r="Q6" s="1" t="s">
        <v>214</v>
      </c>
      <c r="R6" s="126">
        <f>P6</f>
        <v>0.6</v>
      </c>
      <c r="S6" s="127">
        <f>100/(100*(1+R6/100*182.5/360))</f>
        <v>0.99696755701408224</v>
      </c>
    </row>
    <row r="7" spans="2:19">
      <c r="B7">
        <v>2</v>
      </c>
      <c r="C7" s="94" t="s">
        <v>215</v>
      </c>
      <c r="D7" s="124">
        <v>0.8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O7" s="1" t="s">
        <v>215</v>
      </c>
      <c r="P7" s="118">
        <f t="shared" ref="P7:P12" si="0">D7+INDEX($F$6:$M$15,B7,$F$3+1)/100</f>
        <v>0.8</v>
      </c>
      <c r="Q7" s="1" t="s">
        <v>215</v>
      </c>
      <c r="R7" s="126">
        <f>P7</f>
        <v>0.8</v>
      </c>
      <c r="S7" s="127">
        <f>(100-R7/2*SUM(S$6:S6))/(100+R7/2)</f>
        <v>0.99204395395611911</v>
      </c>
    </row>
    <row r="8" spans="2:19">
      <c r="B8">
        <v>3</v>
      </c>
      <c r="C8" s="94" t="s">
        <v>216</v>
      </c>
      <c r="D8" s="124">
        <v>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O8" s="1" t="s">
        <v>216</v>
      </c>
      <c r="P8" s="118">
        <f t="shared" si="0"/>
        <v>1</v>
      </c>
      <c r="Q8" s="1" t="s">
        <v>216</v>
      </c>
      <c r="R8" s="126">
        <f>P8</f>
        <v>1</v>
      </c>
      <c r="S8" s="127">
        <f>(100-R8/2*SUM(S$6:S7))/(100+R8/2)</f>
        <v>0.98512929596532228</v>
      </c>
    </row>
    <row r="9" spans="2:19">
      <c r="B9">
        <v>4</v>
      </c>
      <c r="C9" s="94" t="s">
        <v>217</v>
      </c>
      <c r="D9" s="124">
        <v>1.2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O9" s="1" t="s">
        <v>217</v>
      </c>
      <c r="P9" s="118">
        <f t="shared" si="0"/>
        <v>1.2</v>
      </c>
      <c r="Q9" s="1" t="s">
        <v>217</v>
      </c>
      <c r="R9" s="126">
        <f>P9</f>
        <v>1.2</v>
      </c>
      <c r="S9" s="127">
        <f>(100-R9/2*SUM(S$6:S8))/(100+R9/2)</f>
        <v>0.97629737093279023</v>
      </c>
    </row>
    <row r="10" spans="2:19">
      <c r="B10">
        <v>5</v>
      </c>
      <c r="C10" s="94" t="s">
        <v>219</v>
      </c>
      <c r="D10" s="124">
        <v>1.4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O10" s="1" t="s">
        <v>219</v>
      </c>
      <c r="P10" s="118">
        <f t="shared" si="0"/>
        <v>1.4</v>
      </c>
      <c r="Q10" s="1" t="s">
        <v>329</v>
      </c>
      <c r="R10" s="126">
        <f>(R9+R11)/2</f>
        <v>1.2999999999999998</v>
      </c>
      <c r="S10" s="127">
        <f>(100-R10/2*SUM(S$6:S9))/(100+R10/2)</f>
        <v>0.96802995712255924</v>
      </c>
    </row>
    <row r="11" spans="2:19">
      <c r="B11">
        <v>6</v>
      </c>
      <c r="C11" s="94" t="s">
        <v>221</v>
      </c>
      <c r="D11" s="124">
        <v>1.6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O11" s="1" t="s">
        <v>221</v>
      </c>
      <c r="P11" s="118">
        <f t="shared" si="0"/>
        <v>1.6</v>
      </c>
      <c r="Q11" s="1" t="s">
        <v>219</v>
      </c>
      <c r="R11" s="126">
        <f>P10</f>
        <v>1.4</v>
      </c>
      <c r="S11" s="127">
        <f>(100-R11/2*SUM(S$6:S10))/(100+R11/2)</f>
        <v>0.95885871207056994</v>
      </c>
    </row>
    <row r="12" spans="2:19" ht="15" thickBot="1">
      <c r="B12">
        <v>7</v>
      </c>
      <c r="C12" s="95" t="s">
        <v>223</v>
      </c>
      <c r="D12" s="125">
        <v>1.8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O12" s="1" t="s">
        <v>223</v>
      </c>
      <c r="P12" s="118">
        <f t="shared" si="0"/>
        <v>1.8</v>
      </c>
      <c r="Q12" s="1" t="s">
        <v>330</v>
      </c>
      <c r="R12" s="126">
        <f>(R11+R13)/2</f>
        <v>1.5</v>
      </c>
      <c r="S12" s="127">
        <f>(100-R12/2*SUM(S$6:S11))/(100+R12/2)</f>
        <v>0.94880401850822749</v>
      </c>
    </row>
    <row r="13" spans="2:19">
      <c r="P13" s="121"/>
      <c r="Q13" s="1" t="s">
        <v>221</v>
      </c>
      <c r="R13" s="126">
        <f>P11</f>
        <v>1.6</v>
      </c>
      <c r="S13" s="127">
        <f>(100-R13/2*SUM(S$6:S12))/(100+R13/2)</f>
        <v>0.93788785027325661</v>
      </c>
    </row>
    <row r="14" spans="2:19">
      <c r="P14" s="121"/>
      <c r="Q14" s="1" t="s">
        <v>331</v>
      </c>
      <c r="R14" s="126">
        <f>(R13+R15)/2</f>
        <v>1.7000000000000002</v>
      </c>
      <c r="S14" s="127">
        <f>(100-R14/2*SUM(S$6:S13))/(100+R14/2)</f>
        <v>0.92613370442769982</v>
      </c>
    </row>
    <row r="15" spans="2:19">
      <c r="P15" s="121"/>
      <c r="Q15" s="1" t="s">
        <v>223</v>
      </c>
      <c r="R15" s="126">
        <f>P12</f>
        <v>1.8</v>
      </c>
      <c r="S15" s="127">
        <f>(100-R15/2*SUM(S$6:S14))/(100+R15/2)</f>
        <v>0.91356652945249195</v>
      </c>
    </row>
    <row r="18" spans="2:9" ht="15" thickBot="1">
      <c r="B18" t="s">
        <v>65</v>
      </c>
    </row>
    <row r="19" spans="2:9" ht="15" thickBot="1">
      <c r="B19" s="12" t="s">
        <v>30</v>
      </c>
      <c r="C19" s="13" t="s">
        <v>332</v>
      </c>
      <c r="D19" s="13" t="s">
        <v>333</v>
      </c>
      <c r="I19" s="119"/>
    </row>
    <row r="20" spans="2:9">
      <c r="B20" s="134" t="s">
        <v>62</v>
      </c>
      <c r="C20" s="120">
        <v>5000</v>
      </c>
      <c r="D20" s="120">
        <v>5000</v>
      </c>
      <c r="I20" s="119"/>
    </row>
    <row r="21" spans="2:9">
      <c r="B21" s="16" t="s">
        <v>279</v>
      </c>
      <c r="C21" s="17" t="s">
        <v>280</v>
      </c>
      <c r="D21" s="17" t="s">
        <v>281</v>
      </c>
      <c r="I21" s="119"/>
    </row>
    <row r="22" spans="2:9">
      <c r="B22" s="16" t="s">
        <v>36</v>
      </c>
      <c r="C22" s="17" t="s">
        <v>37</v>
      </c>
      <c r="D22" s="19">
        <v>2.1999999999999999E-2</v>
      </c>
      <c r="I22" s="119"/>
    </row>
    <row r="23" spans="2:9">
      <c r="B23" s="16" t="s">
        <v>39</v>
      </c>
      <c r="C23" s="19">
        <v>1.6E-2</v>
      </c>
      <c r="D23" s="17" t="s">
        <v>318</v>
      </c>
      <c r="I23" s="119"/>
    </row>
    <row r="24" spans="2:9">
      <c r="B24" s="16" t="s">
        <v>282</v>
      </c>
      <c r="C24" s="20" t="s">
        <v>283</v>
      </c>
      <c r="D24" s="20" t="s">
        <v>284</v>
      </c>
      <c r="I24" s="119"/>
    </row>
    <row r="25" spans="2:9" ht="15" thickBot="1">
      <c r="B25" s="28" t="s">
        <v>50</v>
      </c>
      <c r="C25" s="115">
        <v>4.7499999999999999E-3</v>
      </c>
      <c r="D25" s="115">
        <v>5.1250000000000002E-3</v>
      </c>
      <c r="I25" s="119"/>
    </row>
    <row r="26" spans="2:9">
      <c r="I26" s="119"/>
    </row>
    <row r="27" spans="2:9">
      <c r="I27" s="119"/>
    </row>
    <row r="28" spans="2:9">
      <c r="B28" t="s">
        <v>293</v>
      </c>
      <c r="F28" s="116"/>
      <c r="I28" s="119"/>
    </row>
    <row r="30" spans="2:9" ht="15" thickBot="1">
      <c r="B30" s="47" t="s">
        <v>52</v>
      </c>
      <c r="C30" s="129" t="s">
        <v>53</v>
      </c>
      <c r="D30" s="129" t="s">
        <v>54</v>
      </c>
      <c r="E30" s="1" t="s">
        <v>55</v>
      </c>
    </row>
    <row r="31" spans="2:9" ht="15" thickBot="1">
      <c r="B31" s="117" t="s">
        <v>285</v>
      </c>
      <c r="C31" s="146">
        <f>$C$20 * C25 * 182.5 / 360 + C20</f>
        <v>5012.0399305555557</v>
      </c>
      <c r="D31" s="109">
        <f>-$C$20 * $C$23 * 0.5</f>
        <v>-40</v>
      </c>
      <c r="E31" s="141">
        <f>C31+D31</f>
        <v>4972.0399305555557</v>
      </c>
    </row>
    <row r="32" spans="2:9" ht="15" thickBot="1">
      <c r="B32" s="117" t="s">
        <v>286</v>
      </c>
      <c r="C32" s="147">
        <v>0</v>
      </c>
      <c r="D32" s="109">
        <f t="shared" ref="D32:D34" si="1">-$C$20 * $C$23 * 0.5</f>
        <v>-40</v>
      </c>
      <c r="E32" s="141">
        <f>C32+D32</f>
        <v>-40</v>
      </c>
    </row>
    <row r="33" spans="2:5" ht="15" thickBot="1">
      <c r="B33" s="117" t="s">
        <v>287</v>
      </c>
      <c r="C33" s="147">
        <v>0</v>
      </c>
      <c r="D33" s="109">
        <f t="shared" si="1"/>
        <v>-40</v>
      </c>
      <c r="E33" s="141">
        <f>C33+D33</f>
        <v>-40</v>
      </c>
    </row>
    <row r="34" spans="2:5" ht="15" thickBot="1">
      <c r="B34" s="117" t="s">
        <v>288</v>
      </c>
      <c r="C34" s="147">
        <v>0</v>
      </c>
      <c r="D34" s="109">
        <f t="shared" si="1"/>
        <v>-40</v>
      </c>
      <c r="E34" s="141">
        <f>C34+D34</f>
        <v>-40</v>
      </c>
    </row>
    <row r="35" spans="2:5" ht="15" thickBot="1">
      <c r="B35" s="117" t="s">
        <v>289</v>
      </c>
      <c r="C35" s="148">
        <v>0</v>
      </c>
      <c r="D35" s="109">
        <f>-($C$20 * $C$23 * 0.5 + C20)</f>
        <v>-5040</v>
      </c>
      <c r="E35" s="141">
        <f>C35+D35</f>
        <v>-5040</v>
      </c>
    </row>
    <row r="38" spans="2:5">
      <c r="B38" t="s">
        <v>294</v>
      </c>
    </row>
    <row r="40" spans="2:5" ht="15" thickBot="1">
      <c r="B40" s="47" t="s">
        <v>52</v>
      </c>
      <c r="C40" s="129" t="s">
        <v>53</v>
      </c>
      <c r="D40" s="129" t="s">
        <v>54</v>
      </c>
      <c r="E40" s="1" t="s">
        <v>55</v>
      </c>
    </row>
    <row r="41" spans="2:5" ht="15" thickBot="1">
      <c r="B41" s="117" t="s">
        <v>286</v>
      </c>
      <c r="C41" s="146">
        <f>$D$20 * $D$22</f>
        <v>110</v>
      </c>
      <c r="D41" s="109">
        <f>-($D$20 * $D$25  * 365 / 360+ $D$20)</f>
        <v>-5025.9809027777774</v>
      </c>
      <c r="E41" s="141">
        <f>C41+D41</f>
        <v>-4915.9809027777774</v>
      </c>
    </row>
    <row r="42" spans="2:5" ht="15" thickBot="1">
      <c r="B42" s="117" t="s">
        <v>288</v>
      </c>
      <c r="C42" s="146">
        <f t="shared" ref="C42:C44" si="2">$D$20 * $D$22</f>
        <v>110</v>
      </c>
      <c r="D42" s="83">
        <v>0</v>
      </c>
      <c r="E42" s="141">
        <f>C42+D42</f>
        <v>110</v>
      </c>
    </row>
    <row r="43" spans="2:5" ht="15" thickBot="1">
      <c r="B43" s="117" t="s">
        <v>290</v>
      </c>
      <c r="C43" s="146">
        <f t="shared" si="2"/>
        <v>110</v>
      </c>
      <c r="D43" s="83">
        <v>0</v>
      </c>
      <c r="E43" s="141">
        <f>C43+D43</f>
        <v>110</v>
      </c>
    </row>
    <row r="44" spans="2:5" ht="15" thickBot="1">
      <c r="B44" s="117" t="s">
        <v>291</v>
      </c>
      <c r="C44" s="146">
        <f t="shared" si="2"/>
        <v>110</v>
      </c>
      <c r="D44" s="83">
        <v>0</v>
      </c>
      <c r="E44" s="141">
        <f>C44+D44</f>
        <v>110</v>
      </c>
    </row>
    <row r="45" spans="2:5" ht="15" thickBot="1">
      <c r="B45" s="117" t="s">
        <v>292</v>
      </c>
      <c r="C45" s="146">
        <f>$D$20 * $D$22 + D20</f>
        <v>5110</v>
      </c>
      <c r="D45" s="101">
        <v>0</v>
      </c>
      <c r="E45" s="141">
        <f>C45+D45</f>
        <v>5110</v>
      </c>
    </row>
    <row r="48" spans="2:5">
      <c r="B48" t="s">
        <v>319</v>
      </c>
    </row>
    <row r="50" spans="1:4" ht="15" thickBot="1">
      <c r="C50" s="1" t="s">
        <v>320</v>
      </c>
      <c r="D50" s="52" t="s">
        <v>346</v>
      </c>
    </row>
    <row r="51" spans="1:4">
      <c r="B51" s="117" t="s">
        <v>285</v>
      </c>
      <c r="C51" s="130">
        <f>E31</f>
        <v>4972.0399305555557</v>
      </c>
      <c r="D51" s="131">
        <f>1 * 0.5 + S6 * 0.5</f>
        <v>0.99848377850704106</v>
      </c>
    </row>
    <row r="52" spans="1:4">
      <c r="B52" s="117" t="s">
        <v>286</v>
      </c>
      <c r="C52" s="130">
        <f>E32+E41</f>
        <v>-4955.9809027777774</v>
      </c>
      <c r="D52" s="132">
        <f>S6 * 0.5 + S7 * 0.5</f>
        <v>0.99450575548510067</v>
      </c>
    </row>
    <row r="53" spans="1:4">
      <c r="B53" s="117" t="s">
        <v>287</v>
      </c>
      <c r="C53" s="130">
        <f>E33</f>
        <v>-40</v>
      </c>
      <c r="D53" s="132">
        <f t="shared" ref="D53:D55" si="3">S7 * 0.5 + S8 * 0.5</f>
        <v>0.98858662496072069</v>
      </c>
    </row>
    <row r="54" spans="1:4">
      <c r="B54" s="117" t="s">
        <v>288</v>
      </c>
      <c r="C54" s="130">
        <f>E34+E42</f>
        <v>70</v>
      </c>
      <c r="D54" s="132">
        <f t="shared" si="3"/>
        <v>0.98071333344905631</v>
      </c>
    </row>
    <row r="55" spans="1:4">
      <c r="B55" s="117" t="s">
        <v>289</v>
      </c>
      <c r="C55" s="130">
        <f>E35</f>
        <v>-5040</v>
      </c>
      <c r="D55" s="132">
        <f t="shared" si="3"/>
        <v>0.97216366402767473</v>
      </c>
    </row>
    <row r="56" spans="1:4">
      <c r="B56" s="117" t="s">
        <v>290</v>
      </c>
      <c r="C56" s="130">
        <f>E43</f>
        <v>110</v>
      </c>
      <c r="D56" s="132">
        <f>S10 * 0.5 + S11 * 0.5</f>
        <v>0.96344433459656464</v>
      </c>
    </row>
    <row r="57" spans="1:4">
      <c r="B57" s="117" t="s">
        <v>291</v>
      </c>
      <c r="C57" s="130">
        <f>E44</f>
        <v>110</v>
      </c>
      <c r="D57" s="132">
        <f>S12 * 0.5 + S13 * 0.5</f>
        <v>0.94334593439074199</v>
      </c>
    </row>
    <row r="58" spans="1:4">
      <c r="B58" s="117" t="s">
        <v>292</v>
      </c>
      <c r="C58" s="130">
        <f>E45</f>
        <v>5110</v>
      </c>
      <c r="D58" s="132">
        <f>S14 * 0.5 + S15 * 0.5</f>
        <v>0.91985011694009589</v>
      </c>
    </row>
    <row r="59" spans="1:4" ht="15" thickBot="1"/>
    <row r="60" spans="1:4" ht="15" thickBot="1">
      <c r="B60" t="s">
        <v>157</v>
      </c>
      <c r="C60" s="145">
        <f>SUMPRODUCT(C51:C58,D51:D58)</f>
        <v>75.332313658271232</v>
      </c>
      <c r="D60" t="s">
        <v>296</v>
      </c>
    </row>
    <row r="61" spans="1:4" ht="15" thickBot="1">
      <c r="B61" t="s">
        <v>161</v>
      </c>
      <c r="C61" s="143">
        <v>75.332313658271232</v>
      </c>
      <c r="D61" t="s">
        <v>296</v>
      </c>
    </row>
    <row r="62" spans="1:4">
      <c r="A62" t="s">
        <v>166</v>
      </c>
      <c r="B62" s="90" t="s">
        <v>160</v>
      </c>
      <c r="C62" s="109">
        <f>C60-C61</f>
        <v>0</v>
      </c>
      <c r="D62" t="s">
        <v>296</v>
      </c>
    </row>
    <row r="63" spans="1:4">
      <c r="A63" s="117" t="s">
        <v>214</v>
      </c>
      <c r="B63" s="94">
        <v>1</v>
      </c>
      <c r="C63" s="124">
        <f t="dataTable" ref="C63:C69" dt2D="0" dtr="0" r1="F3"/>
        <v>-2.4419749843218597E-4</v>
      </c>
    </row>
    <row r="64" spans="1:4">
      <c r="A64" s="117" t="s">
        <v>215</v>
      </c>
      <c r="B64" s="94">
        <v>2</v>
      </c>
      <c r="C64" s="124">
        <v>0.2487307397841505</v>
      </c>
    </row>
    <row r="65" spans="1:4">
      <c r="A65" s="117" t="s">
        <v>216</v>
      </c>
      <c r="B65" s="94">
        <v>3</v>
      </c>
      <c r="C65" s="124">
        <v>-2.6950807114189956E-4</v>
      </c>
    </row>
    <row r="66" spans="1:4">
      <c r="A66" s="117" t="s">
        <v>217</v>
      </c>
      <c r="B66" s="94">
        <v>4</v>
      </c>
      <c r="C66" s="124">
        <v>0.79996482279329939</v>
      </c>
      <c r="D66" t="s">
        <v>405</v>
      </c>
    </row>
    <row r="67" spans="1:4">
      <c r="A67" s="117" t="s">
        <v>219</v>
      </c>
      <c r="B67" s="94">
        <v>5</v>
      </c>
      <c r="C67" s="124">
        <v>0.30160782452639978</v>
      </c>
    </row>
    <row r="68" spans="1:4">
      <c r="A68" s="117" t="s">
        <v>221</v>
      </c>
      <c r="B68" s="94">
        <v>6</v>
      </c>
      <c r="C68" s="124">
        <v>-0.55145886968057312</v>
      </c>
      <c r="D68" t="s">
        <v>405</v>
      </c>
    </row>
    <row r="69" spans="1:4" ht="15" thickBot="1">
      <c r="A69" s="117" t="s">
        <v>223</v>
      </c>
      <c r="B69" s="95">
        <v>7</v>
      </c>
      <c r="C69" s="125">
        <v>-1.7613264902583978</v>
      </c>
      <c r="D69" t="s">
        <v>405</v>
      </c>
    </row>
    <row r="71" spans="1:4">
      <c r="B71" t="s">
        <v>404</v>
      </c>
    </row>
    <row r="72" spans="1:4">
      <c r="B72" t="s">
        <v>308</v>
      </c>
    </row>
    <row r="73" spans="1:4">
      <c r="A73" s="1" t="s">
        <v>214</v>
      </c>
      <c r="B73" s="128">
        <v>-5.0538162197142356E-3</v>
      </c>
    </row>
    <row r="74" spans="1:4">
      <c r="A74" s="1" t="s">
        <v>215</v>
      </c>
      <c r="B74" s="128">
        <v>-9.9445623077230039E-3</v>
      </c>
    </row>
    <row r="75" spans="1:4">
      <c r="A75" s="1" t="s">
        <v>216</v>
      </c>
      <c r="B75" s="128">
        <v>-1.4869964235444399E-2</v>
      </c>
    </row>
    <row r="76" spans="1:4">
      <c r="A76" s="1" t="s">
        <v>217</v>
      </c>
      <c r="B76" s="128">
        <v>-1.9751209218910049E-2</v>
      </c>
      <c r="C76">
        <f>-C66/B76</f>
        <v>40.502068198812019</v>
      </c>
      <c r="D76" t="s">
        <v>406</v>
      </c>
    </row>
    <row r="77" spans="1:4">
      <c r="A77" s="1" t="s">
        <v>219</v>
      </c>
      <c r="B77" s="128">
        <v>-2.9384568643123998E-2</v>
      </c>
    </row>
    <row r="78" spans="1:4">
      <c r="A78" s="1" t="s">
        <v>221</v>
      </c>
      <c r="B78" s="128">
        <v>-3.8817327944428826E-2</v>
      </c>
      <c r="C78">
        <f>-C68/B78</f>
        <v>-14.206512886977839</v>
      </c>
      <c r="D78" t="s">
        <v>407</v>
      </c>
    </row>
    <row r="79" spans="1:4">
      <c r="A79" s="1" t="s">
        <v>223</v>
      </c>
      <c r="B79" s="128">
        <v>-4.8015147925738688E-2</v>
      </c>
      <c r="C79">
        <f>-C69/B79</f>
        <v>-36.68272548035268</v>
      </c>
      <c r="D79" t="s">
        <v>407</v>
      </c>
    </row>
  </sheetData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AB79"/>
  <sheetViews>
    <sheetView topLeftCell="A41" workbookViewId="0"/>
  </sheetViews>
  <sheetFormatPr baseColWidth="10" defaultColWidth="8.83203125" defaultRowHeight="14"/>
  <cols>
    <col min="1" max="1" width="10.6640625" customWidth="1"/>
    <col min="2" max="2" width="14.1640625" customWidth="1"/>
    <col min="3" max="5" width="13.6640625" customWidth="1"/>
    <col min="6" max="6" width="8.1640625" customWidth="1"/>
    <col min="7" max="14" width="6.1640625" customWidth="1"/>
    <col min="15" max="15" width="10.1640625" customWidth="1"/>
    <col min="16" max="18" width="11.6640625" customWidth="1"/>
    <col min="19" max="19" width="11.1640625" customWidth="1"/>
  </cols>
  <sheetData>
    <row r="2" spans="2:28">
      <c r="F2" t="s">
        <v>102</v>
      </c>
    </row>
    <row r="3" spans="2:28">
      <c r="C3" t="s">
        <v>321</v>
      </c>
      <c r="F3" s="1">
        <v>0</v>
      </c>
      <c r="U3" t="s">
        <v>400</v>
      </c>
    </row>
    <row r="4" spans="2:28" ht="15" thickBot="1">
      <c r="R4" t="s">
        <v>325</v>
      </c>
    </row>
    <row r="5" spans="2:28" ht="15" thickBot="1">
      <c r="C5" s="64"/>
      <c r="D5" s="85" t="s">
        <v>212</v>
      </c>
      <c r="F5" s="58">
        <v>0</v>
      </c>
      <c r="G5" s="59">
        <v>1</v>
      </c>
      <c r="H5" s="59">
        <v>2</v>
      </c>
      <c r="I5" s="59">
        <v>3</v>
      </c>
      <c r="J5" s="59">
        <v>4</v>
      </c>
      <c r="K5" s="59">
        <v>5</v>
      </c>
      <c r="L5" s="59">
        <v>6</v>
      </c>
      <c r="M5" s="122">
        <v>7</v>
      </c>
      <c r="P5" s="1" t="s">
        <v>141</v>
      </c>
      <c r="Q5" s="1"/>
      <c r="R5" s="1"/>
      <c r="S5" s="1" t="s">
        <v>309</v>
      </c>
      <c r="V5" t="s">
        <v>307</v>
      </c>
      <c r="W5" t="s">
        <v>310</v>
      </c>
      <c r="X5" t="s">
        <v>311</v>
      </c>
      <c r="Y5" t="s">
        <v>312</v>
      </c>
      <c r="Z5" t="s">
        <v>313</v>
      </c>
      <c r="AA5" t="s">
        <v>314</v>
      </c>
      <c r="AB5" t="s">
        <v>315</v>
      </c>
    </row>
    <row r="6" spans="2:28">
      <c r="B6">
        <v>1</v>
      </c>
      <c r="C6" s="94" t="s">
        <v>214</v>
      </c>
      <c r="D6" s="124">
        <v>0.6</v>
      </c>
      <c r="F6" s="57">
        <v>0</v>
      </c>
      <c r="G6" s="57">
        <v>1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1">
        <v>0</v>
      </c>
      <c r="O6" s="1" t="s">
        <v>214</v>
      </c>
      <c r="P6" s="118">
        <f>D6+INDEX($F$6:$M$15,B6,$F$3+1)/100</f>
        <v>0.6</v>
      </c>
      <c r="Q6" s="1" t="s">
        <v>214</v>
      </c>
      <c r="R6" s="63">
        <f>P6</f>
        <v>0.6</v>
      </c>
      <c r="S6" s="123">
        <f>100/(100*(1+R6/100*182.5/360))</f>
        <v>0.99696755701408224</v>
      </c>
      <c r="U6" t="s">
        <v>297</v>
      </c>
      <c r="V6">
        <f>100*(1+D6/100*182.5/360)</f>
        <v>100.30416666666666</v>
      </c>
      <c r="W6">
        <f>100*D7/200</f>
        <v>0.4</v>
      </c>
      <c r="X6">
        <f>100*D8/200</f>
        <v>0.5</v>
      </c>
      <c r="Y6">
        <f>100*D9/200</f>
        <v>0.6</v>
      </c>
      <c r="Z6">
        <f>100*D10/200</f>
        <v>0.7</v>
      </c>
      <c r="AA6">
        <f>100*D11/200</f>
        <v>0.8</v>
      </c>
      <c r="AB6">
        <f>100*D12/200</f>
        <v>0.9</v>
      </c>
    </row>
    <row r="7" spans="2:28">
      <c r="B7">
        <v>2</v>
      </c>
      <c r="C7" s="94" t="s">
        <v>215</v>
      </c>
      <c r="D7" s="124">
        <v>0.8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O7" s="1" t="s">
        <v>215</v>
      </c>
      <c r="P7" s="118">
        <f t="shared" ref="P7:P12" si="0">D7+INDEX($F$6:$M$15,B7,$F$3+1)/100</f>
        <v>0.8</v>
      </c>
      <c r="Q7" s="1" t="s">
        <v>215</v>
      </c>
      <c r="R7" s="63">
        <f>P7</f>
        <v>0.8</v>
      </c>
      <c r="S7" s="123">
        <f>(100-R7/2*SUM(S$6:S6))/(100+R7/2)</f>
        <v>0.99204395395611911</v>
      </c>
      <c r="U7" t="s">
        <v>298</v>
      </c>
      <c r="W7">
        <f>+W6+100</f>
        <v>100.4</v>
      </c>
      <c r="X7">
        <f>+X6</f>
        <v>0.5</v>
      </c>
      <c r="Y7">
        <f>+Y6</f>
        <v>0.6</v>
      </c>
      <c r="Z7">
        <f>+Z6</f>
        <v>0.7</v>
      </c>
      <c r="AA7">
        <f>+AA6</f>
        <v>0.8</v>
      </c>
      <c r="AB7">
        <f>+AB6</f>
        <v>0.9</v>
      </c>
    </row>
    <row r="8" spans="2:28">
      <c r="B8">
        <v>3</v>
      </c>
      <c r="C8" s="94" t="s">
        <v>216</v>
      </c>
      <c r="D8" s="124">
        <v>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O8" s="1" t="s">
        <v>216</v>
      </c>
      <c r="P8" s="118">
        <f t="shared" si="0"/>
        <v>1</v>
      </c>
      <c r="Q8" s="1" t="s">
        <v>216</v>
      </c>
      <c r="R8" s="63">
        <f>P8</f>
        <v>1</v>
      </c>
      <c r="S8" s="123">
        <f>(100-R8/2*SUM(S$6:S7))/(100+R8/2)</f>
        <v>0.98512929596532228</v>
      </c>
      <c r="U8" t="s">
        <v>299</v>
      </c>
      <c r="X8">
        <f>+X7+100</f>
        <v>100.5</v>
      </c>
      <c r="Y8">
        <f>+Y7</f>
        <v>0.6</v>
      </c>
      <c r="Z8">
        <f>+Z7</f>
        <v>0.7</v>
      </c>
      <c r="AA8">
        <f>+AA7</f>
        <v>0.8</v>
      </c>
      <c r="AB8">
        <f>+AB7</f>
        <v>0.9</v>
      </c>
    </row>
    <row r="9" spans="2:28">
      <c r="B9">
        <v>4</v>
      </c>
      <c r="C9" s="94" t="s">
        <v>217</v>
      </c>
      <c r="D9" s="124">
        <v>1.2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O9" s="1" t="s">
        <v>217</v>
      </c>
      <c r="P9" s="118">
        <f t="shared" si="0"/>
        <v>1.2</v>
      </c>
      <c r="Q9" s="1" t="s">
        <v>217</v>
      </c>
      <c r="R9" s="63">
        <f>P9</f>
        <v>1.2</v>
      </c>
      <c r="S9" s="123">
        <f>(100-R9/2*SUM(S$6:S8))/(100+R9/2)</f>
        <v>0.97629737093279023</v>
      </c>
      <c r="U9" t="s">
        <v>300</v>
      </c>
      <c r="Y9">
        <f>+Y8+100</f>
        <v>100.6</v>
      </c>
      <c r="Z9">
        <f t="shared" ref="Z9:AB10" si="1">+Z8</f>
        <v>0.7</v>
      </c>
      <c r="AA9">
        <f t="shared" si="1"/>
        <v>0.8</v>
      </c>
      <c r="AB9">
        <f t="shared" si="1"/>
        <v>0.9</v>
      </c>
    </row>
    <row r="10" spans="2:28">
      <c r="B10">
        <v>5</v>
      </c>
      <c r="C10" s="94" t="s">
        <v>219</v>
      </c>
      <c r="D10" s="124">
        <v>1.4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O10" s="1" t="s">
        <v>219</v>
      </c>
      <c r="P10" s="118">
        <f t="shared" si="0"/>
        <v>1.4</v>
      </c>
      <c r="Q10" s="1" t="s">
        <v>322</v>
      </c>
      <c r="R10" s="63">
        <f>(R9+R11)/2</f>
        <v>1.2999999999999998</v>
      </c>
      <c r="S10" s="123">
        <f>(100-R10/2*SUM(S$6:S9))/(100+R10/2)</f>
        <v>0.96802995712255924</v>
      </c>
      <c r="U10" t="s">
        <v>301</v>
      </c>
      <c r="Z10">
        <f t="shared" si="1"/>
        <v>0.7</v>
      </c>
      <c r="AA10">
        <f t="shared" si="1"/>
        <v>0.8</v>
      </c>
      <c r="AB10">
        <f t="shared" si="1"/>
        <v>0.9</v>
      </c>
    </row>
    <row r="11" spans="2:28">
      <c r="B11">
        <v>6</v>
      </c>
      <c r="C11" s="94" t="s">
        <v>221</v>
      </c>
      <c r="D11" s="124">
        <v>1.6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O11" s="1" t="s">
        <v>221</v>
      </c>
      <c r="P11" s="118">
        <f t="shared" si="0"/>
        <v>1.6</v>
      </c>
      <c r="Q11" s="1" t="s">
        <v>219</v>
      </c>
      <c r="R11" s="63">
        <f>P10</f>
        <v>1.4</v>
      </c>
      <c r="S11" s="123">
        <f>(100-R11/2*SUM(S$6:S10))/(100+R11/2)</f>
        <v>0.95885871207056994</v>
      </c>
      <c r="U11" t="s">
        <v>302</v>
      </c>
      <c r="Z11">
        <f>+Z10+100</f>
        <v>100.7</v>
      </c>
      <c r="AA11">
        <f>+AA10</f>
        <v>0.8</v>
      </c>
      <c r="AB11">
        <f>+AB10</f>
        <v>0.9</v>
      </c>
    </row>
    <row r="12" spans="2:28" ht="15" thickBot="1">
      <c r="B12">
        <v>7</v>
      </c>
      <c r="C12" s="95" t="s">
        <v>223</v>
      </c>
      <c r="D12" s="125">
        <v>1.8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O12" s="1" t="s">
        <v>223</v>
      </c>
      <c r="P12" s="118">
        <f t="shared" si="0"/>
        <v>1.8</v>
      </c>
      <c r="Q12" s="1" t="s">
        <v>323</v>
      </c>
      <c r="R12" s="63">
        <f>(R11+R13)/2</f>
        <v>1.5</v>
      </c>
      <c r="S12" s="123">
        <f>(100-R12/2*SUM(S$6:S11))/(100+R12/2)</f>
        <v>0.94880401850822749</v>
      </c>
      <c r="U12" t="s">
        <v>303</v>
      </c>
      <c r="AA12">
        <f>+AA11</f>
        <v>0.8</v>
      </c>
      <c r="AB12">
        <f>+AB11</f>
        <v>0.9</v>
      </c>
    </row>
    <row r="13" spans="2:28">
      <c r="P13" s="121"/>
      <c r="Q13" s="1" t="s">
        <v>221</v>
      </c>
      <c r="R13" s="63">
        <f>P11</f>
        <v>1.6</v>
      </c>
      <c r="S13" s="123">
        <f>(100-R13/2*SUM(S$6:S12))/(100+R13/2)</f>
        <v>0.93788785027325661</v>
      </c>
      <c r="U13" t="s">
        <v>304</v>
      </c>
      <c r="AA13">
        <f>+AA12+100</f>
        <v>100.8</v>
      </c>
      <c r="AB13">
        <f>+AB12</f>
        <v>0.9</v>
      </c>
    </row>
    <row r="14" spans="2:28">
      <c r="P14" s="121"/>
      <c r="Q14" s="1" t="s">
        <v>324</v>
      </c>
      <c r="R14" s="63">
        <f>(R13+R15)/2</f>
        <v>1.7000000000000002</v>
      </c>
      <c r="S14" s="123">
        <f>(100-R14/2*SUM(S$6:S13))/(100+R14/2)</f>
        <v>0.92613370442769982</v>
      </c>
      <c r="U14" t="s">
        <v>305</v>
      </c>
      <c r="AB14">
        <f>+AB13</f>
        <v>0.9</v>
      </c>
    </row>
    <row r="15" spans="2:28">
      <c r="P15" s="121"/>
      <c r="Q15" s="1" t="s">
        <v>223</v>
      </c>
      <c r="R15" s="63">
        <f>P12</f>
        <v>1.8</v>
      </c>
      <c r="S15" s="123">
        <f>(100-R15/2*SUM(S$6:S14))/(100+R15/2)</f>
        <v>0.91356652945249195</v>
      </c>
      <c r="U15" t="s">
        <v>306</v>
      </c>
      <c r="AB15">
        <f>+AB14+100</f>
        <v>100.9</v>
      </c>
    </row>
    <row r="17" spans="2:28">
      <c r="V17" s="1">
        <f t="shared" ref="V17:AB17" si="2">SUMPRODUCT($S6:$S15,V6:V15)-100</f>
        <v>0</v>
      </c>
      <c r="W17" s="1">
        <f t="shared" si="2"/>
        <v>0</v>
      </c>
      <c r="X17" s="1">
        <f t="shared" si="2"/>
        <v>0</v>
      </c>
      <c r="Y17" s="1">
        <f t="shared" si="2"/>
        <v>0</v>
      </c>
      <c r="Z17" s="1">
        <f t="shared" si="2"/>
        <v>0</v>
      </c>
      <c r="AA17" s="1">
        <f t="shared" si="2"/>
        <v>0</v>
      </c>
      <c r="AB17" s="1">
        <f t="shared" si="2"/>
        <v>0</v>
      </c>
    </row>
    <row r="18" spans="2:28" ht="15" thickBot="1">
      <c r="B18" t="s">
        <v>65</v>
      </c>
      <c r="U18">
        <v>1</v>
      </c>
      <c r="V18">
        <f t="dataTable" ref="V18:AB24" dt2D="0" dtr="0" r1="F3" ca="1"/>
        <v>-5.0538162197142356E-3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2:28" ht="15" thickBot="1">
      <c r="B19" s="12" t="s">
        <v>30</v>
      </c>
      <c r="C19" s="13" t="s">
        <v>316</v>
      </c>
      <c r="D19" s="13" t="s">
        <v>317</v>
      </c>
      <c r="I19" s="119"/>
      <c r="U19">
        <v>2</v>
      </c>
      <c r="V19">
        <v>0</v>
      </c>
      <c r="W19">
        <v>-9.9445623077230039E-3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2:28">
      <c r="B20" s="15" t="s">
        <v>62</v>
      </c>
      <c r="C20" s="120">
        <v>5000</v>
      </c>
      <c r="D20" s="120">
        <v>5000</v>
      </c>
      <c r="I20" s="119"/>
      <c r="U20">
        <v>3</v>
      </c>
      <c r="V20">
        <v>0</v>
      </c>
      <c r="W20">
        <v>0</v>
      </c>
      <c r="X20">
        <v>-1.4869964235444399E-2</v>
      </c>
      <c r="Y20">
        <v>0</v>
      </c>
      <c r="Z20">
        <v>0</v>
      </c>
      <c r="AA20">
        <v>0</v>
      </c>
      <c r="AB20">
        <v>0</v>
      </c>
    </row>
    <row r="21" spans="2:28">
      <c r="B21" s="16" t="s">
        <v>279</v>
      </c>
      <c r="C21" s="17" t="s">
        <v>280</v>
      </c>
      <c r="D21" s="17" t="s">
        <v>281</v>
      </c>
      <c r="I21" s="119"/>
      <c r="U21">
        <v>4</v>
      </c>
      <c r="V21">
        <v>0</v>
      </c>
      <c r="W21">
        <v>0</v>
      </c>
      <c r="X21">
        <v>0</v>
      </c>
      <c r="Y21">
        <v>-1.9751209218910049E-2</v>
      </c>
      <c r="Z21">
        <v>0</v>
      </c>
      <c r="AA21">
        <v>0</v>
      </c>
      <c r="AB21">
        <v>0</v>
      </c>
    </row>
    <row r="22" spans="2:28">
      <c r="B22" s="16" t="s">
        <v>36</v>
      </c>
      <c r="C22" s="17" t="s">
        <v>37</v>
      </c>
      <c r="D22" s="19">
        <v>2.1999999999999999E-2</v>
      </c>
      <c r="I22" s="119"/>
      <c r="U22">
        <v>5</v>
      </c>
      <c r="V22">
        <v>0</v>
      </c>
      <c r="W22">
        <v>0</v>
      </c>
      <c r="X22">
        <v>0</v>
      </c>
      <c r="Y22">
        <v>0</v>
      </c>
      <c r="Z22">
        <v>-2.9384568643123998E-2</v>
      </c>
      <c r="AA22">
        <v>0</v>
      </c>
      <c r="AB22">
        <v>0</v>
      </c>
    </row>
    <row r="23" spans="2:28">
      <c r="B23" s="16" t="s">
        <v>39</v>
      </c>
      <c r="C23" s="19">
        <v>1.6E-2</v>
      </c>
      <c r="D23" s="17" t="s">
        <v>318</v>
      </c>
      <c r="I23" s="119"/>
      <c r="U23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-3.8817327944428826E-2</v>
      </c>
      <c r="AB23">
        <v>0</v>
      </c>
    </row>
    <row r="24" spans="2:28">
      <c r="B24" s="16" t="s">
        <v>282</v>
      </c>
      <c r="C24" s="20" t="s">
        <v>283</v>
      </c>
      <c r="D24" s="20" t="s">
        <v>284</v>
      </c>
      <c r="I24" s="119"/>
      <c r="U24">
        <v>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-4.8015147925738688E-2</v>
      </c>
    </row>
    <row r="25" spans="2:28" ht="15" thickBot="1">
      <c r="B25" s="28" t="s">
        <v>50</v>
      </c>
      <c r="C25" s="115">
        <v>4.7499999999999999E-3</v>
      </c>
      <c r="D25" s="115">
        <v>5.1250000000000002E-3</v>
      </c>
      <c r="I25" s="119"/>
      <c r="V25" s="1">
        <f t="shared" ref="V25:AB25" si="3">SUM(V18:V24)</f>
        <v>-5.0538162197142356E-3</v>
      </c>
      <c r="W25" s="1">
        <f t="shared" si="3"/>
        <v>-9.9445623077230039E-3</v>
      </c>
      <c r="X25" s="1">
        <f t="shared" si="3"/>
        <v>-1.4869964235444399E-2</v>
      </c>
      <c r="Y25" s="1">
        <f t="shared" si="3"/>
        <v>-1.9751209218910049E-2</v>
      </c>
      <c r="Z25" s="1">
        <f t="shared" si="3"/>
        <v>-2.9384568643123998E-2</v>
      </c>
      <c r="AA25" s="1">
        <f t="shared" si="3"/>
        <v>-3.8817327944428826E-2</v>
      </c>
      <c r="AB25" s="1">
        <f t="shared" si="3"/>
        <v>-4.8015147925738688E-2</v>
      </c>
    </row>
    <row r="26" spans="2:28">
      <c r="I26" s="119"/>
    </row>
    <row r="27" spans="2:28">
      <c r="I27" s="119"/>
    </row>
    <row r="28" spans="2:28">
      <c r="B28" t="s">
        <v>293</v>
      </c>
      <c r="F28" s="116"/>
      <c r="I28" s="119"/>
    </row>
    <row r="30" spans="2:28" ht="15" thickBot="1">
      <c r="B30" s="47" t="s">
        <v>52</v>
      </c>
      <c r="C30" s="129" t="s">
        <v>53</v>
      </c>
      <c r="D30" s="129" t="s">
        <v>54</v>
      </c>
      <c r="E30" s="1" t="s">
        <v>55</v>
      </c>
    </row>
    <row r="31" spans="2:28">
      <c r="B31" s="117" t="s">
        <v>285</v>
      </c>
      <c r="C31" s="146">
        <f>C20*C25*182.5/360+C20</f>
        <v>5012.0399305555557</v>
      </c>
      <c r="D31" s="109">
        <f>-C20*0.016/2</f>
        <v>-40</v>
      </c>
      <c r="E31" s="141">
        <f>C31+D31</f>
        <v>4972.0399305555557</v>
      </c>
    </row>
    <row r="32" spans="2:28">
      <c r="B32" s="117" t="s">
        <v>286</v>
      </c>
      <c r="C32" s="147"/>
      <c r="D32" s="83">
        <f>D31</f>
        <v>-40</v>
      </c>
      <c r="E32" s="141">
        <f>C32+D32</f>
        <v>-40</v>
      </c>
    </row>
    <row r="33" spans="2:5">
      <c r="B33" s="117" t="s">
        <v>287</v>
      </c>
      <c r="C33" s="147"/>
      <c r="D33" s="83">
        <f>D32</f>
        <v>-40</v>
      </c>
      <c r="E33" s="141">
        <f>C33+D33</f>
        <v>-40</v>
      </c>
    </row>
    <row r="34" spans="2:5">
      <c r="B34" s="117" t="s">
        <v>288</v>
      </c>
      <c r="C34" s="147"/>
      <c r="D34" s="83">
        <f>D33</f>
        <v>-40</v>
      </c>
      <c r="E34" s="141">
        <f>C34+D34</f>
        <v>-40</v>
      </c>
    </row>
    <row r="35" spans="2:5" ht="15" thickBot="1">
      <c r="B35" s="117" t="s">
        <v>289</v>
      </c>
      <c r="C35" s="148"/>
      <c r="D35" s="149">
        <f>D34-C20</f>
        <v>-5040</v>
      </c>
      <c r="E35" s="141">
        <f>C35+D35</f>
        <v>-5040</v>
      </c>
    </row>
    <row r="38" spans="2:5">
      <c r="B38" t="s">
        <v>294</v>
      </c>
    </row>
    <row r="40" spans="2:5" ht="15" thickBot="1">
      <c r="B40" s="47" t="s">
        <v>52</v>
      </c>
      <c r="C40" s="129" t="s">
        <v>53</v>
      </c>
      <c r="D40" s="129" t="s">
        <v>54</v>
      </c>
      <c r="E40" s="1" t="s">
        <v>55</v>
      </c>
    </row>
    <row r="41" spans="2:5">
      <c r="B41" s="117" t="s">
        <v>286</v>
      </c>
      <c r="C41" s="146">
        <f>D20*0.022</f>
        <v>110</v>
      </c>
      <c r="D41" s="109">
        <f>-D20*D25*365/360-D20</f>
        <v>-5025.9809027777774</v>
      </c>
      <c r="E41" s="141">
        <f>C41+D41</f>
        <v>-4915.9809027777774</v>
      </c>
    </row>
    <row r="42" spans="2:5">
      <c r="B42" s="117" t="s">
        <v>288</v>
      </c>
      <c r="C42" s="147">
        <f>C41</f>
        <v>110</v>
      </c>
      <c r="D42" s="83"/>
      <c r="E42" s="141">
        <f>C42+D42</f>
        <v>110</v>
      </c>
    </row>
    <row r="43" spans="2:5">
      <c r="B43" s="117" t="s">
        <v>290</v>
      </c>
      <c r="C43" s="147">
        <f>C42</f>
        <v>110</v>
      </c>
      <c r="D43" s="83"/>
      <c r="E43" s="141">
        <f>C43+D43</f>
        <v>110</v>
      </c>
    </row>
    <row r="44" spans="2:5">
      <c r="B44" s="117" t="s">
        <v>291</v>
      </c>
      <c r="C44" s="147">
        <f>C43</f>
        <v>110</v>
      </c>
      <c r="D44" s="83"/>
      <c r="E44" s="141">
        <f>C44+D44</f>
        <v>110</v>
      </c>
    </row>
    <row r="45" spans="2:5" ht="15" thickBot="1">
      <c r="B45" s="117" t="s">
        <v>292</v>
      </c>
      <c r="C45" s="148">
        <f>C44+D20</f>
        <v>5110</v>
      </c>
      <c r="D45" s="101"/>
      <c r="E45" s="141">
        <f>C45+D45</f>
        <v>5110</v>
      </c>
    </row>
    <row r="48" spans="2:5">
      <c r="B48" t="s">
        <v>319</v>
      </c>
    </row>
    <row r="50" spans="1:6" ht="15" thickBot="1">
      <c r="C50" s="1" t="s">
        <v>320</v>
      </c>
      <c r="D50" s="52" t="s">
        <v>346</v>
      </c>
    </row>
    <row r="51" spans="1:6">
      <c r="B51" s="117" t="s">
        <v>285</v>
      </c>
      <c r="C51" s="130">
        <f>E31</f>
        <v>4972.0399305555557</v>
      </c>
      <c r="D51" s="131">
        <f>(1+S6)/2</f>
        <v>0.99848377850704106</v>
      </c>
    </row>
    <row r="52" spans="1:6">
      <c r="B52" s="117" t="s">
        <v>286</v>
      </c>
      <c r="C52" s="130">
        <f>E32+E41</f>
        <v>-4955.9809027777774</v>
      </c>
      <c r="D52" s="132">
        <f>(S6+S7)/2</f>
        <v>0.99450575548510067</v>
      </c>
    </row>
    <row r="53" spans="1:6">
      <c r="B53" s="117" t="s">
        <v>287</v>
      </c>
      <c r="C53" s="130">
        <f>E33</f>
        <v>-40</v>
      </c>
      <c r="D53" s="132">
        <f>(S7+S8)/2</f>
        <v>0.98858662496072069</v>
      </c>
    </row>
    <row r="54" spans="1:6">
      <c r="B54" s="117" t="s">
        <v>288</v>
      </c>
      <c r="C54" s="130">
        <f>E34+E42</f>
        <v>70</v>
      </c>
      <c r="D54" s="132">
        <f>(S8+S9)/2</f>
        <v>0.98071333344905631</v>
      </c>
    </row>
    <row r="55" spans="1:6">
      <c r="B55" s="117" t="s">
        <v>289</v>
      </c>
      <c r="C55" s="130">
        <f>E35</f>
        <v>-5040</v>
      </c>
      <c r="D55" s="132">
        <f>(S9+S10)/2</f>
        <v>0.97216366402767473</v>
      </c>
    </row>
    <row r="56" spans="1:6">
      <c r="B56" s="117" t="s">
        <v>290</v>
      </c>
      <c r="C56" s="130">
        <f>E43</f>
        <v>110</v>
      </c>
      <c r="D56" s="132">
        <f>(S10+S11)/2</f>
        <v>0.96344433459656464</v>
      </c>
    </row>
    <row r="57" spans="1:6">
      <c r="B57" s="117" t="s">
        <v>291</v>
      </c>
      <c r="C57" s="130">
        <f>E44</f>
        <v>110</v>
      </c>
      <c r="D57" s="132">
        <f>(S12+S13)/2</f>
        <v>0.94334593439074199</v>
      </c>
    </row>
    <row r="58" spans="1:6" ht="15" thickBot="1">
      <c r="B58" s="117" t="s">
        <v>292</v>
      </c>
      <c r="C58" s="130">
        <f>E45</f>
        <v>5110</v>
      </c>
      <c r="D58" s="133">
        <f>(S14+S15)/2</f>
        <v>0.91985011694009589</v>
      </c>
    </row>
    <row r="59" spans="1:6" ht="15" thickBot="1"/>
    <row r="60" spans="1:6" ht="15" thickBot="1">
      <c r="B60" t="s">
        <v>157</v>
      </c>
      <c r="C60" s="144">
        <f>SUMPRODUCT(C51:C58,D51:D58)</f>
        <v>75.332313658271232</v>
      </c>
      <c r="D60" t="s">
        <v>296</v>
      </c>
    </row>
    <row r="61" spans="1:6">
      <c r="B61" t="s">
        <v>161</v>
      </c>
      <c r="C61" s="143">
        <v>75.332313658271232</v>
      </c>
      <c r="D61" t="s">
        <v>296</v>
      </c>
    </row>
    <row r="62" spans="1:6" ht="15" thickBot="1">
      <c r="A62" t="s">
        <v>166</v>
      </c>
      <c r="B62" t="s">
        <v>295</v>
      </c>
      <c r="C62" s="142">
        <f>C60-C61</f>
        <v>0</v>
      </c>
      <c r="D62" t="s">
        <v>296</v>
      </c>
      <c r="E62" t="s">
        <v>326</v>
      </c>
      <c r="F62" t="s">
        <v>328</v>
      </c>
    </row>
    <row r="63" spans="1:6">
      <c r="A63" s="117" t="s">
        <v>214</v>
      </c>
      <c r="B63" s="64">
        <v>1</v>
      </c>
      <c r="C63" s="136">
        <f t="dataTable" ref="C63:C69" dt2D="0" dtr="0" r1="F3"/>
        <v>-2.4419749843218597E-4</v>
      </c>
    </row>
    <row r="64" spans="1:6">
      <c r="A64" s="117" t="s">
        <v>215</v>
      </c>
      <c r="B64" s="94">
        <v>2</v>
      </c>
      <c r="C64" s="124">
        <v>0.2487307397841505</v>
      </c>
    </row>
    <row r="65" spans="1:6">
      <c r="A65" s="117" t="s">
        <v>216</v>
      </c>
      <c r="B65" s="94">
        <v>3</v>
      </c>
      <c r="C65" s="124">
        <v>-2.6950807114189956E-4</v>
      </c>
    </row>
    <row r="66" spans="1:6">
      <c r="A66" s="117" t="s">
        <v>217</v>
      </c>
      <c r="B66" s="94">
        <v>4</v>
      </c>
      <c r="C66" s="124">
        <v>0.79996482279329939</v>
      </c>
      <c r="E66" t="s">
        <v>327</v>
      </c>
      <c r="F66">
        <f>ABS(C66/B76)</f>
        <v>40.502068198812019</v>
      </c>
    </row>
    <row r="67" spans="1:6">
      <c r="A67" s="117" t="s">
        <v>219</v>
      </c>
      <c r="B67" s="94">
        <v>5</v>
      </c>
      <c r="C67" s="124">
        <v>0.30160782452639978</v>
      </c>
    </row>
    <row r="68" spans="1:6">
      <c r="A68" s="117" t="s">
        <v>221</v>
      </c>
      <c r="B68" s="94">
        <v>6</v>
      </c>
      <c r="C68" s="124">
        <v>-0.55145886968057312</v>
      </c>
      <c r="E68" t="s">
        <v>327</v>
      </c>
      <c r="F68">
        <f>ABS(C68/B78)</f>
        <v>14.206512886977839</v>
      </c>
    </row>
    <row r="69" spans="1:6" ht="15" thickBot="1">
      <c r="A69" s="117" t="s">
        <v>223</v>
      </c>
      <c r="B69" s="95">
        <v>7</v>
      </c>
      <c r="C69" s="125">
        <v>-1.7613264902583978</v>
      </c>
      <c r="E69" t="s">
        <v>327</v>
      </c>
      <c r="F69">
        <f>ABS(C69/B79)</f>
        <v>36.68272548035268</v>
      </c>
    </row>
    <row r="71" spans="1:6">
      <c r="B71" t="s">
        <v>404</v>
      </c>
    </row>
    <row r="72" spans="1:6">
      <c r="B72" t="s">
        <v>308</v>
      </c>
    </row>
    <row r="73" spans="1:6">
      <c r="A73" s="1" t="s">
        <v>214</v>
      </c>
      <c r="B73" s="45">
        <v>-5.0538162197142356E-3</v>
      </c>
    </row>
    <row r="74" spans="1:6">
      <c r="A74" s="1" t="s">
        <v>215</v>
      </c>
      <c r="B74" s="45">
        <v>-9.9445623077230039E-3</v>
      </c>
    </row>
    <row r="75" spans="1:6">
      <c r="A75" s="1" t="s">
        <v>216</v>
      </c>
      <c r="B75" s="45">
        <v>-1.4869964235444399E-2</v>
      </c>
    </row>
    <row r="76" spans="1:6">
      <c r="A76" s="1" t="s">
        <v>217</v>
      </c>
      <c r="B76" s="45">
        <v>-1.9751209218910049E-2</v>
      </c>
    </row>
    <row r="77" spans="1:6">
      <c r="A77" s="1" t="s">
        <v>219</v>
      </c>
      <c r="B77" s="45">
        <v>-2.9384568643123998E-2</v>
      </c>
    </row>
    <row r="78" spans="1:6">
      <c r="A78" s="1" t="s">
        <v>221</v>
      </c>
      <c r="B78" s="45">
        <v>-3.8817327944428826E-2</v>
      </c>
    </row>
    <row r="79" spans="1:6">
      <c r="A79" s="1" t="s">
        <v>223</v>
      </c>
      <c r="B79" s="45">
        <v>-4.8015147925738688E-2</v>
      </c>
    </row>
  </sheetData>
  <phoneticPr fontId="3"/>
  <pageMargins left="0.75" right="0.75" top="1" bottom="1" header="0.51200000000000001" footer="0.51200000000000001"/>
  <headerFooter alignWithMargins="0"/>
  <ignoredErrors>
    <ignoredError sqref="R11 R13" 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D41"/>
  <sheetViews>
    <sheetView workbookViewId="0"/>
  </sheetViews>
  <sheetFormatPr baseColWidth="10" defaultColWidth="8.83203125" defaultRowHeight="14"/>
  <cols>
    <col min="2" max="2" width="14.6640625" customWidth="1"/>
    <col min="3" max="3" width="11.5" customWidth="1"/>
    <col min="4" max="4" width="13.5" customWidth="1"/>
  </cols>
  <sheetData>
    <row r="2" spans="2:4">
      <c r="B2" t="s">
        <v>334</v>
      </c>
    </row>
    <row r="4" spans="2:4">
      <c r="B4" s="1"/>
      <c r="C4" s="1" t="s">
        <v>212</v>
      </c>
      <c r="D4" s="52" t="s">
        <v>346</v>
      </c>
    </row>
    <row r="5" spans="2:4">
      <c r="B5" s="1" t="s">
        <v>214</v>
      </c>
      <c r="C5" s="33">
        <v>0.5</v>
      </c>
      <c r="D5" s="53">
        <f>100/(100*(1+C5/100*182.5/360))</f>
        <v>0.99747168635056971</v>
      </c>
    </row>
    <row r="6" spans="2:4">
      <c r="B6" s="1" t="s">
        <v>215</v>
      </c>
      <c r="C6" s="33">
        <v>0.7</v>
      </c>
      <c r="D6" s="53">
        <f>(100-C6/2*SUM(D$5:D5))/(100+C6/2)</f>
        <v>0.99303323278303246</v>
      </c>
    </row>
    <row r="7" spans="2:4">
      <c r="B7" s="1" t="s">
        <v>216</v>
      </c>
      <c r="C7" s="33">
        <v>0.85</v>
      </c>
      <c r="D7" s="53">
        <f>(100-C7/2*SUM(D$5:D6))/(100+C7/2)</f>
        <v>0.98734414149233973</v>
      </c>
    </row>
    <row r="8" spans="2:4">
      <c r="B8" s="1" t="s">
        <v>217</v>
      </c>
      <c r="C8" s="33">
        <v>1</v>
      </c>
      <c r="D8" s="53">
        <f>(100-C8/2*SUM(D$5:D7))/(100+C8/2)</f>
        <v>0.98020970616604008</v>
      </c>
    </row>
    <row r="9" spans="2:4">
      <c r="B9" s="1" t="s">
        <v>218</v>
      </c>
      <c r="C9" s="33">
        <f>(C8+C10)/2</f>
        <v>1.1000000000000001</v>
      </c>
      <c r="D9" s="53">
        <f>(100-C9/2*SUM(D$5:D8))/(100+C9/2)</f>
        <v>0.97287983767542929</v>
      </c>
    </row>
    <row r="10" spans="2:4">
      <c r="B10" s="1" t="s">
        <v>219</v>
      </c>
      <c r="C10" s="33">
        <v>1.2</v>
      </c>
      <c r="D10" s="53">
        <f>(100-C10/2*SUM(D$5:D9))/(100+C10/2)</f>
        <v>0.96462660872087036</v>
      </c>
    </row>
    <row r="11" spans="2:4">
      <c r="B11" s="1" t="s">
        <v>220</v>
      </c>
      <c r="C11" s="33">
        <f>(C10+C12)/2</f>
        <v>1.2999999999999998</v>
      </c>
      <c r="D11" s="53">
        <f>(100-C11/2*SUM(D$5:D10))/(100+C11/2)</f>
        <v>0.95546828227945957</v>
      </c>
    </row>
    <row r="12" spans="2:4">
      <c r="B12" s="1" t="s">
        <v>221</v>
      </c>
      <c r="C12" s="33">
        <v>1.4</v>
      </c>
      <c r="D12" s="53">
        <f>(100-C12/2*SUM(D$5:D11))/(100+C12/2)</f>
        <v>0.94542479198781104</v>
      </c>
    </row>
    <row r="13" spans="2:4">
      <c r="B13" s="1" t="s">
        <v>222</v>
      </c>
      <c r="C13" s="33">
        <f>(C12+C14)/2</f>
        <v>1.4750000000000001</v>
      </c>
      <c r="D13" s="53">
        <f>(100-C13/2*SUM(D$5:D12))/(100+C13/2)</f>
        <v>0.93560106229558537</v>
      </c>
    </row>
    <row r="14" spans="2:4">
      <c r="B14" s="1" t="s">
        <v>223</v>
      </c>
      <c r="C14" s="33">
        <v>1.55</v>
      </c>
      <c r="D14" s="53">
        <f>(100-C14/2*SUM(D$5:D13))/(100+C14/2)</f>
        <v>0.92515657657100336</v>
      </c>
    </row>
    <row r="16" spans="2:4">
      <c r="B16" t="s">
        <v>336</v>
      </c>
      <c r="C16" s="1">
        <v>35</v>
      </c>
      <c r="D16" t="s">
        <v>337</v>
      </c>
    </row>
    <row r="31" spans="2:2">
      <c r="B31" t="s">
        <v>335</v>
      </c>
    </row>
    <row r="32" spans="2:2">
      <c r="B32" t="s">
        <v>339</v>
      </c>
    </row>
    <row r="33" spans="2:3">
      <c r="B33" s="1" t="s">
        <v>237</v>
      </c>
      <c r="C33" s="1">
        <v>100</v>
      </c>
    </row>
    <row r="34" spans="2:3">
      <c r="B34" s="1" t="s">
        <v>230</v>
      </c>
      <c r="C34" s="112">
        <f>100*(D8-D14)/(0.5*SUM(D9:D14))/100</f>
        <v>1.9319744324992547E-2</v>
      </c>
    </row>
    <row r="35" spans="2:3">
      <c r="B35" s="1" t="s">
        <v>232</v>
      </c>
      <c r="C35" s="112">
        <v>2.1000000000000001E-2</v>
      </c>
    </row>
    <row r="36" spans="2:3">
      <c r="B36" s="1" t="s">
        <v>233</v>
      </c>
      <c r="C36" s="1">
        <v>0.35</v>
      </c>
    </row>
    <row r="37" spans="2:3">
      <c r="B37" s="1" t="s">
        <v>244</v>
      </c>
      <c r="C37" s="1">
        <v>2</v>
      </c>
    </row>
    <row r="38" spans="2:3" ht="16">
      <c r="B38" s="1" t="s">
        <v>234</v>
      </c>
      <c r="C38" s="1">
        <f>(LN(C34/C35)+C36^2*C37/2)/(C36*C37^0.5)</f>
        <v>7.9004348257648502E-2</v>
      </c>
    </row>
    <row r="39" spans="2:3" ht="16">
      <c r="B39" s="1" t="s">
        <v>235</v>
      </c>
      <c r="C39" s="1">
        <f>C38-C36*C37^0.5</f>
        <v>-0.41597039857293477</v>
      </c>
    </row>
    <row r="41" spans="2:3">
      <c r="B41" s="1" t="s">
        <v>236</v>
      </c>
      <c r="C41" s="33">
        <f>(C35*NORMSDIST(-C39)-C34*NORMSDIST(-C38))*(C33*SUM(D9:D14)*0.5)</f>
        <v>1.3778811188973343</v>
      </c>
    </row>
  </sheetData>
  <phoneticPr fontId="3"/>
  <pageMargins left="0.75" right="0.75" top="1" bottom="1" header="0.51200000000000001" footer="0.5120000000000000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E37"/>
  <sheetViews>
    <sheetView workbookViewId="0"/>
  </sheetViews>
  <sheetFormatPr baseColWidth="10" defaultColWidth="8.83203125" defaultRowHeight="14"/>
  <cols>
    <col min="2" max="4" width="15.1640625" customWidth="1"/>
  </cols>
  <sheetData>
    <row r="2" spans="2:4">
      <c r="B2" t="s">
        <v>334</v>
      </c>
    </row>
    <row r="4" spans="2:4">
      <c r="B4" s="1"/>
      <c r="C4" s="1" t="s">
        <v>212</v>
      </c>
      <c r="D4" s="52" t="s">
        <v>346</v>
      </c>
    </row>
    <row r="5" spans="2:4">
      <c r="B5" s="1" t="s">
        <v>214</v>
      </c>
      <c r="C5" s="33">
        <v>0.5</v>
      </c>
      <c r="D5" s="53">
        <f>100/(100*(1+C5/100*182.5/360))</f>
        <v>0.99747168635056971</v>
      </c>
    </row>
    <row r="6" spans="2:4">
      <c r="B6" s="1" t="s">
        <v>215</v>
      </c>
      <c r="C6" s="33">
        <v>0.7</v>
      </c>
      <c r="D6" s="53">
        <f>(100-C6/2*SUM(D$5:D5))/(100+C6/2)</f>
        <v>0.99303323278303246</v>
      </c>
    </row>
    <row r="7" spans="2:4">
      <c r="B7" s="1" t="s">
        <v>216</v>
      </c>
      <c r="C7" s="33">
        <v>0.85</v>
      </c>
      <c r="D7" s="53">
        <f>(100-C7/2*SUM(D$5:D6))/(100+C7/2)</f>
        <v>0.98734414149233973</v>
      </c>
    </row>
    <row r="8" spans="2:4">
      <c r="B8" s="1" t="s">
        <v>217</v>
      </c>
      <c r="C8" s="33">
        <v>1</v>
      </c>
      <c r="D8" s="53">
        <f>(100-C8/2*SUM(D$5:D7))/(100+C8/2)</f>
        <v>0.98020970616604008</v>
      </c>
    </row>
    <row r="9" spans="2:4">
      <c r="B9" s="1" t="s">
        <v>218</v>
      </c>
      <c r="C9" s="33">
        <f>(C8+C10)/2</f>
        <v>1.1000000000000001</v>
      </c>
      <c r="D9" s="53">
        <f>(100-C9/2*SUM(D$5:D8))/(100+C9/2)</f>
        <v>0.97287983767542929</v>
      </c>
    </row>
    <row r="10" spans="2:4">
      <c r="B10" s="1" t="s">
        <v>219</v>
      </c>
      <c r="C10" s="33">
        <v>1.2</v>
      </c>
      <c r="D10" s="53">
        <f>(100-C10/2*SUM(D$5:D9))/(100+C10/2)</f>
        <v>0.96462660872087036</v>
      </c>
    </row>
    <row r="11" spans="2:4">
      <c r="B11" s="1" t="s">
        <v>220</v>
      </c>
      <c r="C11" s="33">
        <f>(C10+C12)/2</f>
        <v>1.2999999999999998</v>
      </c>
      <c r="D11" s="53">
        <f>(100-C11/2*SUM(D$5:D10))/(100+C11/2)</f>
        <v>0.95546828227945957</v>
      </c>
    </row>
    <row r="12" spans="2:4">
      <c r="B12" s="1" t="s">
        <v>221</v>
      </c>
      <c r="C12" s="33">
        <v>1.4</v>
      </c>
      <c r="D12" s="53">
        <f>(100-C12/2*SUM(D$5:D11))/(100+C12/2)</f>
        <v>0.94542479198781104</v>
      </c>
    </row>
    <row r="13" spans="2:4">
      <c r="B13" s="1" t="s">
        <v>222</v>
      </c>
      <c r="C13" s="33">
        <f>(C12+C14)/2</f>
        <v>1.4750000000000001</v>
      </c>
      <c r="D13" s="53">
        <f>(100-C13/2*SUM(D$5:D12))/(100+C13/2)</f>
        <v>0.93560106229558537</v>
      </c>
    </row>
    <row r="14" spans="2:4">
      <c r="B14" s="1" t="s">
        <v>223</v>
      </c>
      <c r="C14" s="33">
        <v>1.55</v>
      </c>
      <c r="D14" s="53">
        <f>(100-C14/2*SUM(D$5:D13))/(100+C14/2)</f>
        <v>0.92515657657100336</v>
      </c>
    </row>
    <row r="16" spans="2:4">
      <c r="B16" t="s">
        <v>336</v>
      </c>
      <c r="C16" s="1">
        <v>35</v>
      </c>
      <c r="D16" t="s">
        <v>337</v>
      </c>
    </row>
    <row r="19" spans="2:4">
      <c r="B19" t="s">
        <v>231</v>
      </c>
    </row>
    <row r="21" spans="2:4">
      <c r="C21" s="1" t="s">
        <v>237</v>
      </c>
      <c r="D21" s="1">
        <v>100</v>
      </c>
    </row>
    <row r="22" spans="2:4">
      <c r="C22" s="1" t="s">
        <v>230</v>
      </c>
      <c r="D22" s="112">
        <f>100*(D8-D14)/(0.5*SUM(D9:D14))/100</f>
        <v>1.9319744324992547E-2</v>
      </c>
    </row>
    <row r="23" spans="2:4">
      <c r="C23" s="1" t="s">
        <v>232</v>
      </c>
      <c r="D23" s="112">
        <v>0.02</v>
      </c>
    </row>
    <row r="24" spans="2:4">
      <c r="C24" s="1" t="s">
        <v>233</v>
      </c>
      <c r="D24" s="1">
        <v>0.35</v>
      </c>
    </row>
    <row r="25" spans="2:4">
      <c r="C25" s="1" t="s">
        <v>244</v>
      </c>
      <c r="D25" s="1">
        <v>2</v>
      </c>
    </row>
    <row r="26" spans="2:4" ht="16">
      <c r="C26" s="1" t="s">
        <v>234</v>
      </c>
      <c r="D26" s="1">
        <f>(LN(D22/D23)+D24^2*D25/2)/(D24*D25^0.5)</f>
        <v>0.17757536522739228</v>
      </c>
    </row>
    <row r="27" spans="2:4" ht="16">
      <c r="C27" s="1" t="s">
        <v>235</v>
      </c>
      <c r="D27" s="1">
        <f>D26-D24*D25^0.5</f>
        <v>-0.31739938160319103</v>
      </c>
    </row>
    <row r="29" spans="2:4">
      <c r="C29" s="1" t="s">
        <v>236</v>
      </c>
      <c r="D29" s="45">
        <f>(D22*NORMSDIST(D26)-D23*NORMSDIST(D27))*(D21*SUM(D9:D14)*0.5)</f>
        <v>1.0007614122172388</v>
      </c>
    </row>
    <row r="30" spans="2:4">
      <c r="D30" s="62"/>
    </row>
    <row r="32" spans="2:4">
      <c r="B32" t="s">
        <v>340</v>
      </c>
    </row>
    <row r="33" spans="2:5">
      <c r="D33" s="33">
        <f>D29/(0.5*SUM(D5:D8))</f>
        <v>0.50568294771851441</v>
      </c>
    </row>
    <row r="36" spans="2:5">
      <c r="B36" t="s">
        <v>341</v>
      </c>
    </row>
    <row r="37" spans="2:5">
      <c r="D37" s="135">
        <f>C8+D33</f>
        <v>1.5056829477185145</v>
      </c>
      <c r="E37" t="s">
        <v>342</v>
      </c>
    </row>
  </sheetData>
  <phoneticPr fontId="3"/>
  <pageMargins left="0.75" right="0.75" top="1" bottom="1" header="0.51200000000000001" footer="0.5120000000000000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H42"/>
  <sheetViews>
    <sheetView workbookViewId="0"/>
  </sheetViews>
  <sheetFormatPr baseColWidth="10" defaultColWidth="8.83203125" defaultRowHeight="14"/>
  <cols>
    <col min="2" max="3" width="15" customWidth="1"/>
    <col min="4" max="8" width="15.1640625" customWidth="1"/>
  </cols>
  <sheetData>
    <row r="2" spans="2:4">
      <c r="B2" t="s">
        <v>338</v>
      </c>
    </row>
    <row r="4" spans="2:4">
      <c r="B4" s="1"/>
      <c r="C4" s="1" t="s">
        <v>212</v>
      </c>
      <c r="D4" s="52" t="s">
        <v>346</v>
      </c>
    </row>
    <row r="5" spans="2:4">
      <c r="B5" s="1" t="s">
        <v>214</v>
      </c>
      <c r="C5" s="33">
        <v>0.5</v>
      </c>
      <c r="D5" s="53">
        <f>100/(100*(1+C5/100*182.5/360))</f>
        <v>0.99747168635056971</v>
      </c>
    </row>
    <row r="6" spans="2:4">
      <c r="B6" s="1" t="s">
        <v>215</v>
      </c>
      <c r="C6" s="33">
        <v>0.7</v>
      </c>
      <c r="D6" s="53">
        <f>(100-C6/2*SUM(D$5:D5))/(100+C6/2)</f>
        <v>0.99303323278303246</v>
      </c>
    </row>
    <row r="7" spans="2:4">
      <c r="B7" s="1" t="s">
        <v>216</v>
      </c>
      <c r="C7" s="33">
        <v>0.85</v>
      </c>
      <c r="D7" s="53">
        <f>(100-C7/2*SUM(D$5:D6))/(100+C7/2)</f>
        <v>0.98734414149233973</v>
      </c>
    </row>
    <row r="8" spans="2:4">
      <c r="B8" s="1" t="s">
        <v>217</v>
      </c>
      <c r="C8" s="33">
        <v>1</v>
      </c>
      <c r="D8" s="53">
        <f>(100-C8/2*SUM(D$5:D7))/(100+C8/2)</f>
        <v>0.98020970616604008</v>
      </c>
    </row>
    <row r="9" spans="2:4">
      <c r="B9" s="1" t="s">
        <v>218</v>
      </c>
      <c r="C9" s="33">
        <f>(C8+C10)/2</f>
        <v>1.1000000000000001</v>
      </c>
      <c r="D9" s="53">
        <f>(100-C9/2*SUM(D$5:D8))/(100+C9/2)</f>
        <v>0.97287983767542929</v>
      </c>
    </row>
    <row r="10" spans="2:4">
      <c r="B10" s="1" t="s">
        <v>219</v>
      </c>
      <c r="C10" s="33">
        <v>1.2</v>
      </c>
      <c r="D10" s="53">
        <f>(100-C10/2*SUM(D$5:D9))/(100+C10/2)</f>
        <v>0.96462660872087036</v>
      </c>
    </row>
    <row r="11" spans="2:4">
      <c r="B11" s="1" t="s">
        <v>220</v>
      </c>
      <c r="C11" s="33">
        <f>(C10+C12)/2</f>
        <v>1.2999999999999998</v>
      </c>
      <c r="D11" s="53">
        <f>(100-C11/2*SUM(D$5:D10))/(100+C11/2)</f>
        <v>0.95546828227945957</v>
      </c>
    </row>
    <row r="12" spans="2:4">
      <c r="B12" s="1" t="s">
        <v>221</v>
      </c>
      <c r="C12" s="33">
        <v>1.4</v>
      </c>
      <c r="D12" s="53">
        <f>(100-C12/2*SUM(D$5:D11))/(100+C12/2)</f>
        <v>0.94542479198781104</v>
      </c>
    </row>
    <row r="13" spans="2:4">
      <c r="B13" s="1" t="s">
        <v>222</v>
      </c>
      <c r="C13" s="33">
        <f>(C12+C14)/2</f>
        <v>1.4750000000000001</v>
      </c>
      <c r="D13" s="53">
        <f>(100-C13/2*SUM(D$5:D12))/(100+C13/2)</f>
        <v>0.93560106229558537</v>
      </c>
    </row>
    <row r="14" spans="2:4">
      <c r="B14" s="1" t="s">
        <v>223</v>
      </c>
      <c r="C14" s="33">
        <v>1.55</v>
      </c>
      <c r="D14" s="53">
        <f>(100-C14/2*SUM(D$5:D13))/(100+C14/2)</f>
        <v>0.92515657657100336</v>
      </c>
    </row>
    <row r="16" spans="2:4">
      <c r="B16" t="s">
        <v>336</v>
      </c>
      <c r="C16" s="1">
        <v>35</v>
      </c>
      <c r="D16" t="s">
        <v>337</v>
      </c>
    </row>
    <row r="18" spans="2:8">
      <c r="B18" t="s">
        <v>246</v>
      </c>
    </row>
    <row r="20" spans="2:8">
      <c r="B20" s="1" t="s">
        <v>247</v>
      </c>
      <c r="C20" s="33" t="s">
        <v>248</v>
      </c>
    </row>
    <row r="21" spans="2:8">
      <c r="B21" s="1" t="s">
        <v>249</v>
      </c>
      <c r="C21" s="33">
        <f>(D5/D6-1)*200</f>
        <v>0.893918435156138</v>
      </c>
    </row>
    <row r="22" spans="2:8">
      <c r="B22" s="1" t="s">
        <v>250</v>
      </c>
      <c r="C22" s="33">
        <f>(D6/D7-1)*200</f>
        <v>1.1524029062640384</v>
      </c>
    </row>
    <row r="23" spans="2:8">
      <c r="B23" s="1" t="s">
        <v>251</v>
      </c>
      <c r="C23" s="33">
        <f>(D7/D8-1)*200</f>
        <v>1.4556957111157676</v>
      </c>
    </row>
    <row r="24" spans="2:8">
      <c r="B24" s="1" t="s">
        <v>252</v>
      </c>
      <c r="C24" s="33">
        <f>(D8/D9-1)*200</f>
        <v>1.5068394280067565</v>
      </c>
    </row>
    <row r="25" spans="2:8">
      <c r="B25" s="1" t="s">
        <v>253</v>
      </c>
      <c r="C25" s="33">
        <f>(D9/D10-1)*200</f>
        <v>1.7111758850407277</v>
      </c>
    </row>
    <row r="28" spans="2:8">
      <c r="B28" t="s">
        <v>262</v>
      </c>
      <c r="D28" s="34"/>
    </row>
    <row r="29" spans="2:8">
      <c r="D29" s="73"/>
    </row>
    <row r="30" spans="2:8">
      <c r="D30" t="s">
        <v>263</v>
      </c>
      <c r="E30" t="s">
        <v>264</v>
      </c>
      <c r="F30" t="s">
        <v>265</v>
      </c>
      <c r="G30" t="s">
        <v>266</v>
      </c>
      <c r="H30" t="s">
        <v>267</v>
      </c>
    </row>
    <row r="31" spans="2:8">
      <c r="C31" s="1" t="s">
        <v>268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</row>
    <row r="32" spans="2:8">
      <c r="C32" s="1" t="s">
        <v>269</v>
      </c>
      <c r="D32" s="112">
        <f>C21/100</f>
        <v>8.93918435156138E-3</v>
      </c>
      <c r="E32" s="112">
        <f>C22/100</f>
        <v>1.1524029062640384E-2</v>
      </c>
      <c r="F32" s="112">
        <f>C23/100</f>
        <v>1.4556957111157676E-2</v>
      </c>
      <c r="G32" s="112">
        <f>C24/100</f>
        <v>1.5068394280067565E-2</v>
      </c>
      <c r="H32" s="112">
        <f>C25/100</f>
        <v>1.7111758850407277E-2</v>
      </c>
    </row>
    <row r="33" spans="3:8">
      <c r="C33" s="1" t="s">
        <v>270</v>
      </c>
      <c r="D33" s="112">
        <v>0.01</v>
      </c>
      <c r="E33" s="112">
        <f>D33</f>
        <v>0.01</v>
      </c>
      <c r="F33" s="112">
        <f>E33</f>
        <v>0.01</v>
      </c>
      <c r="G33" s="112">
        <f>F33</f>
        <v>0.01</v>
      </c>
      <c r="H33" s="112">
        <f>G33</f>
        <v>0.01</v>
      </c>
    </row>
    <row r="34" spans="3:8">
      <c r="C34" s="1" t="s">
        <v>271</v>
      </c>
      <c r="D34" s="1">
        <v>0.4</v>
      </c>
      <c r="E34" s="1">
        <v>0.4</v>
      </c>
      <c r="F34" s="1">
        <v>0.4</v>
      </c>
      <c r="G34" s="1">
        <v>0.4</v>
      </c>
      <c r="H34" s="1">
        <v>0.4</v>
      </c>
    </row>
    <row r="35" spans="3:8">
      <c r="C35" s="1" t="s">
        <v>272</v>
      </c>
      <c r="D35" s="2">
        <v>0.5</v>
      </c>
      <c r="E35" s="2">
        <v>1</v>
      </c>
      <c r="F35" s="2">
        <v>1.5</v>
      </c>
      <c r="G35" s="2">
        <v>2</v>
      </c>
      <c r="H35" s="2">
        <v>2.5</v>
      </c>
    </row>
    <row r="36" spans="3:8" ht="16">
      <c r="C36" s="1" t="s">
        <v>273</v>
      </c>
      <c r="D36" s="42">
        <f>(LN(D32/D33)+D34^2*D35/2)/(D34*D35^0.5)</f>
        <v>-0.25505604575399926</v>
      </c>
      <c r="E36" s="42">
        <f>(LN(E32/E33)+E34^2*E35/2)/(E34*E35^0.5)</f>
        <v>0.55462311537008269</v>
      </c>
      <c r="F36" s="42">
        <f>(LN(F32/F33)+F34^2*F35/2)/(F34*F35^0.5)</f>
        <v>1.0114023538466561</v>
      </c>
      <c r="G36" s="42">
        <f>(LN(G32/G33)+G34^2*G35/2)/(G34*G35^0.5)</f>
        <v>1.0076525539966872</v>
      </c>
      <c r="H36" s="42">
        <f>(LN(H32/H33)+H34^2*H35/2)/(H34*H35^0.5)</f>
        <v>1.1655851659489718</v>
      </c>
    </row>
    <row r="37" spans="3:8" ht="16">
      <c r="C37" s="1" t="s">
        <v>274</v>
      </c>
      <c r="D37" s="42">
        <f>D36-D34*D35^0.5</f>
        <v>-0.53789875822861832</v>
      </c>
      <c r="E37" s="42">
        <f>E36-E34*E35^0.5</f>
        <v>0.15462311537008266</v>
      </c>
      <c r="F37" s="42">
        <f>F36-F34*F35^0.5</f>
        <v>0.52150440529002051</v>
      </c>
      <c r="G37" s="42">
        <f>G36-G34*G35^0.5</f>
        <v>0.44196712904744906</v>
      </c>
      <c r="H37" s="42">
        <f>H36-H34*H35^0.5</f>
        <v>0.53312963391529578</v>
      </c>
    </row>
    <row r="39" spans="3:8">
      <c r="C39" s="1" t="s">
        <v>256</v>
      </c>
      <c r="D39" s="113">
        <f>D6</f>
        <v>0.99303323278303246</v>
      </c>
      <c r="E39" s="113">
        <f>D7</f>
        <v>0.98734414149233973</v>
      </c>
      <c r="F39" s="113">
        <f>D8</f>
        <v>0.98020970616604008</v>
      </c>
      <c r="G39" s="113">
        <f>D9</f>
        <v>0.97287983767542929</v>
      </c>
      <c r="H39" s="113">
        <f>D10</f>
        <v>0.96462660872087036</v>
      </c>
    </row>
    <row r="40" spans="3:8">
      <c r="C40" s="1" t="s">
        <v>275</v>
      </c>
      <c r="D40" s="45">
        <f>D31*D39*0.5*(D33*NORMSDIST(-D37)-D32*NORMSDIST(-D36))</f>
        <v>8.3283411186842973E-2</v>
      </c>
      <c r="E40" s="45">
        <f>E31*E39*0.5*(E33*NORMSDIST(-E37)-E32*NORMSDIST(-E36))</f>
        <v>5.1761874674011686E-2</v>
      </c>
      <c r="F40" s="45">
        <f>F31*F39*0.5*(F33*NORMSDIST(-F37)-F32*NORMSDIST(-F36))</f>
        <v>3.629097317014067E-2</v>
      </c>
      <c r="G40" s="45">
        <f>G31*G39*0.5*(G33*NORMSDIST(-G37)-G32*NORMSDIST(-G36))</f>
        <v>4.5223362803926893E-2</v>
      </c>
      <c r="H40" s="45">
        <f>H31*H39*0.5*(H33*NORMSDIST(-H37)-H32*NORMSDIST(-H36))</f>
        <v>4.2633990686535367E-2</v>
      </c>
    </row>
    <row r="42" spans="3:8">
      <c r="C42" s="1" t="s">
        <v>276</v>
      </c>
      <c r="D42" s="33">
        <f>SUM(D40:H40)</f>
        <v>0.25919361252145756</v>
      </c>
    </row>
  </sheetData>
  <phoneticPr fontId="3"/>
  <pageMargins left="0.75" right="0.75" top="1" bottom="1" header="0.51200000000000001" footer="0.5120000000000000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5"/>
  <sheetViews>
    <sheetView workbookViewId="0">
      <selection activeCell="H27" sqref="H27"/>
    </sheetView>
  </sheetViews>
  <sheetFormatPr baseColWidth="10" defaultColWidth="8.83203125" defaultRowHeight="14"/>
  <cols>
    <col min="2" max="2" width="13" customWidth="1"/>
    <col min="3" max="3" width="10.83203125" customWidth="1"/>
  </cols>
  <sheetData>
    <row r="1" spans="1:17" ht="15" thickBot="1">
      <c r="A1" t="s">
        <v>396</v>
      </c>
    </row>
    <row r="2" spans="1:17">
      <c r="E2" s="90">
        <v>1</v>
      </c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6"/>
    </row>
    <row r="3" spans="1:17">
      <c r="A3" t="s">
        <v>351</v>
      </c>
      <c r="E3" s="78"/>
      <c r="Q3" s="167"/>
    </row>
    <row r="4" spans="1:17">
      <c r="B4" s="1"/>
      <c r="C4" s="1" t="s">
        <v>212</v>
      </c>
      <c r="E4" s="78"/>
      <c r="G4" t="s">
        <v>422</v>
      </c>
      <c r="H4" t="s">
        <v>346</v>
      </c>
      <c r="I4" t="s">
        <v>424</v>
      </c>
      <c r="J4" t="s">
        <v>425</v>
      </c>
      <c r="K4" t="s">
        <v>427</v>
      </c>
      <c r="O4" t="s">
        <v>423</v>
      </c>
      <c r="P4" t="s">
        <v>429</v>
      </c>
      <c r="Q4" s="167"/>
    </row>
    <row r="5" spans="1:17">
      <c r="B5" s="1" t="s">
        <v>214</v>
      </c>
      <c r="C5" s="33">
        <v>0.54</v>
      </c>
      <c r="E5" s="78"/>
      <c r="F5" t="s">
        <v>408</v>
      </c>
      <c r="G5" s="34">
        <v>0.54</v>
      </c>
      <c r="H5">
        <f>100 / (100 + 182.5 / 360 * G5)</f>
        <v>0.99726997344768686</v>
      </c>
      <c r="I5">
        <f>$F$21*G5*182.5 / 360 / 100 + F21</f>
        <v>100273.75</v>
      </c>
      <c r="J5">
        <f>$F$21 * 1.62 / 100 * 0.5</f>
        <v>810</v>
      </c>
      <c r="K5">
        <f>(J5-I5) * H5</f>
        <v>-99192.211321507362</v>
      </c>
      <c r="P5" s="121">
        <f>G21</f>
        <v>0</v>
      </c>
      <c r="Q5" s="167"/>
    </row>
    <row r="6" spans="1:17">
      <c r="B6" s="1" t="s">
        <v>215</v>
      </c>
      <c r="C6" s="33">
        <v>0.7</v>
      </c>
      <c r="E6" s="78"/>
      <c r="F6" t="s">
        <v>409</v>
      </c>
      <c r="G6" s="34">
        <v>0.7</v>
      </c>
      <c r="H6">
        <f xml:space="preserve"> (100 - 0.5 * G6 * SUM($H$5:H5)) / (100 + 0.5 * G6)</f>
        <v>0.99303393631582781</v>
      </c>
      <c r="I6">
        <v>0</v>
      </c>
      <c r="J6">
        <f t="shared" ref="J6:J17" si="0">$F$21 * 1.62 / 100 * 0.5</f>
        <v>810</v>
      </c>
      <c r="K6">
        <f t="shared" ref="K6:K18" si="1">(J6-I6) * H6</f>
        <v>804.35748841582051</v>
      </c>
      <c r="O6" s="121">
        <f>$G$18 + 0.01</f>
        <v>1.6300000000000001</v>
      </c>
      <c r="P6">
        <f t="dataTable" ref="P6:P10" dt2D="0" dtr="0" r1="G18" ca="1"/>
        <v>-66.584642527654069</v>
      </c>
      <c r="Q6" s="167"/>
    </row>
    <row r="7" spans="1:17">
      <c r="B7" s="1" t="s">
        <v>216</v>
      </c>
      <c r="C7" s="33">
        <v>0.85</v>
      </c>
      <c r="E7" s="78"/>
      <c r="F7" t="s">
        <v>410</v>
      </c>
      <c r="G7" s="34">
        <v>0.85</v>
      </c>
      <c r="H7">
        <f xml:space="preserve"> (100 - 0.5 * G7 * SUM($H$5:H6)) / (100 + 0.5 * G7)</f>
        <v>0.98734499216679628</v>
      </c>
      <c r="I7">
        <v>0</v>
      </c>
      <c r="J7">
        <f t="shared" si="0"/>
        <v>810</v>
      </c>
      <c r="K7">
        <f t="shared" si="1"/>
        <v>799.74944365510498</v>
      </c>
      <c r="O7" s="121">
        <f>$G$18 + 0.02</f>
        <v>1.6400000000000001</v>
      </c>
      <c r="P7">
        <v>-199.72494501467736</v>
      </c>
      <c r="Q7" s="167"/>
    </row>
    <row r="8" spans="1:17">
      <c r="B8" s="1" t="s">
        <v>217</v>
      </c>
      <c r="C8" s="33">
        <v>0.98</v>
      </c>
      <c r="E8" s="78"/>
      <c r="F8" t="s">
        <v>411</v>
      </c>
      <c r="G8" s="34">
        <v>0.98</v>
      </c>
      <c r="H8">
        <f xml:space="preserve"> (100 - 0.5 * G8 * SUM($H$5:H7)) / (100 + 0.5 * G8)</f>
        <v>0.98060455804611557</v>
      </c>
      <c r="I8">
        <v>0</v>
      </c>
      <c r="J8">
        <f t="shared" si="0"/>
        <v>810</v>
      </c>
      <c r="K8">
        <f t="shared" si="1"/>
        <v>794.28969201735356</v>
      </c>
      <c r="O8" s="121">
        <f>$G$18 + 0.03</f>
        <v>1.6500000000000001</v>
      </c>
      <c r="P8">
        <v>-399.36296729194873</v>
      </c>
      <c r="Q8" s="167"/>
    </row>
    <row r="9" spans="1:17">
      <c r="B9" s="1" t="s">
        <v>219</v>
      </c>
      <c r="C9" s="33">
        <v>1.1200000000000001</v>
      </c>
      <c r="E9" s="78"/>
      <c r="F9" t="s">
        <v>412</v>
      </c>
      <c r="G9">
        <f>(G8+G10) / 2</f>
        <v>1.05</v>
      </c>
      <c r="H9">
        <f xml:space="preserve"> (100 - 0.5 * G9 * SUM($H$5:H8)) / (100 + 0.5 * G9)</f>
        <v>0.97410511746841455</v>
      </c>
      <c r="I9">
        <v>0</v>
      </c>
      <c r="J9">
        <f t="shared" si="0"/>
        <v>810</v>
      </c>
      <c r="K9">
        <f t="shared" si="1"/>
        <v>789.02514514941583</v>
      </c>
      <c r="O9" s="121">
        <f>$G$18 + 0.04</f>
        <v>1.6600000000000001</v>
      </c>
      <c r="P9">
        <v>-665.41186148658744</v>
      </c>
      <c r="Q9" s="167"/>
    </row>
    <row r="10" spans="1:17">
      <c r="B10" s="1" t="s">
        <v>221</v>
      </c>
      <c r="C10" s="33">
        <v>1.25</v>
      </c>
      <c r="E10" s="78"/>
      <c r="F10" t="s">
        <v>413</v>
      </c>
      <c r="G10" s="34">
        <v>1.1200000000000001</v>
      </c>
      <c r="H10">
        <f xml:space="preserve"> (100 - 0.5 * G10 * SUM($H$5:H9)) / (100 + 0.5 * G10)</f>
        <v>0.96696379471589977</v>
      </c>
      <c r="I10">
        <v>0</v>
      </c>
      <c r="J10">
        <f t="shared" si="0"/>
        <v>810</v>
      </c>
      <c r="K10">
        <f t="shared" si="1"/>
        <v>783.24067371987883</v>
      </c>
      <c r="O10" s="121">
        <f>$G$18 + 0.05</f>
        <v>1.6700000000000002</v>
      </c>
      <c r="P10">
        <v>-997.75594677584013</v>
      </c>
      <c r="Q10" s="167"/>
    </row>
    <row r="11" spans="1:17">
      <c r="B11" s="1" t="s">
        <v>223</v>
      </c>
      <c r="C11" s="33">
        <v>1.38</v>
      </c>
      <c r="E11" s="78"/>
      <c r="F11" t="s">
        <v>414</v>
      </c>
      <c r="G11">
        <f>(G10+G12) / 2</f>
        <v>1.1850000000000001</v>
      </c>
      <c r="H11">
        <f xml:space="preserve"> (100 - 0.5 * G11 * SUM($H$5:H10)) / (100 + 0.5 * G11)</f>
        <v>0.95936229335680856</v>
      </c>
      <c r="I11">
        <v>0</v>
      </c>
      <c r="J11">
        <f t="shared" si="0"/>
        <v>810</v>
      </c>
      <c r="K11">
        <f t="shared" si="1"/>
        <v>777.08345761901489</v>
      </c>
      <c r="Q11" s="167"/>
    </row>
    <row r="12" spans="1:17">
      <c r="B12" s="1" t="s">
        <v>352</v>
      </c>
      <c r="C12" s="33">
        <v>1.5</v>
      </c>
      <c r="E12" s="78"/>
      <c r="F12" t="s">
        <v>415</v>
      </c>
      <c r="G12" s="34">
        <v>1.25</v>
      </c>
      <c r="H12">
        <f xml:space="preserve"> (100 - 0.5 * G12 * SUM($H$5:H11)) / (100 + 0.5 * G12)</f>
        <v>0.95118829400299654</v>
      </c>
      <c r="I12">
        <v>0</v>
      </c>
      <c r="J12">
        <f t="shared" si="0"/>
        <v>810</v>
      </c>
      <c r="K12">
        <f t="shared" si="1"/>
        <v>770.46251814242714</v>
      </c>
      <c r="Q12" s="167"/>
    </row>
    <row r="13" spans="1:17">
      <c r="B13" s="1" t="s">
        <v>353</v>
      </c>
      <c r="C13" s="33">
        <v>1.62</v>
      </c>
      <c r="E13" s="78"/>
      <c r="F13" t="s">
        <v>416</v>
      </c>
      <c r="G13">
        <f>(G12+G14) / 2</f>
        <v>1.3149999999999999</v>
      </c>
      <c r="H13">
        <f xml:space="preserve"> (100 - 0.5 * G13 * SUM($H$5:H12)) / (100 + 0.5 * G13)</f>
        <v>0.94245345383220569</v>
      </c>
      <c r="I13">
        <v>0</v>
      </c>
      <c r="J13">
        <f t="shared" si="0"/>
        <v>810</v>
      </c>
      <c r="K13">
        <f t="shared" si="1"/>
        <v>763.3872976040866</v>
      </c>
      <c r="Q13" s="167"/>
    </row>
    <row r="14" spans="1:17">
      <c r="B14" s="150" t="s">
        <v>354</v>
      </c>
      <c r="E14" s="78"/>
      <c r="F14" t="s">
        <v>417</v>
      </c>
      <c r="G14" s="34">
        <v>1.38</v>
      </c>
      <c r="H14">
        <f xml:space="preserve"> (100 - 0.5 * G14 * SUM($H$5:H13)) / (100 + 0.5 * G14)</f>
        <v>0.93317007423564002</v>
      </c>
      <c r="I14">
        <v>0</v>
      </c>
      <c r="J14">
        <f t="shared" si="0"/>
        <v>810</v>
      </c>
      <c r="K14">
        <f t="shared" si="1"/>
        <v>755.86776013086842</v>
      </c>
      <c r="Q14" s="167"/>
    </row>
    <row r="15" spans="1:17">
      <c r="E15" s="78"/>
      <c r="F15" t="s">
        <v>418</v>
      </c>
      <c r="G15">
        <f>(G14+G16) / 2</f>
        <v>1.44</v>
      </c>
      <c r="H15">
        <f xml:space="preserve"> (100 - 0.5 * G15 * SUM($H$5:H14)) / (100 + 0.5 * G15)</f>
        <v>0.92361440159785901</v>
      </c>
      <c r="I15">
        <v>0</v>
      </c>
      <c r="J15">
        <f t="shared" si="0"/>
        <v>810</v>
      </c>
      <c r="K15">
        <f t="shared" si="1"/>
        <v>748.12766529426585</v>
      </c>
      <c r="Q15" s="167"/>
    </row>
    <row r="16" spans="1:17">
      <c r="E16" s="78"/>
      <c r="F16" t="s">
        <v>419</v>
      </c>
      <c r="G16" s="34">
        <v>1.5</v>
      </c>
      <c r="H16">
        <f xml:space="preserve"> (100 - 0.5 * G16 * SUM($H$5:H15)) / (100 + 0.5 * G16)</f>
        <v>0.91357981968347701</v>
      </c>
      <c r="I16">
        <v>0</v>
      </c>
      <c r="J16">
        <f t="shared" si="0"/>
        <v>810</v>
      </c>
      <c r="K16">
        <f t="shared" si="1"/>
        <v>739.99965394361641</v>
      </c>
      <c r="Q16" s="167"/>
    </row>
    <row r="17" spans="5:17">
      <c r="E17" s="78"/>
      <c r="F17" t="s">
        <v>420</v>
      </c>
      <c r="G17">
        <f>(G16+G18) / 2</f>
        <v>1.56</v>
      </c>
      <c r="H17">
        <f xml:space="preserve"> (100 - 0.5 * G17 * SUM($H$5:H16)) / (100 + 0.5 * G17)</f>
        <v>0.90307899629967858</v>
      </c>
      <c r="I17">
        <v>0</v>
      </c>
      <c r="J17">
        <f t="shared" si="0"/>
        <v>810</v>
      </c>
      <c r="K17">
        <f t="shared" si="1"/>
        <v>731.49398700273969</v>
      </c>
      <c r="Q17" s="167"/>
    </row>
    <row r="18" spans="5:17">
      <c r="E18" s="78"/>
      <c r="F18" t="s">
        <v>421</v>
      </c>
      <c r="G18" s="34">
        <v>1.62</v>
      </c>
      <c r="H18">
        <f xml:space="preserve"> (100 - 0.5 * G18 * SUM($H$5:H17)) / (100 + 0.5 * G18)</f>
        <v>0.89212505246317608</v>
      </c>
      <c r="I18">
        <v>0</v>
      </c>
      <c r="J18">
        <f>$F$21 * 1.62 / 100 * 0.5 + F21</f>
        <v>100810</v>
      </c>
      <c r="K18">
        <f t="shared" si="1"/>
        <v>89935.126538812779</v>
      </c>
      <c r="Q18" s="167"/>
    </row>
    <row r="19" spans="5:17">
      <c r="E19" s="78"/>
      <c r="Q19" s="167"/>
    </row>
    <row r="20" spans="5:17">
      <c r="E20" s="78"/>
      <c r="F20" t="s">
        <v>426</v>
      </c>
      <c r="G20" t="s">
        <v>428</v>
      </c>
      <c r="Q20" s="167"/>
    </row>
    <row r="21" spans="5:17">
      <c r="E21" s="78"/>
      <c r="F21">
        <v>100000</v>
      </c>
      <c r="G21">
        <f>SUM(K5:K18)</f>
        <v>0</v>
      </c>
      <c r="Q21" s="167"/>
    </row>
    <row r="22" spans="5:17" ht="15" thickBot="1">
      <c r="E22" s="79"/>
      <c r="F22" s="168"/>
      <c r="G22" s="168"/>
      <c r="H22" s="168"/>
      <c r="I22" s="168"/>
      <c r="J22" s="168"/>
      <c r="K22" s="168"/>
      <c r="L22" s="168"/>
      <c r="M22" s="168"/>
      <c r="N22" s="168"/>
      <c r="O22" s="168"/>
      <c r="P22" s="168"/>
      <c r="Q22" s="169"/>
    </row>
    <row r="23" spans="5:17" ht="15" thickBot="1"/>
    <row r="24" spans="5:17">
      <c r="E24" s="90">
        <v>2</v>
      </c>
      <c r="F24" s="165"/>
      <c r="G24" s="165"/>
      <c r="H24" s="165"/>
      <c r="I24" s="165"/>
      <c r="J24" s="165"/>
      <c r="K24" s="166"/>
    </row>
    <row r="25" spans="5:17">
      <c r="E25" s="78"/>
      <c r="K25" s="167"/>
    </row>
    <row r="26" spans="5:17">
      <c r="E26" s="78"/>
      <c r="F26" t="s">
        <v>430</v>
      </c>
      <c r="G26" t="s">
        <v>431</v>
      </c>
      <c r="H26" t="s">
        <v>432</v>
      </c>
      <c r="I26" t="s">
        <v>346</v>
      </c>
      <c r="J26" t="s">
        <v>439</v>
      </c>
      <c r="K26" s="167"/>
    </row>
    <row r="27" spans="5:17">
      <c r="E27" s="78"/>
      <c r="F27" t="s">
        <v>433</v>
      </c>
      <c r="G27">
        <f xml:space="preserve"> -(100 + 0.475 / 100 * 182.5 / 360)</f>
        <v>-100.00240798611111</v>
      </c>
      <c r="H27">
        <f xml:space="preserve"> 100 * 1.35 / 100 * 0.5</f>
        <v>0.67500000000000004</v>
      </c>
      <c r="I27">
        <f xml:space="preserve"> (1 + H5) / 2</f>
        <v>0.99863498672384343</v>
      </c>
      <c r="J27">
        <f>H27+G27</f>
        <v>-99.327407986111112</v>
      </c>
      <c r="K27" s="167"/>
    </row>
    <row r="28" spans="5:17">
      <c r="E28" s="78"/>
      <c r="F28" t="s">
        <v>434</v>
      </c>
      <c r="G28">
        <v>0</v>
      </c>
      <c r="H28">
        <f t="shared" ref="H28:H31" si="2" xml:space="preserve"> 100 * 1.35 / 100 * 0.5</f>
        <v>0.67500000000000004</v>
      </c>
      <c r="I28">
        <f xml:space="preserve"> (H5 + H6) / 2</f>
        <v>0.99515195488175734</v>
      </c>
      <c r="J28">
        <f t="shared" ref="J28:J32" si="3">H28+G28</f>
        <v>0.67500000000000004</v>
      </c>
      <c r="K28" s="167"/>
    </row>
    <row r="29" spans="5:17">
      <c r="E29" s="78"/>
      <c r="F29" t="s">
        <v>435</v>
      </c>
      <c r="G29">
        <v>0</v>
      </c>
      <c r="H29">
        <f t="shared" si="2"/>
        <v>0.67500000000000004</v>
      </c>
      <c r="I29">
        <f t="shared" ref="I29:I30" si="4" xml:space="preserve"> (H6 + H7) / 2</f>
        <v>0.99018946424131205</v>
      </c>
      <c r="J29">
        <f t="shared" si="3"/>
        <v>0.67500000000000004</v>
      </c>
      <c r="K29" s="167"/>
    </row>
    <row r="30" spans="5:17">
      <c r="E30" s="78"/>
      <c r="F30" t="s">
        <v>436</v>
      </c>
      <c r="G30">
        <v>0</v>
      </c>
      <c r="H30">
        <f t="shared" si="2"/>
        <v>0.67500000000000004</v>
      </c>
      <c r="I30">
        <f t="shared" si="4"/>
        <v>0.98397477510645592</v>
      </c>
      <c r="J30">
        <f t="shared" si="3"/>
        <v>0.67500000000000004</v>
      </c>
      <c r="K30" s="167"/>
    </row>
    <row r="31" spans="5:17">
      <c r="E31" s="78"/>
      <c r="F31" t="s">
        <v>437</v>
      </c>
      <c r="G31">
        <v>0</v>
      </c>
      <c r="H31">
        <f t="shared" si="2"/>
        <v>0.67500000000000004</v>
      </c>
      <c r="I31">
        <f xml:space="preserve"> (H8 + H9) / 2</f>
        <v>0.97735483775726506</v>
      </c>
      <c r="J31">
        <f t="shared" si="3"/>
        <v>0.67500000000000004</v>
      </c>
      <c r="K31" s="167"/>
    </row>
    <row r="32" spans="5:17">
      <c r="E32" s="78"/>
      <c r="F32" t="s">
        <v>438</v>
      </c>
      <c r="G32">
        <v>0</v>
      </c>
      <c r="H32">
        <f xml:space="preserve"> 100 + 100 * 1.35 / 100 * 0.5</f>
        <v>100.675</v>
      </c>
      <c r="I32">
        <f xml:space="preserve"> (H9 + H10) / 2</f>
        <v>0.97053445609215716</v>
      </c>
      <c r="J32">
        <f t="shared" si="3"/>
        <v>100.675</v>
      </c>
      <c r="K32" s="167"/>
    </row>
    <row r="33" spans="5:11">
      <c r="E33" s="78"/>
      <c r="K33" s="167"/>
    </row>
    <row r="34" spans="5:11">
      <c r="E34" s="78"/>
      <c r="F34" t="s">
        <v>440</v>
      </c>
      <c r="G34">
        <f>SUMPRODUCT(I27:I32,J27:J32)</f>
        <v>1.1807345581451472</v>
      </c>
      <c r="K34" s="167"/>
    </row>
    <row r="35" spans="5:11" ht="15" thickBot="1">
      <c r="E35" s="79"/>
      <c r="F35" s="168"/>
      <c r="G35" s="168"/>
      <c r="H35" s="168"/>
      <c r="I35" s="168"/>
      <c r="J35" s="168"/>
      <c r="K35" s="169"/>
    </row>
  </sheetData>
  <phoneticPr fontId="3"/>
  <pageMargins left="0.75" right="0.75" top="1" bottom="1" header="0.51200000000000001" footer="0.5120000000000000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3B7B-5AD1-7043-BEDF-088ED95ED6D8}">
  <dimension ref="A1:P29"/>
  <sheetViews>
    <sheetView workbookViewId="0">
      <selection activeCell="K29" sqref="K29"/>
    </sheetView>
  </sheetViews>
  <sheetFormatPr baseColWidth="10" defaultRowHeight="14"/>
  <cols>
    <col min="7" max="7" width="14.5" customWidth="1"/>
    <col min="8" max="8" width="15.33203125" customWidth="1"/>
    <col min="12" max="12" width="14.1640625" bestFit="1" customWidth="1"/>
    <col min="16" max="16" width="14.1640625" bestFit="1" customWidth="1"/>
  </cols>
  <sheetData>
    <row r="1" spans="1:16">
      <c r="A1" t="s">
        <v>396</v>
      </c>
    </row>
    <row r="3" spans="1:16">
      <c r="A3" t="s">
        <v>351</v>
      </c>
    </row>
    <row r="4" spans="1:16">
      <c r="B4" s="1"/>
      <c r="C4" s="1" t="s">
        <v>212</v>
      </c>
      <c r="E4" t="s">
        <v>473</v>
      </c>
      <c r="F4" s="1"/>
      <c r="G4" s="1" t="s">
        <v>212</v>
      </c>
      <c r="H4" s="1" t="s">
        <v>346</v>
      </c>
      <c r="I4" s="1" t="s">
        <v>474</v>
      </c>
      <c r="J4" s="1" t="s">
        <v>475</v>
      </c>
      <c r="K4" s="1" t="s">
        <v>476</v>
      </c>
      <c r="O4" t="s">
        <v>472</v>
      </c>
      <c r="P4">
        <v>-1.4551915228366852E-11</v>
      </c>
    </row>
    <row r="5" spans="1:16">
      <c r="B5" s="1" t="s">
        <v>214</v>
      </c>
      <c r="C5" s="33">
        <v>0.54</v>
      </c>
      <c r="E5">
        <v>100000</v>
      </c>
      <c r="F5" s="1" t="s">
        <v>214</v>
      </c>
      <c r="G5" s="33">
        <v>0.54</v>
      </c>
      <c r="H5" s="181">
        <f>100 / (100 + 100 * G5 / 100 * 182.5 / 360)</f>
        <v>0.99726997344768686</v>
      </c>
      <c r="I5" s="1">
        <f>$E$5*1.62/100*0.5</f>
        <v>810</v>
      </c>
      <c r="J5" s="1">
        <f>-(E5+ E5*G5/100*182.5/360)</f>
        <v>-100273.75</v>
      </c>
      <c r="K5" s="1">
        <f>I5+J5</f>
        <v>-99463.75</v>
      </c>
      <c r="O5" t="s">
        <v>471</v>
      </c>
      <c r="P5" s="182">
        <f>L18-P4</f>
        <v>0</v>
      </c>
    </row>
    <row r="6" spans="1:16">
      <c r="B6" s="1" t="s">
        <v>215</v>
      </c>
      <c r="C6" s="33">
        <v>0.7</v>
      </c>
      <c r="F6" s="1" t="s">
        <v>215</v>
      </c>
      <c r="G6" s="33">
        <v>0.7</v>
      </c>
      <c r="H6" s="181">
        <f xml:space="preserve"> (100 - 100 * 0.5 * G6 / 100 * SUM($H$5:H5)) / (100 + 100 * 0.5 * G6 / 100)</f>
        <v>0.99303393631582781</v>
      </c>
      <c r="I6" s="1">
        <f t="shared" ref="I6:I18" si="0">$E$5*1.62/100*0.5</f>
        <v>810</v>
      </c>
      <c r="J6" s="1">
        <v>0</v>
      </c>
      <c r="K6" s="1">
        <f t="shared" ref="K6:K18" si="1">I6+J6</f>
        <v>810</v>
      </c>
      <c r="O6">
        <v>1.63</v>
      </c>
      <c r="P6" s="182">
        <f t="dataTable" ref="P6:P10" dt2D="0" dtr="0" r1="G18"/>
        <v>-66.584642527624965</v>
      </c>
    </row>
    <row r="7" spans="1:16">
      <c r="B7" s="1" t="s">
        <v>216</v>
      </c>
      <c r="C7" s="33">
        <v>0.85</v>
      </c>
      <c r="F7" s="1" t="s">
        <v>216</v>
      </c>
      <c r="G7" s="33">
        <v>0.85</v>
      </c>
      <c r="H7" s="181">
        <f xml:space="preserve"> (100 - 100 * 0.5 * G7 / 100 * SUM($H$5:H6)) / (100 + 100 * 0.5 * G7 / 100)</f>
        <v>0.98734499216679628</v>
      </c>
      <c r="I7" s="1">
        <f t="shared" si="0"/>
        <v>810</v>
      </c>
      <c r="J7" s="1">
        <v>0</v>
      </c>
      <c r="K7" s="1">
        <f t="shared" si="1"/>
        <v>810</v>
      </c>
      <c r="O7">
        <v>1.64</v>
      </c>
      <c r="P7" s="182">
        <v>-133.15962364422739</v>
      </c>
    </row>
    <row r="8" spans="1:16">
      <c r="B8" s="1" t="s">
        <v>217</v>
      </c>
      <c r="C8" s="33">
        <v>0.98</v>
      </c>
      <c r="F8" s="1" t="s">
        <v>217</v>
      </c>
      <c r="G8" s="33">
        <v>0.98</v>
      </c>
      <c r="H8" s="181">
        <f xml:space="preserve"> (100 - 100 * 0.5 * G8 / 100 * SUM($H$5:H7)) / (100 + 100 * 0.5 * G8 / 100)</f>
        <v>0.98060455804611557</v>
      </c>
      <c r="I8" s="1">
        <f t="shared" si="0"/>
        <v>810</v>
      </c>
      <c r="J8" s="1">
        <v>0</v>
      </c>
      <c r="K8" s="1">
        <f t="shared" si="1"/>
        <v>810</v>
      </c>
      <c r="O8">
        <v>1.65</v>
      </c>
      <c r="P8" s="182">
        <v>-199.72494501466281</v>
      </c>
    </row>
    <row r="9" spans="1:16">
      <c r="B9" s="1" t="s">
        <v>219</v>
      </c>
      <c r="C9" s="33">
        <v>1.1200000000000001</v>
      </c>
      <c r="F9" s="175" t="s">
        <v>467</v>
      </c>
      <c r="G9" s="150">
        <f>(G8+G10) / 2</f>
        <v>1.05</v>
      </c>
      <c r="H9" s="181">
        <f xml:space="preserve"> (100 - 100 * 0.5 * G9 / 100 * SUM($H$5:H8)) / (100 + 100 * 0.5 * G9 / 100)</f>
        <v>0.97410511746841455</v>
      </c>
      <c r="I9" s="1">
        <f t="shared" si="0"/>
        <v>810</v>
      </c>
      <c r="J9" s="1">
        <v>0</v>
      </c>
      <c r="K9" s="1">
        <f t="shared" si="1"/>
        <v>810</v>
      </c>
      <c r="O9">
        <v>1.66</v>
      </c>
      <c r="P9" s="182">
        <v>-266.28060830339382</v>
      </c>
    </row>
    <row r="10" spans="1:16">
      <c r="B10" s="1" t="s">
        <v>221</v>
      </c>
      <c r="C10" s="33">
        <v>1.25</v>
      </c>
      <c r="F10" s="1" t="s">
        <v>219</v>
      </c>
      <c r="G10" s="33">
        <v>1.1200000000000001</v>
      </c>
      <c r="H10" s="181">
        <f xml:space="preserve"> (100 - 100 * 0.5 * G10 / 100 * SUM($H$5:H9)) / (100 + 100 * 0.5 * G10 / 100)</f>
        <v>0.96696379471589977</v>
      </c>
      <c r="I10" s="1">
        <f t="shared" si="0"/>
        <v>810</v>
      </c>
      <c r="J10" s="1">
        <v>0</v>
      </c>
      <c r="K10" s="1">
        <f t="shared" si="1"/>
        <v>810</v>
      </c>
      <c r="O10">
        <v>1.67</v>
      </c>
      <c r="P10" s="182">
        <v>-332.8266151745629</v>
      </c>
    </row>
    <row r="11" spans="1:16">
      <c r="B11" s="1" t="s">
        <v>223</v>
      </c>
      <c r="C11" s="33">
        <v>1.38</v>
      </c>
      <c r="F11" s="175" t="s">
        <v>468</v>
      </c>
      <c r="G11" s="150">
        <f>(G10+G12) / 2</f>
        <v>1.1850000000000001</v>
      </c>
      <c r="H11" s="181">
        <f xml:space="preserve"> (100 - 100 * 0.5 * G11 / 100 * SUM($H$5:H10)) / (100 + 100 * 0.5 * G11 / 100)</f>
        <v>0.95936229335680856</v>
      </c>
      <c r="I11" s="1">
        <f t="shared" si="0"/>
        <v>810</v>
      </c>
      <c r="J11" s="1">
        <v>0</v>
      </c>
      <c r="K11" s="1">
        <f t="shared" si="1"/>
        <v>810</v>
      </c>
    </row>
    <row r="12" spans="1:16">
      <c r="B12" s="1" t="s">
        <v>352</v>
      </c>
      <c r="C12" s="33">
        <v>1.5</v>
      </c>
      <c r="F12" s="1" t="s">
        <v>221</v>
      </c>
      <c r="G12" s="33">
        <v>1.25</v>
      </c>
      <c r="H12" s="181">
        <f xml:space="preserve"> (100 - 100 * 0.5 * G12 / 100 * SUM($H$5:H11)) / (100 + 100 * 0.5 * G12 / 100)</f>
        <v>0.95118829400299654</v>
      </c>
      <c r="I12" s="1">
        <f t="shared" si="0"/>
        <v>810</v>
      </c>
      <c r="J12" s="1">
        <v>0</v>
      </c>
      <c r="K12" s="1">
        <f t="shared" si="1"/>
        <v>810</v>
      </c>
    </row>
    <row r="13" spans="1:16">
      <c r="B13" s="1" t="s">
        <v>353</v>
      </c>
      <c r="C13" s="33">
        <v>1.62</v>
      </c>
      <c r="F13" s="175" t="s">
        <v>469</v>
      </c>
      <c r="G13" s="150">
        <f>(G12+G14) / 2</f>
        <v>1.3149999999999999</v>
      </c>
      <c r="H13" s="181">
        <f xml:space="preserve"> (100 - 100 * 0.5 * G13 / 100 * SUM($H$5:H12)) / (100 + 100 * 0.5 * G13 / 100)</f>
        <v>0.94245345383220569</v>
      </c>
      <c r="I13" s="1">
        <f t="shared" si="0"/>
        <v>810</v>
      </c>
      <c r="J13" s="1">
        <v>0</v>
      </c>
      <c r="K13" s="1">
        <f t="shared" si="1"/>
        <v>810</v>
      </c>
    </row>
    <row r="14" spans="1:16">
      <c r="B14" s="150" t="s">
        <v>354</v>
      </c>
      <c r="F14" s="1" t="s">
        <v>223</v>
      </c>
      <c r="G14" s="33">
        <v>1.38</v>
      </c>
      <c r="H14" s="181">
        <f xml:space="preserve"> (100 - 100 * 0.5 * G14 / 100 * SUM($H$5:H13)) / (100 + 100 * 0.5 * G14 / 100)</f>
        <v>0.93317007423564002</v>
      </c>
      <c r="I14" s="1">
        <f t="shared" si="0"/>
        <v>810</v>
      </c>
      <c r="J14" s="1">
        <v>0</v>
      </c>
      <c r="K14" s="1">
        <f t="shared" si="1"/>
        <v>810</v>
      </c>
    </row>
    <row r="15" spans="1:16">
      <c r="F15" s="175" t="s">
        <v>378</v>
      </c>
      <c r="G15" s="150">
        <f>(G14+G16) / 2</f>
        <v>1.44</v>
      </c>
      <c r="H15" s="181">
        <f xml:space="preserve"> (100 - 100 * 0.5 * G15 / 100 * SUM($H$5:H14)) / (100 + 100 * 0.5 * G15 / 100)</f>
        <v>0.92361440159785901</v>
      </c>
      <c r="I15" s="1">
        <f t="shared" si="0"/>
        <v>810</v>
      </c>
      <c r="J15" s="1">
        <v>0</v>
      </c>
      <c r="K15" s="1">
        <f t="shared" si="1"/>
        <v>810</v>
      </c>
    </row>
    <row r="16" spans="1:16">
      <c r="F16" s="1" t="s">
        <v>352</v>
      </c>
      <c r="G16" s="33">
        <v>1.5</v>
      </c>
      <c r="H16" s="181">
        <f xml:space="preserve"> (100 - 100 * 0.5 * G16 / 100 * SUM($H$5:H15)) / (100 + 100 * 0.5 * G16 / 100)</f>
        <v>0.91357981968347701</v>
      </c>
      <c r="I16" s="1">
        <f t="shared" si="0"/>
        <v>810</v>
      </c>
      <c r="J16" s="1">
        <v>0</v>
      </c>
      <c r="K16" s="1">
        <f t="shared" si="1"/>
        <v>810</v>
      </c>
    </row>
    <row r="17" spans="5:12">
      <c r="F17" s="175" t="s">
        <v>470</v>
      </c>
      <c r="G17" s="150">
        <f>(G16+G18) / 2</f>
        <v>1.56</v>
      </c>
      <c r="H17" s="181">
        <f xml:space="preserve"> (100 - 100 * 0.5 * G17 / 100 * SUM($H$5:H16)) / (100 + 100 * 0.5 * G17 / 100)</f>
        <v>0.90307899629967858</v>
      </c>
      <c r="I17" s="1">
        <f t="shared" si="0"/>
        <v>810</v>
      </c>
      <c r="J17" s="1">
        <v>0</v>
      </c>
      <c r="K17" s="1">
        <f t="shared" si="1"/>
        <v>810</v>
      </c>
      <c r="L17" t="s">
        <v>477</v>
      </c>
    </row>
    <row r="18" spans="5:12">
      <c r="F18" s="1" t="s">
        <v>353</v>
      </c>
      <c r="G18" s="33">
        <v>1.62</v>
      </c>
      <c r="H18" s="181">
        <f xml:space="preserve"> (100 - 100 * 0.5 * G18 / 100 * SUM($H$5:H17)) / (100 + 100 * 0.5 * G18 / 100)</f>
        <v>0.89212505246317608</v>
      </c>
      <c r="I18" s="1">
        <f>$E$5*1.62/100*0.5 + E5</f>
        <v>100810</v>
      </c>
      <c r="J18" s="1">
        <v>0</v>
      </c>
      <c r="K18" s="1">
        <f t="shared" si="1"/>
        <v>100810</v>
      </c>
      <c r="L18">
        <f>SUMPRODUCT(K5:K18,H5:H18)</f>
        <v>-1.4551915228366852E-11</v>
      </c>
    </row>
    <row r="23" spans="5:12">
      <c r="E23" t="s">
        <v>482</v>
      </c>
      <c r="F23" s="1" t="s">
        <v>478</v>
      </c>
      <c r="G23" s="1" t="s">
        <v>479</v>
      </c>
      <c r="H23" s="1" t="s">
        <v>480</v>
      </c>
      <c r="I23" s="176" t="s">
        <v>346</v>
      </c>
      <c r="J23" s="176" t="s">
        <v>476</v>
      </c>
    </row>
    <row r="24" spans="5:12">
      <c r="E24">
        <v>1000</v>
      </c>
      <c r="F24" s="1" t="s">
        <v>481</v>
      </c>
      <c r="G24" s="183">
        <f>E24*0.475/100*182.5/360 + E24</f>
        <v>1002.4079861111111</v>
      </c>
      <c r="H24" s="183">
        <f>-$E$24*1.35 / 100 * 0.5</f>
        <v>-6.75</v>
      </c>
      <c r="I24" s="181">
        <f>(1+H5)/2</f>
        <v>0.99863498672384343</v>
      </c>
      <c r="J24" s="1">
        <f>G24+H24</f>
        <v>995.65798611111109</v>
      </c>
    </row>
    <row r="25" spans="5:12">
      <c r="F25" s="1" t="s">
        <v>434</v>
      </c>
      <c r="G25" s="183">
        <v>0</v>
      </c>
      <c r="H25" s="183">
        <f t="shared" ref="H25:H29" si="2">-$E$24*1.35 / 100 * 0.5</f>
        <v>-6.75</v>
      </c>
      <c r="I25" s="181">
        <f>(H5+H6)/2</f>
        <v>0.99515195488175734</v>
      </c>
      <c r="J25" s="1">
        <f t="shared" ref="J25:J29" si="3">G25+H25</f>
        <v>-6.75</v>
      </c>
    </row>
    <row r="26" spans="5:12">
      <c r="F26" s="1" t="s">
        <v>435</v>
      </c>
      <c r="G26" s="183">
        <v>0</v>
      </c>
      <c r="H26" s="183">
        <f t="shared" si="2"/>
        <v>-6.75</v>
      </c>
      <c r="I26" s="181">
        <f t="shared" ref="I26:I29" si="4">(H6+H7)/2</f>
        <v>0.99018946424131205</v>
      </c>
      <c r="J26" s="1">
        <f t="shared" si="3"/>
        <v>-6.75</v>
      </c>
    </row>
    <row r="27" spans="5:12">
      <c r="F27" s="1" t="s">
        <v>436</v>
      </c>
      <c r="G27" s="183">
        <v>0</v>
      </c>
      <c r="H27" s="183">
        <f t="shared" si="2"/>
        <v>-6.75</v>
      </c>
      <c r="I27" s="181">
        <f t="shared" si="4"/>
        <v>0.98397477510645592</v>
      </c>
      <c r="J27" s="1">
        <f t="shared" si="3"/>
        <v>-6.75</v>
      </c>
    </row>
    <row r="28" spans="5:12">
      <c r="F28" s="1" t="s">
        <v>437</v>
      </c>
      <c r="G28" s="183">
        <v>0</v>
      </c>
      <c r="H28" s="183">
        <f t="shared" si="2"/>
        <v>-6.75</v>
      </c>
      <c r="I28" s="181">
        <f t="shared" si="4"/>
        <v>0.97735483775726506</v>
      </c>
      <c r="J28" s="1">
        <f t="shared" si="3"/>
        <v>-6.75</v>
      </c>
      <c r="K28" t="s">
        <v>483</v>
      </c>
    </row>
    <row r="29" spans="5:12">
      <c r="F29" s="1" t="s">
        <v>438</v>
      </c>
      <c r="G29" s="183">
        <v>0</v>
      </c>
      <c r="H29" s="183">
        <f>-(E24+$E$24*1.35 / 100 * 0.5)</f>
        <v>-1006.75</v>
      </c>
      <c r="I29" s="181">
        <f t="shared" si="4"/>
        <v>0.97053445609215716</v>
      </c>
      <c r="J29" s="1">
        <f t="shared" si="3"/>
        <v>-1006.75</v>
      </c>
      <c r="K29" s="116">
        <f>SUMPRODUCT(I24:I29,J24:J29)</f>
        <v>-9.4266933951320198</v>
      </c>
    </row>
  </sheetData>
  <phoneticPr fontId="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91"/>
  <sheetViews>
    <sheetView workbookViewId="0">
      <selection sqref="A1:AG80"/>
    </sheetView>
  </sheetViews>
  <sheetFormatPr baseColWidth="10" defaultColWidth="8.83203125" defaultRowHeight="14"/>
  <cols>
    <col min="1" max="1" width="10.6640625" customWidth="1"/>
    <col min="2" max="2" width="14.1640625" customWidth="1"/>
    <col min="3" max="5" width="13.6640625" customWidth="1"/>
    <col min="6" max="6" width="8.1640625" customWidth="1"/>
    <col min="7" max="16" width="6.1640625" customWidth="1"/>
    <col min="17" max="17" width="10.1640625" customWidth="1"/>
    <col min="18" max="20" width="11.6640625" customWidth="1"/>
    <col min="21" max="21" width="11.1640625" customWidth="1"/>
    <col min="24" max="24" width="11.1640625" customWidth="1"/>
  </cols>
  <sheetData>
    <row r="1" spans="1:32">
      <c r="A1" t="s">
        <v>397</v>
      </c>
    </row>
    <row r="2" spans="1:32">
      <c r="A2" t="s">
        <v>399</v>
      </c>
      <c r="F2" t="s">
        <v>102</v>
      </c>
    </row>
    <row r="3" spans="1:32">
      <c r="C3" t="s">
        <v>321</v>
      </c>
      <c r="F3">
        <v>0</v>
      </c>
      <c r="W3" t="s">
        <v>400</v>
      </c>
    </row>
    <row r="4" spans="1:32" ht="15" thickBot="1">
      <c r="T4" t="s">
        <v>325</v>
      </c>
      <c r="X4">
        <v>0.72</v>
      </c>
      <c r="Y4">
        <v>0.88</v>
      </c>
      <c r="Z4">
        <v>1.04</v>
      </c>
      <c r="AA4">
        <v>1.2</v>
      </c>
      <c r="AB4">
        <v>1.32</v>
      </c>
      <c r="AC4">
        <v>1.42</v>
      </c>
      <c r="AD4">
        <v>1.5</v>
      </c>
      <c r="AE4">
        <v>1.6</v>
      </c>
      <c r="AF4">
        <v>1.7</v>
      </c>
    </row>
    <row r="5" spans="1:32" ht="15" thickBot="1">
      <c r="C5" s="64"/>
      <c r="D5" s="85" t="s">
        <v>212</v>
      </c>
      <c r="E5" t="s">
        <v>346</v>
      </c>
      <c r="F5" s="58">
        <v>0</v>
      </c>
      <c r="G5" s="59">
        <v>1</v>
      </c>
      <c r="H5" s="59">
        <v>2</v>
      </c>
      <c r="I5" s="59">
        <v>3</v>
      </c>
      <c r="J5" s="59">
        <v>4</v>
      </c>
      <c r="K5" s="59">
        <v>5</v>
      </c>
      <c r="L5" s="59">
        <v>6</v>
      </c>
      <c r="M5" s="59">
        <v>7</v>
      </c>
      <c r="N5" s="59">
        <v>8</v>
      </c>
      <c r="O5" s="60">
        <v>9</v>
      </c>
      <c r="R5" s="1" t="s">
        <v>141</v>
      </c>
      <c r="S5" s="1"/>
      <c r="T5" s="1"/>
      <c r="U5" s="1" t="s">
        <v>309</v>
      </c>
      <c r="X5" t="s">
        <v>307</v>
      </c>
      <c r="Y5" t="s">
        <v>368</v>
      </c>
      <c r="Z5" t="s">
        <v>369</v>
      </c>
      <c r="AA5" t="s">
        <v>370</v>
      </c>
      <c r="AB5" t="s">
        <v>371</v>
      </c>
      <c r="AC5" t="s">
        <v>372</v>
      </c>
      <c r="AD5" t="s">
        <v>373</v>
      </c>
      <c r="AE5" t="s">
        <v>374</v>
      </c>
      <c r="AF5" t="s">
        <v>375</v>
      </c>
    </row>
    <row r="6" spans="1:32">
      <c r="B6">
        <v>1</v>
      </c>
      <c r="C6" s="94" t="s">
        <v>214</v>
      </c>
      <c r="D6" s="124">
        <v>0.72</v>
      </c>
      <c r="E6">
        <f>100 / (100 + D6 * 182.5 / 360)</f>
        <v>0.99636327404971858</v>
      </c>
      <c r="F6" s="57">
        <v>0</v>
      </c>
      <c r="G6" s="57">
        <v>1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Q6" s="1" t="s">
        <v>214</v>
      </c>
      <c r="R6" s="118">
        <f>D6+INDEX($F$6:$O$14,B6,$F$3+1)/100</f>
        <v>0.72</v>
      </c>
      <c r="S6" s="1" t="s">
        <v>214</v>
      </c>
      <c r="T6" s="126">
        <f>R6</f>
        <v>0.72</v>
      </c>
      <c r="U6" s="127">
        <f>100/(100*(1+T6/100*182.5/360))</f>
        <v>0.99636327404971858</v>
      </c>
      <c r="W6" t="s">
        <v>297</v>
      </c>
      <c r="X6">
        <f>100*(1+X4/100*182.5/360)</f>
        <v>100.36499999999999</v>
      </c>
      <c r="Y6">
        <f t="shared" ref="Y6:AF6" si="0">100*Y4/200</f>
        <v>0.44</v>
      </c>
      <c r="Z6">
        <f t="shared" si="0"/>
        <v>0.52</v>
      </c>
      <c r="AA6">
        <f t="shared" si="0"/>
        <v>0.6</v>
      </c>
      <c r="AB6">
        <f t="shared" si="0"/>
        <v>0.66</v>
      </c>
      <c r="AC6">
        <f t="shared" si="0"/>
        <v>0.71</v>
      </c>
      <c r="AD6">
        <f t="shared" si="0"/>
        <v>0.75</v>
      </c>
      <c r="AE6">
        <f t="shared" si="0"/>
        <v>0.8</v>
      </c>
      <c r="AF6">
        <f t="shared" si="0"/>
        <v>0.85</v>
      </c>
    </row>
    <row r="7" spans="1:32">
      <c r="B7">
        <v>2</v>
      </c>
      <c r="C7" s="94" t="s">
        <v>215</v>
      </c>
      <c r="D7" s="124">
        <v>0.88</v>
      </c>
      <c r="E7">
        <f>100/(100+0.5*D7*SUM($E$6:E6))</f>
        <v>0.99563513714597485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Q7" s="1" t="s">
        <v>215</v>
      </c>
      <c r="R7" s="118">
        <f t="shared" ref="R7:R14" si="1">D7+INDEX($F$6:$O$14,B7,$F$3+1)/100</f>
        <v>0.88</v>
      </c>
      <c r="S7" s="1" t="s">
        <v>215</v>
      </c>
      <c r="T7" s="126">
        <f>R7</f>
        <v>0.88</v>
      </c>
      <c r="U7" s="127">
        <f>(100-T7/2*SUM(U$6:U6))/(100+T7/2)</f>
        <v>0.99125448187393594</v>
      </c>
      <c r="W7" t="s">
        <v>298</v>
      </c>
      <c r="Y7">
        <f>+Y6+100</f>
        <v>100.44</v>
      </c>
      <c r="Z7">
        <f t="shared" ref="Z7:AF7" si="2">+Z6</f>
        <v>0.52</v>
      </c>
      <c r="AA7">
        <f t="shared" si="2"/>
        <v>0.6</v>
      </c>
      <c r="AB7">
        <f t="shared" si="2"/>
        <v>0.66</v>
      </c>
      <c r="AC7">
        <f t="shared" si="2"/>
        <v>0.71</v>
      </c>
      <c r="AD7">
        <f t="shared" si="2"/>
        <v>0.75</v>
      </c>
      <c r="AE7">
        <f t="shared" si="2"/>
        <v>0.8</v>
      </c>
      <c r="AF7">
        <f t="shared" si="2"/>
        <v>0.85</v>
      </c>
    </row>
    <row r="8" spans="1:32">
      <c r="B8">
        <v>3</v>
      </c>
      <c r="C8" s="94" t="s">
        <v>216</v>
      </c>
      <c r="D8" s="124">
        <v>1.04</v>
      </c>
      <c r="E8">
        <f>100/(100+0.5*D8*SUM($E$6:E7))</f>
        <v>0.98974780451875399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Q8" s="1" t="s">
        <v>216</v>
      </c>
      <c r="R8" s="118">
        <f t="shared" si="1"/>
        <v>1.04</v>
      </c>
      <c r="S8" s="1" t="s">
        <v>216</v>
      </c>
      <c r="T8" s="126">
        <f>R8</f>
        <v>1.04</v>
      </c>
      <c r="U8" s="127">
        <f>(100-T8/2*SUM(U$6:U7))/(100+T8/2)</f>
        <v>0.98454475494349081</v>
      </c>
      <c r="W8" t="s">
        <v>299</v>
      </c>
      <c r="Z8">
        <f>+Z7+100</f>
        <v>100.52</v>
      </c>
      <c r="AA8">
        <f t="shared" ref="AA8:AF8" si="3">+AA7</f>
        <v>0.6</v>
      </c>
      <c r="AB8">
        <f t="shared" si="3"/>
        <v>0.66</v>
      </c>
      <c r="AC8">
        <f t="shared" si="3"/>
        <v>0.71</v>
      </c>
      <c r="AD8">
        <f t="shared" si="3"/>
        <v>0.75</v>
      </c>
      <c r="AE8">
        <f t="shared" si="3"/>
        <v>0.8</v>
      </c>
      <c r="AF8">
        <f t="shared" si="3"/>
        <v>0.85</v>
      </c>
    </row>
    <row r="9" spans="1:32">
      <c r="B9">
        <v>4</v>
      </c>
      <c r="C9" s="94" t="s">
        <v>217</v>
      </c>
      <c r="D9" s="124">
        <v>1.2</v>
      </c>
      <c r="E9">
        <f>100/(100+0.5*D9*SUM($E$6:E8))</f>
        <v>0.98242396633688678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Q9" s="1" t="s">
        <v>217</v>
      </c>
      <c r="R9" s="118">
        <f t="shared" si="1"/>
        <v>1.2</v>
      </c>
      <c r="S9" s="1" t="s">
        <v>217</v>
      </c>
      <c r="T9" s="126">
        <f>R9</f>
        <v>1.2</v>
      </c>
      <c r="U9" s="127">
        <f>(100-T9/2*SUM(U$6:U8))/(100+T9/2)</f>
        <v>0.97630916991530536</v>
      </c>
      <c r="W9" t="s">
        <v>300</v>
      </c>
      <c r="AA9">
        <f>+AA8+100</f>
        <v>100.6</v>
      </c>
      <c r="AB9">
        <f t="shared" ref="AB9:AF10" si="4">+AB8</f>
        <v>0.66</v>
      </c>
      <c r="AC9">
        <f t="shared" si="4"/>
        <v>0.71</v>
      </c>
      <c r="AD9">
        <f t="shared" si="4"/>
        <v>0.75</v>
      </c>
      <c r="AE9">
        <f t="shared" si="4"/>
        <v>0.8</v>
      </c>
      <c r="AF9">
        <f t="shared" si="4"/>
        <v>0.85</v>
      </c>
    </row>
    <row r="10" spans="1:32">
      <c r="B10">
        <v>5</v>
      </c>
      <c r="C10" s="94" t="s">
        <v>219</v>
      </c>
      <c r="D10" s="124">
        <v>1.32</v>
      </c>
      <c r="E10">
        <f>100/(100+0.5*D10*SUM($E$6:E9))</f>
        <v>0.97450355366373687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Q10" s="1" t="s">
        <v>219</v>
      </c>
      <c r="R10" s="118">
        <f t="shared" si="1"/>
        <v>1.32</v>
      </c>
      <c r="S10" s="1" t="s">
        <v>329</v>
      </c>
      <c r="T10" s="126">
        <f>(T9+T11)/2</f>
        <v>1.26</v>
      </c>
      <c r="U10" s="127">
        <f>(100-T10/2*SUM(U$6:U9))/(100+T10/2)</f>
        <v>0.9690198036480876</v>
      </c>
      <c r="W10" t="s">
        <v>301</v>
      </c>
      <c r="AB10">
        <f t="shared" si="4"/>
        <v>0.66</v>
      </c>
      <c r="AC10">
        <f t="shared" si="4"/>
        <v>0.71</v>
      </c>
      <c r="AD10">
        <f t="shared" si="4"/>
        <v>0.75</v>
      </c>
      <c r="AE10">
        <f t="shared" si="4"/>
        <v>0.8</v>
      </c>
      <c r="AF10">
        <f t="shared" si="4"/>
        <v>0.85</v>
      </c>
    </row>
    <row r="11" spans="1:32">
      <c r="B11">
        <v>6</v>
      </c>
      <c r="C11" s="94" t="s">
        <v>221</v>
      </c>
      <c r="D11" s="124">
        <v>1.42</v>
      </c>
      <c r="E11">
        <f>100/(100+0.5*D11*SUM($E$6:E10))</f>
        <v>0.96612328923069735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Q11" s="1" t="s">
        <v>221</v>
      </c>
      <c r="R11" s="118">
        <f t="shared" si="1"/>
        <v>1.42</v>
      </c>
      <c r="S11" s="1" t="s">
        <v>219</v>
      </c>
      <c r="T11" s="126">
        <f>R10</f>
        <v>1.32</v>
      </c>
      <c r="U11" s="127">
        <f>(100-T11/2*SUM(U$6:U10))/(100+T11/2)</f>
        <v>0.96120063203135164</v>
      </c>
      <c r="W11" t="s">
        <v>302</v>
      </c>
      <c r="AB11">
        <f>+AB10+100</f>
        <v>100.66</v>
      </c>
      <c r="AC11">
        <f t="shared" ref="AC11:AF12" si="5">+AC10</f>
        <v>0.71</v>
      </c>
      <c r="AD11">
        <f t="shared" si="5"/>
        <v>0.75</v>
      </c>
      <c r="AE11">
        <f t="shared" si="5"/>
        <v>0.8</v>
      </c>
      <c r="AF11">
        <f t="shared" si="5"/>
        <v>0.85</v>
      </c>
    </row>
    <row r="12" spans="1:32">
      <c r="B12">
        <v>7</v>
      </c>
      <c r="C12" s="94" t="s">
        <v>223</v>
      </c>
      <c r="D12" s="124">
        <v>1.5</v>
      </c>
      <c r="E12">
        <f>100/(100+0.5*D12*SUM($E$6:E11))</f>
        <v>0.95759209772673692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Q12" s="1" t="s">
        <v>223</v>
      </c>
      <c r="R12" s="118">
        <f t="shared" si="1"/>
        <v>1.5</v>
      </c>
      <c r="S12" s="1" t="s">
        <v>330</v>
      </c>
      <c r="T12" s="126">
        <f>(T11+T13)/2</f>
        <v>1.37</v>
      </c>
      <c r="U12" s="127">
        <f>(100-T12/2*SUM(U$6:U11))/(100+T12/2)</f>
        <v>0.95320152853179319</v>
      </c>
      <c r="W12" t="s">
        <v>303</v>
      </c>
      <c r="AC12">
        <f t="shared" si="5"/>
        <v>0.71</v>
      </c>
      <c r="AD12">
        <f t="shared" si="5"/>
        <v>0.75</v>
      </c>
      <c r="AE12">
        <f t="shared" si="5"/>
        <v>0.8</v>
      </c>
      <c r="AF12">
        <f t="shared" si="5"/>
        <v>0.85</v>
      </c>
    </row>
    <row r="13" spans="1:32">
      <c r="B13">
        <v>8</v>
      </c>
      <c r="C13" s="94" t="s">
        <v>376</v>
      </c>
      <c r="D13" s="124">
        <v>1.6</v>
      </c>
      <c r="E13">
        <f>100/(100+0.5*D13*SUM($E$6:E12))</f>
        <v>0.94795794943250744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Q13" s="1" t="s">
        <v>376</v>
      </c>
      <c r="R13" s="118">
        <f t="shared" si="1"/>
        <v>1.6</v>
      </c>
      <c r="S13" s="1" t="s">
        <v>221</v>
      </c>
      <c r="T13" s="126">
        <f>R11</f>
        <v>1.42</v>
      </c>
      <c r="U13" s="127">
        <f>(100-T13/2*SUM(U$6:U12))/(100+T13/2)</f>
        <v>0.9447855775201518</v>
      </c>
      <c r="W13" t="s">
        <v>304</v>
      </c>
      <c r="AC13">
        <f>+AC12+100</f>
        <v>100.71</v>
      </c>
      <c r="AD13">
        <f t="shared" ref="AD13:AF14" si="6">+AD12</f>
        <v>0.75</v>
      </c>
      <c r="AE13">
        <f t="shared" si="6"/>
        <v>0.8</v>
      </c>
      <c r="AF13">
        <f t="shared" si="6"/>
        <v>0.85</v>
      </c>
    </row>
    <row r="14" spans="1:32" ht="15" thickBot="1">
      <c r="B14">
        <v>9</v>
      </c>
      <c r="C14" s="95" t="s">
        <v>377</v>
      </c>
      <c r="D14" s="125">
        <v>1.7</v>
      </c>
      <c r="E14">
        <f>100/(100+0.5*D14*SUM($E$6:E13))</f>
        <v>0.93774502974657159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Q14" s="1" t="s">
        <v>377</v>
      </c>
      <c r="R14" s="118">
        <f t="shared" si="1"/>
        <v>1.7</v>
      </c>
      <c r="S14" s="1" t="s">
        <v>331</v>
      </c>
      <c r="T14" s="126">
        <f>(T13+T15)/2</f>
        <v>1.46</v>
      </c>
      <c r="U14" s="127">
        <f>(100-T14/2*SUM(U$6:U13))/(100+T14/2)</f>
        <v>0.93639456137759247</v>
      </c>
      <c r="W14" t="s">
        <v>305</v>
      </c>
      <c r="AD14">
        <f t="shared" si="6"/>
        <v>0.75</v>
      </c>
      <c r="AE14">
        <f t="shared" si="6"/>
        <v>0.8</v>
      </c>
      <c r="AF14">
        <f t="shared" si="6"/>
        <v>0.85</v>
      </c>
    </row>
    <row r="15" spans="1:32">
      <c r="C15" t="s">
        <v>355</v>
      </c>
      <c r="R15" s="121"/>
      <c r="S15" s="1" t="s">
        <v>223</v>
      </c>
      <c r="T15" s="126">
        <f>R12</f>
        <v>1.5</v>
      </c>
      <c r="U15" s="127">
        <f>(100-T15/2*SUM(U$6:U14))/(100+T15/2)</f>
        <v>0.92769423982214816</v>
      </c>
      <c r="W15" t="s">
        <v>306</v>
      </c>
      <c r="AD15">
        <f>+AD14+100</f>
        <v>100.75</v>
      </c>
      <c r="AE15">
        <f>+AE14</f>
        <v>0.8</v>
      </c>
      <c r="AF15">
        <f>+AF14</f>
        <v>0.85</v>
      </c>
    </row>
    <row r="16" spans="1:32">
      <c r="R16" s="121"/>
      <c r="S16" s="1" t="s">
        <v>378</v>
      </c>
      <c r="T16" s="126">
        <f>(T15+T17)/2</f>
        <v>1.55</v>
      </c>
      <c r="U16" s="127">
        <f>(100-T16/2*SUM(U$6:U15))/(100+T16/2)</f>
        <v>0.91816824392579477</v>
      </c>
      <c r="W16" t="s">
        <v>364</v>
      </c>
      <c r="AE16">
        <f>+AE15</f>
        <v>0.8</v>
      </c>
      <c r="AF16">
        <f>+AF15</f>
        <v>0.85</v>
      </c>
    </row>
    <row r="17" spans="2:32">
      <c r="S17" s="1" t="s">
        <v>379</v>
      </c>
      <c r="T17" s="126">
        <f>R13</f>
        <v>1.6</v>
      </c>
      <c r="U17" s="127">
        <f>(100-T17/2*SUM(U$6:U16))/(100+T17/2)</f>
        <v>0.90826241057429069</v>
      </c>
      <c r="W17" t="s">
        <v>365</v>
      </c>
      <c r="AE17">
        <f>+AE16+100</f>
        <v>100.8</v>
      </c>
      <c r="AF17">
        <f>+AF16</f>
        <v>0.85</v>
      </c>
    </row>
    <row r="18" spans="2:32">
      <c r="S18" s="1" t="s">
        <v>380</v>
      </c>
      <c r="T18" s="126">
        <f>(T17+T19)/2</f>
        <v>1.65</v>
      </c>
      <c r="U18" s="127">
        <f>(100-T18/2*SUM(U$6:U17))/(100+T18/2)</f>
        <v>0.89798721636968726</v>
      </c>
      <c r="W18" t="s">
        <v>366</v>
      </c>
      <c r="AF18">
        <f>+AF17</f>
        <v>0.85</v>
      </c>
    </row>
    <row r="19" spans="2:32" ht="15" thickBot="1">
      <c r="B19" t="s">
        <v>65</v>
      </c>
      <c r="S19" s="1" t="s">
        <v>362</v>
      </c>
      <c r="T19" s="126">
        <f>R14</f>
        <v>1.7</v>
      </c>
      <c r="U19" s="127">
        <f>(100-T19/2*SUM(U$6:U18))/(100+T19/2)</f>
        <v>0.88735341586122118</v>
      </c>
      <c r="W19" t="s">
        <v>367</v>
      </c>
      <c r="AF19">
        <f>+AF18+100</f>
        <v>100.85</v>
      </c>
    </row>
    <row r="20" spans="2:32" ht="15" thickBot="1">
      <c r="B20" s="12" t="s">
        <v>30</v>
      </c>
      <c r="C20" s="13" t="s">
        <v>381</v>
      </c>
      <c r="D20" s="13" t="s">
        <v>382</v>
      </c>
      <c r="E20" s="35"/>
      <c r="I20" s="119"/>
    </row>
    <row r="21" spans="2:32">
      <c r="B21" s="134" t="s">
        <v>62</v>
      </c>
      <c r="C21" s="120">
        <v>4000</v>
      </c>
      <c r="D21" s="120">
        <v>6000</v>
      </c>
      <c r="E21" s="155"/>
      <c r="I21" s="119"/>
    </row>
    <row r="22" spans="2:32">
      <c r="B22" s="16" t="s">
        <v>279</v>
      </c>
      <c r="C22" s="17" t="s">
        <v>356</v>
      </c>
      <c r="D22" s="17" t="s">
        <v>357</v>
      </c>
      <c r="E22" s="156"/>
      <c r="I22" s="119"/>
      <c r="X22" s="157">
        <f t="shared" ref="X22:AF22" si="7">SUMPRODUCT($U6:$U19,X6:X19)-100</f>
        <v>0</v>
      </c>
      <c r="Y22" s="157">
        <f t="shared" si="7"/>
        <v>0</v>
      </c>
      <c r="Z22" s="157">
        <f t="shared" si="7"/>
        <v>0</v>
      </c>
      <c r="AA22" s="157">
        <f t="shared" si="7"/>
        <v>0</v>
      </c>
      <c r="AB22" s="157">
        <f t="shared" si="7"/>
        <v>0</v>
      </c>
      <c r="AC22" s="157">
        <f t="shared" si="7"/>
        <v>0</v>
      </c>
      <c r="AD22" s="157">
        <f t="shared" si="7"/>
        <v>0</v>
      </c>
      <c r="AE22" s="157">
        <f t="shared" si="7"/>
        <v>0</v>
      </c>
      <c r="AF22" s="157">
        <f t="shared" si="7"/>
        <v>0</v>
      </c>
    </row>
    <row r="23" spans="2:32">
      <c r="B23" s="16" t="s">
        <v>36</v>
      </c>
      <c r="C23" s="19">
        <v>1.4999999999999999E-2</v>
      </c>
      <c r="D23" s="17" t="s">
        <v>38</v>
      </c>
      <c r="E23" s="158"/>
      <c r="I23" s="119"/>
      <c r="W23">
        <v>1</v>
      </c>
      <c r="X23" t="e">
        <f t="dataTable" ref="X23:AF31" dt2D="0" dtr="0" del1="1" r1="F3"/>
        <v>#REF!</v>
      </c>
      <c r="Y23" t="e">
        <v>#REF!</v>
      </c>
      <c r="Z23" t="e">
        <v>#REF!</v>
      </c>
      <c r="AA23" t="e">
        <v>#REF!</v>
      </c>
      <c r="AB23" t="e">
        <v>#REF!</v>
      </c>
      <c r="AC23" t="e">
        <v>#REF!</v>
      </c>
      <c r="AD23" t="e">
        <v>#REF!</v>
      </c>
      <c r="AE23" t="e">
        <v>#REF!</v>
      </c>
      <c r="AF23" t="e">
        <v>#REF!</v>
      </c>
    </row>
    <row r="24" spans="2:32">
      <c r="B24" s="16" t="s">
        <v>39</v>
      </c>
      <c r="C24" s="17" t="s">
        <v>41</v>
      </c>
      <c r="D24" s="19">
        <v>2.2499999999999999E-2</v>
      </c>
      <c r="E24" s="156"/>
      <c r="I24" s="119"/>
      <c r="W24">
        <v>2</v>
      </c>
      <c r="X24" t="e">
        <v>#REF!</v>
      </c>
      <c r="Y24" t="e">
        <v>#REF!</v>
      </c>
      <c r="Z24" t="e">
        <v>#REF!</v>
      </c>
      <c r="AA24" t="e">
        <v>#REF!</v>
      </c>
      <c r="AB24" t="e">
        <v>#REF!</v>
      </c>
      <c r="AC24" t="e">
        <v>#REF!</v>
      </c>
      <c r="AD24" t="e">
        <v>#REF!</v>
      </c>
      <c r="AE24" t="e">
        <v>#REF!</v>
      </c>
      <c r="AF24" t="e">
        <v>#REF!</v>
      </c>
    </row>
    <row r="25" spans="2:32">
      <c r="B25" s="16" t="s">
        <v>282</v>
      </c>
      <c r="C25" s="20" t="s">
        <v>283</v>
      </c>
      <c r="D25" s="20" t="s">
        <v>284</v>
      </c>
      <c r="E25" s="35"/>
      <c r="I25" s="119"/>
      <c r="W25">
        <v>3</v>
      </c>
      <c r="X25" t="e">
        <v>#REF!</v>
      </c>
      <c r="Y25" t="e">
        <v>#REF!</v>
      </c>
      <c r="Z25" t="e">
        <v>#REF!</v>
      </c>
      <c r="AA25" t="e">
        <v>#REF!</v>
      </c>
      <c r="AB25" t="e">
        <v>#REF!</v>
      </c>
      <c r="AC25" t="e">
        <v>#REF!</v>
      </c>
      <c r="AD25" t="e">
        <v>#REF!</v>
      </c>
      <c r="AE25" t="e">
        <v>#REF!</v>
      </c>
      <c r="AF25" t="e">
        <v>#REF!</v>
      </c>
    </row>
    <row r="26" spans="2:32" ht="15" thickBot="1">
      <c r="B26" s="28" t="s">
        <v>50</v>
      </c>
      <c r="C26" s="115">
        <v>4.7499999999999999E-3</v>
      </c>
      <c r="D26" s="115">
        <v>5.4999999999999997E-3</v>
      </c>
      <c r="E26" s="159"/>
      <c r="I26" s="119"/>
      <c r="W26">
        <v>4</v>
      </c>
      <c r="X26" t="e">
        <v>#REF!</v>
      </c>
      <c r="Y26" t="e">
        <v>#REF!</v>
      </c>
      <c r="Z26" t="e">
        <v>#REF!</v>
      </c>
      <c r="AA26" t="e">
        <v>#REF!</v>
      </c>
      <c r="AB26" t="e">
        <v>#REF!</v>
      </c>
      <c r="AC26" t="e">
        <v>#REF!</v>
      </c>
      <c r="AD26" t="e">
        <v>#REF!</v>
      </c>
      <c r="AE26" t="e">
        <v>#REF!</v>
      </c>
      <c r="AF26" t="e">
        <v>#REF!</v>
      </c>
    </row>
    <row r="27" spans="2:32">
      <c r="I27" s="119"/>
      <c r="W27">
        <v>5</v>
      </c>
      <c r="X27" t="e">
        <v>#REF!</v>
      </c>
      <c r="Y27" t="e">
        <v>#REF!</v>
      </c>
      <c r="Z27" t="e">
        <v>#REF!</v>
      </c>
      <c r="AA27" t="e">
        <v>#REF!</v>
      </c>
      <c r="AB27" t="e">
        <v>#REF!</v>
      </c>
      <c r="AC27" t="e">
        <v>#REF!</v>
      </c>
      <c r="AD27" t="e">
        <v>#REF!</v>
      </c>
      <c r="AE27" t="e">
        <v>#REF!</v>
      </c>
      <c r="AF27" t="e">
        <v>#REF!</v>
      </c>
    </row>
    <row r="28" spans="2:32">
      <c r="I28" s="119"/>
      <c r="W28">
        <v>6</v>
      </c>
      <c r="X28" t="e">
        <v>#REF!</v>
      </c>
      <c r="Y28" t="e">
        <v>#REF!</v>
      </c>
      <c r="Z28" t="e">
        <v>#REF!</v>
      </c>
      <c r="AA28" t="e">
        <v>#REF!</v>
      </c>
      <c r="AB28" t="e">
        <v>#REF!</v>
      </c>
      <c r="AC28" t="e">
        <v>#REF!</v>
      </c>
      <c r="AD28" t="e">
        <v>#REF!</v>
      </c>
      <c r="AE28" t="e">
        <v>#REF!</v>
      </c>
      <c r="AF28" t="e">
        <v>#REF!</v>
      </c>
    </row>
    <row r="29" spans="2:32">
      <c r="B29" t="s">
        <v>293</v>
      </c>
      <c r="F29" s="116"/>
      <c r="I29" s="119"/>
      <c r="W29">
        <v>7</v>
      </c>
      <c r="X29" t="e">
        <v>#REF!</v>
      </c>
      <c r="Y29" t="e">
        <v>#REF!</v>
      </c>
      <c r="Z29" t="e">
        <v>#REF!</v>
      </c>
      <c r="AA29" t="e">
        <v>#REF!</v>
      </c>
      <c r="AB29" t="e">
        <v>#REF!</v>
      </c>
      <c r="AC29" t="e">
        <v>#REF!</v>
      </c>
      <c r="AD29" t="e">
        <v>#REF!</v>
      </c>
      <c r="AE29" t="e">
        <v>#REF!</v>
      </c>
      <c r="AF29" t="e">
        <v>#REF!</v>
      </c>
    </row>
    <row r="30" spans="2:32">
      <c r="W30">
        <v>8</v>
      </c>
      <c r="X30" t="e">
        <v>#REF!</v>
      </c>
      <c r="Y30" t="e">
        <v>#REF!</v>
      </c>
      <c r="Z30" t="e">
        <v>#REF!</v>
      </c>
      <c r="AA30" t="e">
        <v>#REF!</v>
      </c>
      <c r="AB30" t="e">
        <v>#REF!</v>
      </c>
      <c r="AC30" t="e">
        <v>#REF!</v>
      </c>
      <c r="AD30" t="e">
        <v>#REF!</v>
      </c>
      <c r="AE30" t="e">
        <v>#REF!</v>
      </c>
      <c r="AF30" t="e">
        <v>#REF!</v>
      </c>
    </row>
    <row r="31" spans="2:32" ht="15" thickBot="1">
      <c r="B31" s="47" t="s">
        <v>52</v>
      </c>
      <c r="C31" s="129" t="s">
        <v>53</v>
      </c>
      <c r="D31" s="129" t="s">
        <v>54</v>
      </c>
      <c r="E31" s="1" t="s">
        <v>55</v>
      </c>
      <c r="W31">
        <v>9</v>
      </c>
      <c r="X31" t="e">
        <v>#REF!</v>
      </c>
      <c r="Y31" t="e">
        <v>#REF!</v>
      </c>
      <c r="Z31" t="e">
        <v>#REF!</v>
      </c>
      <c r="AA31" t="e">
        <v>#REF!</v>
      </c>
      <c r="AB31" t="e">
        <v>#REF!</v>
      </c>
      <c r="AC31" t="e">
        <v>#REF!</v>
      </c>
      <c r="AD31" t="e">
        <v>#REF!</v>
      </c>
      <c r="AE31" t="e">
        <v>#REF!</v>
      </c>
      <c r="AF31" t="e">
        <v>#REF!</v>
      </c>
    </row>
    <row r="32" spans="2:32" ht="15" thickBot="1">
      <c r="B32" s="117" t="s">
        <v>285</v>
      </c>
      <c r="C32" s="171">
        <f>$C$21*$C$23/100 * 0.5</f>
        <v>0.3</v>
      </c>
      <c r="D32" s="170">
        <f>-(C21+C21*C26/100*182.5/360)</f>
        <v>-4000.0963194444444</v>
      </c>
      <c r="E32" s="151">
        <f t="shared" ref="E32:E39" si="8">C32+D32</f>
        <v>-3999.7963194444442</v>
      </c>
      <c r="X32" s="1" t="e">
        <f t="shared" ref="X32:AF32" si="9">SUM(X23:X31)</f>
        <v>#REF!</v>
      </c>
      <c r="Y32" s="1" t="e">
        <f t="shared" si="9"/>
        <v>#REF!</v>
      </c>
      <c r="Z32" s="1" t="e">
        <f t="shared" si="9"/>
        <v>#REF!</v>
      </c>
      <c r="AA32" s="1" t="e">
        <f t="shared" si="9"/>
        <v>#REF!</v>
      </c>
      <c r="AB32" s="1" t="e">
        <f t="shared" si="9"/>
        <v>#REF!</v>
      </c>
      <c r="AC32" s="1" t="e">
        <f t="shared" si="9"/>
        <v>#REF!</v>
      </c>
      <c r="AD32" s="1" t="e">
        <f t="shared" si="9"/>
        <v>#REF!</v>
      </c>
      <c r="AE32" s="1" t="e">
        <f t="shared" si="9"/>
        <v>#REF!</v>
      </c>
      <c r="AF32" s="1" t="e">
        <f t="shared" si="9"/>
        <v>#REF!</v>
      </c>
    </row>
    <row r="33" spans="2:5" ht="15" thickBot="1">
      <c r="B33" s="117" t="s">
        <v>286</v>
      </c>
      <c r="C33" s="171">
        <f t="shared" ref="C33:C38" si="10">$C$21*$C$23/100 * 0.5</f>
        <v>0.3</v>
      </c>
      <c r="D33" s="170">
        <v>0</v>
      </c>
      <c r="E33" s="151">
        <f t="shared" si="8"/>
        <v>0.3</v>
      </c>
    </row>
    <row r="34" spans="2:5" ht="15" thickBot="1">
      <c r="B34" s="117" t="s">
        <v>287</v>
      </c>
      <c r="C34" s="171">
        <f t="shared" si="10"/>
        <v>0.3</v>
      </c>
      <c r="D34" s="170">
        <v>0</v>
      </c>
      <c r="E34" s="151">
        <f t="shared" si="8"/>
        <v>0.3</v>
      </c>
    </row>
    <row r="35" spans="2:5" ht="15" thickBot="1">
      <c r="B35" s="117" t="s">
        <v>288</v>
      </c>
      <c r="C35" s="171">
        <f t="shared" si="10"/>
        <v>0.3</v>
      </c>
      <c r="D35" s="170">
        <v>0</v>
      </c>
      <c r="E35" s="151">
        <f t="shared" si="8"/>
        <v>0.3</v>
      </c>
    </row>
    <row r="36" spans="2:5" ht="15" thickBot="1">
      <c r="B36" s="117" t="s">
        <v>289</v>
      </c>
      <c r="C36" s="171">
        <f t="shared" si="10"/>
        <v>0.3</v>
      </c>
      <c r="D36" s="170">
        <v>0</v>
      </c>
      <c r="E36" s="151">
        <f t="shared" si="8"/>
        <v>0.3</v>
      </c>
    </row>
    <row r="37" spans="2:5" ht="15" thickBot="1">
      <c r="B37" s="117" t="s">
        <v>290</v>
      </c>
      <c r="C37" s="171">
        <f t="shared" si="10"/>
        <v>0.3</v>
      </c>
      <c r="D37" s="170">
        <v>0</v>
      </c>
      <c r="E37" s="151">
        <f t="shared" si="8"/>
        <v>0.3</v>
      </c>
    </row>
    <row r="38" spans="2:5" ht="15" thickBot="1">
      <c r="B38" s="152" t="s">
        <v>358</v>
      </c>
      <c r="C38" s="171">
        <f t="shared" si="10"/>
        <v>0.3</v>
      </c>
      <c r="D38" s="170">
        <v>0</v>
      </c>
      <c r="E38" s="151">
        <f t="shared" si="8"/>
        <v>0.3</v>
      </c>
    </row>
    <row r="39" spans="2:5">
      <c r="B39" s="117" t="s">
        <v>291</v>
      </c>
      <c r="C39" s="171">
        <f>$C$21*$C$23/100 * 0.5 + C21</f>
        <v>4000.3</v>
      </c>
      <c r="D39" s="170">
        <v>0</v>
      </c>
      <c r="E39" s="151">
        <f t="shared" si="8"/>
        <v>4000.3</v>
      </c>
    </row>
    <row r="41" spans="2:5">
      <c r="B41" t="s">
        <v>294</v>
      </c>
    </row>
    <row r="43" spans="2:5" ht="15" thickBot="1">
      <c r="B43" s="47" t="s">
        <v>52</v>
      </c>
      <c r="C43" s="129" t="s">
        <v>53</v>
      </c>
      <c r="D43" s="129" t="s">
        <v>54</v>
      </c>
      <c r="E43" s="1" t="s">
        <v>55</v>
      </c>
    </row>
    <row r="44" spans="2:5" ht="15" thickBot="1">
      <c r="B44" s="117" t="s">
        <v>285</v>
      </c>
      <c r="C44" s="64">
        <f>D21+D21*D26/100*182.5/360</f>
        <v>6000.1672916666666</v>
      </c>
      <c r="D44" s="85">
        <f>-$D$21*$D$24/100*0.5</f>
        <v>-0.67500000000000004</v>
      </c>
      <c r="E44" s="151">
        <f t="shared" ref="E44:E50" si="11">C44+D44</f>
        <v>5999.4922916666665</v>
      </c>
    </row>
    <row r="45" spans="2:5" ht="15" thickBot="1">
      <c r="B45" s="117" t="s">
        <v>287</v>
      </c>
      <c r="C45" s="94">
        <v>0</v>
      </c>
      <c r="D45" s="85">
        <f t="shared" ref="D45:D49" si="12">-$D$21*$D$24/100*0.5</f>
        <v>-0.67500000000000004</v>
      </c>
      <c r="E45" s="151">
        <f t="shared" si="11"/>
        <v>-0.67500000000000004</v>
      </c>
    </row>
    <row r="46" spans="2:5" ht="15" thickBot="1">
      <c r="B46" s="117" t="s">
        <v>289</v>
      </c>
      <c r="C46" s="94">
        <v>0</v>
      </c>
      <c r="D46" s="85">
        <f t="shared" si="12"/>
        <v>-0.67500000000000004</v>
      </c>
      <c r="E46" s="151">
        <f t="shared" si="11"/>
        <v>-0.67500000000000004</v>
      </c>
    </row>
    <row r="47" spans="2:5" ht="15" thickBot="1">
      <c r="B47" s="117" t="s">
        <v>358</v>
      </c>
      <c r="C47" s="94">
        <v>0</v>
      </c>
      <c r="D47" s="85">
        <f t="shared" si="12"/>
        <v>-0.67500000000000004</v>
      </c>
      <c r="E47" s="151">
        <f t="shared" si="11"/>
        <v>-0.67500000000000004</v>
      </c>
    </row>
    <row r="48" spans="2:5" ht="15" thickBot="1">
      <c r="B48" s="117" t="s">
        <v>359</v>
      </c>
      <c r="C48" s="153">
        <v>0</v>
      </c>
      <c r="D48" s="85">
        <f t="shared" si="12"/>
        <v>-0.67500000000000004</v>
      </c>
      <c r="E48" s="151">
        <f t="shared" si="11"/>
        <v>-0.67500000000000004</v>
      </c>
    </row>
    <row r="49" spans="2:5" ht="15" thickBot="1">
      <c r="B49" s="117" t="s">
        <v>360</v>
      </c>
      <c r="C49" s="94">
        <v>0</v>
      </c>
      <c r="D49" s="85">
        <f t="shared" si="12"/>
        <v>-0.67500000000000004</v>
      </c>
      <c r="E49" s="151">
        <f t="shared" si="11"/>
        <v>-0.67500000000000004</v>
      </c>
    </row>
    <row r="50" spans="2:5" ht="15" thickBot="1">
      <c r="B50" s="117" t="s">
        <v>361</v>
      </c>
      <c r="C50" s="95">
        <v>0</v>
      </c>
      <c r="D50" s="85">
        <f>-(D21 + $D$21*$D$24/100*0.5)</f>
        <v>-6000.6750000000002</v>
      </c>
      <c r="E50" s="151">
        <f t="shared" si="11"/>
        <v>-6000.6750000000002</v>
      </c>
    </row>
    <row r="53" spans="2:5">
      <c r="B53" t="s">
        <v>319</v>
      </c>
    </row>
    <row r="55" spans="2:5" ht="15" thickBot="1">
      <c r="C55" s="48" t="s">
        <v>320</v>
      </c>
      <c r="D55" s="52" t="s">
        <v>363</v>
      </c>
    </row>
    <row r="56" spans="2:5">
      <c r="B56" s="117" t="s">
        <v>285</v>
      </c>
      <c r="C56" s="162">
        <f>E32+E44</f>
        <v>1999.6959722222223</v>
      </c>
      <c r="D56" s="131">
        <f>(1 + U6) / 2</f>
        <v>0.99818163702485929</v>
      </c>
    </row>
    <row r="57" spans="2:5">
      <c r="B57" s="117" t="s">
        <v>286</v>
      </c>
      <c r="C57" s="163">
        <f>E33</f>
        <v>0.3</v>
      </c>
      <c r="D57" s="132">
        <f>(U6+U7)/2</f>
        <v>0.99380887796182726</v>
      </c>
    </row>
    <row r="58" spans="2:5">
      <c r="B58" s="117" t="s">
        <v>287</v>
      </c>
      <c r="C58" s="163">
        <f>E34+E45</f>
        <v>-0.37500000000000006</v>
      </c>
      <c r="D58" s="132">
        <f t="shared" ref="D58:D63" si="13">(U7+U8)/2</f>
        <v>0.98789961840871343</v>
      </c>
    </row>
    <row r="59" spans="2:5">
      <c r="B59" s="117" t="s">
        <v>288</v>
      </c>
      <c r="C59" s="163">
        <f>E35</f>
        <v>0.3</v>
      </c>
      <c r="D59" s="132">
        <f t="shared" si="13"/>
        <v>0.98042696242939809</v>
      </c>
    </row>
    <row r="60" spans="2:5">
      <c r="B60" s="117" t="s">
        <v>289</v>
      </c>
      <c r="C60" s="163">
        <f>E36+E46</f>
        <v>-0.37500000000000006</v>
      </c>
      <c r="D60" s="132">
        <f t="shared" si="13"/>
        <v>0.97266448678169648</v>
      </c>
    </row>
    <row r="61" spans="2:5">
      <c r="B61" s="117" t="s">
        <v>290</v>
      </c>
      <c r="C61" s="163">
        <f>E37</f>
        <v>0.3</v>
      </c>
      <c r="D61" s="132">
        <f t="shared" si="13"/>
        <v>0.96511021783971962</v>
      </c>
    </row>
    <row r="62" spans="2:5">
      <c r="B62" s="117" t="s">
        <v>358</v>
      </c>
      <c r="C62" s="163">
        <f>E38+E47</f>
        <v>-0.37500000000000006</v>
      </c>
      <c r="D62" s="132">
        <f t="shared" si="13"/>
        <v>0.95720108028157247</v>
      </c>
    </row>
    <row r="63" spans="2:5">
      <c r="B63" s="117" t="s">
        <v>291</v>
      </c>
      <c r="C63" s="163">
        <f>E39</f>
        <v>4000.3</v>
      </c>
      <c r="D63" s="132">
        <f t="shared" si="13"/>
        <v>0.94899355302597255</v>
      </c>
    </row>
    <row r="64" spans="2:5">
      <c r="B64" s="117" t="s">
        <v>359</v>
      </c>
      <c r="C64" s="163">
        <f>E48</f>
        <v>-0.67500000000000004</v>
      </c>
      <c r="D64" s="132">
        <f>(U13+U14)/2</f>
        <v>0.94059006944887213</v>
      </c>
    </row>
    <row r="65" spans="1:7">
      <c r="B65" s="117" t="s">
        <v>360</v>
      </c>
      <c r="C65" s="163">
        <f>E49</f>
        <v>-0.67500000000000004</v>
      </c>
      <c r="D65" s="132">
        <f>(U15+U16)/2</f>
        <v>0.92293124187397146</v>
      </c>
    </row>
    <row r="66" spans="1:7" ht="15" thickBot="1">
      <c r="B66" s="117" t="s">
        <v>361</v>
      </c>
      <c r="C66" s="164">
        <f>E50</f>
        <v>-6000.6750000000002</v>
      </c>
      <c r="D66" s="132">
        <f>(U17+U18)/2</f>
        <v>0.90312481347198892</v>
      </c>
    </row>
    <row r="67" spans="1:7" ht="15" thickBot="1"/>
    <row r="68" spans="1:7" ht="15" thickBot="1">
      <c r="B68" t="s">
        <v>157</v>
      </c>
      <c r="C68" s="154">
        <f>SUMPRODUCT(C56:C66,D56:D66)</f>
        <v>371.48998418133942</v>
      </c>
      <c r="D68" t="s">
        <v>296</v>
      </c>
    </row>
    <row r="69" spans="1:7" ht="15" thickBot="1">
      <c r="B69" t="s">
        <v>161</v>
      </c>
      <c r="C69" s="154">
        <v>371.48998418133942</v>
      </c>
      <c r="D69" t="s">
        <v>296</v>
      </c>
    </row>
    <row r="70" spans="1:7">
      <c r="A70" t="s">
        <v>166</v>
      </c>
      <c r="B70" s="90" t="s">
        <v>160</v>
      </c>
      <c r="C70" s="85">
        <f>C68-C69</f>
        <v>0</v>
      </c>
      <c r="D70" t="s">
        <v>296</v>
      </c>
    </row>
    <row r="71" spans="1:7">
      <c r="A71" s="117" t="s">
        <v>214</v>
      </c>
      <c r="B71" s="94">
        <v>1</v>
      </c>
      <c r="C71" s="124">
        <f t="dataTable" ref="C71:C79" dt2D="0" dtr="0" r1="F3"/>
        <v>-5.1245610766272875E-2</v>
      </c>
    </row>
    <row r="72" spans="1:7">
      <c r="A72" s="117" t="s">
        <v>215</v>
      </c>
      <c r="B72" s="94">
        <v>2</v>
      </c>
      <c r="C72" s="124">
        <v>-1.8167018879466923E-3</v>
      </c>
    </row>
    <row r="73" spans="1:7" ht="15" thickBot="1">
      <c r="A73" s="117" t="s">
        <v>216</v>
      </c>
      <c r="B73" s="94">
        <v>3</v>
      </c>
      <c r="C73" s="124">
        <v>-2.7285384185233852E-3</v>
      </c>
    </row>
    <row r="74" spans="1:7" ht="15" thickBot="1">
      <c r="A74" s="117" t="s">
        <v>217</v>
      </c>
      <c r="B74" s="94">
        <v>4</v>
      </c>
      <c r="C74" s="124">
        <v>-5.9261932337904E-3</v>
      </c>
      <c r="G74" s="154">
        <v>194.64476992158416</v>
      </c>
    </row>
    <row r="75" spans="1:7">
      <c r="A75" s="117" t="s">
        <v>219</v>
      </c>
      <c r="B75" s="94">
        <v>5</v>
      </c>
      <c r="C75" s="124">
        <v>-0.35255208707712882</v>
      </c>
    </row>
    <row r="76" spans="1:7">
      <c r="A76" s="117" t="s">
        <v>221</v>
      </c>
      <c r="B76" s="94">
        <v>6</v>
      </c>
      <c r="C76" s="124">
        <v>-1.1452283983253437</v>
      </c>
    </row>
    <row r="77" spans="1:7">
      <c r="A77" s="117" t="s">
        <v>223</v>
      </c>
      <c r="B77" s="94">
        <v>7</v>
      </c>
      <c r="C77" s="124">
        <v>-4.5421318494845764E-2</v>
      </c>
    </row>
    <row r="78" spans="1:7">
      <c r="A78" s="117" t="s">
        <v>383</v>
      </c>
      <c r="B78" s="94">
        <v>8</v>
      </c>
      <c r="C78" s="124">
        <v>2.5998252739836971</v>
      </c>
    </row>
    <row r="79" spans="1:7" ht="15" thickBot="1">
      <c r="A79" s="117" t="s">
        <v>384</v>
      </c>
      <c r="B79" s="95">
        <v>9</v>
      </c>
      <c r="C79" s="125">
        <v>0.9198812559570797</v>
      </c>
    </row>
    <row r="81" spans="1:4">
      <c r="B81" t="s">
        <v>404</v>
      </c>
    </row>
    <row r="82" spans="1:4">
      <c r="B82" t="s">
        <v>308</v>
      </c>
    </row>
    <row r="83" spans="1:4">
      <c r="A83" s="1" t="s">
        <v>214</v>
      </c>
      <c r="B83" s="160">
        <v>-5.0507531503143355E-3</v>
      </c>
      <c r="D83" s="161" t="s">
        <v>442</v>
      </c>
    </row>
    <row r="84" spans="1:4">
      <c r="A84" s="1" t="s">
        <v>215</v>
      </c>
      <c r="B84" s="160">
        <v>-9.9375940766037729E-3</v>
      </c>
      <c r="D84" s="161" t="s">
        <v>443</v>
      </c>
    </row>
    <row r="85" spans="1:4">
      <c r="A85" s="1" t="s">
        <v>216</v>
      </c>
      <c r="B85" s="160">
        <v>-1.486007339428852E-2</v>
      </c>
      <c r="D85" s="161"/>
    </row>
    <row r="86" spans="1:4">
      <c r="A86" s="1" t="s">
        <v>217</v>
      </c>
      <c r="B86" s="160">
        <v>-1.9741377222146639E-2</v>
      </c>
      <c r="D86" s="161"/>
    </row>
    <row r="87" spans="1:4">
      <c r="A87" s="1" t="s">
        <v>219</v>
      </c>
      <c r="B87" s="160">
        <v>-2.9391393830209722E-2</v>
      </c>
      <c r="D87" s="161"/>
    </row>
    <row r="88" spans="1:4">
      <c r="A88" s="1" t="s">
        <v>221</v>
      </c>
      <c r="B88" s="160">
        <v>-3.8880623610509701E-2</v>
      </c>
      <c r="D88" s="161"/>
    </row>
    <row r="89" spans="1:4">
      <c r="A89" s="1" t="s">
        <v>223</v>
      </c>
      <c r="B89" s="160">
        <v>-4.8200374874824092E-2</v>
      </c>
      <c r="D89" s="161"/>
    </row>
    <row r="90" spans="1:4">
      <c r="A90" s="1" t="s">
        <v>383</v>
      </c>
      <c r="B90" s="160">
        <v>-5.7331850259387807E-2</v>
      </c>
      <c r="D90" s="161"/>
    </row>
    <row r="91" spans="1:4">
      <c r="A91" s="1" t="s">
        <v>384</v>
      </c>
      <c r="B91" s="160">
        <v>-6.6257891537318869E-2</v>
      </c>
      <c r="D91" s="161"/>
    </row>
  </sheetData>
  <phoneticPr fontId="3"/>
  <pageMargins left="0.75" right="0.75" top="1" bottom="1" header="0.51200000000000001" footer="0.5120000000000000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8FD8-6FA7-7340-95D8-FD7C1DD8D87C}">
  <dimension ref="A1:AF79"/>
  <sheetViews>
    <sheetView topLeftCell="A43" workbookViewId="0">
      <selection activeCell="C71" sqref="C71:C79"/>
    </sheetView>
  </sheetViews>
  <sheetFormatPr baseColWidth="10" defaultRowHeight="14"/>
  <cols>
    <col min="3" max="3" width="12.1640625" bestFit="1" customWidth="1"/>
    <col min="4" max="4" width="11.83203125" bestFit="1" customWidth="1"/>
    <col min="5" max="5" width="15.5" customWidth="1"/>
    <col min="6" max="6" width="14.5" customWidth="1"/>
  </cols>
  <sheetData>
    <row r="1" spans="1:32">
      <c r="A1" t="s">
        <v>397</v>
      </c>
    </row>
    <row r="2" spans="1:32">
      <c r="A2" t="s">
        <v>399</v>
      </c>
      <c r="F2" t="s">
        <v>102</v>
      </c>
    </row>
    <row r="3" spans="1:32">
      <c r="C3" t="s">
        <v>321</v>
      </c>
      <c r="F3">
        <v>0</v>
      </c>
      <c r="W3" t="s">
        <v>400</v>
      </c>
    </row>
    <row r="4" spans="1:32" ht="15" thickBot="1">
      <c r="T4" t="s">
        <v>325</v>
      </c>
      <c r="X4">
        <v>0.72</v>
      </c>
      <c r="Y4">
        <v>0.88</v>
      </c>
      <c r="Z4">
        <v>1.04</v>
      </c>
      <c r="AA4">
        <v>1.2</v>
      </c>
      <c r="AB4">
        <v>1.32</v>
      </c>
      <c r="AC4">
        <v>1.42</v>
      </c>
      <c r="AD4">
        <v>1.5</v>
      </c>
      <c r="AE4">
        <v>1.6</v>
      </c>
      <c r="AF4">
        <v>1.7</v>
      </c>
    </row>
    <row r="5" spans="1:32" ht="15" thickBot="1">
      <c r="C5" s="64"/>
      <c r="D5" s="85" t="s">
        <v>212</v>
      </c>
      <c r="F5" s="58">
        <v>0</v>
      </c>
      <c r="G5" s="59">
        <v>1</v>
      </c>
      <c r="H5" s="59">
        <v>2</v>
      </c>
      <c r="I5" s="59">
        <v>3</v>
      </c>
      <c r="J5" s="59">
        <v>4</v>
      </c>
      <c r="K5" s="59">
        <v>5</v>
      </c>
      <c r="L5" s="59">
        <v>6</v>
      </c>
      <c r="M5" s="59">
        <v>7</v>
      </c>
      <c r="N5" s="59">
        <v>8</v>
      </c>
      <c r="O5" s="60">
        <v>9</v>
      </c>
      <c r="R5" s="1" t="s">
        <v>141</v>
      </c>
      <c r="S5" s="1"/>
      <c r="T5" s="1"/>
      <c r="U5" s="1" t="s">
        <v>309</v>
      </c>
      <c r="X5" t="s">
        <v>307</v>
      </c>
      <c r="Y5" t="s">
        <v>310</v>
      </c>
      <c r="Z5" t="s">
        <v>311</v>
      </c>
      <c r="AA5" t="s">
        <v>312</v>
      </c>
      <c r="AB5" t="s">
        <v>313</v>
      </c>
      <c r="AC5" t="s">
        <v>314</v>
      </c>
      <c r="AD5" t="s">
        <v>315</v>
      </c>
      <c r="AE5" t="s">
        <v>374</v>
      </c>
      <c r="AF5" t="s">
        <v>375</v>
      </c>
    </row>
    <row r="6" spans="1:32">
      <c r="B6">
        <v>1</v>
      </c>
      <c r="C6" s="94" t="s">
        <v>214</v>
      </c>
      <c r="D6" s="124">
        <v>0.72</v>
      </c>
      <c r="F6" s="57">
        <v>0</v>
      </c>
      <c r="G6" s="57">
        <v>1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Q6" s="1" t="s">
        <v>214</v>
      </c>
      <c r="R6" s="118">
        <f>D6+INDEX($F$6:$O$14,B6,$F$3+1)/100</f>
        <v>0.72</v>
      </c>
      <c r="S6" s="1" t="s">
        <v>214</v>
      </c>
      <c r="T6" s="126">
        <f>R6</f>
        <v>0.72</v>
      </c>
      <c r="U6" s="127">
        <f>100/(100*(1+T6/100*182.5/360))</f>
        <v>0.99636327404971858</v>
      </c>
      <c r="W6" t="s">
        <v>297</v>
      </c>
      <c r="X6">
        <f>100*(1+X4/100*182.5/360)</f>
        <v>100.36499999999999</v>
      </c>
      <c r="Y6">
        <f t="shared" ref="Y6:AF6" si="0">100*Y4/200</f>
        <v>0.44</v>
      </c>
      <c r="Z6">
        <f t="shared" si="0"/>
        <v>0.52</v>
      </c>
      <c r="AA6">
        <f t="shared" si="0"/>
        <v>0.6</v>
      </c>
      <c r="AB6">
        <f t="shared" si="0"/>
        <v>0.66</v>
      </c>
      <c r="AC6">
        <f t="shared" si="0"/>
        <v>0.71</v>
      </c>
      <c r="AD6">
        <f t="shared" si="0"/>
        <v>0.75</v>
      </c>
      <c r="AE6">
        <f t="shared" si="0"/>
        <v>0.8</v>
      </c>
      <c r="AF6">
        <f t="shared" si="0"/>
        <v>0.85</v>
      </c>
    </row>
    <row r="7" spans="1:32">
      <c r="B7">
        <v>2</v>
      </c>
      <c r="C7" s="94" t="s">
        <v>215</v>
      </c>
      <c r="D7" s="124">
        <v>0.88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Q7" s="1" t="s">
        <v>215</v>
      </c>
      <c r="R7" s="118">
        <f t="shared" ref="R7:R14" si="1">D7+INDEX($F$6:$O$14,B7,$F$3+1)/100</f>
        <v>0.88</v>
      </c>
      <c r="S7" s="1" t="s">
        <v>215</v>
      </c>
      <c r="T7" s="126">
        <f>R7</f>
        <v>0.88</v>
      </c>
      <c r="U7" s="127">
        <f>(100-T7/2*SUM(U$6:U6))/(100+T7/2)</f>
        <v>0.99125448187393594</v>
      </c>
      <c r="W7" t="s">
        <v>298</v>
      </c>
      <c r="Y7">
        <f>+Y6+100</f>
        <v>100.44</v>
      </c>
      <c r="Z7">
        <f t="shared" ref="Z7:AF14" si="2">+Z6</f>
        <v>0.52</v>
      </c>
      <c r="AA7">
        <f t="shared" si="2"/>
        <v>0.6</v>
      </c>
      <c r="AB7">
        <f t="shared" si="2"/>
        <v>0.66</v>
      </c>
      <c r="AC7">
        <f t="shared" si="2"/>
        <v>0.71</v>
      </c>
      <c r="AD7">
        <f t="shared" si="2"/>
        <v>0.75</v>
      </c>
      <c r="AE7">
        <f t="shared" si="2"/>
        <v>0.8</v>
      </c>
      <c r="AF7">
        <f t="shared" si="2"/>
        <v>0.85</v>
      </c>
    </row>
    <row r="8" spans="1:32">
      <c r="B8">
        <v>3</v>
      </c>
      <c r="C8" s="94" t="s">
        <v>216</v>
      </c>
      <c r="D8" s="124">
        <v>1.04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Q8" s="1" t="s">
        <v>216</v>
      </c>
      <c r="R8" s="118">
        <f t="shared" si="1"/>
        <v>1.04</v>
      </c>
      <c r="S8" s="1" t="s">
        <v>216</v>
      </c>
      <c r="T8" s="126">
        <f>R8</f>
        <v>1.04</v>
      </c>
      <c r="U8" s="127">
        <f>(100-T8/2*SUM(U$6:U7))/(100+T8/2)</f>
        <v>0.98454475494349081</v>
      </c>
      <c r="W8" t="s">
        <v>299</v>
      </c>
      <c r="Z8">
        <f>+Z7+100</f>
        <v>100.52</v>
      </c>
      <c r="AA8">
        <f t="shared" si="2"/>
        <v>0.6</v>
      </c>
      <c r="AB8">
        <f t="shared" si="2"/>
        <v>0.66</v>
      </c>
      <c r="AC8">
        <f t="shared" si="2"/>
        <v>0.71</v>
      </c>
      <c r="AD8">
        <f t="shared" si="2"/>
        <v>0.75</v>
      </c>
      <c r="AE8">
        <f t="shared" si="2"/>
        <v>0.8</v>
      </c>
      <c r="AF8">
        <f t="shared" si="2"/>
        <v>0.85</v>
      </c>
    </row>
    <row r="9" spans="1:32">
      <c r="B9">
        <v>4</v>
      </c>
      <c r="C9" s="94" t="s">
        <v>217</v>
      </c>
      <c r="D9" s="124">
        <v>1.2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Q9" s="1" t="s">
        <v>217</v>
      </c>
      <c r="R9" s="118">
        <f t="shared" si="1"/>
        <v>1.2</v>
      </c>
      <c r="S9" s="1" t="s">
        <v>217</v>
      </c>
      <c r="T9" s="126">
        <f>R9</f>
        <v>1.2</v>
      </c>
      <c r="U9" s="127">
        <f>(100-T9/2*SUM(U$6:U8))/(100+T9/2)</f>
        <v>0.97630916991530536</v>
      </c>
      <c r="W9" t="s">
        <v>300</v>
      </c>
      <c r="AA9">
        <f>+AA8+100</f>
        <v>100.6</v>
      </c>
      <c r="AB9">
        <f t="shared" si="2"/>
        <v>0.66</v>
      </c>
      <c r="AC9">
        <f t="shared" si="2"/>
        <v>0.71</v>
      </c>
      <c r="AD9">
        <f t="shared" si="2"/>
        <v>0.75</v>
      </c>
      <c r="AE9">
        <f t="shared" si="2"/>
        <v>0.8</v>
      </c>
      <c r="AF9">
        <f t="shared" si="2"/>
        <v>0.85</v>
      </c>
    </row>
    <row r="10" spans="1:32">
      <c r="B10">
        <v>5</v>
      </c>
      <c r="C10" s="94" t="s">
        <v>219</v>
      </c>
      <c r="D10" s="124">
        <v>1.32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Q10" s="1" t="s">
        <v>219</v>
      </c>
      <c r="R10" s="118">
        <f t="shared" si="1"/>
        <v>1.32</v>
      </c>
      <c r="S10" s="1" t="s">
        <v>10</v>
      </c>
      <c r="T10" s="126">
        <f>(T9+T11)/2</f>
        <v>1.26</v>
      </c>
      <c r="U10" s="127">
        <f>(100-T10/2*SUM(U$6:U9))/(100+T10/2)</f>
        <v>0.9690198036480876</v>
      </c>
      <c r="W10" t="s">
        <v>301</v>
      </c>
      <c r="AB10">
        <f t="shared" si="2"/>
        <v>0.66</v>
      </c>
      <c r="AC10">
        <f t="shared" si="2"/>
        <v>0.71</v>
      </c>
      <c r="AD10">
        <f t="shared" si="2"/>
        <v>0.75</v>
      </c>
      <c r="AE10">
        <f t="shared" si="2"/>
        <v>0.8</v>
      </c>
      <c r="AF10">
        <f t="shared" si="2"/>
        <v>0.85</v>
      </c>
    </row>
    <row r="11" spans="1:32">
      <c r="B11">
        <v>6</v>
      </c>
      <c r="C11" s="94" t="s">
        <v>221</v>
      </c>
      <c r="D11" s="124">
        <v>1.42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Q11" s="1" t="s">
        <v>221</v>
      </c>
      <c r="R11" s="118">
        <f t="shared" si="1"/>
        <v>1.42</v>
      </c>
      <c r="S11" s="1" t="s">
        <v>219</v>
      </c>
      <c r="T11" s="126">
        <f>R10</f>
        <v>1.32</v>
      </c>
      <c r="U11" s="127">
        <f>(100-T11/2*SUM(U$6:U10))/(100+T11/2)</f>
        <v>0.96120063203135164</v>
      </c>
      <c r="W11" t="s">
        <v>302</v>
      </c>
      <c r="AB11">
        <f>+AB10+100</f>
        <v>100.66</v>
      </c>
      <c r="AC11">
        <f t="shared" si="2"/>
        <v>0.71</v>
      </c>
      <c r="AD11">
        <f t="shared" si="2"/>
        <v>0.75</v>
      </c>
      <c r="AE11">
        <f t="shared" si="2"/>
        <v>0.8</v>
      </c>
      <c r="AF11">
        <f t="shared" si="2"/>
        <v>0.85</v>
      </c>
    </row>
    <row r="12" spans="1:32">
      <c r="B12">
        <v>7</v>
      </c>
      <c r="C12" s="94" t="s">
        <v>223</v>
      </c>
      <c r="D12" s="124">
        <v>1.5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Q12" s="1" t="s">
        <v>223</v>
      </c>
      <c r="R12" s="118">
        <f t="shared" si="1"/>
        <v>1.5</v>
      </c>
      <c r="S12" s="1" t="s">
        <v>14</v>
      </c>
      <c r="T12" s="126">
        <f>(T11+T13)/2</f>
        <v>1.37</v>
      </c>
      <c r="U12" s="127">
        <f>(100-T12/2*SUM(U$6:U11))/(100+T12/2)</f>
        <v>0.95320152853179319</v>
      </c>
      <c r="W12" t="s">
        <v>303</v>
      </c>
      <c r="AC12">
        <f t="shared" si="2"/>
        <v>0.71</v>
      </c>
      <c r="AD12">
        <f t="shared" si="2"/>
        <v>0.75</v>
      </c>
      <c r="AE12">
        <f t="shared" si="2"/>
        <v>0.8</v>
      </c>
      <c r="AF12">
        <f t="shared" si="2"/>
        <v>0.85</v>
      </c>
    </row>
    <row r="13" spans="1:32">
      <c r="B13">
        <v>8</v>
      </c>
      <c r="C13" s="94" t="s">
        <v>352</v>
      </c>
      <c r="D13" s="124">
        <v>1.6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Q13" s="1" t="s">
        <v>352</v>
      </c>
      <c r="R13" s="118">
        <f t="shared" si="1"/>
        <v>1.6</v>
      </c>
      <c r="S13" s="1" t="s">
        <v>221</v>
      </c>
      <c r="T13" s="126">
        <f>R11</f>
        <v>1.42</v>
      </c>
      <c r="U13" s="127">
        <f>(100-T13/2*SUM(U$6:U12))/(100+T13/2)</f>
        <v>0.9447855775201518</v>
      </c>
      <c r="W13" t="s">
        <v>304</v>
      </c>
      <c r="AC13">
        <f>+AC12+100</f>
        <v>100.71</v>
      </c>
      <c r="AD13">
        <f t="shared" si="2"/>
        <v>0.75</v>
      </c>
      <c r="AE13">
        <f t="shared" si="2"/>
        <v>0.8</v>
      </c>
      <c r="AF13">
        <f t="shared" si="2"/>
        <v>0.85</v>
      </c>
    </row>
    <row r="14" spans="1:32" ht="15" thickBot="1">
      <c r="B14">
        <v>9</v>
      </c>
      <c r="C14" s="95" t="s">
        <v>377</v>
      </c>
      <c r="D14" s="125">
        <v>1.7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Q14" s="1" t="s">
        <v>377</v>
      </c>
      <c r="R14" s="118">
        <f t="shared" si="1"/>
        <v>1.7</v>
      </c>
      <c r="S14" s="1" t="s">
        <v>18</v>
      </c>
      <c r="T14" s="126">
        <f>(T13+T15)/2</f>
        <v>1.46</v>
      </c>
      <c r="U14" s="127">
        <f>(100-T14/2*SUM(U$6:U13))/(100+T14/2)</f>
        <v>0.93639456137759247</v>
      </c>
      <c r="W14" t="s">
        <v>305</v>
      </c>
      <c r="AD14">
        <f t="shared" si="2"/>
        <v>0.75</v>
      </c>
      <c r="AE14">
        <f t="shared" si="2"/>
        <v>0.8</v>
      </c>
      <c r="AF14">
        <f t="shared" si="2"/>
        <v>0.85</v>
      </c>
    </row>
    <row r="15" spans="1:32">
      <c r="C15" t="s">
        <v>355</v>
      </c>
      <c r="R15" s="121"/>
      <c r="S15" s="1" t="s">
        <v>223</v>
      </c>
      <c r="T15" s="126">
        <f>R12</f>
        <v>1.5</v>
      </c>
      <c r="U15" s="127">
        <f>(100-T15/2*SUM(U$6:U14))/(100+T15/2)</f>
        <v>0.92769423982214816</v>
      </c>
      <c r="W15" t="s">
        <v>306</v>
      </c>
      <c r="AD15">
        <f>+AD14+100</f>
        <v>100.75</v>
      </c>
      <c r="AE15">
        <f>+AE14</f>
        <v>0.8</v>
      </c>
      <c r="AF15">
        <f>+AF14</f>
        <v>0.85</v>
      </c>
    </row>
    <row r="16" spans="1:32">
      <c r="R16" s="121"/>
      <c r="S16" s="1" t="s">
        <v>378</v>
      </c>
      <c r="T16" s="126">
        <f>(T15+T17)/2</f>
        <v>1.55</v>
      </c>
      <c r="U16" s="127">
        <f>(100-T16/2*SUM(U$6:U15))/(100+T16/2)</f>
        <v>0.91816824392579477</v>
      </c>
      <c r="W16" t="s">
        <v>364</v>
      </c>
      <c r="AE16">
        <f>+AE15</f>
        <v>0.8</v>
      </c>
      <c r="AF16">
        <f>+AF15</f>
        <v>0.85</v>
      </c>
    </row>
    <row r="17" spans="2:32">
      <c r="S17" s="1" t="s">
        <v>379</v>
      </c>
      <c r="T17" s="126">
        <f>R13</f>
        <v>1.6</v>
      </c>
      <c r="U17" s="127">
        <f>(100-T17/2*SUM(U$6:U16))/(100+T17/2)</f>
        <v>0.90826241057429069</v>
      </c>
      <c r="W17" t="s">
        <v>365</v>
      </c>
      <c r="AE17">
        <f>+AE16+100</f>
        <v>100.8</v>
      </c>
      <c r="AF17">
        <f>+AF16</f>
        <v>0.85</v>
      </c>
    </row>
    <row r="18" spans="2:32">
      <c r="S18" s="1" t="s">
        <v>380</v>
      </c>
      <c r="T18" s="126">
        <f>(T17+T19)/2</f>
        <v>1.65</v>
      </c>
      <c r="U18" s="127">
        <f>(100-T18/2*SUM(U$6:U17))/(100+T18/2)</f>
        <v>0.89798721636968726</v>
      </c>
      <c r="W18" t="s">
        <v>366</v>
      </c>
      <c r="AF18">
        <f>+AF17</f>
        <v>0.85</v>
      </c>
    </row>
    <row r="19" spans="2:32" ht="15" thickBot="1">
      <c r="B19" t="s">
        <v>65</v>
      </c>
      <c r="S19" s="1" t="s">
        <v>353</v>
      </c>
      <c r="T19" s="126">
        <f>R14</f>
        <v>1.7</v>
      </c>
      <c r="U19" s="127">
        <f>(100-T19/2*SUM(U$6:U18))/(100+T19/2)</f>
        <v>0.88735341586122118</v>
      </c>
      <c r="W19" t="s">
        <v>367</v>
      </c>
      <c r="AF19">
        <f>+AF18+100</f>
        <v>100.85</v>
      </c>
    </row>
    <row r="20" spans="2:32" ht="15" thickBot="1">
      <c r="B20" s="12" t="s">
        <v>30</v>
      </c>
      <c r="C20" s="13" t="s">
        <v>31</v>
      </c>
      <c r="D20" s="13" t="s">
        <v>32</v>
      </c>
      <c r="E20" s="35"/>
      <c r="I20" s="119"/>
    </row>
    <row r="21" spans="2:32">
      <c r="B21" s="134" t="s">
        <v>62</v>
      </c>
      <c r="C21" s="120">
        <v>4000</v>
      </c>
      <c r="D21" s="120">
        <v>6000</v>
      </c>
      <c r="E21" s="155"/>
      <c r="I21" s="119"/>
    </row>
    <row r="22" spans="2:32">
      <c r="B22" s="16" t="s">
        <v>279</v>
      </c>
      <c r="C22" s="17" t="s">
        <v>356</v>
      </c>
      <c r="D22" s="17" t="s">
        <v>357</v>
      </c>
      <c r="E22" s="156"/>
      <c r="I22" s="119"/>
      <c r="X22" s="157">
        <f t="shared" ref="X22:AF22" si="3">SUMPRODUCT($U6:$U19,X6:X19)-100</f>
        <v>0</v>
      </c>
      <c r="Y22" s="157">
        <f t="shared" si="3"/>
        <v>0</v>
      </c>
      <c r="Z22" s="157">
        <f t="shared" si="3"/>
        <v>0</v>
      </c>
      <c r="AA22" s="157">
        <f t="shared" si="3"/>
        <v>0</v>
      </c>
      <c r="AB22" s="157">
        <f t="shared" si="3"/>
        <v>0</v>
      </c>
      <c r="AC22" s="157">
        <f t="shared" si="3"/>
        <v>0</v>
      </c>
      <c r="AD22" s="157">
        <f t="shared" si="3"/>
        <v>0</v>
      </c>
      <c r="AE22" s="157">
        <f t="shared" si="3"/>
        <v>0</v>
      </c>
      <c r="AF22" s="157">
        <f t="shared" si="3"/>
        <v>0</v>
      </c>
    </row>
    <row r="23" spans="2:32">
      <c r="B23" s="16" t="s">
        <v>36</v>
      </c>
      <c r="C23" s="19">
        <v>1.4999999999999999E-2</v>
      </c>
      <c r="D23" s="17" t="s">
        <v>38</v>
      </c>
      <c r="E23" s="158"/>
      <c r="I23" s="119"/>
      <c r="W23">
        <v>1</v>
      </c>
      <c r="X23" t="e">
        <v>#REF!</v>
      </c>
      <c r="Y23" t="e">
        <v>#REF!</v>
      </c>
      <c r="Z23" t="e">
        <v>#REF!</v>
      </c>
      <c r="AA23" t="e">
        <v>#REF!</v>
      </c>
      <c r="AB23" t="e">
        <v>#REF!</v>
      </c>
      <c r="AC23" t="e">
        <v>#REF!</v>
      </c>
      <c r="AD23" t="e">
        <v>#REF!</v>
      </c>
      <c r="AE23" t="e">
        <v>#REF!</v>
      </c>
      <c r="AF23" t="e">
        <v>#REF!</v>
      </c>
    </row>
    <row r="24" spans="2:32">
      <c r="B24" s="16" t="s">
        <v>39</v>
      </c>
      <c r="C24" s="17" t="s">
        <v>37</v>
      </c>
      <c r="D24" s="19">
        <v>2.2499999999999999E-2</v>
      </c>
      <c r="E24" s="156"/>
      <c r="I24" s="119"/>
      <c r="W24">
        <v>2</v>
      </c>
      <c r="X24" t="e">
        <v>#REF!</v>
      </c>
      <c r="Y24" t="e">
        <v>#REF!</v>
      </c>
      <c r="Z24" t="e">
        <v>#REF!</v>
      </c>
      <c r="AA24" t="e">
        <v>#REF!</v>
      </c>
      <c r="AB24" t="e">
        <v>#REF!</v>
      </c>
      <c r="AC24" t="e">
        <v>#REF!</v>
      </c>
      <c r="AD24" t="e">
        <v>#REF!</v>
      </c>
      <c r="AE24" t="e">
        <v>#REF!</v>
      </c>
      <c r="AF24" t="e">
        <v>#REF!</v>
      </c>
    </row>
    <row r="25" spans="2:32">
      <c r="B25" s="16" t="s">
        <v>282</v>
      </c>
      <c r="C25" s="20" t="s">
        <v>283</v>
      </c>
      <c r="D25" s="20" t="s">
        <v>284</v>
      </c>
      <c r="E25" s="35"/>
      <c r="I25" s="119"/>
      <c r="W25">
        <v>3</v>
      </c>
      <c r="X25" t="e">
        <v>#REF!</v>
      </c>
      <c r="Y25" t="e">
        <v>#REF!</v>
      </c>
      <c r="Z25" t="e">
        <v>#REF!</v>
      </c>
      <c r="AA25" t="e">
        <v>#REF!</v>
      </c>
      <c r="AB25" t="e">
        <v>#REF!</v>
      </c>
      <c r="AC25" t="e">
        <v>#REF!</v>
      </c>
      <c r="AD25" t="e">
        <v>#REF!</v>
      </c>
      <c r="AE25" t="e">
        <v>#REF!</v>
      </c>
      <c r="AF25" t="e">
        <v>#REF!</v>
      </c>
    </row>
    <row r="26" spans="2:32" ht="15" thickBot="1">
      <c r="B26" s="28" t="s">
        <v>50</v>
      </c>
      <c r="C26" s="115">
        <v>4.7499999999999999E-3</v>
      </c>
      <c r="D26" s="115">
        <v>5.4999999999999997E-3</v>
      </c>
      <c r="E26" s="159"/>
      <c r="I26" s="119"/>
      <c r="W26">
        <v>4</v>
      </c>
      <c r="X26" t="e">
        <v>#REF!</v>
      </c>
      <c r="Y26" t="e">
        <v>#REF!</v>
      </c>
      <c r="Z26" t="e">
        <v>#REF!</v>
      </c>
      <c r="AA26" t="e">
        <v>#REF!</v>
      </c>
      <c r="AB26" t="e">
        <v>#REF!</v>
      </c>
      <c r="AC26" t="e">
        <v>#REF!</v>
      </c>
      <c r="AD26" t="e">
        <v>#REF!</v>
      </c>
      <c r="AE26" t="e">
        <v>#REF!</v>
      </c>
      <c r="AF26" t="e">
        <v>#REF!</v>
      </c>
    </row>
    <row r="27" spans="2:32">
      <c r="I27" s="119"/>
      <c r="W27">
        <v>5</v>
      </c>
      <c r="X27" t="e">
        <v>#REF!</v>
      </c>
      <c r="Y27" t="e">
        <v>#REF!</v>
      </c>
      <c r="Z27" t="e">
        <v>#REF!</v>
      </c>
      <c r="AA27" t="e">
        <v>#REF!</v>
      </c>
      <c r="AB27" t="e">
        <v>#REF!</v>
      </c>
      <c r="AC27" t="e">
        <v>#REF!</v>
      </c>
      <c r="AD27" t="e">
        <v>#REF!</v>
      </c>
      <c r="AE27" t="e">
        <v>#REF!</v>
      </c>
      <c r="AF27" t="e">
        <v>#REF!</v>
      </c>
    </row>
    <row r="28" spans="2:32">
      <c r="I28" s="119"/>
      <c r="W28">
        <v>6</v>
      </c>
      <c r="X28" t="e">
        <v>#REF!</v>
      </c>
      <c r="Y28" t="e">
        <v>#REF!</v>
      </c>
      <c r="Z28" t="e">
        <v>#REF!</v>
      </c>
      <c r="AA28" t="e">
        <v>#REF!</v>
      </c>
      <c r="AB28" t="e">
        <v>#REF!</v>
      </c>
      <c r="AC28" t="e">
        <v>#REF!</v>
      </c>
      <c r="AD28" t="e">
        <v>#REF!</v>
      </c>
      <c r="AE28" t="e">
        <v>#REF!</v>
      </c>
      <c r="AF28" t="e">
        <v>#REF!</v>
      </c>
    </row>
    <row r="29" spans="2:32">
      <c r="B29" t="s">
        <v>293</v>
      </c>
      <c r="F29" s="116"/>
      <c r="I29" s="119"/>
      <c r="W29">
        <v>7</v>
      </c>
      <c r="X29" t="e">
        <v>#REF!</v>
      </c>
      <c r="Y29" t="e">
        <v>#REF!</v>
      </c>
      <c r="Z29" t="e">
        <v>#REF!</v>
      </c>
      <c r="AA29" t="e">
        <v>#REF!</v>
      </c>
      <c r="AB29" t="e">
        <v>#REF!</v>
      </c>
      <c r="AC29" t="e">
        <v>#REF!</v>
      </c>
      <c r="AD29" t="e">
        <v>#REF!</v>
      </c>
      <c r="AE29" t="e">
        <v>#REF!</v>
      </c>
      <c r="AF29" t="e">
        <v>#REF!</v>
      </c>
    </row>
    <row r="30" spans="2:32">
      <c r="W30">
        <v>8</v>
      </c>
      <c r="X30" t="e">
        <v>#REF!</v>
      </c>
      <c r="Y30" t="e">
        <v>#REF!</v>
      </c>
      <c r="Z30" t="e">
        <v>#REF!</v>
      </c>
      <c r="AA30" t="e">
        <v>#REF!</v>
      </c>
      <c r="AB30" t="e">
        <v>#REF!</v>
      </c>
      <c r="AC30" t="e">
        <v>#REF!</v>
      </c>
      <c r="AD30" t="e">
        <v>#REF!</v>
      </c>
      <c r="AE30" t="e">
        <v>#REF!</v>
      </c>
      <c r="AF30" t="e">
        <v>#REF!</v>
      </c>
    </row>
    <row r="31" spans="2:32">
      <c r="B31" s="47" t="s">
        <v>52</v>
      </c>
      <c r="C31" s="129" t="s">
        <v>53</v>
      </c>
      <c r="D31" s="129" t="s">
        <v>54</v>
      </c>
      <c r="E31" s="1" t="s">
        <v>55</v>
      </c>
      <c r="W31">
        <v>9</v>
      </c>
      <c r="X31" t="e">
        <v>#REF!</v>
      </c>
      <c r="Y31" t="e">
        <v>#REF!</v>
      </c>
      <c r="Z31" t="e">
        <v>#REF!</v>
      </c>
      <c r="AA31" t="e">
        <v>#REF!</v>
      </c>
      <c r="AB31" t="e">
        <v>#REF!</v>
      </c>
      <c r="AC31" t="e">
        <v>#REF!</v>
      </c>
      <c r="AD31" t="e">
        <v>#REF!</v>
      </c>
      <c r="AE31" t="e">
        <v>#REF!</v>
      </c>
      <c r="AF31" t="e">
        <v>#REF!</v>
      </c>
    </row>
    <row r="32" spans="2:32">
      <c r="B32" s="178" t="s">
        <v>285</v>
      </c>
      <c r="C32" s="184">
        <f>$C$21 * 1.5 / 100 * 0.5</f>
        <v>30</v>
      </c>
      <c r="D32" s="184">
        <f>-($C$21+$C$21*0.475/100*182.5 / 360)</f>
        <v>-4009.6319444444443</v>
      </c>
      <c r="E32" s="185">
        <f>C32+D32</f>
        <v>-3979.6319444444443</v>
      </c>
      <c r="X32" s="1" t="e">
        <f t="shared" ref="X32:AF32" si="4">SUM(X23:X31)</f>
        <v>#REF!</v>
      </c>
      <c r="Y32" s="1" t="e">
        <f t="shared" si="4"/>
        <v>#REF!</v>
      </c>
      <c r="Z32" s="1" t="e">
        <f t="shared" si="4"/>
        <v>#REF!</v>
      </c>
      <c r="AA32" s="1" t="e">
        <f t="shared" si="4"/>
        <v>#REF!</v>
      </c>
      <c r="AB32" s="1" t="e">
        <f t="shared" si="4"/>
        <v>#REF!</v>
      </c>
      <c r="AC32" s="1" t="e">
        <f t="shared" si="4"/>
        <v>#REF!</v>
      </c>
      <c r="AD32" s="1" t="e">
        <f t="shared" si="4"/>
        <v>#REF!</v>
      </c>
      <c r="AE32" s="1" t="e">
        <f t="shared" si="4"/>
        <v>#REF!</v>
      </c>
      <c r="AF32" s="1" t="e">
        <f t="shared" si="4"/>
        <v>#REF!</v>
      </c>
    </row>
    <row r="33" spans="2:5">
      <c r="B33" s="117" t="s">
        <v>286</v>
      </c>
      <c r="C33" s="184">
        <f t="shared" ref="C33:C39" si="5">$C$21 * 1.5 / 100 * 0.5</f>
        <v>30</v>
      </c>
      <c r="D33" s="184">
        <v>0</v>
      </c>
      <c r="E33" s="185">
        <f t="shared" ref="E33:E39" si="6">C33+D33</f>
        <v>30</v>
      </c>
    </row>
    <row r="34" spans="2:5">
      <c r="B34" s="178" t="s">
        <v>287</v>
      </c>
      <c r="C34" s="184">
        <f t="shared" si="5"/>
        <v>30</v>
      </c>
      <c r="D34" s="184">
        <v>0</v>
      </c>
      <c r="E34" s="185">
        <f t="shared" si="6"/>
        <v>30</v>
      </c>
    </row>
    <row r="35" spans="2:5">
      <c r="B35" s="117" t="s">
        <v>288</v>
      </c>
      <c r="C35" s="184">
        <f t="shared" si="5"/>
        <v>30</v>
      </c>
      <c r="D35" s="184">
        <v>0</v>
      </c>
      <c r="E35" s="185">
        <f t="shared" si="6"/>
        <v>30</v>
      </c>
    </row>
    <row r="36" spans="2:5">
      <c r="B36" s="178" t="s">
        <v>289</v>
      </c>
      <c r="C36" s="184">
        <f t="shared" si="5"/>
        <v>30</v>
      </c>
      <c r="D36" s="184">
        <v>0</v>
      </c>
      <c r="E36" s="185">
        <f t="shared" si="6"/>
        <v>30</v>
      </c>
    </row>
    <row r="37" spans="2:5">
      <c r="B37" s="117" t="s">
        <v>290</v>
      </c>
      <c r="C37" s="184">
        <f t="shared" si="5"/>
        <v>30</v>
      </c>
      <c r="D37" s="184">
        <v>0</v>
      </c>
      <c r="E37" s="185">
        <f t="shared" si="6"/>
        <v>30</v>
      </c>
    </row>
    <row r="38" spans="2:5">
      <c r="B38" s="179" t="s">
        <v>358</v>
      </c>
      <c r="C38" s="184">
        <f t="shared" si="5"/>
        <v>30</v>
      </c>
      <c r="D38" s="184">
        <v>0</v>
      </c>
      <c r="E38" s="185">
        <f t="shared" si="6"/>
        <v>30</v>
      </c>
    </row>
    <row r="39" spans="2:5">
      <c r="B39" s="117" t="s">
        <v>291</v>
      </c>
      <c r="C39" s="184">
        <f>$C$21 * 1.5 / 100 * 0.5+C21</f>
        <v>4030</v>
      </c>
      <c r="D39" s="184">
        <v>0</v>
      </c>
      <c r="E39" s="185">
        <f t="shared" si="6"/>
        <v>4030</v>
      </c>
    </row>
    <row r="41" spans="2:5">
      <c r="B41" t="s">
        <v>294</v>
      </c>
    </row>
    <row r="43" spans="2:5">
      <c r="B43" s="47" t="s">
        <v>52</v>
      </c>
      <c r="C43" s="129" t="s">
        <v>53</v>
      </c>
      <c r="D43" s="129" t="s">
        <v>54</v>
      </c>
      <c r="E43" s="1" t="s">
        <v>55</v>
      </c>
    </row>
    <row r="44" spans="2:5">
      <c r="B44" s="178" t="s">
        <v>285</v>
      </c>
      <c r="C44" s="184">
        <f>D21*0.55/100*365/360 + D21</f>
        <v>6033.458333333333</v>
      </c>
      <c r="D44" s="184">
        <f>-$D$21*2.25 / 100*1</f>
        <v>-135</v>
      </c>
      <c r="E44" s="185">
        <f>C44+D44</f>
        <v>5898.458333333333</v>
      </c>
    </row>
    <row r="45" spans="2:5">
      <c r="B45" s="178" t="s">
        <v>287</v>
      </c>
      <c r="C45" s="184">
        <v>0</v>
      </c>
      <c r="D45" s="184">
        <f t="shared" ref="D45:D50" si="7">-$D$21*2.25 / 100*1</f>
        <v>-135</v>
      </c>
      <c r="E45" s="185">
        <f t="shared" ref="E45:E50" si="8">C45+D45</f>
        <v>-135</v>
      </c>
    </row>
    <row r="46" spans="2:5">
      <c r="B46" s="178" t="s">
        <v>289</v>
      </c>
      <c r="C46" s="184">
        <v>0</v>
      </c>
      <c r="D46" s="184">
        <f t="shared" si="7"/>
        <v>-135</v>
      </c>
      <c r="E46" s="185">
        <f t="shared" si="8"/>
        <v>-135</v>
      </c>
    </row>
    <row r="47" spans="2:5">
      <c r="B47" s="178" t="s">
        <v>358</v>
      </c>
      <c r="C47" s="184">
        <v>0</v>
      </c>
      <c r="D47" s="184">
        <f t="shared" si="7"/>
        <v>-135</v>
      </c>
      <c r="E47" s="185">
        <f t="shared" si="8"/>
        <v>-135</v>
      </c>
    </row>
    <row r="48" spans="2:5">
      <c r="B48" s="117" t="s">
        <v>359</v>
      </c>
      <c r="C48" s="184">
        <v>0</v>
      </c>
      <c r="D48" s="184">
        <f t="shared" si="7"/>
        <v>-135</v>
      </c>
      <c r="E48" s="185">
        <f t="shared" si="8"/>
        <v>-135</v>
      </c>
    </row>
    <row r="49" spans="2:5">
      <c r="B49" s="117" t="s">
        <v>360</v>
      </c>
      <c r="C49" s="184">
        <v>0</v>
      </c>
      <c r="D49" s="184">
        <f t="shared" si="7"/>
        <v>-135</v>
      </c>
      <c r="E49" s="185">
        <f t="shared" si="8"/>
        <v>-135</v>
      </c>
    </row>
    <row r="50" spans="2:5">
      <c r="B50" s="117" t="s">
        <v>361</v>
      </c>
      <c r="C50" s="184">
        <v>0</v>
      </c>
      <c r="D50" s="184">
        <f>-($D$21*2.25 / 100*1+D21)</f>
        <v>-6135</v>
      </c>
      <c r="E50" s="185">
        <f t="shared" si="8"/>
        <v>-6135</v>
      </c>
    </row>
    <row r="53" spans="2:5">
      <c r="B53" t="s">
        <v>319</v>
      </c>
    </row>
    <row r="55" spans="2:5" ht="15" thickBot="1">
      <c r="C55" s="48" t="s">
        <v>320</v>
      </c>
      <c r="D55" s="52" t="s">
        <v>346</v>
      </c>
    </row>
    <row r="56" spans="2:5">
      <c r="B56" s="177" t="s">
        <v>285</v>
      </c>
      <c r="C56" s="186">
        <f>E32+E44</f>
        <v>1918.8263888888887</v>
      </c>
      <c r="D56" s="189">
        <f>(1+U6)/2</f>
        <v>0.99818163702485929</v>
      </c>
    </row>
    <row r="57" spans="2:5">
      <c r="B57" s="117" t="s">
        <v>286</v>
      </c>
      <c r="C57" s="187">
        <f>E33</f>
        <v>30</v>
      </c>
      <c r="D57" s="190">
        <f>(U6+U7)/2</f>
        <v>0.99380887796182726</v>
      </c>
    </row>
    <row r="58" spans="2:5">
      <c r="B58" s="178" t="s">
        <v>287</v>
      </c>
      <c r="C58" s="187">
        <f>E34+E45</f>
        <v>-105</v>
      </c>
      <c r="D58" s="190">
        <f t="shared" ref="D58:D64" si="9">(U7+U8)/2</f>
        <v>0.98789961840871343</v>
      </c>
    </row>
    <row r="59" spans="2:5">
      <c r="B59" s="117" t="s">
        <v>288</v>
      </c>
      <c r="C59" s="187">
        <f>E35</f>
        <v>30</v>
      </c>
      <c r="D59" s="190">
        <f t="shared" si="9"/>
        <v>0.98042696242939809</v>
      </c>
    </row>
    <row r="60" spans="2:5">
      <c r="B60" s="178" t="s">
        <v>289</v>
      </c>
      <c r="C60" s="187">
        <f>E36+E46</f>
        <v>-105</v>
      </c>
      <c r="D60" s="190">
        <f t="shared" si="9"/>
        <v>0.97266448678169648</v>
      </c>
    </row>
    <row r="61" spans="2:5">
      <c r="B61" s="117" t="s">
        <v>290</v>
      </c>
      <c r="C61" s="187">
        <f>E37</f>
        <v>30</v>
      </c>
      <c r="D61" s="190">
        <f t="shared" si="9"/>
        <v>0.96511021783971962</v>
      </c>
    </row>
    <row r="62" spans="2:5">
      <c r="B62" s="178" t="s">
        <v>358</v>
      </c>
      <c r="C62" s="187">
        <f>E38+E47</f>
        <v>-105</v>
      </c>
      <c r="D62" s="190">
        <f t="shared" si="9"/>
        <v>0.95720108028157247</v>
      </c>
    </row>
    <row r="63" spans="2:5">
      <c r="B63" s="117" t="s">
        <v>291</v>
      </c>
      <c r="C63" s="187">
        <f>E39</f>
        <v>4030</v>
      </c>
      <c r="D63" s="190">
        <f t="shared" si="9"/>
        <v>0.94899355302597255</v>
      </c>
    </row>
    <row r="64" spans="2:5">
      <c r="B64" s="117" t="s">
        <v>359</v>
      </c>
      <c r="C64" s="187">
        <f>E48</f>
        <v>-135</v>
      </c>
      <c r="D64" s="190">
        <f>(U13+U14)/2</f>
        <v>0.94059006944887213</v>
      </c>
    </row>
    <row r="65" spans="1:7">
      <c r="B65" s="117" t="s">
        <v>360</v>
      </c>
      <c r="C65" s="187">
        <f>E49</f>
        <v>-135</v>
      </c>
      <c r="D65" s="190">
        <f>(U15+U16)/2</f>
        <v>0.92293124187397146</v>
      </c>
    </row>
    <row r="66" spans="1:7" ht="15" thickBot="1">
      <c r="B66" s="117" t="s">
        <v>361</v>
      </c>
      <c r="C66" s="188">
        <f>E50</f>
        <v>-6135</v>
      </c>
      <c r="D66" s="190">
        <f>(U17+U18)/2</f>
        <v>0.90312481347198892</v>
      </c>
    </row>
    <row r="67" spans="1:7" ht="15" thickBot="1"/>
    <row r="68" spans="1:7" ht="15" thickBot="1">
      <c r="B68" t="s">
        <v>157</v>
      </c>
      <c r="C68" s="196">
        <f>SUMPRODUCT($C$56:$C$66,$D$56:$D$66)</f>
        <v>-270.64978568458628</v>
      </c>
      <c r="D68" t="s">
        <v>296</v>
      </c>
    </row>
    <row r="69" spans="1:7" ht="15" thickBot="1">
      <c r="B69" t="s">
        <v>161</v>
      </c>
      <c r="C69" s="154">
        <v>-270.64978568458628</v>
      </c>
      <c r="D69" t="s">
        <v>296</v>
      </c>
    </row>
    <row r="70" spans="1:7">
      <c r="A70" t="s">
        <v>166</v>
      </c>
      <c r="B70" s="90" t="s">
        <v>160</v>
      </c>
      <c r="C70" s="85">
        <f>C68-C69</f>
        <v>0</v>
      </c>
      <c r="D70" t="s">
        <v>296</v>
      </c>
      <c r="E70" s="1" t="s">
        <v>484</v>
      </c>
      <c r="F70" s="176" t="s">
        <v>486</v>
      </c>
    </row>
    <row r="71" spans="1:7">
      <c r="A71" s="117" t="s">
        <v>214</v>
      </c>
      <c r="B71" s="94">
        <v>1</v>
      </c>
      <c r="C71" s="191">
        <f t="dataTable" ref="C71:C79" dt2D="0" dtr="0" r1="F3"/>
        <v>-5.0164119466899137E-2</v>
      </c>
      <c r="E71" s="1">
        <f>-0.005</f>
        <v>-5.0000000000000001E-3</v>
      </c>
      <c r="F71" s="193"/>
    </row>
    <row r="72" spans="1:7">
      <c r="A72" s="117" t="s">
        <v>215</v>
      </c>
      <c r="B72" s="94">
        <v>2</v>
      </c>
      <c r="C72" s="191">
        <v>1.4993082631917787E-3</v>
      </c>
      <c r="E72" s="1">
        <v>-0.01</v>
      </c>
      <c r="F72" s="193"/>
    </row>
    <row r="73" spans="1:7">
      <c r="A73" s="117" t="s">
        <v>216</v>
      </c>
      <c r="B73" s="94">
        <v>3</v>
      </c>
      <c r="C73" s="191">
        <v>2.2518390178447589E-3</v>
      </c>
      <c r="E73" s="1">
        <f>-0.015</f>
        <v>-1.4999999999999999E-2</v>
      </c>
      <c r="F73" s="193"/>
    </row>
    <row r="74" spans="1:7">
      <c r="A74" s="117" t="s">
        <v>217</v>
      </c>
      <c r="B74" s="94">
        <v>4</v>
      </c>
      <c r="C74" s="191">
        <v>4.8908357175605488E-3</v>
      </c>
      <c r="E74" s="1">
        <f>-0.2</f>
        <v>-0.2</v>
      </c>
      <c r="F74" s="193"/>
      <c r="G74" s="180"/>
    </row>
    <row r="75" spans="1:7">
      <c r="A75" s="117" t="s">
        <v>219</v>
      </c>
      <c r="B75" s="94">
        <v>5</v>
      </c>
      <c r="C75" s="191">
        <v>-0.33249868340135436</v>
      </c>
      <c r="E75" s="1">
        <v>-2.9000000000000001E-2</v>
      </c>
      <c r="F75" s="193"/>
    </row>
    <row r="76" spans="1:7">
      <c r="A76" s="117" t="s">
        <v>221</v>
      </c>
      <c r="B76" s="94">
        <v>6</v>
      </c>
      <c r="C76" s="191">
        <v>-1.106078140009231</v>
      </c>
      <c r="D76" t="s">
        <v>485</v>
      </c>
      <c r="E76" s="1">
        <f>-0.039</f>
        <v>-3.9E-2</v>
      </c>
      <c r="F76" s="193">
        <f>C76/E76</f>
        <v>28.360977948954641</v>
      </c>
    </row>
    <row r="77" spans="1:7">
      <c r="A77" s="117" t="s">
        <v>223</v>
      </c>
      <c r="B77" s="94">
        <v>7</v>
      </c>
      <c r="C77" s="191">
        <v>1.7334861823655956E-2</v>
      </c>
      <c r="E77" s="1">
        <f>-0.048</f>
        <v>-4.8000000000000001E-2</v>
      </c>
      <c r="F77" s="193"/>
    </row>
    <row r="78" spans="1:7">
      <c r="A78" s="117" t="s">
        <v>352</v>
      </c>
      <c r="B78" s="94">
        <v>8</v>
      </c>
      <c r="C78" s="191">
        <v>2.6756126697573563</v>
      </c>
      <c r="D78" t="s">
        <v>465</v>
      </c>
      <c r="E78" s="1">
        <f>-0.057</f>
        <v>-5.7000000000000002E-2</v>
      </c>
      <c r="F78" s="193">
        <f>-C78/E78</f>
        <v>46.940573153637828</v>
      </c>
    </row>
    <row r="79" spans="1:7" ht="15" thickBot="1">
      <c r="A79" s="117" t="s">
        <v>377</v>
      </c>
      <c r="B79" s="95">
        <v>9</v>
      </c>
      <c r="C79" s="192">
        <v>0.94047278102789278</v>
      </c>
      <c r="D79" t="s">
        <v>465</v>
      </c>
      <c r="E79" s="1">
        <f>-0.066</f>
        <v>-6.6000000000000003E-2</v>
      </c>
      <c r="F79" s="193">
        <f>-C79/E79</f>
        <v>14.249587591331709</v>
      </c>
    </row>
  </sheetData>
  <phoneticPr fontId="3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4"/>
  <sheetViews>
    <sheetView workbookViewId="0">
      <selection activeCell="H7" sqref="H7"/>
    </sheetView>
  </sheetViews>
  <sheetFormatPr baseColWidth="10" defaultColWidth="8.83203125" defaultRowHeight="14"/>
  <cols>
    <col min="2" max="2" width="12.6640625" customWidth="1"/>
    <col min="4" max="4" width="14.1640625" customWidth="1"/>
    <col min="18" max="18" width="13" bestFit="1" customWidth="1"/>
  </cols>
  <sheetData>
    <row r="1" spans="1:18">
      <c r="A1" t="s">
        <v>397</v>
      </c>
    </row>
    <row r="2" spans="1:18">
      <c r="A2" t="s">
        <v>395</v>
      </c>
    </row>
    <row r="3" spans="1:18">
      <c r="A3" t="s">
        <v>398</v>
      </c>
    </row>
    <row r="5" spans="1:18">
      <c r="N5" t="s">
        <v>465</v>
      </c>
      <c r="O5" t="s">
        <v>244</v>
      </c>
      <c r="P5" t="s">
        <v>449</v>
      </c>
      <c r="Q5" t="s">
        <v>450</v>
      </c>
      <c r="R5" t="s">
        <v>441</v>
      </c>
    </row>
    <row r="6" spans="1:18">
      <c r="B6" s="1"/>
      <c r="C6" s="1" t="s">
        <v>0</v>
      </c>
      <c r="D6" s="1" t="s">
        <v>385</v>
      </c>
      <c r="F6" s="172" t="s">
        <v>444</v>
      </c>
      <c r="K6" s="172" t="s">
        <v>455</v>
      </c>
      <c r="L6" t="s">
        <v>445</v>
      </c>
      <c r="M6" t="s">
        <v>456</v>
      </c>
      <c r="N6">
        <f>2*(D7/D8-1)</f>
        <v>9.7156605606727453E-3</v>
      </c>
      <c r="O6">
        <v>0.5</v>
      </c>
      <c r="P6">
        <f>(LN(N6/$I$20) + $I$21*$I$21*O6/2) / ($I$21*SQRT(O6))</f>
        <v>-3.0556436547795771</v>
      </c>
      <c r="Q6">
        <f>P6-$I$21*SQRT(O6)</f>
        <v>-3.2677756891355414</v>
      </c>
      <c r="R6" s="174">
        <f>$I$18*D8*0.5*(N6*NORMSDIST(P6) - $I$20*NORMSDIST(Q6))</f>
        <v>3.0349281319159283E-5</v>
      </c>
    </row>
    <row r="7" spans="1:18">
      <c r="B7" s="1" t="s">
        <v>2</v>
      </c>
      <c r="C7" s="2">
        <v>0.66</v>
      </c>
      <c r="D7" s="3">
        <v>0.99666532393699403</v>
      </c>
      <c r="G7" t="s">
        <v>445</v>
      </c>
      <c r="H7">
        <f>(D9-D16)/(0.5*SUM(D10:D16))</f>
        <v>2.0657828417461839E-2</v>
      </c>
      <c r="M7" t="s">
        <v>457</v>
      </c>
      <c r="N7">
        <f t="shared" ref="N7:N14" si="0">2*(D8/D9-1)</f>
        <v>1.3028669031749374E-2</v>
      </c>
      <c r="O7">
        <v>1</v>
      </c>
      <c r="P7">
        <f t="shared" ref="P7:P14" si="1">(LN(N7/$I$20) + $I$21*$I$21*O7/2) / ($I$21*SQRT(O7))</f>
        <v>-1.1076224656584586</v>
      </c>
      <c r="Q7">
        <f t="shared" ref="Q7:Q14" si="2">P7-$I$21*SQRT(O7)</f>
        <v>-1.4076224656584586</v>
      </c>
      <c r="R7" s="174">
        <f t="shared" ref="R7:R14" si="3">$I$18*D9*0.5*(N7*NORMSDIST(P7) - $I$20*NORMSDIST(Q7))</f>
        <v>1.1489907952811981E-2</v>
      </c>
    </row>
    <row r="8" spans="1:18">
      <c r="B8" s="1" t="s">
        <v>386</v>
      </c>
      <c r="C8" s="2">
        <v>0.82</v>
      </c>
      <c r="D8" s="3">
        <v>0.99184709906568902</v>
      </c>
      <c r="G8" t="s">
        <v>446</v>
      </c>
      <c r="H8">
        <f>C23</f>
        <v>0.27179014031035914</v>
      </c>
      <c r="M8" t="s">
        <v>458</v>
      </c>
      <c r="N8">
        <f t="shared" si="0"/>
        <v>1.5457740539738474E-2</v>
      </c>
      <c r="O8">
        <v>1.5</v>
      </c>
      <c r="P8">
        <f t="shared" si="1"/>
        <v>-0.37784493929780971</v>
      </c>
      <c r="Q8">
        <f t="shared" si="2"/>
        <v>-0.74526840071528633</v>
      </c>
      <c r="R8" s="174">
        <f t="shared" si="3"/>
        <v>5.4762267306250084E-2</v>
      </c>
    </row>
    <row r="9" spans="1:18">
      <c r="B9" s="1" t="s">
        <v>387</v>
      </c>
      <c r="C9" s="2">
        <v>0.98</v>
      </c>
      <c r="D9" s="3">
        <v>0.98542769342948255</v>
      </c>
      <c r="G9" t="s">
        <v>451</v>
      </c>
      <c r="H9" t="s">
        <v>452</v>
      </c>
      <c r="I9">
        <f>$C$18*SUM(D10:D16) * (C19*NORMSDIST(C23) - C20*NORMSDIST(C24))</f>
        <v>2.1943148268703272</v>
      </c>
      <c r="M9" t="s">
        <v>459</v>
      </c>
      <c r="N9">
        <f t="shared" si="0"/>
        <v>1.7291419189778612E-2</v>
      </c>
      <c r="O9">
        <v>2</v>
      </c>
      <c r="P9">
        <f t="shared" si="1"/>
        <v>-9.9669088531582333E-3</v>
      </c>
      <c r="Q9">
        <f t="shared" si="2"/>
        <v>-0.43423097756508672</v>
      </c>
      <c r="R9" s="174">
        <f t="shared" si="3"/>
        <v>0.10993069372572789</v>
      </c>
    </row>
    <row r="10" spans="1:18">
      <c r="B10" s="1" t="s">
        <v>388</v>
      </c>
      <c r="C10" s="2">
        <v>1.1200000000000001</v>
      </c>
      <c r="D10" s="3">
        <v>0.97786986410896959</v>
      </c>
      <c r="H10" t="s">
        <v>453</v>
      </c>
      <c r="I10">
        <f>C18*SUM(D10:D16)*0.5*(C20*NORMSDIST(-C24)-C19*NORMSDIST(-C23))</f>
        <v>0.87867443010523549</v>
      </c>
      <c r="M10" t="s">
        <v>460</v>
      </c>
      <c r="N10">
        <f t="shared" si="0"/>
        <v>1.9137230165704011E-2</v>
      </c>
      <c r="O10">
        <v>2.5</v>
      </c>
      <c r="P10">
        <f t="shared" si="1"/>
        <v>0.25234276221931129</v>
      </c>
      <c r="Q10">
        <f t="shared" si="2"/>
        <v>-0.22199888680594559</v>
      </c>
      <c r="R10" s="174">
        <f t="shared" si="3"/>
        <v>0.17496274429636688</v>
      </c>
    </row>
    <row r="11" spans="1:18">
      <c r="B11" s="4" t="s">
        <v>389</v>
      </c>
      <c r="C11" s="5">
        <v>1.24</v>
      </c>
      <c r="D11" s="3">
        <v>0.96948795281320299</v>
      </c>
      <c r="F11" s="172" t="s">
        <v>454</v>
      </c>
      <c r="G11" t="s">
        <v>445</v>
      </c>
      <c r="H11">
        <f>F18*SUM(D10:D16)*0.5*(F19*NORMSDIST(F23) - F20*NORMSDIST(F24))</f>
        <v>0.8865583549802617</v>
      </c>
      <c r="M11" t="s">
        <v>461</v>
      </c>
      <c r="N11">
        <f t="shared" si="0"/>
        <v>2.0688109493983031E-2</v>
      </c>
      <c r="O11">
        <v>3</v>
      </c>
      <c r="P11">
        <f t="shared" si="1"/>
        <v>0.4236213982479502</v>
      </c>
      <c r="Q11">
        <f t="shared" si="2"/>
        <v>-9.5993844022712937E-2</v>
      </c>
      <c r="R11" s="174">
        <f t="shared" si="3"/>
        <v>0.23595583262381278</v>
      </c>
    </row>
    <row r="12" spans="1:18">
      <c r="B12" s="4" t="s">
        <v>390</v>
      </c>
      <c r="C12" s="5">
        <v>1.35</v>
      </c>
      <c r="D12" s="3">
        <v>0.9602992192201224</v>
      </c>
      <c r="G12" t="s">
        <v>446</v>
      </c>
      <c r="H12">
        <f>2*H11/SUM(D7:D9)</f>
        <v>0.59621802744559982</v>
      </c>
      <c r="M12" t="s">
        <v>462</v>
      </c>
      <c r="N12">
        <f t="shared" si="0"/>
        <v>2.3600222986180253E-2</v>
      </c>
      <c r="O12">
        <v>3.5</v>
      </c>
      <c r="P12">
        <f t="shared" si="1"/>
        <v>0.66693649844511416</v>
      </c>
      <c r="Q12">
        <f t="shared" si="2"/>
        <v>0.10568789042902293</v>
      </c>
      <c r="R12" s="174">
        <f t="shared" si="3"/>
        <v>0.34493014223951279</v>
      </c>
    </row>
    <row r="13" spans="1:18">
      <c r="B13" s="4" t="s">
        <v>391</v>
      </c>
      <c r="C13" s="5">
        <v>1.45</v>
      </c>
      <c r="D13" s="3">
        <v>0.95046753104376791</v>
      </c>
      <c r="G13" t="s">
        <v>451</v>
      </c>
      <c r="H13" s="7">
        <f>C9+H12</f>
        <v>1.5762180274455999</v>
      </c>
      <c r="M13" t="s">
        <v>463</v>
      </c>
      <c r="N13">
        <f t="shared" si="0"/>
        <v>2.4035115360671266E-2</v>
      </c>
      <c r="O13">
        <v>4</v>
      </c>
      <c r="P13">
        <f t="shared" si="1"/>
        <v>0.6917948697717432</v>
      </c>
      <c r="Q13">
        <f t="shared" si="2"/>
        <v>9.1794869771743226E-2</v>
      </c>
      <c r="R13" s="174">
        <f t="shared" si="3"/>
        <v>0.36956987260841512</v>
      </c>
    </row>
    <row r="14" spans="1:18">
      <c r="B14" s="4" t="s">
        <v>392</v>
      </c>
      <c r="C14" s="5">
        <v>1.56</v>
      </c>
      <c r="D14" s="3">
        <v>0.93938271032722542</v>
      </c>
      <c r="M14" t="s">
        <v>464</v>
      </c>
      <c r="N14">
        <f t="shared" si="0"/>
        <v>2.4891195924636289E-2</v>
      </c>
      <c r="O14">
        <v>4.5</v>
      </c>
      <c r="P14">
        <f t="shared" si="1"/>
        <v>0.74258026122256371</v>
      </c>
      <c r="Q14">
        <f t="shared" si="2"/>
        <v>0.10618415815467097</v>
      </c>
      <c r="R14" s="174">
        <f t="shared" si="3"/>
        <v>0.40757316269044191</v>
      </c>
    </row>
    <row r="15" spans="1:18">
      <c r="B15" s="6" t="s">
        <v>393</v>
      </c>
      <c r="C15" s="5">
        <v>1.65</v>
      </c>
      <c r="D15" s="3">
        <v>0.92822768063471361</v>
      </c>
      <c r="L15" t="s">
        <v>446</v>
      </c>
      <c r="M15">
        <f>SUM(R6:R14)</f>
        <v>1.7092049727246585</v>
      </c>
    </row>
    <row r="16" spans="1:18">
      <c r="B16" s="1" t="s">
        <v>394</v>
      </c>
      <c r="C16" s="2">
        <v>1.73</v>
      </c>
      <c r="D16" s="3">
        <v>0.91681734060861708</v>
      </c>
    </row>
    <row r="18" spans="2:9">
      <c r="B18" s="9" t="s">
        <v>237</v>
      </c>
      <c r="C18" s="173">
        <v>100</v>
      </c>
      <c r="E18" t="s">
        <v>237</v>
      </c>
      <c r="F18">
        <v>100</v>
      </c>
      <c r="H18" t="s">
        <v>237</v>
      </c>
      <c r="I18">
        <v>100</v>
      </c>
    </row>
    <row r="19" spans="2:9">
      <c r="B19" s="9" t="s">
        <v>447</v>
      </c>
      <c r="C19">
        <f>H7</f>
        <v>2.0657828417461839E-2</v>
      </c>
      <c r="E19" t="s">
        <v>447</v>
      </c>
      <c r="F19">
        <f>(D9-D16) / (0.5 * SUM(D10:D16))</f>
        <v>2.0657828417461839E-2</v>
      </c>
    </row>
    <row r="20" spans="2:9">
      <c r="B20" s="9" t="s">
        <v>232</v>
      </c>
      <c r="C20">
        <v>0.02</v>
      </c>
      <c r="E20" t="s">
        <v>232</v>
      </c>
      <c r="F20">
        <v>2.1499999999999998E-2</v>
      </c>
      <c r="H20" t="s">
        <v>232</v>
      </c>
      <c r="I20">
        <f>0.019</f>
        <v>1.9E-2</v>
      </c>
    </row>
    <row r="21" spans="2:9">
      <c r="B21" s="9" t="s">
        <v>448</v>
      </c>
      <c r="C21">
        <v>0.3</v>
      </c>
      <c r="E21" t="s">
        <v>448</v>
      </c>
      <c r="F21">
        <v>0.3</v>
      </c>
      <c r="H21" t="s">
        <v>466</v>
      </c>
      <c r="I21">
        <v>0.3</v>
      </c>
    </row>
    <row r="22" spans="2:9">
      <c r="B22" s="9" t="s">
        <v>244</v>
      </c>
      <c r="C22">
        <v>1.5</v>
      </c>
      <c r="E22" t="s">
        <v>244</v>
      </c>
      <c r="F22">
        <v>1.5</v>
      </c>
    </row>
    <row r="23" spans="2:9">
      <c r="B23" s="9" t="s">
        <v>449</v>
      </c>
      <c r="C23">
        <f>(LN(C19/C20)+C21*C21*C22/2) / (C21*SQRT(C22))</f>
        <v>0.27179014031035914</v>
      </c>
      <c r="E23" t="s">
        <v>449</v>
      </c>
      <c r="F23">
        <f>(LN(F19/F20)+F21*F21*F22/2)/(F21*SQRT(F22))</f>
        <v>7.4958230609706286E-2</v>
      </c>
      <c r="H23" t="s">
        <v>449</v>
      </c>
    </row>
    <row r="24" spans="2:9">
      <c r="B24" s="9" t="s">
        <v>450</v>
      </c>
      <c r="C24">
        <f>C23-C21*SQRT(C22)</f>
        <v>-9.563332110711753E-2</v>
      </c>
      <c r="E24" t="s">
        <v>450</v>
      </c>
      <c r="F24">
        <f>F23-F21*SQRT(F22)</f>
        <v>-0.29246523080777037</v>
      </c>
      <c r="H24" t="s">
        <v>450</v>
      </c>
    </row>
  </sheetData>
  <phoneticPr fontId="3"/>
  <pageMargins left="0.75" right="0.75" top="1" bottom="1" header="0.51200000000000001" footer="0.5120000000000000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7E69-B828-0549-BFAA-545D9720BB5E}">
  <dimension ref="A1:U26"/>
  <sheetViews>
    <sheetView tabSelected="1" workbookViewId="0">
      <selection activeCell="U17" sqref="U17"/>
    </sheetView>
  </sheetViews>
  <sheetFormatPr baseColWidth="10" defaultRowHeight="14"/>
  <sheetData>
    <row r="1" spans="1:21">
      <c r="A1" t="s">
        <v>397</v>
      </c>
      <c r="F1" s="172" t="s">
        <v>444</v>
      </c>
      <c r="G1" t="s">
        <v>493</v>
      </c>
      <c r="H1" s="194">
        <f>100*(D9-D16) / (0.5 * SUM(D10:D16))</f>
        <v>2.0657828417461839</v>
      </c>
      <c r="J1" t="s">
        <v>244</v>
      </c>
      <c r="K1">
        <v>1.5</v>
      </c>
    </row>
    <row r="2" spans="1:21">
      <c r="A2" t="s">
        <v>395</v>
      </c>
      <c r="G2" t="s">
        <v>446</v>
      </c>
      <c r="H2" t="s">
        <v>449</v>
      </c>
      <c r="I2" s="195">
        <f>(LN(K6/100/(K4/100)) + K5/100*K5/100/2) / (K5/100 * SQRT(K1))</f>
        <v>0.21055289674077968</v>
      </c>
      <c r="J2" t="s">
        <v>237</v>
      </c>
      <c r="K2">
        <v>100</v>
      </c>
    </row>
    <row r="3" spans="1:21">
      <c r="A3" t="s">
        <v>398</v>
      </c>
      <c r="H3" t="s">
        <v>450</v>
      </c>
      <c r="I3" s="195">
        <f>I2-K5/100*SQRT(K1)</f>
        <v>-0.15687056467669699</v>
      </c>
      <c r="J3" t="s">
        <v>487</v>
      </c>
      <c r="K3">
        <v>3.5</v>
      </c>
    </row>
    <row r="4" spans="1:21">
      <c r="G4" t="s">
        <v>451</v>
      </c>
      <c r="H4" t="s">
        <v>491</v>
      </c>
      <c r="I4" s="194">
        <f>K2*SUM(D10:D16) * 0.5 * (K6/100*NORMSDIST(I2) - K4/100 * NORMSDIST(I3))</f>
        <v>1.0953352538200549</v>
      </c>
      <c r="J4" t="s">
        <v>488</v>
      </c>
      <c r="K4">
        <v>2</v>
      </c>
    </row>
    <row r="5" spans="1:21">
      <c r="H5" t="s">
        <v>492</v>
      </c>
      <c r="I5" s="194">
        <f>K2*SUM(D10:D16) * 0.5 * (K4/100 * NORMSDIST(-I3) - K6 / 100 * NORMSDIST(-I2))</f>
        <v>0.87685227049012604</v>
      </c>
      <c r="J5" t="s">
        <v>489</v>
      </c>
      <c r="K5">
        <v>30</v>
      </c>
    </row>
    <row r="6" spans="1:21">
      <c r="B6" s="1"/>
      <c r="C6" s="1" t="s">
        <v>0</v>
      </c>
      <c r="D6" s="1" t="s">
        <v>1</v>
      </c>
      <c r="J6" t="s">
        <v>490</v>
      </c>
      <c r="K6">
        <f>H1</f>
        <v>2.0657828417461839</v>
      </c>
    </row>
    <row r="7" spans="1:21">
      <c r="B7" s="1" t="s">
        <v>2</v>
      </c>
      <c r="C7" s="2">
        <v>0.66</v>
      </c>
      <c r="D7" s="3">
        <v>0.99666532393699403</v>
      </c>
    </row>
    <row r="8" spans="1:21">
      <c r="B8" s="1" t="s">
        <v>4</v>
      </c>
      <c r="C8" s="2">
        <v>0.82</v>
      </c>
      <c r="D8" s="3">
        <v>0.99184709906568902</v>
      </c>
      <c r="F8" s="172" t="s">
        <v>454</v>
      </c>
      <c r="G8" t="s">
        <v>493</v>
      </c>
      <c r="H8" s="194">
        <f>K9*SUM(D10:D16) * 0.5 * (K13/100 * NORMSDIST(K14) - K11/100*NORMSDIST(K15))</f>
        <v>0.88468802615716702</v>
      </c>
      <c r="J8" t="s">
        <v>244</v>
      </c>
      <c r="K8">
        <v>1.5</v>
      </c>
    </row>
    <row r="9" spans="1:21">
      <c r="B9" s="1" t="s">
        <v>6</v>
      </c>
      <c r="C9" s="2">
        <v>0.98</v>
      </c>
      <c r="D9" s="3">
        <v>0.98542769342948255</v>
      </c>
      <c r="G9" t="s">
        <v>494</v>
      </c>
      <c r="H9" s="194">
        <f>H8 / (0.5 * SUM(D7:D9))</f>
        <v>0.59496021541854494</v>
      </c>
      <c r="J9" t="s">
        <v>237</v>
      </c>
      <c r="K9">
        <v>100</v>
      </c>
    </row>
    <row r="10" spans="1:21">
      <c r="B10" s="1" t="s">
        <v>8</v>
      </c>
      <c r="C10" s="2">
        <v>1.1200000000000001</v>
      </c>
      <c r="D10" s="3">
        <v>0.97786986410896959</v>
      </c>
      <c r="G10" t="s">
        <v>495</v>
      </c>
      <c r="H10" s="194">
        <f>C9+H9</f>
        <v>1.5749602154185449</v>
      </c>
      <c r="J10" t="s">
        <v>487</v>
      </c>
      <c r="K10">
        <v>3.5</v>
      </c>
    </row>
    <row r="11" spans="1:21">
      <c r="B11" s="4" t="s">
        <v>10</v>
      </c>
      <c r="C11" s="5">
        <v>1.24</v>
      </c>
      <c r="D11" s="3">
        <v>0.96948795281320299</v>
      </c>
      <c r="J11" t="s">
        <v>488</v>
      </c>
      <c r="K11">
        <v>2.15</v>
      </c>
    </row>
    <row r="12" spans="1:21">
      <c r="B12" s="4" t="s">
        <v>12</v>
      </c>
      <c r="C12" s="5">
        <v>1.35</v>
      </c>
      <c r="D12" s="3">
        <v>0.9602992192201224</v>
      </c>
      <c r="J12" t="s">
        <v>489</v>
      </c>
      <c r="K12">
        <v>30</v>
      </c>
    </row>
    <row r="13" spans="1:21">
      <c r="B13" s="4" t="s">
        <v>14</v>
      </c>
      <c r="C13" s="5">
        <v>1.45</v>
      </c>
      <c r="D13" s="3">
        <v>0.95046753104376791</v>
      </c>
      <c r="J13" t="s">
        <v>490</v>
      </c>
      <c r="K13">
        <f>K6</f>
        <v>2.0657828417461839</v>
      </c>
    </row>
    <row r="14" spans="1:21">
      <c r="B14" s="4" t="s">
        <v>16</v>
      </c>
      <c r="C14" s="5">
        <v>1.56</v>
      </c>
      <c r="D14" s="3">
        <v>0.93938271032722542</v>
      </c>
      <c r="J14" t="s">
        <v>449</v>
      </c>
      <c r="K14">
        <f>(LN(K13/100 / (K11/100)) + K12/100*K12/100/2) / (K12/100*SQRT(K8))</f>
        <v>1.3720987040126814E-2</v>
      </c>
    </row>
    <row r="15" spans="1:21">
      <c r="B15" s="6" t="s">
        <v>18</v>
      </c>
      <c r="C15" s="5">
        <v>1.65</v>
      </c>
      <c r="D15" s="3">
        <v>0.92822768063471361</v>
      </c>
      <c r="J15" t="s">
        <v>450</v>
      </c>
      <c r="K15">
        <f>K14-K12/100*SQRT(K8)</f>
        <v>-0.35370247437734986</v>
      </c>
    </row>
    <row r="16" spans="1:21">
      <c r="B16" s="1" t="s">
        <v>20</v>
      </c>
      <c r="C16" s="2">
        <v>1.73</v>
      </c>
      <c r="D16" s="3">
        <v>0.91681734060861708</v>
      </c>
      <c r="I16" t="s">
        <v>503</v>
      </c>
      <c r="M16" t="s">
        <v>244</v>
      </c>
      <c r="N16" t="s">
        <v>237</v>
      </c>
      <c r="O16" t="s">
        <v>487</v>
      </c>
      <c r="P16" t="s">
        <v>500</v>
      </c>
      <c r="Q16" t="s">
        <v>501</v>
      </c>
      <c r="R16" t="s">
        <v>503</v>
      </c>
      <c r="S16" t="s">
        <v>449</v>
      </c>
      <c r="T16" t="s">
        <v>450</v>
      </c>
      <c r="U16" t="s">
        <v>502</v>
      </c>
    </row>
    <row r="17" spans="6:21">
      <c r="F17" s="172" t="s">
        <v>455</v>
      </c>
      <c r="G17" t="s">
        <v>445</v>
      </c>
      <c r="H17" t="s">
        <v>249</v>
      </c>
      <c r="I17" s="194">
        <v>0.97156605606725766</v>
      </c>
      <c r="L17" t="s">
        <v>249</v>
      </c>
      <c r="M17">
        <v>0.5</v>
      </c>
      <c r="N17">
        <v>100</v>
      </c>
      <c r="O17">
        <v>0.5</v>
      </c>
      <c r="P17">
        <v>1.9</v>
      </c>
      <c r="Q17">
        <v>40</v>
      </c>
      <c r="R17">
        <f>100*(D7-D8)/(0.5*D8)</f>
        <v>0.97156605606725766</v>
      </c>
      <c r="S17">
        <f>(LN(R17/100/(P17/100))+Q17/100*Q17/100/2) / (Q17/100*SQRT(M17))</f>
        <v>-2.088439541493611</v>
      </c>
      <c r="T17">
        <f>S17-Q17/100*SQRT(M17)</f>
        <v>-2.3712822539682299</v>
      </c>
      <c r="U17" s="194">
        <f>N17*D8*0.5*(R17/100*NORMSDIST(S17) - P17/100*NORMSDIST(T17))</f>
        <v>5.0403077170540816E-4</v>
      </c>
    </row>
    <row r="18" spans="6:21">
      <c r="H18" t="s">
        <v>250</v>
      </c>
      <c r="I18" s="194">
        <v>1.3028669031749389</v>
      </c>
      <c r="K18" t="s">
        <v>244</v>
      </c>
      <c r="L18" t="s">
        <v>250</v>
      </c>
      <c r="M18">
        <v>1</v>
      </c>
      <c r="N18">
        <v>100</v>
      </c>
      <c r="O18">
        <v>0.5</v>
      </c>
      <c r="P18">
        <v>1.9</v>
      </c>
      <c r="Q18">
        <v>40</v>
      </c>
      <c r="R18">
        <f t="shared" ref="R18:R25" si="0">100*(D8-D9)/(0.5*D9)</f>
        <v>1.3028669031749389</v>
      </c>
      <c r="S18">
        <f t="shared" ref="S18:S25" si="1">(LN(R18/100/(P18/100))+Q18/100*Q18/100/2) / (Q18/100*SQRT(M18))</f>
        <v>-0.7432168492438409</v>
      </c>
      <c r="T18">
        <f t="shared" ref="T18:T25" si="2">S18-Q18/100*SQRT(M18)</f>
        <v>-1.1432168492438408</v>
      </c>
      <c r="U18" s="194">
        <f t="shared" ref="U18:U25" si="3">N18*D9*0.5*(R18/100*NORMSDIST(S18) - P18/100*NORMSDIST(T18))</f>
        <v>2.8396189029118831E-2</v>
      </c>
    </row>
    <row r="19" spans="6:21">
      <c r="H19" t="s">
        <v>251</v>
      </c>
      <c r="I19" s="194">
        <v>1.5457740539738636</v>
      </c>
      <c r="K19" t="s">
        <v>237</v>
      </c>
      <c r="L19" t="s">
        <v>251</v>
      </c>
      <c r="M19">
        <v>1.5</v>
      </c>
      <c r="N19">
        <v>100</v>
      </c>
      <c r="O19">
        <v>0.5</v>
      </c>
      <c r="P19">
        <v>1.9</v>
      </c>
      <c r="Q19">
        <v>40</v>
      </c>
      <c r="R19">
        <f t="shared" si="0"/>
        <v>1.5457740539738636</v>
      </c>
      <c r="S19">
        <f t="shared" si="1"/>
        <v>-0.25786818631934466</v>
      </c>
      <c r="T19">
        <f t="shared" si="2"/>
        <v>-0.74776613487598032</v>
      </c>
      <c r="U19" s="194">
        <f t="shared" si="3"/>
        <v>8.9836915627724209E-2</v>
      </c>
    </row>
    <row r="20" spans="6:21">
      <c r="H20" t="s">
        <v>252</v>
      </c>
      <c r="I20" s="194">
        <v>1.7291419189778401</v>
      </c>
      <c r="K20" t="s">
        <v>487</v>
      </c>
      <c r="L20" t="s">
        <v>252</v>
      </c>
      <c r="M20">
        <v>2</v>
      </c>
      <c r="N20">
        <v>100</v>
      </c>
      <c r="O20">
        <v>0.5</v>
      </c>
      <c r="P20">
        <v>1.9</v>
      </c>
      <c r="Q20">
        <v>40</v>
      </c>
      <c r="R20">
        <f t="shared" si="0"/>
        <v>1.7291419189778401</v>
      </c>
      <c r="S20">
        <f t="shared" si="1"/>
        <v>-2.5152851169553913E-2</v>
      </c>
      <c r="T20">
        <f t="shared" si="2"/>
        <v>-0.59083827611879203</v>
      </c>
      <c r="U20" s="194">
        <f t="shared" si="3"/>
        <v>0.15527527764276552</v>
      </c>
    </row>
    <row r="21" spans="6:21">
      <c r="H21" t="s">
        <v>253</v>
      </c>
      <c r="I21" s="194">
        <v>1.9137230165703847</v>
      </c>
      <c r="K21" t="s">
        <v>488</v>
      </c>
      <c r="L21" t="s">
        <v>253</v>
      </c>
      <c r="M21">
        <v>2.5</v>
      </c>
      <c r="N21">
        <v>100</v>
      </c>
      <c r="O21">
        <v>0.5</v>
      </c>
      <c r="P21">
        <v>1.9</v>
      </c>
      <c r="Q21">
        <v>40</v>
      </c>
      <c r="R21">
        <f t="shared" si="0"/>
        <v>1.9137230165703847</v>
      </c>
      <c r="S21">
        <f t="shared" si="1"/>
        <v>0.13787005968673369</v>
      </c>
      <c r="T21">
        <f t="shared" si="2"/>
        <v>-0.49458547234694228</v>
      </c>
      <c r="U21" s="194">
        <f t="shared" si="3"/>
        <v>0.22660173047606971</v>
      </c>
    </row>
    <row r="22" spans="6:21">
      <c r="H22" t="s">
        <v>496</v>
      </c>
      <c r="I22" s="194">
        <v>2.0688109493982818</v>
      </c>
      <c r="K22" t="s">
        <v>489</v>
      </c>
      <c r="L22" t="s">
        <v>496</v>
      </c>
      <c r="M22">
        <v>3</v>
      </c>
      <c r="N22">
        <v>100</v>
      </c>
      <c r="O22">
        <v>0.5</v>
      </c>
      <c r="P22">
        <v>1.9</v>
      </c>
      <c r="Q22">
        <v>40</v>
      </c>
      <c r="R22">
        <f t="shared" si="0"/>
        <v>2.0688109493982818</v>
      </c>
      <c r="S22">
        <f t="shared" si="1"/>
        <v>0.23833038667237436</v>
      </c>
      <c r="T22">
        <f t="shared" si="2"/>
        <v>-0.45448993635517654</v>
      </c>
      <c r="U22" s="194">
        <f t="shared" si="3"/>
        <v>0.29096630874333329</v>
      </c>
    </row>
    <row r="23" spans="6:21">
      <c r="H23" t="s">
        <v>497</v>
      </c>
      <c r="I23" s="194">
        <v>2.3600222986180341</v>
      </c>
      <c r="K23" t="s">
        <v>490</v>
      </c>
      <c r="L23" t="s">
        <v>497</v>
      </c>
      <c r="M23">
        <v>3.5</v>
      </c>
      <c r="N23">
        <v>100</v>
      </c>
      <c r="O23">
        <v>0.5</v>
      </c>
      <c r="P23">
        <v>1.9</v>
      </c>
      <c r="Q23">
        <v>40</v>
      </c>
      <c r="R23">
        <f t="shared" si="0"/>
        <v>2.3600222986180341</v>
      </c>
      <c r="S23">
        <f t="shared" si="1"/>
        <v>0.39663864259277648</v>
      </c>
      <c r="T23">
        <f t="shared" si="2"/>
        <v>-0.35169283476201185</v>
      </c>
      <c r="U23" s="194">
        <f t="shared" si="3"/>
        <v>0.40161960731970681</v>
      </c>
    </row>
    <row r="24" spans="6:21">
      <c r="H24" t="s">
        <v>498</v>
      </c>
      <c r="I24" s="194">
        <v>2.4035115360671213</v>
      </c>
      <c r="L24" t="s">
        <v>498</v>
      </c>
      <c r="M24">
        <v>4</v>
      </c>
      <c r="N24">
        <v>100</v>
      </c>
      <c r="O24">
        <v>0.5</v>
      </c>
      <c r="P24">
        <v>1.9</v>
      </c>
      <c r="Q24">
        <v>40</v>
      </c>
      <c r="R24">
        <f t="shared" si="0"/>
        <v>2.4035115360671213</v>
      </c>
      <c r="S24">
        <f t="shared" si="1"/>
        <v>0.39384615232880449</v>
      </c>
      <c r="T24">
        <f t="shared" si="2"/>
        <v>-0.40615384767119556</v>
      </c>
      <c r="U24" s="194">
        <f t="shared" si="3"/>
        <v>0.42673500793153502</v>
      </c>
    </row>
    <row r="25" spans="6:21">
      <c r="H25" t="s">
        <v>499</v>
      </c>
      <c r="I25" s="194">
        <v>2.4891195924636262</v>
      </c>
      <c r="L25" t="s">
        <v>499</v>
      </c>
      <c r="M25">
        <v>4.5</v>
      </c>
      <c r="N25">
        <v>100</v>
      </c>
      <c r="O25">
        <v>0.5</v>
      </c>
      <c r="P25">
        <v>1.9</v>
      </c>
      <c r="Q25">
        <v>40</v>
      </c>
      <c r="R25">
        <f t="shared" si="0"/>
        <v>2.4891195924636262</v>
      </c>
      <c r="S25">
        <f t="shared" si="1"/>
        <v>0.41256756142466805</v>
      </c>
      <c r="T25">
        <f t="shared" si="2"/>
        <v>-0.43596057599918897</v>
      </c>
      <c r="U25" s="194">
        <f t="shared" si="3"/>
        <v>0.46445604708598975</v>
      </c>
    </row>
    <row r="26" spans="6:21">
      <c r="G26" t="s">
        <v>494</v>
      </c>
      <c r="H26" s="194">
        <f>SUM(U17:U25)</f>
        <v>2.0843911146279486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3-1</vt:lpstr>
      <vt:lpstr>3-2</vt:lpstr>
      <vt:lpstr>3-3</vt:lpstr>
      <vt:lpstr>3-4</vt:lpstr>
      <vt:lpstr>3-5</vt:lpstr>
      <vt:lpstr>3-6</vt:lpstr>
      <vt:lpstr>3-7</vt:lpstr>
      <vt:lpstr>3-8</vt:lpstr>
      <vt:lpstr>3-9</vt:lpstr>
      <vt:lpstr>3-10</vt:lpstr>
      <vt:lpstr>3-11</vt:lpstr>
      <vt:lpstr>3-12 </vt:lpstr>
      <vt:lpstr>3-12 (2)</vt:lpstr>
      <vt:lpstr>3-13</vt:lpstr>
      <vt:lpstr>3-14</vt:lpstr>
      <vt:lpstr>3-15</vt:lpstr>
      <vt:lpstr>3-16</vt:lpstr>
      <vt:lpstr>3-16-2</vt:lpstr>
      <vt:lpstr>3-17</vt:lpstr>
      <vt:lpstr>3-17-2</vt:lpstr>
      <vt:lpstr>3-18</vt:lpstr>
      <vt:lpstr>3-18-2</vt:lpstr>
    </vt:vector>
  </TitlesOfParts>
  <Company>SIGMA BASE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Takao Imai</dc:creator>
  <cp:lastModifiedBy>諌山 東京大学</cp:lastModifiedBy>
  <dcterms:created xsi:type="dcterms:W3CDTF">2006-08-03T06:54:13Z</dcterms:created>
  <dcterms:modified xsi:type="dcterms:W3CDTF">2024-10-29T11:39:52Z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2147068968</vt:i4>
  </property>
  <property fmtid="{D5CDD505-2E9C-101B-9397-08002B2CF9AE}" pid="3" name="_EmailSubject">
    <vt:lpwstr>FEFEFE</vt:lpwstr>
  </property>
  <property fmtid="{D5CDD505-2E9C-101B-9397-08002B2CF9AE}" pid="4" name="_AuthorEmail">
    <vt:lpwstr>imai@sigmabase.co.jp</vt:lpwstr>
  </property>
  <property fmtid="{D5CDD505-2E9C-101B-9397-08002B2CF9AE}" pid="5" name="_AuthorEmailDisplayName">
    <vt:lpwstr>imai</vt:lpwstr>
  </property>
  <property fmtid="{D5CDD505-2E9C-101B-9397-08002B2CF9AE}" pid="6" name="_PreviousAdHocReviewCycleID">
    <vt:i4>530576392</vt:i4>
  </property>
  <property fmtid="{D5CDD505-2E9C-101B-9397-08002B2CF9AE}" pid="7" name="_ReviewingToolsShownOnce">
    <vt:lpwstr/>
  </property>
</Properties>
</file>