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oushik/Desktop/MS/DSS5202/Project/DSS5202_Vertical_Farming/data/input/"/>
    </mc:Choice>
  </mc:AlternateContent>
  <xr:revisionPtr revIDLastSave="0" documentId="13_ncr:1_{69E45A76-40F4-1040-9C22-E039101F0E8C}" xr6:coauthVersionLast="47" xr6:coauthVersionMax="47" xr10:uidLastSave="{00000000-0000-0000-0000-000000000000}"/>
  <bookViews>
    <workbookView xWindow="4100" yWindow="620" windowWidth="22940" windowHeight="15000" xr2:uid="{00000000-000D-0000-FFFF-FFFF00000000}"/>
  </bookViews>
  <sheets>
    <sheet name="Parameters" sheetId="1" r:id="rId1"/>
    <sheet name="CAPEX" sheetId="2" r:id="rId2"/>
    <sheet name="OPEX" sheetId="3" r:id="rId3"/>
    <sheet name="Results" sheetId="4" r:id="rId4"/>
  </sheets>
  <definedNames>
    <definedName name="_xlnm._FilterDatabase" localSheetId="0" hidden="1">Parameters!$A$1:$D$42</definedName>
    <definedName name="AnnualKg">Parameters!$B$2</definedName>
    <definedName name="DiscountRate">Parameters!$B$3</definedName>
    <definedName name="DistribPerKg">Parameters!$B$13</definedName>
    <definedName name="ElecTariff">Parameters!$B$4</definedName>
    <definedName name="KwhLighting">Parameters!$B$9</definedName>
    <definedName name="KwhOther">Parameters!$B$10</definedName>
    <definedName name="LaborMinPerKg">Parameters!$B$8</definedName>
    <definedName name="MaintRate">Parameters!$B$14</definedName>
    <definedName name="PackCostPerKg">Parameters!$B$12</definedName>
    <definedName name="SewerTariff">Parameters!$B$6</definedName>
    <definedName name="TotalAnnualizedCapex">CAPEX!$E$10</definedName>
    <definedName name="WageHr">Parameters!$B$7</definedName>
    <definedName name="WaterPerKg">Parameters!$B$11</definedName>
    <definedName name="WaterTariff">Parameters!$B$5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4" l="1"/>
  <c r="D14" i="4"/>
  <c r="D13" i="4"/>
  <c r="D12" i="4"/>
  <c r="D11" i="4"/>
  <c r="D10" i="4"/>
  <c r="D9" i="4"/>
  <c r="D8" i="4"/>
  <c r="D7" i="4"/>
  <c r="D6" i="4"/>
  <c r="D5" i="4"/>
  <c r="D4" i="4"/>
  <c r="D3" i="4"/>
  <c r="D14" i="3"/>
  <c r="B14" i="3"/>
  <c r="E13" i="3"/>
  <c r="E14" i="4" s="1"/>
  <c r="E12" i="3"/>
  <c r="E13" i="4" s="1"/>
  <c r="D11" i="3"/>
  <c r="D10" i="3"/>
  <c r="B10" i="3"/>
  <c r="D9" i="3"/>
  <c r="B9" i="3"/>
  <c r="E8" i="3"/>
  <c r="E9" i="4" s="1"/>
  <c r="E7" i="3"/>
  <c r="E8" i="4" s="1"/>
  <c r="E6" i="3"/>
  <c r="E7" i="4" s="1"/>
  <c r="D5" i="3"/>
  <c r="B5" i="3"/>
  <c r="D4" i="3"/>
  <c r="B4" i="3"/>
  <c r="D3" i="3"/>
  <c r="B3" i="3"/>
  <c r="E3" i="3" s="1"/>
  <c r="E4" i="4" s="1"/>
  <c r="D2" i="3"/>
  <c r="B2" i="3"/>
  <c r="E8" i="2"/>
  <c r="E7" i="2"/>
  <c r="E6" i="2"/>
  <c r="E5" i="2"/>
  <c r="E4" i="2"/>
  <c r="E3" i="2"/>
  <c r="E2" i="2"/>
  <c r="E5" i="3" l="1"/>
  <c r="E6" i="4" s="1"/>
  <c r="E10" i="2"/>
  <c r="B2" i="4" s="1"/>
  <c r="E14" i="3"/>
  <c r="E15" i="4" s="1"/>
  <c r="E9" i="3"/>
  <c r="E10" i="4" s="1"/>
  <c r="E2" i="3"/>
  <c r="E4" i="3"/>
  <c r="E5" i="4" s="1"/>
  <c r="E10" i="3"/>
  <c r="E11" i="4" s="1"/>
  <c r="E3" i="4"/>
  <c r="B11" i="3"/>
  <c r="E11" i="3" s="1"/>
  <c r="E12" i="4" s="1"/>
  <c r="B3" i="4" l="1"/>
  <c r="B4" i="4" s="1"/>
</calcChain>
</file>

<file path=xl/sharedStrings.xml><?xml version="1.0" encoding="utf-8"?>
<sst xmlns="http://schemas.openxmlformats.org/spreadsheetml/2006/main" count="170" uniqueCount="142">
  <si>
    <t>Parameter</t>
  </si>
  <si>
    <t>Value</t>
  </si>
  <si>
    <t>Units</t>
  </si>
  <si>
    <t>Notes</t>
  </si>
  <si>
    <t>Annual edible output (kg/yr)</t>
  </si>
  <si>
    <t>Discount rate r (decimal)</t>
  </si>
  <si>
    <t>Electricity tariff (SGD/kWh)</t>
  </si>
  <si>
    <t>Water tariff (SGD/m3)</t>
  </si>
  <si>
    <t>Sewerage tariff (SGD/m3)</t>
  </si>
  <si>
    <t>Labor wage (SGD/hr)</t>
  </si>
  <si>
    <t>Labor minutes per kg</t>
  </si>
  <si>
    <t>Lighting kWh per kg</t>
  </si>
  <si>
    <t>Other kWh per kg (HVAC, pumps, etc.)</t>
  </si>
  <si>
    <t>Water m3 per kg</t>
  </si>
  <si>
    <t>Packaging cost per kg (SGD/kg)</t>
  </si>
  <si>
    <t>Distribution cost per kg (SGD/kg)</t>
  </si>
  <si>
    <t>Maintenance rate (% of CAPEX per year)</t>
  </si>
  <si>
    <t>kg/yr</t>
  </si>
  <si>
    <t>SGD/kWh</t>
  </si>
  <si>
    <t>SGD/m3</t>
  </si>
  <si>
    <t>SGD/hr</t>
  </si>
  <si>
    <t>min/kg</t>
  </si>
  <si>
    <t>kWh/kg</t>
  </si>
  <si>
    <t>m3/kg</t>
  </si>
  <si>
    <t>SGD/kg</t>
  </si>
  <si>
    <t>fraction/yr</t>
  </si>
  <si>
    <t>Edit to your farm</t>
  </si>
  <si>
    <t>Use 0.05–0.10 in sensitivity</t>
  </si>
  <si>
    <t>EMA tariff (estimate; edit)</t>
  </si>
  <si>
    <t>PUB</t>
  </si>
  <si>
    <t>Fully-loaded wage</t>
  </si>
  <si>
    <t>Average across tasks</t>
  </si>
  <si>
    <t>Separate lighting from other electricity</t>
  </si>
  <si>
    <t>HVAC/dehumidification/ventilation/pumps/electronics</t>
  </si>
  <si>
    <t>Closed-loop systems often low</t>
  </si>
  <si>
    <t>Bags/clamshells/labels</t>
  </si>
  <si>
    <t>Last-mile chilled distribution</t>
  </si>
  <si>
    <t>Applied to sum of annualized CAPEX</t>
  </si>
  <si>
    <t>Asset</t>
  </si>
  <si>
    <t>Price_SGD</t>
  </si>
  <si>
    <t>Lifetime_years</t>
  </si>
  <si>
    <t>Salvage_SGD</t>
  </si>
  <si>
    <t>Annualized_SGD</t>
  </si>
  <si>
    <t>LED fixtures</t>
  </si>
  <si>
    <t>HVAC &amp; dehumidification</t>
  </si>
  <si>
    <t>Racks &amp; structure</t>
  </si>
  <si>
    <t>Pumps &amp; tanks</t>
  </si>
  <si>
    <t>Controls &amp; sensors</t>
  </si>
  <si>
    <t>Cold room</t>
  </si>
  <si>
    <t>Building fit-out</t>
  </si>
  <si>
    <t>Total annualized CAPEX (SGD/yr)</t>
  </si>
  <si>
    <t>Item</t>
  </si>
  <si>
    <t>Qty_per_kg</t>
  </si>
  <si>
    <t>Unit</t>
  </si>
  <si>
    <t>Unit_price_SGD</t>
  </si>
  <si>
    <t>Cost_per_kg_SGD</t>
  </si>
  <si>
    <t>Electricity - Lighting</t>
  </si>
  <si>
    <t>Electricity - Other</t>
  </si>
  <si>
    <t>Water supply</t>
  </si>
  <si>
    <t>Wastewater</t>
  </si>
  <si>
    <t>Nutrients (N/P/K)</t>
  </si>
  <si>
    <t>Growing media</t>
  </si>
  <si>
    <t>CO2 supply</t>
  </si>
  <si>
    <t>Packaging</t>
  </si>
  <si>
    <t>Labor</t>
  </si>
  <si>
    <t>Maintenance (from CAPEX)</t>
  </si>
  <si>
    <t>Rent/Admin/Insurance (annual)</t>
  </si>
  <si>
    <t>QA/Testing/Waste handling (annual)</t>
  </si>
  <si>
    <t>Distribution to retailer</t>
  </si>
  <si>
    <t>kg/kg</t>
  </si>
  <si>
    <t>hr/kg</t>
  </si>
  <si>
    <t>(SGD/kg)</t>
  </si>
  <si>
    <t>HVAC, pumps, ventilation, electronics</t>
  </si>
  <si>
    <t>Enter qty &amp; price</t>
  </si>
  <si>
    <t>Rockwool/cocopeat</t>
  </si>
  <si>
    <t>Optional</t>
  </si>
  <si>
    <t>Per-kg cost shortcut</t>
  </si>
  <si>
    <t>Minutes per kg / 60 * wage/hr</t>
  </si>
  <si>
    <t>%CAPEX per yr / annual kg</t>
  </si>
  <si>
    <t>Enter SGD/kg directly or =Annual/AnnualKg</t>
  </si>
  <si>
    <t>Enter SGD/kg or =Annual/AnnualKg</t>
  </si>
  <si>
    <t>Last mile chilled</t>
  </si>
  <si>
    <t>Metric</t>
  </si>
  <si>
    <t>Per-kg CAPEX (SGD/kg)</t>
  </si>
  <si>
    <t>Per-kg OPEX (SGD/kg)</t>
  </si>
  <si>
    <t>LCOv (SGD/kg)</t>
  </si>
  <si>
    <t>Template generated: 2025-10-14T07:07:58</t>
  </si>
  <si>
    <t>Breakdown (OPEX items)</t>
  </si>
  <si>
    <t>Farm Area ha (equiv)</t>
  </si>
  <si>
    <t>ha</t>
  </si>
  <si>
    <t>Productivity (t/ha)</t>
  </si>
  <si>
    <t>SFA 2024 report</t>
  </si>
  <si>
    <t>t/ha</t>
  </si>
  <si>
    <t>Number of licensed vegetable farms</t>
  </si>
  <si>
    <t>farms</t>
  </si>
  <si>
    <t>data.gov.sg “Agricultural Land Area” dataset</t>
  </si>
  <si>
    <t>Fertilizer Use</t>
  </si>
  <si>
    <t>Pesticide Use</t>
  </si>
  <si>
    <t>Water Intensity</t>
  </si>
  <si>
    <t>Electricity Intensity</t>
  </si>
  <si>
    <t>Electricity Consumption</t>
  </si>
  <si>
    <t>Water Consumption</t>
  </si>
  <si>
    <t>kg/ha</t>
  </si>
  <si>
    <t>kg a.i./ha</t>
  </si>
  <si>
    <t>L/kg</t>
  </si>
  <si>
    <t>kWh</t>
  </si>
  <si>
    <t>m8</t>
  </si>
  <si>
    <t>kg/day</t>
  </si>
  <si>
    <t>m2</t>
  </si>
  <si>
    <t>kW</t>
  </si>
  <si>
    <t>qty</t>
  </si>
  <si>
    <t>Daily output</t>
  </si>
  <si>
    <t>Growing area</t>
  </si>
  <si>
    <t>Floor area</t>
  </si>
  <si>
    <t xml:space="preserve">Racks </t>
  </si>
  <si>
    <t xml:space="preserve">LED connected load </t>
  </si>
  <si>
    <t xml:space="preserve">LED annual energy </t>
  </si>
  <si>
    <t>(kWh/yr, photoperiod method)</t>
  </si>
  <si>
    <t xml:space="preserve">Total annual energy </t>
  </si>
  <si>
    <t>(kWh/yr, specific-energy method)</t>
  </si>
  <si>
    <t xml:space="preserve">Lighting energy </t>
  </si>
  <si>
    <t>(kWh/yr, specific-energy)</t>
  </si>
  <si>
    <t>HVAC energy</t>
  </si>
  <si>
    <t>HVAC avg electric power</t>
  </si>
  <si>
    <t>m³</t>
  </si>
  <si>
    <t xml:space="preserve">Hydroponic tank volume </t>
  </si>
  <si>
    <t>m³/h</t>
  </si>
  <si>
    <t>Recirculation flow</t>
  </si>
  <si>
    <t>kW, rough</t>
  </si>
  <si>
    <t>Pump power</t>
  </si>
  <si>
    <t>PAR sensors</t>
  </si>
  <si>
    <t>Temp/RH sensors</t>
  </si>
  <si>
    <t>CO₂ sensors</t>
  </si>
  <si>
    <t>EC/pH controllers</t>
  </si>
  <si>
    <t xml:space="preserve">Cold room mass </t>
  </si>
  <si>
    <t>(kg, 2-day buffer)</t>
  </si>
  <si>
    <t xml:space="preserve">Cold room volume </t>
  </si>
  <si>
    <t>Packaging mass per kg (kg)</t>
  </si>
  <si>
    <t>Refrigerated tkm per kg</t>
  </si>
  <si>
    <t>tkm/kg</t>
  </si>
  <si>
    <t>Polybag + PET mix (≈ 80 g plastic / kg veg)</t>
  </si>
  <si>
    <t>30 km refrigerated delivery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</si>
</sst>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topLeftCell="A19" workbookViewId="0">
      <selection activeCell="C39" sqref="C39"/>
    </sheetView>
  </sheetViews>
  <sheetFormatPr baseColWidth="10" defaultColWidth="8.83203125" defaultRowHeight="15" x14ac:dyDescent="0.2"/>
  <cols>
    <col min="1" max="1" width="38.6640625" customWidth="1"/>
    <col min="2" max="2" width="20.6640625" customWidth="1"/>
    <col min="3" max="3" width="29.1640625" bestFit="1" customWidth="1"/>
    <col min="4" max="4" width="50.6640625" customWidth="1"/>
    <col min="8" max="8" width="9.1640625" bestFit="1" customWidth="1"/>
    <col min="9" max="9" width="9.6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3" t="s">
        <v>4</v>
      </c>
      <c r="B2" s="3">
        <v>16391000</v>
      </c>
      <c r="C2" s="3" t="s">
        <v>17</v>
      </c>
      <c r="D2" s="3" t="s">
        <v>26</v>
      </c>
    </row>
    <row r="3" spans="1:4" x14ac:dyDescent="0.2">
      <c r="A3" s="3" t="s">
        <v>5</v>
      </c>
      <c r="B3" s="3">
        <v>0.08</v>
      </c>
      <c r="C3" s="3"/>
      <c r="D3" s="3" t="s">
        <v>27</v>
      </c>
    </row>
    <row r="4" spans="1:4" x14ac:dyDescent="0.2">
      <c r="A4" s="3" t="s">
        <v>6</v>
      </c>
      <c r="B4" s="3">
        <v>0.25</v>
      </c>
      <c r="C4" s="3" t="s">
        <v>18</v>
      </c>
      <c r="D4" s="3" t="s">
        <v>28</v>
      </c>
    </row>
    <row r="5" spans="1:4" x14ac:dyDescent="0.2">
      <c r="A5" s="3" t="s">
        <v>7</v>
      </c>
      <c r="B5" s="3">
        <v>2.74</v>
      </c>
      <c r="C5" s="3" t="s">
        <v>19</v>
      </c>
      <c r="D5" s="3" t="s">
        <v>29</v>
      </c>
    </row>
    <row r="6" spans="1:4" x14ac:dyDescent="0.2">
      <c r="A6" s="3" t="s">
        <v>8</v>
      </c>
      <c r="B6" s="3">
        <v>2.15</v>
      </c>
      <c r="C6" s="3" t="s">
        <v>19</v>
      </c>
      <c r="D6" s="3" t="s">
        <v>29</v>
      </c>
    </row>
    <row r="7" spans="1:4" x14ac:dyDescent="0.2">
      <c r="A7" s="3" t="s">
        <v>9</v>
      </c>
      <c r="B7" s="3">
        <v>12</v>
      </c>
      <c r="C7" s="3" t="s">
        <v>20</v>
      </c>
      <c r="D7" s="3" t="s">
        <v>30</v>
      </c>
    </row>
    <row r="8" spans="1:4" x14ac:dyDescent="0.2">
      <c r="A8" s="3" t="s">
        <v>10</v>
      </c>
      <c r="B8" s="3">
        <v>3</v>
      </c>
      <c r="C8" s="3" t="s">
        <v>21</v>
      </c>
      <c r="D8" s="3" t="s">
        <v>31</v>
      </c>
    </row>
    <row r="9" spans="1:4" x14ac:dyDescent="0.2">
      <c r="A9" s="3" t="s">
        <v>11</v>
      </c>
      <c r="B9" s="3">
        <v>22</v>
      </c>
      <c r="C9" s="3" t="s">
        <v>22</v>
      </c>
      <c r="D9" s="3" t="s">
        <v>32</v>
      </c>
    </row>
    <row r="10" spans="1:4" x14ac:dyDescent="0.2">
      <c r="A10" s="3" t="s">
        <v>12</v>
      </c>
      <c r="B10" s="3">
        <v>8</v>
      </c>
      <c r="C10" s="3" t="s">
        <v>22</v>
      </c>
      <c r="D10" s="3" t="s">
        <v>33</v>
      </c>
    </row>
    <row r="11" spans="1:4" x14ac:dyDescent="0.2">
      <c r="A11" s="3" t="s">
        <v>13</v>
      </c>
      <c r="B11" s="3">
        <v>0.01</v>
      </c>
      <c r="C11" s="3" t="s">
        <v>23</v>
      </c>
      <c r="D11" s="3" t="s">
        <v>34</v>
      </c>
    </row>
    <row r="12" spans="1:4" x14ac:dyDescent="0.2">
      <c r="A12" s="3" t="s">
        <v>14</v>
      </c>
      <c r="B12" s="3">
        <v>0.2</v>
      </c>
      <c r="C12" s="3" t="s">
        <v>24</v>
      </c>
      <c r="D12" s="3" t="s">
        <v>35</v>
      </c>
    </row>
    <row r="13" spans="1:4" x14ac:dyDescent="0.2">
      <c r="A13" s="3" t="s">
        <v>15</v>
      </c>
      <c r="B13" s="3">
        <v>0.15</v>
      </c>
      <c r="C13" s="3" t="s">
        <v>24</v>
      </c>
      <c r="D13" s="3" t="s">
        <v>36</v>
      </c>
    </row>
    <row r="14" spans="1:4" x14ac:dyDescent="0.2">
      <c r="A14" s="3" t="s">
        <v>16</v>
      </c>
      <c r="B14" s="3">
        <v>0.05</v>
      </c>
      <c r="C14" s="3" t="s">
        <v>25</v>
      </c>
      <c r="D14" s="3" t="s">
        <v>37</v>
      </c>
    </row>
    <row r="15" spans="1:4" ht="16" x14ac:dyDescent="0.2">
      <c r="A15" s="2" t="s">
        <v>88</v>
      </c>
      <c r="B15" s="2">
        <v>70.834053600000004</v>
      </c>
      <c r="C15" s="3" t="s">
        <v>89</v>
      </c>
      <c r="D15" s="3" t="s">
        <v>95</v>
      </c>
    </row>
    <row r="16" spans="1:4" x14ac:dyDescent="0.2">
      <c r="A16" s="3" t="s">
        <v>90</v>
      </c>
      <c r="B16" s="3">
        <v>231.4</v>
      </c>
      <c r="C16" s="3" t="s">
        <v>92</v>
      </c>
      <c r="D16" s="3" t="s">
        <v>91</v>
      </c>
    </row>
    <row r="17" spans="1:4" x14ac:dyDescent="0.2">
      <c r="A17" s="3" t="s">
        <v>93</v>
      </c>
      <c r="B17" s="3">
        <v>113</v>
      </c>
      <c r="C17" s="3" t="s">
        <v>94</v>
      </c>
      <c r="D17" s="3"/>
    </row>
    <row r="18" spans="1:4" ht="16" x14ac:dyDescent="0.2">
      <c r="A18" s="2" t="s">
        <v>96</v>
      </c>
      <c r="B18" s="2">
        <v>3465</v>
      </c>
      <c r="C18" s="2" t="s">
        <v>102</v>
      </c>
      <c r="D18" s="3"/>
    </row>
    <row r="19" spans="1:4" ht="16" x14ac:dyDescent="0.2">
      <c r="A19" s="2" t="s">
        <v>97</v>
      </c>
      <c r="B19" s="2">
        <v>0.5</v>
      </c>
      <c r="C19" s="2" t="s">
        <v>103</v>
      </c>
      <c r="D19" s="3"/>
    </row>
    <row r="20" spans="1:4" ht="16" x14ac:dyDescent="0.2">
      <c r="A20" s="2" t="s">
        <v>98</v>
      </c>
      <c r="B20" s="2">
        <v>20</v>
      </c>
      <c r="C20" s="2" t="s">
        <v>104</v>
      </c>
      <c r="D20" s="3"/>
    </row>
    <row r="21" spans="1:4" ht="16" x14ac:dyDescent="0.2">
      <c r="A21" s="2" t="s">
        <v>99</v>
      </c>
      <c r="B21" s="2">
        <v>12.5</v>
      </c>
      <c r="C21" s="2" t="s">
        <v>22</v>
      </c>
      <c r="D21" s="3"/>
    </row>
    <row r="22" spans="1:4" ht="16" x14ac:dyDescent="0.2">
      <c r="A22" s="2" t="s">
        <v>100</v>
      </c>
      <c r="B22" s="3">
        <v>204887500</v>
      </c>
      <c r="C22" s="3" t="s">
        <v>105</v>
      </c>
      <c r="D22" s="3"/>
    </row>
    <row r="23" spans="1:4" ht="16" x14ac:dyDescent="0.2">
      <c r="A23" s="2" t="s">
        <v>101</v>
      </c>
      <c r="B23" s="3">
        <v>327820</v>
      </c>
      <c r="C23" s="3" t="s">
        <v>106</v>
      </c>
      <c r="D23" s="3"/>
    </row>
    <row r="24" spans="1:4" ht="16" x14ac:dyDescent="0.2">
      <c r="A24" s="3" t="s">
        <v>111</v>
      </c>
      <c r="B24" s="3">
        <v>44906.849315068503</v>
      </c>
      <c r="C24" s="2" t="s">
        <v>107</v>
      </c>
      <c r="D24" s="3"/>
    </row>
    <row r="25" spans="1:4" ht="16" x14ac:dyDescent="0.2">
      <c r="A25" s="3" t="s">
        <v>112</v>
      </c>
      <c r="B25" s="3">
        <v>204887.5</v>
      </c>
      <c r="C25" s="2" t="s">
        <v>108</v>
      </c>
      <c r="D25" s="3"/>
    </row>
    <row r="26" spans="1:4" ht="16" x14ac:dyDescent="0.2">
      <c r="A26" s="3" t="s">
        <v>113</v>
      </c>
      <c r="B26" s="3">
        <v>34147.916666666657</v>
      </c>
      <c r="C26" s="2" t="s">
        <v>108</v>
      </c>
      <c r="D26" s="3"/>
    </row>
    <row r="27" spans="1:4" ht="16" x14ac:dyDescent="0.2">
      <c r="A27" s="3" t="s">
        <v>114</v>
      </c>
      <c r="B27" s="3">
        <v>7904.6103395061727</v>
      </c>
      <c r="C27" s="2" t="s">
        <v>110</v>
      </c>
      <c r="D27" s="3"/>
    </row>
    <row r="28" spans="1:4" ht="16" x14ac:dyDescent="0.2">
      <c r="A28" s="3" t="s">
        <v>115</v>
      </c>
      <c r="B28" s="3">
        <v>30733.125</v>
      </c>
      <c r="C28" s="2" t="s">
        <v>109</v>
      </c>
      <c r="D28" s="3"/>
    </row>
    <row r="29" spans="1:4" ht="16" x14ac:dyDescent="0.2">
      <c r="A29" s="3" t="s">
        <v>116</v>
      </c>
      <c r="B29" s="3">
        <v>179481450</v>
      </c>
      <c r="C29" s="2" t="s">
        <v>117</v>
      </c>
      <c r="D29" s="3"/>
    </row>
    <row r="30" spans="1:4" ht="16" x14ac:dyDescent="0.2">
      <c r="A30" s="3" t="s">
        <v>118</v>
      </c>
      <c r="B30" s="3">
        <v>196692000</v>
      </c>
      <c r="C30" s="2" t="s">
        <v>119</v>
      </c>
      <c r="D30" s="3"/>
    </row>
    <row r="31" spans="1:4" ht="16" x14ac:dyDescent="0.2">
      <c r="A31" s="3" t="s">
        <v>120</v>
      </c>
      <c r="B31" s="3">
        <v>118015200</v>
      </c>
      <c r="C31" s="2" t="s">
        <v>121</v>
      </c>
      <c r="D31" s="3"/>
    </row>
    <row r="32" spans="1:4" ht="16" x14ac:dyDescent="0.2">
      <c r="A32" s="3" t="s">
        <v>122</v>
      </c>
      <c r="B32" s="3">
        <v>78676800</v>
      </c>
      <c r="C32" s="2" t="s">
        <v>121</v>
      </c>
      <c r="D32" s="3"/>
    </row>
    <row r="33" spans="1:4" ht="16" x14ac:dyDescent="0.2">
      <c r="A33" s="3" t="s">
        <v>123</v>
      </c>
      <c r="B33" s="3">
        <v>8981.3698630136987</v>
      </c>
      <c r="C33" s="2" t="s">
        <v>109</v>
      </c>
      <c r="D33" s="3"/>
    </row>
    <row r="34" spans="1:4" ht="16" x14ac:dyDescent="0.2">
      <c r="A34" s="3" t="s">
        <v>125</v>
      </c>
      <c r="B34" s="3">
        <v>1024.4375</v>
      </c>
      <c r="C34" s="2" t="s">
        <v>124</v>
      </c>
      <c r="D34" s="3"/>
    </row>
    <row r="35" spans="1:4" ht="16" x14ac:dyDescent="0.2">
      <c r="A35" s="3" t="s">
        <v>127</v>
      </c>
      <c r="B35" s="3">
        <v>614.66250000000002</v>
      </c>
      <c r="C35" s="2" t="s">
        <v>126</v>
      </c>
      <c r="D35" s="3"/>
    </row>
    <row r="36" spans="1:4" ht="16" x14ac:dyDescent="0.2">
      <c r="A36" s="3" t="s">
        <v>129</v>
      </c>
      <c r="B36" s="3">
        <v>61.466250000000002</v>
      </c>
      <c r="C36" s="2" t="s">
        <v>128</v>
      </c>
      <c r="D36" s="3"/>
    </row>
    <row r="37" spans="1:4" ht="16" x14ac:dyDescent="0.2">
      <c r="A37" s="3" t="s">
        <v>130</v>
      </c>
      <c r="B37" s="3">
        <v>2049</v>
      </c>
      <c r="C37" s="2" t="s">
        <v>110</v>
      </c>
      <c r="D37" s="3"/>
    </row>
    <row r="38" spans="1:4" ht="16" x14ac:dyDescent="0.2">
      <c r="A38" s="3" t="s">
        <v>131</v>
      </c>
      <c r="B38" s="3">
        <v>1025</v>
      </c>
      <c r="C38" s="2" t="s">
        <v>110</v>
      </c>
      <c r="D38" s="3"/>
    </row>
    <row r="39" spans="1:4" ht="16" x14ac:dyDescent="0.2">
      <c r="A39" s="3" t="s">
        <v>132</v>
      </c>
      <c r="B39" s="3">
        <v>410</v>
      </c>
      <c r="C39" s="2" t="s">
        <v>110</v>
      </c>
      <c r="D39" s="3"/>
    </row>
    <row r="40" spans="1:4" ht="16" x14ac:dyDescent="0.2">
      <c r="A40" s="3" t="s">
        <v>133</v>
      </c>
      <c r="B40" s="3">
        <v>205</v>
      </c>
      <c r="C40" s="2" t="s">
        <v>110</v>
      </c>
      <c r="D40" s="3"/>
    </row>
    <row r="41" spans="1:4" ht="16" x14ac:dyDescent="0.2">
      <c r="A41" s="3" t="s">
        <v>134</v>
      </c>
      <c r="B41" s="3">
        <v>89813.698630136991</v>
      </c>
      <c r="C41" s="2" t="s">
        <v>135</v>
      </c>
      <c r="D41" s="3"/>
    </row>
    <row r="42" spans="1:4" ht="16" x14ac:dyDescent="0.2">
      <c r="A42" s="3" t="s">
        <v>136</v>
      </c>
      <c r="B42" s="3">
        <v>359.25479452054799</v>
      </c>
      <c r="C42" s="2" t="s">
        <v>124</v>
      </c>
      <c r="D42" s="3"/>
    </row>
    <row r="43" spans="1:4" x14ac:dyDescent="0.2">
      <c r="A43" s="3" t="s">
        <v>137</v>
      </c>
      <c r="B43" s="4">
        <v>0.08</v>
      </c>
      <c r="C43" s="3" t="s">
        <v>69</v>
      </c>
      <c r="D43" s="3" t="s">
        <v>140</v>
      </c>
    </row>
    <row r="44" spans="1:4" x14ac:dyDescent="0.2">
      <c r="A44" s="3" t="s">
        <v>138</v>
      </c>
      <c r="B44" s="4">
        <v>0.03</v>
      </c>
      <c r="C44" s="3" t="s">
        <v>139</v>
      </c>
      <c r="D44" s="3" t="s">
        <v>141</v>
      </c>
    </row>
  </sheetData>
  <autoFilter ref="A1:D4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C25" sqref="C25"/>
    </sheetView>
  </sheetViews>
  <sheetFormatPr baseColWidth="10" defaultColWidth="8.83203125" defaultRowHeight="15" x14ac:dyDescent="0.2"/>
  <cols>
    <col min="1" max="1" width="26.6640625" customWidth="1"/>
    <col min="2" max="5" width="18.6640625" customWidth="1"/>
  </cols>
  <sheetData>
    <row r="1" spans="1:5" x14ac:dyDescent="0.2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</row>
    <row r="2" spans="1:5" x14ac:dyDescent="0.2">
      <c r="A2" t="s">
        <v>43</v>
      </c>
      <c r="B2">
        <v>600000</v>
      </c>
      <c r="C2">
        <v>8</v>
      </c>
      <c r="D2">
        <v>0</v>
      </c>
      <c r="E2">
        <f t="shared" ref="E2:E8" si="0">(B2-D2/(1+DiscountRate)^C2)*((DiscountRate*(1+DiscountRate)^C2)/((1+DiscountRate)^C2-1))</f>
        <v>104408.85635509326</v>
      </c>
    </row>
    <row r="3" spans="1:5" x14ac:dyDescent="0.2">
      <c r="A3" t="s">
        <v>44</v>
      </c>
      <c r="B3">
        <v>500000</v>
      </c>
      <c r="C3">
        <v>12</v>
      </c>
      <c r="D3">
        <v>0</v>
      </c>
      <c r="E3">
        <f t="shared" si="0"/>
        <v>66347.508462234764</v>
      </c>
    </row>
    <row r="4" spans="1:5" x14ac:dyDescent="0.2">
      <c r="A4" t="s">
        <v>45</v>
      </c>
      <c r="B4">
        <v>250000</v>
      </c>
      <c r="C4">
        <v>15</v>
      </c>
      <c r="D4">
        <v>0</v>
      </c>
      <c r="E4">
        <f t="shared" si="0"/>
        <v>29207.386234004996</v>
      </c>
    </row>
    <row r="5" spans="1:5" x14ac:dyDescent="0.2">
      <c r="A5" t="s">
        <v>46</v>
      </c>
      <c r="B5">
        <v>80000</v>
      </c>
      <c r="C5">
        <v>10</v>
      </c>
      <c r="D5">
        <v>0</v>
      </c>
      <c r="E5">
        <f t="shared" si="0"/>
        <v>11922.359095766031</v>
      </c>
    </row>
    <row r="6" spans="1:5" x14ac:dyDescent="0.2">
      <c r="A6" t="s">
        <v>47</v>
      </c>
      <c r="B6">
        <v>70000</v>
      </c>
      <c r="C6">
        <v>8</v>
      </c>
      <c r="D6">
        <v>0</v>
      </c>
      <c r="E6">
        <f t="shared" si="0"/>
        <v>12181.033241427547</v>
      </c>
    </row>
    <row r="7" spans="1:5" x14ac:dyDescent="0.2">
      <c r="A7" t="s">
        <v>48</v>
      </c>
      <c r="B7">
        <v>120000</v>
      </c>
      <c r="C7">
        <v>12</v>
      </c>
      <c r="D7">
        <v>0</v>
      </c>
      <c r="E7">
        <f t="shared" si="0"/>
        <v>15923.402030936344</v>
      </c>
    </row>
    <row r="8" spans="1:5" x14ac:dyDescent="0.2">
      <c r="A8" t="s">
        <v>49</v>
      </c>
      <c r="B8">
        <v>300000</v>
      </c>
      <c r="C8">
        <v>20</v>
      </c>
      <c r="D8">
        <v>0</v>
      </c>
      <c r="E8">
        <f t="shared" si="0"/>
        <v>30555.662646945177</v>
      </c>
    </row>
    <row r="10" spans="1:5" x14ac:dyDescent="0.2">
      <c r="D10" t="s">
        <v>50</v>
      </c>
      <c r="E10">
        <f>SUM(E2:E8)</f>
        <v>270546.20806640817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/>
  </sheetViews>
  <sheetFormatPr baseColWidth="10" defaultColWidth="8.83203125" defaultRowHeight="15" x14ac:dyDescent="0.2"/>
  <cols>
    <col min="1" max="1" width="34.6640625" customWidth="1"/>
    <col min="2" max="2" width="28.6640625" customWidth="1"/>
    <col min="3" max="4" width="16.6640625" customWidth="1"/>
    <col min="5" max="5" width="20.6640625" customWidth="1"/>
    <col min="6" max="6" width="36.6640625" customWidth="1"/>
  </cols>
  <sheetData>
    <row r="1" spans="1:6" x14ac:dyDescent="0.2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3</v>
      </c>
    </row>
    <row r="2" spans="1:6" x14ac:dyDescent="0.2">
      <c r="A2" t="s">
        <v>56</v>
      </c>
      <c r="B2">
        <f>KwhLighting</f>
        <v>22</v>
      </c>
      <c r="C2" t="s">
        <v>22</v>
      </c>
      <c r="D2">
        <f>ElecTariff</f>
        <v>0.25</v>
      </c>
      <c r="E2">
        <f>B2*D2</f>
        <v>5.5</v>
      </c>
    </row>
    <row r="3" spans="1:6" x14ac:dyDescent="0.2">
      <c r="A3" t="s">
        <v>57</v>
      </c>
      <c r="B3">
        <f>KwhOther</f>
        <v>8</v>
      </c>
      <c r="C3" t="s">
        <v>22</v>
      </c>
      <c r="D3">
        <f>ElecTariff</f>
        <v>0.25</v>
      </c>
      <c r="E3">
        <f>B3*D3</f>
        <v>2</v>
      </c>
      <c r="F3" t="s">
        <v>72</v>
      </c>
    </row>
    <row r="4" spans="1:6" x14ac:dyDescent="0.2">
      <c r="A4" t="s">
        <v>58</v>
      </c>
      <c r="B4">
        <f>WaterPerKg</f>
        <v>0.01</v>
      </c>
      <c r="C4" t="s">
        <v>23</v>
      </c>
      <c r="D4">
        <f>WaterTariff</f>
        <v>2.74</v>
      </c>
      <c r="E4">
        <f>B4*D4</f>
        <v>2.7400000000000004E-2</v>
      </c>
    </row>
    <row r="5" spans="1:6" x14ac:dyDescent="0.2">
      <c r="A5" t="s">
        <v>59</v>
      </c>
      <c r="B5">
        <f>WaterPerKg</f>
        <v>0.01</v>
      </c>
      <c r="C5" t="s">
        <v>23</v>
      </c>
      <c r="D5">
        <f>SewerTariff</f>
        <v>2.15</v>
      </c>
      <c r="E5">
        <f>B5*D5</f>
        <v>2.1499999999999998E-2</v>
      </c>
    </row>
    <row r="6" spans="1:6" x14ac:dyDescent="0.2">
      <c r="A6" t="s">
        <v>60</v>
      </c>
      <c r="C6" t="s">
        <v>69</v>
      </c>
      <c r="E6">
        <f>IF(OR(B6="",D6=""),0,B6*D6)</f>
        <v>0</v>
      </c>
      <c r="F6" t="s">
        <v>73</v>
      </c>
    </row>
    <row r="7" spans="1:6" x14ac:dyDescent="0.2">
      <c r="A7" t="s">
        <v>61</v>
      </c>
      <c r="C7" t="s">
        <v>69</v>
      </c>
      <c r="E7">
        <f>IF(OR(B7="",D7=""),0,B7*D7)</f>
        <v>0</v>
      </c>
      <c r="F7" t="s">
        <v>74</v>
      </c>
    </row>
    <row r="8" spans="1:6" x14ac:dyDescent="0.2">
      <c r="A8" t="s">
        <v>62</v>
      </c>
      <c r="C8" t="s">
        <v>69</v>
      </c>
      <c r="E8">
        <f>IF(OR(B8="",D8=""),0,B8*D8)</f>
        <v>0</v>
      </c>
      <c r="F8" t="s">
        <v>75</v>
      </c>
    </row>
    <row r="9" spans="1:6" x14ac:dyDescent="0.2">
      <c r="A9" t="s">
        <v>63</v>
      </c>
      <c r="B9">
        <f>1</f>
        <v>1</v>
      </c>
      <c r="C9" t="s">
        <v>69</v>
      </c>
      <c r="D9">
        <f>PackCostPerKg</f>
        <v>0.2</v>
      </c>
      <c r="E9">
        <f>B9*D9</f>
        <v>0.2</v>
      </c>
      <c r="F9" t="s">
        <v>76</v>
      </c>
    </row>
    <row r="10" spans="1:6" x14ac:dyDescent="0.2">
      <c r="A10" t="s">
        <v>64</v>
      </c>
      <c r="B10">
        <f>LaborMinPerKg/60</f>
        <v>0.05</v>
      </c>
      <c r="C10" t="s">
        <v>70</v>
      </c>
      <c r="D10">
        <f>WageHr</f>
        <v>12</v>
      </c>
      <c r="E10">
        <f>B10*D10</f>
        <v>0.60000000000000009</v>
      </c>
      <c r="F10" t="s">
        <v>77</v>
      </c>
    </row>
    <row r="11" spans="1:6" x14ac:dyDescent="0.2">
      <c r="A11" t="s">
        <v>65</v>
      </c>
      <c r="B11">
        <f>MaintRate*TotalAnnualizedCapex/AnnualKg</f>
        <v>8.2528890264903969E-4</v>
      </c>
      <c r="C11" t="s">
        <v>71</v>
      </c>
      <c r="D11">
        <f>1</f>
        <v>1</v>
      </c>
      <c r="E11">
        <f>B11*D11</f>
        <v>8.2528890264903969E-4</v>
      </c>
      <c r="F11" t="s">
        <v>78</v>
      </c>
    </row>
    <row r="12" spans="1:6" x14ac:dyDescent="0.2">
      <c r="A12" t="s">
        <v>66</v>
      </c>
      <c r="C12" t="s">
        <v>71</v>
      </c>
      <c r="E12">
        <f>IF(B12="",0,B12)</f>
        <v>0</v>
      </c>
      <c r="F12" t="s">
        <v>79</v>
      </c>
    </row>
    <row r="13" spans="1:6" x14ac:dyDescent="0.2">
      <c r="A13" t="s">
        <v>67</v>
      </c>
      <c r="C13" t="s">
        <v>71</v>
      </c>
      <c r="E13">
        <f>IF(B13="",0,B13)</f>
        <v>0</v>
      </c>
      <c r="F13" t="s">
        <v>80</v>
      </c>
    </row>
    <row r="14" spans="1:6" x14ac:dyDescent="0.2">
      <c r="A14" t="s">
        <v>68</v>
      </c>
      <c r="B14">
        <f>1</f>
        <v>1</v>
      </c>
      <c r="C14" t="s">
        <v>69</v>
      </c>
      <c r="D14">
        <f>DistribPerKg</f>
        <v>0.15</v>
      </c>
      <c r="E14">
        <f>B14*D14</f>
        <v>0.15</v>
      </c>
      <c r="F14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/>
  </sheetViews>
  <sheetFormatPr baseColWidth="10" defaultColWidth="8.83203125" defaultRowHeight="15" x14ac:dyDescent="0.2"/>
  <cols>
    <col min="1" max="1" width="26.6640625" customWidth="1"/>
    <col min="2" max="2" width="20.6640625" customWidth="1"/>
  </cols>
  <sheetData>
    <row r="1" spans="1:5" x14ac:dyDescent="0.2">
      <c r="A1" s="1" t="s">
        <v>82</v>
      </c>
      <c r="B1" s="1" t="s">
        <v>1</v>
      </c>
      <c r="D1" t="s">
        <v>87</v>
      </c>
    </row>
    <row r="2" spans="1:5" x14ac:dyDescent="0.2">
      <c r="A2" t="s">
        <v>83</v>
      </c>
      <c r="B2">
        <f>TotalAnnualizedCapex/AnnualKg</f>
        <v>1.6505778052980792E-2</v>
      </c>
      <c r="D2" t="s">
        <v>51</v>
      </c>
      <c r="E2" t="s">
        <v>55</v>
      </c>
    </row>
    <row r="3" spans="1:5" x14ac:dyDescent="0.2">
      <c r="A3" t="s">
        <v>84</v>
      </c>
      <c r="B3">
        <f>SUM(OPEX!E2:E1000)</f>
        <v>8.4997252889026491</v>
      </c>
      <c r="D3" t="str">
        <f>OPEX!A2</f>
        <v>Electricity - Lighting</v>
      </c>
      <c r="E3">
        <f>OPEX!E2</f>
        <v>5.5</v>
      </c>
    </row>
    <row r="4" spans="1:5" x14ac:dyDescent="0.2">
      <c r="A4" t="s">
        <v>85</v>
      </c>
      <c r="B4">
        <f>B2+B3</f>
        <v>8.5162310669556298</v>
      </c>
      <c r="D4" t="str">
        <f>OPEX!A3</f>
        <v>Electricity - Other</v>
      </c>
      <c r="E4">
        <f>OPEX!E3</f>
        <v>2</v>
      </c>
    </row>
    <row r="5" spans="1:5" x14ac:dyDescent="0.2">
      <c r="D5" t="str">
        <f>OPEX!A4</f>
        <v>Water supply</v>
      </c>
      <c r="E5">
        <f>OPEX!E4</f>
        <v>2.7400000000000004E-2</v>
      </c>
    </row>
    <row r="6" spans="1:5" x14ac:dyDescent="0.2">
      <c r="D6" t="str">
        <f>OPEX!A5</f>
        <v>Wastewater</v>
      </c>
      <c r="E6">
        <f>OPEX!E5</f>
        <v>2.1499999999999998E-2</v>
      </c>
    </row>
    <row r="7" spans="1:5" x14ac:dyDescent="0.2">
      <c r="D7" t="str">
        <f>OPEX!A6</f>
        <v>Nutrients (N/P/K)</v>
      </c>
      <c r="E7">
        <f>OPEX!E6</f>
        <v>0</v>
      </c>
    </row>
    <row r="8" spans="1:5" x14ac:dyDescent="0.2">
      <c r="A8" t="s">
        <v>86</v>
      </c>
      <c r="D8" t="str">
        <f>OPEX!A7</f>
        <v>Growing media</v>
      </c>
      <c r="E8">
        <f>OPEX!E7</f>
        <v>0</v>
      </c>
    </row>
    <row r="9" spans="1:5" x14ac:dyDescent="0.2">
      <c r="D9" t="str">
        <f>OPEX!A8</f>
        <v>CO2 supply</v>
      </c>
      <c r="E9">
        <f>OPEX!E8</f>
        <v>0</v>
      </c>
    </row>
    <row r="10" spans="1:5" x14ac:dyDescent="0.2">
      <c r="D10" t="str">
        <f>OPEX!A9</f>
        <v>Packaging</v>
      </c>
      <c r="E10">
        <f>OPEX!E9</f>
        <v>0.2</v>
      </c>
    </row>
    <row r="11" spans="1:5" x14ac:dyDescent="0.2">
      <c r="D11" t="str">
        <f>OPEX!A10</f>
        <v>Labor</v>
      </c>
      <c r="E11">
        <f>OPEX!E10</f>
        <v>0.60000000000000009</v>
      </c>
    </row>
    <row r="12" spans="1:5" x14ac:dyDescent="0.2">
      <c r="D12" t="str">
        <f>OPEX!A11</f>
        <v>Maintenance (from CAPEX)</v>
      </c>
      <c r="E12">
        <f>OPEX!E11</f>
        <v>8.2528890264903969E-4</v>
      </c>
    </row>
    <row r="13" spans="1:5" x14ac:dyDescent="0.2">
      <c r="D13" t="str">
        <f>OPEX!A12</f>
        <v>Rent/Admin/Insurance (annual)</v>
      </c>
      <c r="E13">
        <f>OPEX!E12</f>
        <v>0</v>
      </c>
    </row>
    <row r="14" spans="1:5" x14ac:dyDescent="0.2">
      <c r="D14" t="str">
        <f>OPEX!A13</f>
        <v>QA/Testing/Waste handling (annual)</v>
      </c>
      <c r="E14">
        <f>OPEX!E13</f>
        <v>0</v>
      </c>
    </row>
    <row r="15" spans="1:5" x14ac:dyDescent="0.2">
      <c r="D15" t="str">
        <f>OPEX!A14</f>
        <v>Distribution to retailer</v>
      </c>
      <c r="E15">
        <f>OPEX!E14</f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Parameters</vt:lpstr>
      <vt:lpstr>CAPEX</vt:lpstr>
      <vt:lpstr>OPEX</vt:lpstr>
      <vt:lpstr>Results</vt:lpstr>
      <vt:lpstr>AnnualKg</vt:lpstr>
      <vt:lpstr>DiscountRate</vt:lpstr>
      <vt:lpstr>DistribPerKg</vt:lpstr>
      <vt:lpstr>ElecTariff</vt:lpstr>
      <vt:lpstr>KwhLighting</vt:lpstr>
      <vt:lpstr>KwhOther</vt:lpstr>
      <vt:lpstr>LaborMinPerKg</vt:lpstr>
      <vt:lpstr>MaintRate</vt:lpstr>
      <vt:lpstr>PackCostPerKg</vt:lpstr>
      <vt:lpstr>SewerTariff</vt:lpstr>
      <vt:lpstr>TotalAnnualizedCapex</vt:lpstr>
      <vt:lpstr>WageHr</vt:lpstr>
      <vt:lpstr>WaterPerKg</vt:lpstr>
      <vt:lpstr>WaterTariff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KOUSHIK K.S</cp:lastModifiedBy>
  <dcterms:created xsi:type="dcterms:W3CDTF">2025-10-14T07:07:58Z</dcterms:created>
  <dcterms:modified xsi:type="dcterms:W3CDTF">2025-10-18T05:10:07Z</dcterms:modified>
</cp:coreProperties>
</file>