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c99e8e267738940/Documents/NUS MS DSS/DSS5202 Sustainable Systems Analysis/Term Paper/"/>
    </mc:Choice>
  </mc:AlternateContent>
  <xr:revisionPtr revIDLastSave="1" documentId="11_8429252F4365256914A48CD95795986EEE727A94" xr6:coauthVersionLast="47" xr6:coauthVersionMax="47" xr10:uidLastSave="{138B2266-C09C-4826-B0C9-DD6A70BBA823}"/>
  <bookViews>
    <workbookView minimized="1" xWindow="31785" yWindow="7335" windowWidth="17100" windowHeight="8295" tabRatio="755" firstSheet="3" activeTab="7" xr2:uid="{00000000-000D-0000-FFFF-FFFF00000000}"/>
  </bookViews>
  <sheets>
    <sheet name="Parameters" sheetId="1" r:id="rId1"/>
    <sheet name="CAPEX" sheetId="2" r:id="rId2"/>
    <sheet name="OPEX" sheetId="3" r:id="rId3"/>
    <sheet name="LCC" sheetId="4" r:id="rId4"/>
    <sheet name="Derived_perkg" sheetId="5" r:id="rId5"/>
    <sheet name="EF_Defaults" sheetId="6" r:id="rId6"/>
    <sheet name="LCI_perkg" sheetId="7" r:id="rId7"/>
    <sheet name="LCIA_by_stage" sheetId="8" r:id="rId8"/>
    <sheet name="LCIA_totals_multi" sheetId="9" r:id="rId9"/>
  </sheets>
  <definedNames>
    <definedName name="AnnualKg">Parameters!$B$2</definedName>
    <definedName name="DiscountRate">Parameters!$B$3</definedName>
    <definedName name="DistribPerKg">Parameters!#REF!</definedName>
    <definedName name="ElecTariff">Parameters!$B$4</definedName>
    <definedName name="KwhLighting">Parameters!$B$5</definedName>
    <definedName name="KwhOther">Parameters!#REF!</definedName>
    <definedName name="LaborMinPerKg">Parameters!$B$14</definedName>
    <definedName name="MaintRate">Parameters!$B$15</definedName>
    <definedName name="PackCostPerKg">Parameters!$B$9</definedName>
    <definedName name="SewerTariff">Parameters!$B$12</definedName>
    <definedName name="TotalAnnualizedCapex">CAPEX!$E$9</definedName>
    <definedName name="WageHr">Parameters!$B$13</definedName>
    <definedName name="WaterPerKg">Parameters!$B$6</definedName>
    <definedName name="WaterTariff">Parameters!$B$11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E8" i="3"/>
  <c r="D8" i="3"/>
  <c r="B8" i="3"/>
  <c r="D7" i="3"/>
  <c r="B7" i="3"/>
  <c r="E7" i="3" s="1"/>
  <c r="B6" i="3"/>
  <c r="E6" i="3" s="1"/>
  <c r="B5" i="3"/>
  <c r="E5" i="3" s="1"/>
  <c r="D4" i="3"/>
  <c r="B4" i="3"/>
  <c r="E4" i="3" s="1"/>
  <c r="D3" i="3"/>
  <c r="E3" i="3" s="1"/>
  <c r="B3" i="3"/>
  <c r="E2" i="3"/>
  <c r="D2" i="3"/>
  <c r="B2" i="3"/>
  <c r="E7" i="2"/>
  <c r="E6" i="2"/>
  <c r="E5" i="2"/>
  <c r="E4" i="2"/>
  <c r="E3" i="2"/>
  <c r="E2" i="2"/>
  <c r="E9" i="2" s="1"/>
  <c r="B2" i="4" l="1"/>
  <c r="E9" i="3"/>
  <c r="B3" i="4" s="1"/>
  <c r="B9" i="3"/>
  <c r="B4" i="4" l="1"/>
  <c r="B6" i="4" s="1"/>
  <c r="B7" i="4" s="1"/>
</calcChain>
</file>

<file path=xl/sharedStrings.xml><?xml version="1.0" encoding="utf-8"?>
<sst xmlns="http://schemas.openxmlformats.org/spreadsheetml/2006/main" count="245" uniqueCount="161">
  <si>
    <t>Parameter</t>
  </si>
  <si>
    <t>Value</t>
  </si>
  <si>
    <t>Units</t>
  </si>
  <si>
    <t>Notes</t>
  </si>
  <si>
    <t>Annual edible output (kg/yr)</t>
  </si>
  <si>
    <t>kg/yr</t>
  </si>
  <si>
    <t>Edit to your farm</t>
  </si>
  <si>
    <t>Discount rate r (decimal)</t>
  </si>
  <si>
    <t>same as VF baseline</t>
  </si>
  <si>
    <t>Electricity tariff (SGD/kWh)</t>
  </si>
  <si>
    <t>SGD/kWh</t>
  </si>
  <si>
    <t>EMA tariff (estimate; edit)</t>
  </si>
  <si>
    <t>Electricity use (kWh/kg)</t>
  </si>
  <si>
    <t>kWh/kg</t>
  </si>
  <si>
    <t>#assumption — only for irrigation, pumps, etc.</t>
  </si>
  <si>
    <t>Water m3 per kg</t>
  </si>
  <si>
    <t>m3/kg</t>
  </si>
  <si>
    <t>Closed-loop systems often low</t>
  </si>
  <si>
    <t>Fertilizer use (kg/kg)</t>
  </si>
  <si>
    <t>kg/kg</t>
  </si>
  <si>
    <t>#assumption — moderate input rate</t>
  </si>
  <si>
    <t>Pesticide use (kg/kg)</t>
  </si>
  <si>
    <t>#assumption — integrated pest management</t>
  </si>
  <si>
    <t>Packaging cost per kg (SGD/kg)</t>
  </si>
  <si>
    <t>SGD/kg</t>
  </si>
  <si>
    <t>#assumption — lighter packaging</t>
  </si>
  <si>
    <t>Distribution distance (tkm/kg)</t>
  </si>
  <si>
    <t>tkm/kg</t>
  </si>
  <si>
    <t>direct supply radius (~20 km)</t>
  </si>
  <si>
    <t>Water tariff (SGD/m3)</t>
  </si>
  <si>
    <t>SGD/m3</t>
  </si>
  <si>
    <t>PUB</t>
  </si>
  <si>
    <t>Sewerage tariff (SGD/m3)</t>
  </si>
  <si>
    <t>Labor wage (SGD/hr)</t>
  </si>
  <si>
    <t>SGD/hr</t>
  </si>
  <si>
    <t>same as VF</t>
  </si>
  <si>
    <t>Labor minutes per kg</t>
  </si>
  <si>
    <t>min/kg</t>
  </si>
  <si>
    <t>#assumption — manual harvest</t>
  </si>
  <si>
    <t>Maintenance rate (% of CAPEX per year)</t>
  </si>
  <si>
    <t>fraction/yr</t>
  </si>
  <si>
    <t>Applied to sum of annualized CAPEX</t>
  </si>
  <si>
    <t>Installation &amp; MEP markup (%)</t>
  </si>
  <si>
    <t>simpler infrasture</t>
  </si>
  <si>
    <t>Contingency (%)</t>
  </si>
  <si>
    <t>lower than VF</t>
  </si>
  <si>
    <t>EPCM &amp; design (%)</t>
  </si>
  <si>
    <t>fewer engineering services</t>
  </si>
  <si>
    <t>Owner's costs (%)</t>
  </si>
  <si>
    <t>Annual price per kg (SGD/kg)</t>
  </si>
  <si>
    <t>#assumption — wholesale market price</t>
  </si>
  <si>
    <t>Project lifetime (years)</t>
  </si>
  <si>
    <t>years</t>
  </si>
  <si>
    <t>Evaluation horizon</t>
  </si>
  <si>
    <t>Corporate tax rate (%)</t>
  </si>
  <si>
    <t>fraction</t>
  </si>
  <si>
    <t>Optional</t>
  </si>
  <si>
    <t>Water Consumption</t>
  </si>
  <si>
    <t>m³/yr</t>
  </si>
  <si>
    <t>preferred over intensity</t>
  </si>
  <si>
    <t>Asset</t>
  </si>
  <si>
    <t>Price_SGD</t>
  </si>
  <si>
    <t>Lifetime_years</t>
  </si>
  <si>
    <t>Salvage_SGD</t>
  </si>
  <si>
    <t>Annualized_SGD</t>
  </si>
  <si>
    <t>Greenhouse structures</t>
  </si>
  <si>
    <t>Irrigation &amp; fertigation</t>
  </si>
  <si>
    <t>Pumps &amp; tanks</t>
  </si>
  <si>
    <t>Cooling / shade / fans</t>
  </si>
  <si>
    <t>Farm equipment</t>
  </si>
  <si>
    <t>Land preparation</t>
  </si>
  <si>
    <t>Total annualized CAPEX (SGD/yr)</t>
  </si>
  <si>
    <t>Item</t>
  </si>
  <si>
    <t>Qty_per_kg</t>
  </si>
  <si>
    <t>Unit</t>
  </si>
  <si>
    <t>Unit_price_SGD</t>
  </si>
  <si>
    <t>Cost_per_kg_SGD</t>
  </si>
  <si>
    <t xml:space="preserve">Electricity </t>
  </si>
  <si>
    <t>derived</t>
  </si>
  <si>
    <t>Water supply</t>
  </si>
  <si>
    <t>Wastewater</t>
  </si>
  <si>
    <t>Fertilizer</t>
  </si>
  <si>
    <t>#assumption</t>
  </si>
  <si>
    <t>Pesticide</t>
  </si>
  <si>
    <t>Packaging</t>
  </si>
  <si>
    <t>Labor</t>
  </si>
  <si>
    <t>hr/kg</t>
  </si>
  <si>
    <t>Maintenance (from CAPEX)</t>
  </si>
  <si>
    <t>(SGD/kg)</t>
  </si>
  <si>
    <t>Distribution</t>
  </si>
  <si>
    <t>Metric</t>
  </si>
  <si>
    <t>Formula/Notes</t>
  </si>
  <si>
    <t>Per-kg CAPEX (SGD/kg)</t>
  </si>
  <si>
    <t>Per-kg OPEX (SGD/kg)</t>
  </si>
  <si>
    <t>LCOv (SGD/kg)</t>
  </si>
  <si>
    <t>Annual revenue</t>
  </si>
  <si>
    <t>SGD/yr</t>
  </si>
  <si>
    <t>Price × Output</t>
  </si>
  <si>
    <t>Annual cost</t>
  </si>
  <si>
    <t>LCOv × Output</t>
  </si>
  <si>
    <t>Net annual cashflow</t>
  </si>
  <si>
    <t>revenue − cost</t>
  </si>
  <si>
    <t>NPV @8%</t>
  </si>
  <si>
    <t>SGD</t>
  </si>
  <si>
    <t>use numpy_financial</t>
  </si>
  <si>
    <t>IRR</t>
  </si>
  <si>
    <t>%</t>
  </si>
  <si>
    <t>Annual output (kg/yr)</t>
  </si>
  <si>
    <t>Electricity (kWh/kg)</t>
  </si>
  <si>
    <t>Water (m3/kg)</t>
  </si>
  <si>
    <t>Sewer (m3/kg)</t>
  </si>
  <si>
    <t>Fertilizer (kg/kg)</t>
  </si>
  <si>
    <t>Pesticide (kg/kg)</t>
  </si>
  <si>
    <t>Packaging (kg/kg)</t>
  </si>
  <si>
    <t>Refrig tkm/kg</t>
  </si>
  <si>
    <t>flow_name</t>
  </si>
  <si>
    <t>unit</t>
  </si>
  <si>
    <t>GWP100</t>
  </si>
  <si>
    <t>HOFP</t>
  </si>
  <si>
    <t>PMFP</t>
  </si>
  <si>
    <t>AP</t>
  </si>
  <si>
    <t>EOFP</t>
  </si>
  <si>
    <t>FFP</t>
  </si>
  <si>
    <t>source</t>
  </si>
  <si>
    <t>Electricity, medium voltage</t>
  </si>
  <si>
    <t>kWh</t>
  </si>
  <si>
    <t>EMA / ReCiPe</t>
  </si>
  <si>
    <t>Water, tap</t>
  </si>
  <si>
    <t>m³</t>
  </si>
  <si>
    <t>PUB / CML</t>
  </si>
  <si>
    <t>Sewerage, treatment</t>
  </si>
  <si>
    <t>WWTP avg</t>
  </si>
  <si>
    <t>Fertilizer, NPK (as applied)</t>
  </si>
  <si>
    <t>kg</t>
  </si>
  <si>
    <t>Agribalyse</t>
  </si>
  <si>
    <t>Pesticide, active ingredient</t>
  </si>
  <si>
    <t>FAO approx</t>
  </si>
  <si>
    <t>Packaging, plastic (generic)</t>
  </si>
  <si>
    <t>PlasticsEurope</t>
  </si>
  <si>
    <t>Distribution, refrigerated van-km</t>
  </si>
  <si>
    <t>tkm</t>
  </si>
  <si>
    <t>Ecoinvent/CML</t>
  </si>
  <si>
    <t>category</t>
  </si>
  <si>
    <t>amount_per_kg</t>
  </si>
  <si>
    <t>GWP100_perkg</t>
  </si>
  <si>
    <t>HOFP_perkg</t>
  </si>
  <si>
    <t>PMFP_perkg</t>
  </si>
  <si>
    <t>AP_perkg</t>
  </si>
  <si>
    <t>EOFP_perkg</t>
  </si>
  <si>
    <t>FFP_perkg</t>
  </si>
  <si>
    <t>stage</t>
  </si>
  <si>
    <t>energy</t>
  </si>
  <si>
    <t>Electricity</t>
  </si>
  <si>
    <t>water</t>
  </si>
  <si>
    <t>Water</t>
  </si>
  <si>
    <t>Sewerage</t>
  </si>
  <si>
    <t>agrochemicals</t>
  </si>
  <si>
    <t>materials</t>
  </si>
  <si>
    <t>transport</t>
  </si>
  <si>
    <t>perkg_total</t>
  </si>
  <si>
    <t>per_year_total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</si>
</sst>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4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A5" sqref="A5"/>
    </sheetView>
  </sheetViews>
  <sheetFormatPr defaultRowHeight="15"/>
  <cols>
    <col min="1" max="1" width="38.7109375" customWidth="1"/>
    <col min="2" max="2" width="20.7109375" customWidth="1"/>
    <col min="3" max="3" width="16.7109375" customWidth="1"/>
    <col min="4" max="4" width="50.71093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3">
        <v>19000000</v>
      </c>
      <c r="C2" s="3" t="s">
        <v>5</v>
      </c>
      <c r="D2" s="3" t="s">
        <v>6</v>
      </c>
    </row>
    <row r="3" spans="1:4">
      <c r="A3" s="3" t="s">
        <v>7</v>
      </c>
      <c r="B3" s="3">
        <v>0.08</v>
      </c>
      <c r="C3" s="3"/>
      <c r="D3" t="s">
        <v>8</v>
      </c>
    </row>
    <row r="4" spans="1:4">
      <c r="A4" s="3" t="s">
        <v>9</v>
      </c>
      <c r="B4" s="3">
        <v>0.25</v>
      </c>
      <c r="C4" s="3" t="s">
        <v>10</v>
      </c>
      <c r="D4" s="3" t="s">
        <v>11</v>
      </c>
    </row>
    <row r="5" spans="1:4">
      <c r="A5" s="3" t="s">
        <v>12</v>
      </c>
      <c r="B5" s="3">
        <v>1.2</v>
      </c>
      <c r="C5" s="3" t="s">
        <v>13</v>
      </c>
      <c r="D5" t="s">
        <v>14</v>
      </c>
    </row>
    <row r="6" spans="1:4">
      <c r="A6" s="3" t="s">
        <v>15</v>
      </c>
      <c r="B6" s="3">
        <v>0.04</v>
      </c>
      <c r="C6" s="3" t="s">
        <v>16</v>
      </c>
      <c r="D6" s="3" t="s">
        <v>17</v>
      </c>
    </row>
    <row r="7" spans="1:4">
      <c r="A7" s="3" t="s">
        <v>18</v>
      </c>
      <c r="B7" s="3">
        <v>0.02</v>
      </c>
      <c r="C7" s="3" t="s">
        <v>19</v>
      </c>
      <c r="D7" t="s">
        <v>20</v>
      </c>
    </row>
    <row r="8" spans="1:4">
      <c r="A8" s="3" t="s">
        <v>21</v>
      </c>
      <c r="B8" s="3">
        <v>1.0000000000000001E-5</v>
      </c>
      <c r="C8" s="3" t="s">
        <v>19</v>
      </c>
      <c r="D8" t="s">
        <v>22</v>
      </c>
    </row>
    <row r="9" spans="1:4">
      <c r="A9" s="3" t="s">
        <v>23</v>
      </c>
      <c r="B9" s="3">
        <v>0.05</v>
      </c>
      <c r="C9" s="3" t="s">
        <v>24</v>
      </c>
      <c r="D9" t="s">
        <v>25</v>
      </c>
    </row>
    <row r="10" spans="1:4">
      <c r="A10" s="4" t="s">
        <v>26</v>
      </c>
      <c r="B10" s="4">
        <v>0.02</v>
      </c>
      <c r="C10" s="4" t="s">
        <v>27</v>
      </c>
      <c r="D10" t="s">
        <v>28</v>
      </c>
    </row>
    <row r="11" spans="1:4">
      <c r="A11" s="3" t="s">
        <v>29</v>
      </c>
      <c r="B11" s="3">
        <v>2.74</v>
      </c>
      <c r="C11" s="3" t="s">
        <v>30</v>
      </c>
      <c r="D11" s="3" t="s">
        <v>31</v>
      </c>
    </row>
    <row r="12" spans="1:4">
      <c r="A12" s="3" t="s">
        <v>32</v>
      </c>
      <c r="B12" s="3">
        <v>2.15</v>
      </c>
      <c r="C12" s="3" t="s">
        <v>30</v>
      </c>
      <c r="D12" s="3" t="s">
        <v>31</v>
      </c>
    </row>
    <row r="13" spans="1:4">
      <c r="A13" s="3" t="s">
        <v>33</v>
      </c>
      <c r="B13" s="3">
        <v>12</v>
      </c>
      <c r="C13" s="3" t="s">
        <v>34</v>
      </c>
      <c r="D13" t="s">
        <v>35</v>
      </c>
    </row>
    <row r="14" spans="1:4">
      <c r="A14" s="3" t="s">
        <v>36</v>
      </c>
      <c r="B14" s="3">
        <v>2</v>
      </c>
      <c r="C14" s="3" t="s">
        <v>37</v>
      </c>
      <c r="D14" t="s">
        <v>38</v>
      </c>
    </row>
    <row r="15" spans="1:4">
      <c r="A15" s="3" t="s">
        <v>39</v>
      </c>
      <c r="B15" s="3">
        <v>0.05</v>
      </c>
      <c r="C15" s="3" t="s">
        <v>40</v>
      </c>
      <c r="D15" s="3" t="s">
        <v>41</v>
      </c>
    </row>
    <row r="16" spans="1:4">
      <c r="A16" t="s">
        <v>42</v>
      </c>
      <c r="B16" s="4">
        <v>0.1</v>
      </c>
      <c r="D16" s="4" t="s">
        <v>43</v>
      </c>
    </row>
    <row r="17" spans="1:4">
      <c r="A17" t="s">
        <v>44</v>
      </c>
      <c r="B17" s="4">
        <v>0.1</v>
      </c>
      <c r="D17" s="4" t="s">
        <v>45</v>
      </c>
    </row>
    <row r="18" spans="1:4">
      <c r="A18" s="4" t="s">
        <v>46</v>
      </c>
      <c r="B18" s="4">
        <v>0.05</v>
      </c>
      <c r="D18" t="s">
        <v>47</v>
      </c>
    </row>
    <row r="19" spans="1:4">
      <c r="A19" s="4" t="s">
        <v>48</v>
      </c>
      <c r="B19" s="4">
        <v>0</v>
      </c>
    </row>
    <row r="20" spans="1:4">
      <c r="A20" s="4" t="s">
        <v>49</v>
      </c>
      <c r="B20" s="4">
        <v>2</v>
      </c>
      <c r="C20" s="4" t="s">
        <v>24</v>
      </c>
      <c r="D20" t="s">
        <v>50</v>
      </c>
    </row>
    <row r="21" spans="1:4">
      <c r="A21" s="4" t="s">
        <v>51</v>
      </c>
      <c r="B21" s="4">
        <v>15</v>
      </c>
      <c r="C21" s="4" t="s">
        <v>52</v>
      </c>
      <c r="D21" s="4" t="s">
        <v>53</v>
      </c>
    </row>
    <row r="22" spans="1:4">
      <c r="A22" s="4" t="s">
        <v>54</v>
      </c>
      <c r="B22" s="4">
        <v>0.17</v>
      </c>
      <c r="C22" s="4" t="s">
        <v>55</v>
      </c>
      <c r="D22" s="4" t="s">
        <v>56</v>
      </c>
    </row>
    <row r="23" spans="1:4">
      <c r="A23" s="4" t="s">
        <v>57</v>
      </c>
      <c r="B23" s="4">
        <v>760000</v>
      </c>
      <c r="C23" s="4" t="s">
        <v>58</v>
      </c>
      <c r="D23" s="4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workbookViewId="0">
      <selection activeCell="E25" sqref="E25"/>
    </sheetView>
  </sheetViews>
  <sheetFormatPr defaultRowHeight="15"/>
  <cols>
    <col min="1" max="1" width="26.7109375" customWidth="1"/>
    <col min="2" max="5" width="18.7109375" customWidth="1"/>
  </cols>
  <sheetData>
    <row r="1" spans="1:5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</row>
    <row r="2" spans="1:5">
      <c r="A2" s="4" t="s">
        <v>65</v>
      </c>
      <c r="B2" s="6">
        <v>10000000</v>
      </c>
      <c r="C2" s="4">
        <v>15</v>
      </c>
      <c r="D2">
        <v>0</v>
      </c>
      <c r="E2">
        <f t="shared" ref="E2:E7" si="0">(B2-D2/(1+DiscountRate)^C2)*((DiscountRate*(1+DiscountRate)^C2)/((1+DiscountRate)^C2-1))</f>
        <v>1168295.4493602</v>
      </c>
    </row>
    <row r="3" spans="1:5">
      <c r="A3" s="4" t="s">
        <v>66</v>
      </c>
      <c r="B3" s="6">
        <v>2000000</v>
      </c>
      <c r="C3" s="4">
        <v>10</v>
      </c>
      <c r="D3">
        <v>0</v>
      </c>
      <c r="E3">
        <f t="shared" si="0"/>
        <v>298058.97739415074</v>
      </c>
    </row>
    <row r="4" spans="1:5">
      <c r="A4" s="4" t="s">
        <v>67</v>
      </c>
      <c r="B4" s="6">
        <v>1000000</v>
      </c>
      <c r="C4" s="4">
        <v>8</v>
      </c>
      <c r="D4">
        <v>0</v>
      </c>
      <c r="E4">
        <f t="shared" si="0"/>
        <v>174014.76059182212</v>
      </c>
    </row>
    <row r="5" spans="1:5">
      <c r="A5" s="4" t="s">
        <v>68</v>
      </c>
      <c r="B5" s="6">
        <v>1500000</v>
      </c>
      <c r="C5" s="4">
        <v>10</v>
      </c>
      <c r="D5">
        <v>0</v>
      </c>
      <c r="E5">
        <f t="shared" si="0"/>
        <v>223544.23304561307</v>
      </c>
    </row>
    <row r="6" spans="1:5">
      <c r="A6" s="4" t="s">
        <v>69</v>
      </c>
      <c r="B6" s="6">
        <v>1000000</v>
      </c>
      <c r="C6" s="4">
        <v>8</v>
      </c>
      <c r="D6">
        <v>0</v>
      </c>
      <c r="E6">
        <f t="shared" si="0"/>
        <v>174014.76059182212</v>
      </c>
    </row>
    <row r="7" spans="1:5">
      <c r="A7" s="4" t="s">
        <v>70</v>
      </c>
      <c r="B7" s="6">
        <v>1000000</v>
      </c>
      <c r="C7" s="4">
        <v>15</v>
      </c>
      <c r="D7">
        <v>0</v>
      </c>
      <c r="E7">
        <f t="shared" si="0"/>
        <v>116829.54493601999</v>
      </c>
    </row>
    <row r="9" spans="1:5">
      <c r="D9" t="s">
        <v>71</v>
      </c>
      <c r="E9">
        <f>SUM(E2:E7)*(1+Parameters!B16+Parameters!B17+Parameters!B18+Parameters!B19)</f>
        <v>2693447.1573995361</v>
      </c>
    </row>
    <row r="17" spans="10:14">
      <c r="J17" s="5"/>
      <c r="K17" s="5"/>
      <c r="L17" s="5"/>
      <c r="M17" s="5"/>
      <c r="N17" s="5"/>
    </row>
    <row r="18" spans="10:14">
      <c r="J18" s="4"/>
      <c r="K18" s="6"/>
      <c r="L18" s="4"/>
      <c r="M18" s="4"/>
      <c r="N18" s="4"/>
    </row>
    <row r="19" spans="10:14">
      <c r="J19" s="4"/>
      <c r="K19" s="6"/>
      <c r="L19" s="4"/>
      <c r="M19" s="4"/>
      <c r="N19" s="4"/>
    </row>
    <row r="20" spans="10:14">
      <c r="J20" s="4"/>
      <c r="K20" s="6"/>
      <c r="L20" s="4"/>
      <c r="M20" s="4"/>
      <c r="N20" s="4"/>
    </row>
    <row r="21" spans="10:14">
      <c r="J21" s="4"/>
      <c r="K21" s="6"/>
      <c r="L21" s="4"/>
      <c r="M21" s="4"/>
      <c r="N21" s="4"/>
    </row>
    <row r="22" spans="10:14">
      <c r="J22" s="4"/>
      <c r="K22" s="6"/>
      <c r="L22" s="4"/>
      <c r="M22" s="4"/>
      <c r="N22" s="4"/>
    </row>
    <row r="23" spans="10:14">
      <c r="J23" s="4"/>
      <c r="K23" s="6"/>
      <c r="L23" s="4"/>
      <c r="M23" s="4"/>
      <c r="N2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workbookViewId="0">
      <selection activeCell="F34" sqref="F34"/>
    </sheetView>
  </sheetViews>
  <sheetFormatPr defaultRowHeight="15"/>
  <cols>
    <col min="1" max="1" width="34.7109375" customWidth="1"/>
    <col min="2" max="2" width="28.7109375" customWidth="1"/>
    <col min="3" max="4" width="16.7109375" customWidth="1"/>
    <col min="5" max="5" width="20.7109375" customWidth="1"/>
    <col min="6" max="6" width="36.7109375" customWidth="1"/>
  </cols>
  <sheetData>
    <row r="1" spans="1:6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3</v>
      </c>
    </row>
    <row r="2" spans="1:6">
      <c r="A2" t="s">
        <v>77</v>
      </c>
      <c r="B2">
        <f>KwhLighting</f>
        <v>1.2</v>
      </c>
      <c r="C2" t="s">
        <v>13</v>
      </c>
      <c r="D2">
        <f>ElecTariff</f>
        <v>0.25</v>
      </c>
      <c r="E2">
        <f>B2*D2</f>
        <v>0.3</v>
      </c>
      <c r="F2" s="4" t="s">
        <v>78</v>
      </c>
    </row>
    <row r="3" spans="1:6">
      <c r="A3" t="s">
        <v>79</v>
      </c>
      <c r="B3">
        <f>WaterPerKg</f>
        <v>0.04</v>
      </c>
      <c r="C3" t="s">
        <v>16</v>
      </c>
      <c r="D3">
        <f>WaterTariff</f>
        <v>2.74</v>
      </c>
      <c r="E3">
        <f>B3*D3</f>
        <v>0.10960000000000002</v>
      </c>
      <c r="F3" s="4" t="s">
        <v>78</v>
      </c>
    </row>
    <row r="4" spans="1:6">
      <c r="A4" t="s">
        <v>80</v>
      </c>
      <c r="B4">
        <f>WaterPerKg</f>
        <v>0.04</v>
      </c>
      <c r="C4" t="s">
        <v>16</v>
      </c>
      <c r="D4">
        <f>SewerTariff</f>
        <v>2.15</v>
      </c>
      <c r="E4">
        <f>B4*D4</f>
        <v>8.5999999999999993E-2</v>
      </c>
      <c r="F4" s="4" t="s">
        <v>78</v>
      </c>
    </row>
    <row r="5" spans="1:6">
      <c r="A5" t="s">
        <v>81</v>
      </c>
      <c r="B5">
        <f>Parameters!B7</f>
        <v>0.02</v>
      </c>
      <c r="C5" t="s">
        <v>19</v>
      </c>
      <c r="D5">
        <v>2</v>
      </c>
      <c r="E5">
        <f>IF(OR(B5="",D5=""),0,B5*D5)</f>
        <v>0.04</v>
      </c>
      <c r="F5" s="4" t="s">
        <v>82</v>
      </c>
    </row>
    <row r="6" spans="1:6">
      <c r="A6" t="s">
        <v>83</v>
      </c>
      <c r="B6">
        <f>Parameters!B8</f>
        <v>1.0000000000000001E-5</v>
      </c>
      <c r="C6" t="s">
        <v>19</v>
      </c>
      <c r="D6">
        <v>50</v>
      </c>
      <c r="E6">
        <f>IF(OR(B6="",D6=""),0,B6*D6)</f>
        <v>5.0000000000000001E-4</v>
      </c>
      <c r="F6" s="4" t="s">
        <v>82</v>
      </c>
    </row>
    <row r="7" spans="1:6">
      <c r="A7" t="s">
        <v>84</v>
      </c>
      <c r="B7">
        <f>Parameters!B9</f>
        <v>0.05</v>
      </c>
      <c r="C7" t="s">
        <v>19</v>
      </c>
      <c r="D7">
        <f>PackCostPerKg</f>
        <v>0.05</v>
      </c>
      <c r="E7">
        <f>B7*D7</f>
        <v>2.5000000000000005E-3</v>
      </c>
      <c r="F7" s="4" t="s">
        <v>35</v>
      </c>
    </row>
    <row r="8" spans="1:6">
      <c r="A8" t="s">
        <v>85</v>
      </c>
      <c r="B8">
        <f>LaborMinPerKg/60</f>
        <v>3.3333333333333333E-2</v>
      </c>
      <c r="C8" t="s">
        <v>86</v>
      </c>
      <c r="D8">
        <f>WageHr</f>
        <v>12</v>
      </c>
      <c r="E8">
        <f>B8*D8</f>
        <v>0.4</v>
      </c>
      <c r="F8" s="4" t="s">
        <v>78</v>
      </c>
    </row>
    <row r="9" spans="1:6">
      <c r="A9" t="s">
        <v>87</v>
      </c>
      <c r="B9">
        <f>MaintRate*TotalAnnualizedCapex/AnnualKg</f>
        <v>7.0880188352619375E-3</v>
      </c>
      <c r="C9" t="s">
        <v>88</v>
      </c>
      <c r="E9">
        <f>MaintRate*TotalAnnualizedCapex/AnnualKg</f>
        <v>7.0880188352619375E-3</v>
      </c>
      <c r="F9" s="4" t="s">
        <v>78</v>
      </c>
    </row>
    <row r="10" spans="1:6">
      <c r="A10" t="s">
        <v>89</v>
      </c>
      <c r="C10" t="s">
        <v>88</v>
      </c>
      <c r="E10">
        <v>0.15</v>
      </c>
      <c r="F10" s="4" t="s">
        <v>35</v>
      </c>
    </row>
    <row r="22" spans="1:6">
      <c r="A22" s="5"/>
      <c r="B22" s="5"/>
      <c r="C22" s="5"/>
      <c r="D22" s="5"/>
      <c r="E22" s="5"/>
      <c r="F22" s="5"/>
    </row>
    <row r="23" spans="1:6">
      <c r="A23" s="4"/>
      <c r="B23" s="7"/>
      <c r="C23" s="4"/>
      <c r="D23" s="7"/>
      <c r="E23" s="7"/>
    </row>
    <row r="24" spans="1:6">
      <c r="A24" s="4"/>
      <c r="B24" s="7"/>
      <c r="C24" s="4"/>
      <c r="D24" s="7"/>
      <c r="E24" s="7"/>
    </row>
    <row r="25" spans="1:6">
      <c r="A25" s="4"/>
      <c r="B25" s="7"/>
      <c r="C25" s="4"/>
      <c r="D25" s="7"/>
      <c r="E25" s="7"/>
    </row>
    <row r="26" spans="1:6">
      <c r="A26" s="4"/>
      <c r="B26" s="7"/>
      <c r="C26" s="4"/>
      <c r="D26" s="4"/>
      <c r="E26" s="7"/>
    </row>
    <row r="27" spans="1:6">
      <c r="A27" s="4"/>
      <c r="B27" s="7"/>
      <c r="C27" s="4"/>
      <c r="D27" s="4"/>
      <c r="E27" s="7"/>
    </row>
    <row r="28" spans="1:6">
      <c r="A28" s="4"/>
      <c r="B28" s="7"/>
      <c r="C28" s="4"/>
      <c r="D28" s="4"/>
      <c r="E28" s="7"/>
    </row>
    <row r="29" spans="1:6">
      <c r="A29" s="4"/>
      <c r="B29" s="7"/>
      <c r="C29" s="4"/>
      <c r="D29" s="7"/>
      <c r="E29" s="7"/>
    </row>
    <row r="30" spans="1:6">
      <c r="A30" s="4"/>
      <c r="B30" s="4"/>
      <c r="C30" s="4"/>
      <c r="D30" s="4"/>
      <c r="E30" s="7"/>
    </row>
    <row r="31" spans="1:6">
      <c r="A31" s="4"/>
      <c r="B31" s="4"/>
      <c r="C31" s="4"/>
      <c r="D31" s="4"/>
      <c r="E3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E24" sqref="E24"/>
    </sheetView>
  </sheetViews>
  <sheetFormatPr defaultRowHeight="15"/>
  <cols>
    <col min="1" max="1" width="26.7109375" customWidth="1"/>
    <col min="2" max="4" width="20.7109375" customWidth="1"/>
  </cols>
  <sheetData>
    <row r="1" spans="1:4">
      <c r="A1" s="1" t="s">
        <v>90</v>
      </c>
      <c r="B1" s="1" t="s">
        <v>1</v>
      </c>
      <c r="C1" s="5" t="s">
        <v>2</v>
      </c>
      <c r="D1" s="5" t="s">
        <v>91</v>
      </c>
    </row>
    <row r="2" spans="1:4">
      <c r="A2" t="s">
        <v>92</v>
      </c>
      <c r="B2">
        <f>TotalAnnualizedCapex/AnnualKg</f>
        <v>0.14176037670523875</v>
      </c>
      <c r="C2" s="4" t="s">
        <v>24</v>
      </c>
      <c r="D2" s="4" t="s">
        <v>78</v>
      </c>
    </row>
    <row r="3" spans="1:4">
      <c r="A3" t="s">
        <v>93</v>
      </c>
      <c r="B3">
        <f>SUM(OPEX!E2:E996)</f>
        <v>1.0956880188352618</v>
      </c>
      <c r="C3" s="4" t="s">
        <v>24</v>
      </c>
      <c r="D3" s="4" t="s">
        <v>78</v>
      </c>
    </row>
    <row r="4" spans="1:4">
      <c r="A4" t="s">
        <v>94</v>
      </c>
      <c r="B4">
        <f>B2+B3</f>
        <v>1.2374483955405005</v>
      </c>
      <c r="C4" s="4" t="s">
        <v>24</v>
      </c>
      <c r="D4" s="4" t="s">
        <v>78</v>
      </c>
    </row>
    <row r="5" spans="1:4">
      <c r="A5" s="4" t="s">
        <v>95</v>
      </c>
      <c r="B5">
        <f>Parameters!B20*AnnualKg</f>
        <v>38000000</v>
      </c>
      <c r="C5" s="4" t="s">
        <v>96</v>
      </c>
      <c r="D5" s="4" t="s">
        <v>97</v>
      </c>
    </row>
    <row r="6" spans="1:4">
      <c r="A6" s="4" t="s">
        <v>98</v>
      </c>
      <c r="B6">
        <f>B4*AnnualKg</f>
        <v>23511519.51526951</v>
      </c>
      <c r="C6" s="4" t="s">
        <v>96</v>
      </c>
      <c r="D6" s="4" t="s">
        <v>99</v>
      </c>
    </row>
    <row r="7" spans="1:4">
      <c r="A7" s="4" t="s">
        <v>100</v>
      </c>
      <c r="B7">
        <f>B5-B6</f>
        <v>14488480.48473049</v>
      </c>
      <c r="C7" s="4" t="s">
        <v>96</v>
      </c>
      <c r="D7" s="4" t="s">
        <v>101</v>
      </c>
    </row>
    <row r="8" spans="1:4">
      <c r="A8" s="4" t="s">
        <v>102</v>
      </c>
      <c r="C8" s="4" t="s">
        <v>103</v>
      </c>
      <c r="D8" s="4" t="s">
        <v>104</v>
      </c>
    </row>
    <row r="9" spans="1:4">
      <c r="A9" s="4" t="s">
        <v>105</v>
      </c>
      <c r="C9" s="4" t="s">
        <v>106</v>
      </c>
      <c r="D9" s="4" t="s">
        <v>104</v>
      </c>
    </row>
    <row r="24" spans="1:4">
      <c r="A24" s="5"/>
      <c r="B24" s="5"/>
      <c r="C24" s="5"/>
      <c r="D24" s="5"/>
    </row>
    <row r="25" spans="1:4">
      <c r="A25" s="4"/>
      <c r="B25" s="7"/>
      <c r="C25" s="4"/>
      <c r="D25" s="4"/>
    </row>
    <row r="26" spans="1:4">
      <c r="A26" s="4"/>
      <c r="B26" s="7"/>
      <c r="C26" s="4"/>
      <c r="D26" s="4"/>
    </row>
    <row r="27" spans="1:4">
      <c r="A27" s="4"/>
      <c r="B27" s="7"/>
      <c r="C27" s="4"/>
      <c r="D27" s="4"/>
    </row>
    <row r="28" spans="1:4">
      <c r="A28" s="4"/>
      <c r="B28" s="7"/>
      <c r="C28" s="4"/>
      <c r="D28" s="4"/>
    </row>
    <row r="29" spans="1:4">
      <c r="A29" s="4"/>
      <c r="B29" s="7"/>
      <c r="C29" s="4"/>
      <c r="D29" s="4"/>
    </row>
    <row r="30" spans="1:4">
      <c r="A30" s="4"/>
      <c r="B30" s="7"/>
      <c r="C30" s="4"/>
      <c r="D30" s="4"/>
    </row>
    <row r="31" spans="1:4">
      <c r="A31" s="4"/>
      <c r="B31" s="4"/>
      <c r="C31" s="4"/>
      <c r="D31" s="4"/>
    </row>
    <row r="32" spans="1:4">
      <c r="A32" s="4"/>
      <c r="B32" s="4"/>
      <c r="C32" s="4"/>
      <c r="D3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workbookViewId="0"/>
  </sheetViews>
  <sheetFormatPr defaultRowHeight="15"/>
  <sheetData>
    <row r="1" spans="1:2">
      <c r="A1" s="10" t="s">
        <v>72</v>
      </c>
      <c r="B1" s="10" t="s">
        <v>1</v>
      </c>
    </row>
    <row r="2" spans="1:2">
      <c r="A2" t="s">
        <v>107</v>
      </c>
      <c r="B2">
        <v>19000000</v>
      </c>
    </row>
    <row r="3" spans="1:2">
      <c r="A3" t="s">
        <v>108</v>
      </c>
      <c r="B3">
        <v>1.2</v>
      </c>
    </row>
    <row r="4" spans="1:2">
      <c r="A4" t="s">
        <v>109</v>
      </c>
      <c r="B4">
        <v>0.04</v>
      </c>
    </row>
    <row r="5" spans="1:2">
      <c r="A5" t="s">
        <v>110</v>
      </c>
      <c r="B5">
        <v>0.04</v>
      </c>
    </row>
    <row r="6" spans="1:2">
      <c r="A6" t="s">
        <v>111</v>
      </c>
      <c r="B6">
        <v>0.02</v>
      </c>
    </row>
    <row r="7" spans="1:2">
      <c r="A7" t="s">
        <v>112</v>
      </c>
      <c r="B7">
        <v>1.0000000000000001E-5</v>
      </c>
    </row>
    <row r="8" spans="1:2">
      <c r="A8" t="s">
        <v>113</v>
      </c>
      <c r="B8">
        <v>0</v>
      </c>
    </row>
    <row r="9" spans="1:2">
      <c r="A9" t="s">
        <v>114</v>
      </c>
      <c r="B9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"/>
  <sheetViews>
    <sheetView workbookViewId="0">
      <selection activeCell="H17" sqref="H17"/>
    </sheetView>
  </sheetViews>
  <sheetFormatPr defaultRowHeight="15"/>
  <cols>
    <col min="1" max="1" width="31" customWidth="1"/>
    <col min="2" max="9" width="14" customWidth="1"/>
  </cols>
  <sheetData>
    <row r="1" spans="1:9" ht="22.5" customHeight="1">
      <c r="A1" s="5" t="s">
        <v>115</v>
      </c>
      <c r="B1" s="5" t="s">
        <v>116</v>
      </c>
      <c r="C1" s="9" t="s">
        <v>117</v>
      </c>
      <c r="D1" s="9" t="s">
        <v>118</v>
      </c>
      <c r="E1" s="9" t="s">
        <v>119</v>
      </c>
      <c r="F1" s="9" t="s">
        <v>120</v>
      </c>
      <c r="G1" s="9" t="s">
        <v>121</v>
      </c>
      <c r="H1" s="9" t="s">
        <v>122</v>
      </c>
      <c r="I1" s="5" t="s">
        <v>123</v>
      </c>
    </row>
    <row r="2" spans="1:9" ht="22.5" customHeight="1">
      <c r="A2" s="4" t="s">
        <v>124</v>
      </c>
      <c r="B2" s="4" t="s">
        <v>125</v>
      </c>
      <c r="C2" s="8">
        <v>0.40799999999999997</v>
      </c>
      <c r="D2" s="8">
        <v>2.7999999999999998E-4</v>
      </c>
      <c r="E2" s="8">
        <v>1.8000000000000001E-4</v>
      </c>
      <c r="F2" s="8">
        <v>2.7999999999999998E-4</v>
      </c>
      <c r="G2" s="8">
        <v>1E-4</v>
      </c>
      <c r="H2" s="8">
        <v>7.6</v>
      </c>
      <c r="I2" s="4" t="s">
        <v>126</v>
      </c>
    </row>
    <row r="3" spans="1:9" ht="22.5" customHeight="1">
      <c r="A3" s="4" t="s">
        <v>127</v>
      </c>
      <c r="B3" s="4" t="s">
        <v>128</v>
      </c>
      <c r="C3" s="8">
        <v>0.34399999999999997</v>
      </c>
      <c r="D3" s="8">
        <v>1E-4</v>
      </c>
      <c r="E3" s="8">
        <v>5.0000000000000002E-5</v>
      </c>
      <c r="F3" s="8">
        <v>1E-4</v>
      </c>
      <c r="G3" s="8">
        <v>1.0000000000000001E-5</v>
      </c>
      <c r="H3" s="8">
        <v>2.5</v>
      </c>
      <c r="I3" s="4" t="s">
        <v>129</v>
      </c>
    </row>
    <row r="4" spans="1:9" ht="22.5" customHeight="1">
      <c r="A4" s="4" t="s">
        <v>130</v>
      </c>
      <c r="B4" s="4" t="s">
        <v>128</v>
      </c>
      <c r="C4" s="8">
        <v>0.70799999999999996</v>
      </c>
      <c r="D4" s="8">
        <v>1E-4</v>
      </c>
      <c r="E4" s="8">
        <v>8.0000000000000007E-5</v>
      </c>
      <c r="F4" s="8">
        <v>2.0000000000000001E-4</v>
      </c>
      <c r="G4" s="8">
        <v>1.4999999999999999E-4</v>
      </c>
      <c r="H4" s="8">
        <v>1.5</v>
      </c>
      <c r="I4" s="4" t="s">
        <v>131</v>
      </c>
    </row>
    <row r="5" spans="1:9" ht="22.5" customHeight="1">
      <c r="A5" s="4" t="s">
        <v>132</v>
      </c>
      <c r="B5" s="4" t="s">
        <v>133</v>
      </c>
      <c r="C5" s="8">
        <v>4</v>
      </c>
      <c r="D5" s="8">
        <v>1E-3</v>
      </c>
      <c r="E5" s="8">
        <v>6.9999999999999999E-4</v>
      </c>
      <c r="F5" s="8">
        <v>1.4999999999999999E-2</v>
      </c>
      <c r="G5" s="8">
        <v>3.0000000000000001E-3</v>
      </c>
      <c r="H5" s="8">
        <v>60</v>
      </c>
      <c r="I5" s="4" t="s">
        <v>134</v>
      </c>
    </row>
    <row r="6" spans="1:9" ht="22.5" customHeight="1">
      <c r="A6" s="4" t="s">
        <v>135</v>
      </c>
      <c r="B6" s="4" t="s">
        <v>133</v>
      </c>
      <c r="C6" s="8">
        <v>25</v>
      </c>
      <c r="D6" s="8">
        <v>2E-3</v>
      </c>
      <c r="E6" s="8">
        <v>6.0000000000000001E-3</v>
      </c>
      <c r="F6" s="8">
        <v>0.03</v>
      </c>
      <c r="G6" s="8">
        <v>0.01</v>
      </c>
      <c r="H6" s="8">
        <v>100</v>
      </c>
      <c r="I6" s="4" t="s">
        <v>136</v>
      </c>
    </row>
    <row r="7" spans="1:9" ht="22.5" customHeight="1">
      <c r="A7" s="4" t="s">
        <v>137</v>
      </c>
      <c r="B7" s="4" t="s">
        <v>133</v>
      </c>
      <c r="C7" s="8">
        <v>2.7</v>
      </c>
      <c r="D7" s="8">
        <v>1E-3</v>
      </c>
      <c r="E7" s="8">
        <v>6.9999999999999999E-4</v>
      </c>
      <c r="F7" s="8">
        <v>4.0000000000000001E-3</v>
      </c>
      <c r="G7" s="8">
        <v>1E-3</v>
      </c>
      <c r="H7" s="8">
        <v>70</v>
      </c>
      <c r="I7" s="4" t="s">
        <v>138</v>
      </c>
    </row>
    <row r="8" spans="1:9" ht="22.5" customHeight="1">
      <c r="A8" s="4" t="s">
        <v>139</v>
      </c>
      <c r="B8" s="4" t="s">
        <v>140</v>
      </c>
      <c r="C8" s="8">
        <v>0.18</v>
      </c>
      <c r="D8" s="8">
        <v>5.9999999999999995E-4</v>
      </c>
      <c r="E8" s="8">
        <v>5.0000000000000001E-4</v>
      </c>
      <c r="F8" s="8">
        <v>8.9999999999999998E-4</v>
      </c>
      <c r="G8" s="8">
        <v>1E-4</v>
      </c>
      <c r="H8" s="8">
        <v>3</v>
      </c>
      <c r="I8" s="4" t="s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"/>
  <sheetViews>
    <sheetView workbookViewId="0">
      <selection activeCell="D7" sqref="D7"/>
    </sheetView>
  </sheetViews>
  <sheetFormatPr defaultRowHeight="15"/>
  <cols>
    <col min="1" max="1" width="46.140625" customWidth="1"/>
  </cols>
  <sheetData>
    <row r="1" spans="1:17">
      <c r="A1" s="10" t="s">
        <v>115</v>
      </c>
      <c r="B1" s="10" t="s">
        <v>142</v>
      </c>
      <c r="C1" s="10" t="s">
        <v>116</v>
      </c>
      <c r="D1" s="10" t="s">
        <v>143</v>
      </c>
      <c r="E1" s="10" t="s">
        <v>117</v>
      </c>
      <c r="F1" s="10" t="s">
        <v>118</v>
      </c>
      <c r="G1" s="10" t="s">
        <v>119</v>
      </c>
      <c r="H1" s="10" t="s">
        <v>120</v>
      </c>
      <c r="I1" s="10" t="s">
        <v>121</v>
      </c>
      <c r="J1" s="10" t="s">
        <v>122</v>
      </c>
      <c r="K1" s="10" t="s">
        <v>144</v>
      </c>
      <c r="L1" s="10" t="s">
        <v>145</v>
      </c>
      <c r="M1" s="10" t="s">
        <v>146</v>
      </c>
      <c r="N1" s="10" t="s">
        <v>147</v>
      </c>
      <c r="O1" s="10" t="s">
        <v>148</v>
      </c>
      <c r="P1" s="10" t="s">
        <v>149</v>
      </c>
      <c r="Q1" s="10" t="s">
        <v>150</v>
      </c>
    </row>
    <row r="2" spans="1:17">
      <c r="A2" t="s">
        <v>124</v>
      </c>
      <c r="B2" t="s">
        <v>151</v>
      </c>
      <c r="C2" t="s">
        <v>125</v>
      </c>
      <c r="D2">
        <v>1.2</v>
      </c>
      <c r="E2">
        <v>0.40799999999999997</v>
      </c>
      <c r="F2">
        <v>2.7999999999999998E-4</v>
      </c>
      <c r="G2">
        <v>1.8000000000000001E-4</v>
      </c>
      <c r="H2">
        <v>2.7999999999999998E-4</v>
      </c>
      <c r="I2">
        <v>1E-4</v>
      </c>
      <c r="J2">
        <v>7.6</v>
      </c>
      <c r="K2">
        <v>0.48959999999999992</v>
      </c>
      <c r="L2">
        <v>3.3599999999999998E-4</v>
      </c>
      <c r="M2">
        <v>2.1599999999999999E-4</v>
      </c>
      <c r="N2">
        <v>3.3599999999999998E-4</v>
      </c>
      <c r="O2">
        <v>1.2E-4</v>
      </c>
      <c r="P2">
        <v>9.1199999999999992</v>
      </c>
      <c r="Q2" t="s">
        <v>152</v>
      </c>
    </row>
    <row r="3" spans="1:17">
      <c r="A3" t="s">
        <v>127</v>
      </c>
      <c r="B3" t="s">
        <v>153</v>
      </c>
      <c r="C3" t="s">
        <v>128</v>
      </c>
      <c r="D3">
        <v>0.04</v>
      </c>
      <c r="E3">
        <v>0.34399999999999997</v>
      </c>
      <c r="F3">
        <v>1E-4</v>
      </c>
      <c r="G3">
        <v>5.0000000000000002E-5</v>
      </c>
      <c r="H3">
        <v>1E-4</v>
      </c>
      <c r="I3">
        <v>1.0000000000000001E-5</v>
      </c>
      <c r="J3">
        <v>2.5</v>
      </c>
      <c r="K3">
        <v>1.376E-2</v>
      </c>
      <c r="L3">
        <v>4.0000000000000007E-6</v>
      </c>
      <c r="M3">
        <v>1.9999999999999999E-6</v>
      </c>
      <c r="N3">
        <v>4.0000000000000007E-6</v>
      </c>
      <c r="O3">
        <v>3.9999999999999998E-7</v>
      </c>
      <c r="P3">
        <v>0.1</v>
      </c>
      <c r="Q3" t="s">
        <v>154</v>
      </c>
    </row>
    <row r="4" spans="1:17">
      <c r="A4" t="s">
        <v>130</v>
      </c>
      <c r="B4" t="s">
        <v>153</v>
      </c>
      <c r="C4" t="s">
        <v>128</v>
      </c>
      <c r="D4">
        <v>0.04</v>
      </c>
      <c r="E4">
        <v>0.70799999999999996</v>
      </c>
      <c r="F4">
        <v>1E-4</v>
      </c>
      <c r="G4">
        <v>8.0000000000000007E-5</v>
      </c>
      <c r="H4">
        <v>2.0000000000000001E-4</v>
      </c>
      <c r="I4">
        <v>1.4999999999999999E-4</v>
      </c>
      <c r="J4">
        <v>1.5</v>
      </c>
      <c r="K4">
        <v>2.8320000000000001E-2</v>
      </c>
      <c r="L4">
        <v>4.0000000000000007E-6</v>
      </c>
      <c r="M4">
        <v>3.1999999999999999E-6</v>
      </c>
      <c r="N4">
        <v>8.0000000000000013E-6</v>
      </c>
      <c r="O4">
        <v>5.9999999999999993E-6</v>
      </c>
      <c r="P4">
        <v>0.06</v>
      </c>
      <c r="Q4" t="s">
        <v>155</v>
      </c>
    </row>
    <row r="5" spans="1:17">
      <c r="A5" t="s">
        <v>132</v>
      </c>
      <c r="B5" t="s">
        <v>156</v>
      </c>
      <c r="C5" t="s">
        <v>133</v>
      </c>
      <c r="D5">
        <v>0.02</v>
      </c>
      <c r="E5">
        <v>4</v>
      </c>
      <c r="F5">
        <v>1E-3</v>
      </c>
      <c r="G5">
        <v>6.9999999999999999E-4</v>
      </c>
      <c r="H5">
        <v>1.4999999999999999E-2</v>
      </c>
      <c r="I5">
        <v>3.0000000000000001E-3</v>
      </c>
      <c r="J5">
        <v>60</v>
      </c>
      <c r="K5">
        <v>0.08</v>
      </c>
      <c r="L5">
        <v>2.0000000000000002E-5</v>
      </c>
      <c r="M5">
        <v>1.4E-5</v>
      </c>
      <c r="N5">
        <v>2.9999999999999997E-4</v>
      </c>
      <c r="O5">
        <v>6.0000000000000002E-5</v>
      </c>
      <c r="P5">
        <v>1.2</v>
      </c>
      <c r="Q5" t="s">
        <v>81</v>
      </c>
    </row>
    <row r="6" spans="1:17">
      <c r="A6" t="s">
        <v>135</v>
      </c>
      <c r="B6" t="s">
        <v>156</v>
      </c>
      <c r="C6" t="s">
        <v>133</v>
      </c>
      <c r="D6">
        <v>1.0000000000000001E-5</v>
      </c>
      <c r="E6">
        <v>25</v>
      </c>
      <c r="F6">
        <v>2E-3</v>
      </c>
      <c r="G6">
        <v>6.0000000000000001E-3</v>
      </c>
      <c r="H6">
        <v>0.03</v>
      </c>
      <c r="I6">
        <v>0.01</v>
      </c>
      <c r="J6">
        <v>100</v>
      </c>
      <c r="K6">
        <v>2.5000000000000001E-4</v>
      </c>
      <c r="L6">
        <v>2E-8</v>
      </c>
      <c r="M6">
        <v>6.0000000000000008E-8</v>
      </c>
      <c r="N6">
        <v>2.9999999999999999E-7</v>
      </c>
      <c r="O6">
        <v>9.9999999999999995E-8</v>
      </c>
      <c r="P6">
        <v>1E-3</v>
      </c>
      <c r="Q6" t="s">
        <v>83</v>
      </c>
    </row>
    <row r="7" spans="1:17">
      <c r="A7" t="s">
        <v>137</v>
      </c>
      <c r="B7" t="s">
        <v>157</v>
      </c>
      <c r="C7" t="s">
        <v>133</v>
      </c>
      <c r="D7">
        <v>0</v>
      </c>
      <c r="E7">
        <v>2.7</v>
      </c>
      <c r="F7">
        <v>1E-3</v>
      </c>
      <c r="G7">
        <v>6.9999999999999999E-4</v>
      </c>
      <c r="H7">
        <v>4.0000000000000001E-3</v>
      </c>
      <c r="I7">
        <v>1E-3</v>
      </c>
      <c r="J7">
        <v>70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84</v>
      </c>
    </row>
    <row r="8" spans="1:17">
      <c r="A8" t="s">
        <v>139</v>
      </c>
      <c r="B8" t="s">
        <v>158</v>
      </c>
      <c r="C8" t="s">
        <v>140</v>
      </c>
      <c r="D8">
        <v>0</v>
      </c>
      <c r="E8">
        <v>0.18</v>
      </c>
      <c r="F8">
        <v>5.9999999999999995E-4</v>
      </c>
      <c r="G8">
        <v>5.0000000000000001E-4</v>
      </c>
      <c r="H8">
        <v>8.9999999999999998E-4</v>
      </c>
      <c r="I8">
        <v>1E-4</v>
      </c>
      <c r="J8">
        <v>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">
        <v>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"/>
  <sheetViews>
    <sheetView tabSelected="1" workbookViewId="0">
      <selection activeCell="F11" sqref="F11"/>
    </sheetView>
  </sheetViews>
  <sheetFormatPr defaultRowHeight="15"/>
  <sheetData>
    <row r="1" spans="1:7">
      <c r="A1" s="10" t="s">
        <v>150</v>
      </c>
      <c r="B1" s="10" t="s">
        <v>144</v>
      </c>
      <c r="C1" s="10" t="s">
        <v>145</v>
      </c>
      <c r="D1" s="10" t="s">
        <v>146</v>
      </c>
      <c r="E1" s="10" t="s">
        <v>147</v>
      </c>
      <c r="F1" s="10" t="s">
        <v>148</v>
      </c>
      <c r="G1" s="10" t="s">
        <v>149</v>
      </c>
    </row>
    <row r="2" spans="1:7">
      <c r="A2" t="s">
        <v>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t="s">
        <v>152</v>
      </c>
      <c r="B3">
        <v>0.48959999999999992</v>
      </c>
      <c r="C3">
        <v>3.3599999999999998E-4</v>
      </c>
      <c r="D3">
        <v>2.1599999999999999E-4</v>
      </c>
      <c r="E3">
        <v>3.3599999999999998E-4</v>
      </c>
      <c r="F3">
        <v>1.2E-4</v>
      </c>
      <c r="G3">
        <v>9.1199999999999992</v>
      </c>
    </row>
    <row r="4" spans="1:7">
      <c r="A4" t="s">
        <v>81</v>
      </c>
      <c r="B4">
        <v>0.08</v>
      </c>
      <c r="C4">
        <v>2.0000000000000002E-5</v>
      </c>
      <c r="D4">
        <v>1.4E-5</v>
      </c>
      <c r="E4">
        <v>2.9999999999999997E-4</v>
      </c>
      <c r="F4">
        <v>6.0000000000000002E-5</v>
      </c>
      <c r="G4">
        <v>1.2</v>
      </c>
    </row>
    <row r="5" spans="1:7">
      <c r="A5" t="s">
        <v>84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83</v>
      </c>
      <c r="B6">
        <v>2.5000000000000001E-4</v>
      </c>
      <c r="C6">
        <v>2E-8</v>
      </c>
      <c r="D6">
        <v>6.0000000000000008E-8</v>
      </c>
      <c r="E6">
        <v>2.9999999999999999E-7</v>
      </c>
      <c r="F6">
        <v>9.9999999999999995E-8</v>
      </c>
      <c r="G6">
        <v>1E-3</v>
      </c>
    </row>
    <row r="7" spans="1:7">
      <c r="A7" t="s">
        <v>155</v>
      </c>
      <c r="B7">
        <v>2.8320000000000001E-2</v>
      </c>
      <c r="C7">
        <v>4.0000000000000007E-6</v>
      </c>
      <c r="D7">
        <v>3.1999999999999999E-6</v>
      </c>
      <c r="E7">
        <v>8.0000000000000013E-6</v>
      </c>
      <c r="F7">
        <v>5.9999999999999993E-6</v>
      </c>
      <c r="G7">
        <v>0.06</v>
      </c>
    </row>
    <row r="8" spans="1:7">
      <c r="A8" t="s">
        <v>154</v>
      </c>
      <c r="B8">
        <v>1.376E-2</v>
      </c>
      <c r="C8">
        <v>4.0000000000000007E-6</v>
      </c>
      <c r="D8">
        <v>1.9999999999999999E-6</v>
      </c>
      <c r="E8">
        <v>4.0000000000000007E-6</v>
      </c>
      <c r="F8">
        <v>3.9999999999999998E-7</v>
      </c>
      <c r="G8">
        <v>0.1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/>
  </sheetViews>
  <sheetFormatPr defaultRowHeight="15"/>
  <sheetData>
    <row r="1" spans="1:3">
      <c r="A1" s="10" t="s">
        <v>142</v>
      </c>
      <c r="B1" s="10" t="s">
        <v>159</v>
      </c>
      <c r="C1" s="10" t="s">
        <v>160</v>
      </c>
    </row>
    <row r="2" spans="1:3">
      <c r="A2" t="s">
        <v>117</v>
      </c>
      <c r="B2">
        <v>0.61192999999999986</v>
      </c>
      <c r="C2">
        <v>11626670</v>
      </c>
    </row>
    <row r="3" spans="1:3">
      <c r="A3" t="s">
        <v>118</v>
      </c>
      <c r="B3">
        <v>3.6401999999999989E-4</v>
      </c>
      <c r="C3">
        <v>6916.3799999999992</v>
      </c>
    </row>
    <row r="4" spans="1:3">
      <c r="A4" t="s">
        <v>119</v>
      </c>
      <c r="B4">
        <v>2.3525999999999999E-4</v>
      </c>
      <c r="C4">
        <v>4469.9399999999996</v>
      </c>
    </row>
    <row r="5" spans="1:3">
      <c r="A5" t="s">
        <v>120</v>
      </c>
      <c r="B5">
        <v>6.4829999999999987E-4</v>
      </c>
      <c r="C5">
        <v>12317.7</v>
      </c>
    </row>
    <row r="6" spans="1:3">
      <c r="A6" t="s">
        <v>121</v>
      </c>
      <c r="B6">
        <v>1.8650000000000001E-4</v>
      </c>
      <c r="C6">
        <v>3543.5</v>
      </c>
    </row>
    <row r="7" spans="1:3">
      <c r="A7" t="s">
        <v>122</v>
      </c>
      <c r="B7">
        <v>10.481</v>
      </c>
      <c r="C7">
        <v>199139000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Parameters</vt:lpstr>
      <vt:lpstr>CAPEX</vt:lpstr>
      <vt:lpstr>OPEX</vt:lpstr>
      <vt:lpstr>LCC</vt:lpstr>
      <vt:lpstr>Derived_perkg</vt:lpstr>
      <vt:lpstr>EF_Defaults</vt:lpstr>
      <vt:lpstr>LCI_perkg</vt:lpstr>
      <vt:lpstr>LCIA_by_stage</vt:lpstr>
      <vt:lpstr>LCIA_totals_multi</vt:lpstr>
      <vt:lpstr>AnnualKg</vt:lpstr>
      <vt:lpstr>DiscountRate</vt:lpstr>
      <vt:lpstr>ElecTariff</vt:lpstr>
      <vt:lpstr>KwhLighting</vt:lpstr>
      <vt:lpstr>LaborMinPerKg</vt:lpstr>
      <vt:lpstr>MaintRate</vt:lpstr>
      <vt:lpstr>PackCostPerKg</vt:lpstr>
      <vt:lpstr>SewerTariff</vt:lpstr>
      <vt:lpstr>TotalAnnualizedCapex</vt:lpstr>
      <vt:lpstr>WageHr</vt:lpstr>
      <vt:lpstr>WaterPerKg</vt:lpstr>
      <vt:lpstr>WaterTariff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XIAO</dc:creator>
  <cp:lastModifiedBy>MAN XIAO</cp:lastModifiedBy>
  <dcterms:created xsi:type="dcterms:W3CDTF">2025-10-14T07:07:58Z</dcterms:created>
  <dcterms:modified xsi:type="dcterms:W3CDTF">2025-10-24T08:30:56Z</dcterms:modified>
</cp:coreProperties>
</file>